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defaultThemeVersion="124226"/>
  <mc:AlternateContent xmlns:mc="http://schemas.openxmlformats.org/markup-compatibility/2006">
    <mc:Choice Requires="x15">
      <x15ac:absPath xmlns:x15ac="http://schemas.microsoft.com/office/spreadsheetml/2010/11/ac" url="https://325capitalcom.sharepoint.com/sites/325CapitalGroupDrive/Shared Documents/Screen/Python/"/>
    </mc:Choice>
  </mc:AlternateContent>
  <xr:revisionPtr revIDLastSave="23" documentId="8_{B049CFB2-3D6B-4CE4-87FF-EEF485F279B8}" xr6:coauthVersionLast="45" xr6:coauthVersionMax="45" xr10:uidLastSave="{81B93F7B-829D-4DF8-B259-149B600D3F0C}"/>
  <bookViews>
    <workbookView xWindow="-120" yWindow="-120" windowWidth="29040" windowHeight="17640" firstSheet="1" activeTab="7" xr2:uid="{00000000-000D-0000-FFFF-FFFF00000000}"/>
  </bookViews>
  <sheets>
    <sheet name="Front Page" sheetId="7" r:id="rId1"/>
    <sheet name="Main Writeup" sheetId="14" r:id="rId2"/>
    <sheet name="Earnings Power" sheetId="13" r:id="rId3"/>
    <sheet name="Revised 5 year delivery model" sheetId="12" r:id="rId4"/>
    <sheet name="Latest Announcments" sheetId="11" r:id="rId5"/>
    <sheet name="Model" sheetId="1" r:id="rId6"/>
    <sheet name="Guidance" sheetId="10" r:id="rId7"/>
    <sheet name="Summary Page" sheetId="9" r:id="rId8"/>
    <sheet name="Update Log" sheetId="8" r:id="rId9"/>
  </sheets>
  <definedNames>
    <definedName name="_xlnm._FilterDatabase" localSheetId="6" hidden="1">Guidance!$A$5:$T$5</definedName>
    <definedName name="AA.AlternatePriceSourceStartPeriod">"Q1-2018"</definedName>
    <definedName name="AA.CompareQuarters.LatestMRQ">"Q3-2019"</definedName>
    <definedName name="AA.CSIN">"YPOAFJ0182"</definedName>
    <definedName name="AA.CurrencyMatch">EXACT(HP.TradeCurrency,MO.ReportCurrency)</definedName>
    <definedName name="AA.DBMacroVersion">"1.0.13.0"</definedName>
    <definedName name="AA.HardcodeChecker.LatestMRQ">"Q3-2019"</definedName>
    <definedName name="AA.ModelChecks.LatestMRQ">"Q2-2020"</definedName>
    <definedName name="AA.ModelChecks.LatestVersionNumber">"2.19.5.0"</definedName>
    <definedName name="AA.ModelVersion">"Q2-2020.23"</definedName>
    <definedName name="AA.PersonalMacro.VersionNumber">"1.5.1.5"</definedName>
    <definedName name="AA.RowLabelerRunPeriod">"Q3-2018"</definedName>
    <definedName name="AA.SessionToUploadId">""</definedName>
    <definedName name="AA.StartWorkType">""</definedName>
    <definedName name="AA.SubyearType">"Q"</definedName>
    <definedName name="AA.TemplateUpgradeAttempted">"TRUE"</definedName>
    <definedName name="AA.TemplateVersion">"6.1.0.0"</definedName>
    <definedName name="AA.UpdateType">"Regular"</definedName>
    <definedName name="AA.VerifyUnitsAtModelVersion">"Q2-2018.21"</definedName>
    <definedName name="FP.DataSource">'Front Page'!$H$16</definedName>
    <definedName name="FP.DataSourceName">'Front Page'!$H$15</definedName>
    <definedName name="FP.Disclaimer">'Front Page'!$C$22</definedName>
    <definedName name="FP.LastPrice">'Front Page'!$H$20</definedName>
    <definedName name="FP.LastPriceDate">'Front Page'!$F$20</definedName>
    <definedName name="FP.RealTimeToggle">'Front Page'!$H$18</definedName>
    <definedName name="FP.UpdateDate">'Front Page'!$H$11</definedName>
    <definedName name="FP.UpdateEvent">'Front Page'!$H$13</definedName>
    <definedName name="FP_Comment">'Front Page'!$P$9:$P$16</definedName>
    <definedName name="GD.CompanyName">Guidance!$B$1</definedName>
    <definedName name="GD.MRQ">Guidance!$F$2</definedName>
    <definedName name="GD_Difference_Mid_Absolute">Guidance!$O:$O</definedName>
    <definedName name="GD_Difference_Mid_Relative">Guidance!$P:$P</definedName>
    <definedName name="GD_Guidance_High">Guidance!$I:$I</definedName>
    <definedName name="GD_Guidance_Low">Guidance!$H:$H</definedName>
    <definedName name="GD_Guidance_Mid">Guidance!$J:$J</definedName>
    <definedName name="GD_Header_Column">Guidance!$5:$5</definedName>
    <definedName name="GD_Header_Section">Guidance!$4:$4</definedName>
    <definedName name="GD_Index">Guidance!$A:$A</definedName>
    <definedName name="GD_Item">Guidance!$D:$D</definedName>
    <definedName name="GD_Item_FiscalPeriod">Guidance!$F:$F</definedName>
    <definedName name="GD_Item_Name">Guidance!$E:$E</definedName>
    <definedName name="GD_Model_Output">Guidance!$M:$M</definedName>
    <definedName name="GD_Model_Type">Guidance!$L:$L</definedName>
    <definedName name="GD_Type">Guidance!$B:$B</definedName>
    <definedName name="GD_Update_Date">Guidance!$R:$R</definedName>
    <definedName name="GD_Update_Link">Guidance!$S:$S</definedName>
    <definedName name="HP.MRFX">Model!$B$535</definedName>
    <definedName name="HP.ReportCurrency">Model!$B$534</definedName>
    <definedName name="HP.Ticker">Model!$A$2</definedName>
    <definedName name="HP.TradeCurrency">Model!$B$532</definedName>
    <definedName name="HP.TradeCurrency.HardCoded">Model!$B$533</definedName>
    <definedName name="MO.CFY">Model!$B$539</definedName>
    <definedName name="MO.CompanyName">Model!$A$1</definedName>
    <definedName name="MO.DataSourceIndex">Model!$B$541</definedName>
    <definedName name="MO.DataSourceName">Model!$A$4</definedName>
    <definedName name="MO.FirstForecastedFiscalYear">Model!$B$540</definedName>
    <definedName name="MO.LastPrice">Model!$B$3</definedName>
    <definedName name="MO.LastPriceDate">Model!$B$529</definedName>
    <definedName name="MO.LastPriceFormula">Model!$B$531</definedName>
    <definedName name="MO.LastPriceHardcoded">Model!$B$528</definedName>
    <definedName name="MO.MRFP">Model!$B$538</definedName>
    <definedName name="MO.MRFPColumnNumber">Model!$B$537</definedName>
    <definedName name="MO.MRFX.Hardcoded">Model!$B$536</definedName>
    <definedName name="MO.RealTime">Model!$B$4</definedName>
    <definedName name="MO.RealTimeStockPriceToggle">Model!$B$530</definedName>
    <definedName name="MO.ReportCurrency">Model!$B$534</definedName>
    <definedName name="MO.ReportFX">Model!$A$5</definedName>
    <definedName name="MO.Ticker">Model!$A$2</definedName>
    <definedName name="MO.Ticker.Bloomberg">Model!$A$466</definedName>
    <definedName name="MO.Ticker.CapIQ">Model!$A$467</definedName>
    <definedName name="MO.Ticker.FactSet">Model!$A$468</definedName>
    <definedName name="MO.Ticker.Thomson">Model!$A$469</definedName>
    <definedName name="MO.TradingCurrency">Model!$A$3</definedName>
    <definedName name="MO.ValuationToggle">Model!$B$234</definedName>
    <definedName name="MO_AN_EBITDA_Adj">Model!$146:$146</definedName>
    <definedName name="MO_AN_NI_NONGAAP_Diluted">Model!$134:$134</definedName>
    <definedName name="MO_BS_AP">Model!$407:$407</definedName>
    <definedName name="MO_BS_AR">Model!$387:$387</definedName>
    <definedName name="MO_BS_CA">Model!$393:$393</definedName>
    <definedName name="MO_BS_Cash">Model!$386:$386</definedName>
    <definedName name="MO_BS_CL">Model!$416:$416</definedName>
    <definedName name="MO_BS_CommonStock">Model!$428:$428</definedName>
    <definedName name="MO_BS_ContractLiabilities">Model!$413:$413</definedName>
    <definedName name="MO_BS_ContributedSurplus">Model!$429:$429</definedName>
    <definedName name="MO_BS_DefRev">Model!$412:$412</definedName>
    <definedName name="MO_BS_Goodwill">Model!$401:$401</definedName>
    <definedName name="MO_BS_Intangibles">Model!$400:$400</definedName>
    <definedName name="MO_BS_INV">Model!$388:$388</definedName>
    <definedName name="MO_BS_NCA">Model!$402:$402</definedName>
    <definedName name="MO_BS_NCI">Model!$434:$434</definedName>
    <definedName name="MO_BS_NCL">Model!$424:$424</definedName>
    <definedName name="MO_BS_OCI">Model!$430:$430</definedName>
    <definedName name="MO_BS_OL_Current">Model!$410:$410</definedName>
    <definedName name="MO_BS_OL_NonCurrent">Model!$421:$421</definedName>
    <definedName name="MO_BS_PPE">Model!$396:$396</definedName>
    <definedName name="MO_BS_RetainedEarnings">Model!$431:$431</definedName>
    <definedName name="MO_BS_SE">Model!$433:$433</definedName>
    <definedName name="MO_BS_TA">Model!$403:$403</definedName>
    <definedName name="MO_BS_TL">Model!$425:$425</definedName>
    <definedName name="MO_BS_TLSE">Model!$435:$435</definedName>
    <definedName name="MO_BS_TreasuryStock">Model!$432:$432</definedName>
    <definedName name="MO_BSS_Cash">Model!$215:$215</definedName>
    <definedName name="MO_BSS_Debt">Model!$218:$218</definedName>
    <definedName name="MO_BSS_Debt_LT">Model!$217:$217</definedName>
    <definedName name="MO_BSS_Debt_Net">Model!$220:$220</definedName>
    <definedName name="MO_BSS_Debt_ST">Model!$216:$216</definedName>
    <definedName name="MO_BSS_Debt_ToCF">Model!$231:$231</definedName>
    <definedName name="MO_BSS_Debt_ToEBITDA">Model!$230:$230</definedName>
    <definedName name="MO_BSS_IE">Model!$222:$222</definedName>
    <definedName name="MO_BSS_IE_Net">Model!$226:$226</definedName>
    <definedName name="MO_BSS_II">Model!$224:$224</definedName>
    <definedName name="MO_BSS_InterestRate_Cash">Model!$225:$225</definedName>
    <definedName name="MO_BSS_InterestRate_Debt">Model!$223:$223</definedName>
    <definedName name="MO_BSS_NetInterestCoverage">Model!$229:$229</definedName>
    <definedName name="MO_BSS_NetInterestRate_Debt">Model!$227:$227</definedName>
    <definedName name="MO_BSS_OL">Model!$219:$219</definedName>
    <definedName name="MO_CCFS_Balance_Begin">Model!$311:$311</definedName>
    <definedName name="MO_CCFS_Balance_End">Model!$312:$312</definedName>
    <definedName name="MO_CCFS_CFF">Model!$306:$306</definedName>
    <definedName name="MO_CCFS_CFI">Model!$290:$290</definedName>
    <definedName name="MO_CCFS_CFO">Model!$282:$282</definedName>
    <definedName name="MO_CCFS_CFO_BeforeWC">Model!$271:$271</definedName>
    <definedName name="MO_CCFS_FX">Model!$308:$308</definedName>
    <definedName name="MO_CCFS_NetChange">Model!$309:$309</definedName>
    <definedName name="MO_CFS_Balance_Begin">Model!$370:$370</definedName>
    <definedName name="MO_CFS_Balance_End">Model!$371:$371</definedName>
    <definedName name="MO_CFS_Buyback">Model!$356:$356</definedName>
    <definedName name="MO_CFS_CFF">Model!$365:$365</definedName>
    <definedName name="MO_CFS_CFI">Model!$349:$349</definedName>
    <definedName name="MO_CFS_CFO">Model!$341:$341</definedName>
    <definedName name="MO_CFS_CFO_BeforeWC">Model!$330:$330</definedName>
    <definedName name="MO_CFS_FX">Model!$367:$367</definedName>
    <definedName name="MO_CFS_NetChange">Model!$368:$368</definedName>
    <definedName name="MO_CFSum_Acquisition">Model!$200:$200</definedName>
    <definedName name="MO_CFSum_Capex">Model!$198:$198</definedName>
    <definedName name="MO_CFSum_CFO_BeforeWC">Model!$195:$195</definedName>
    <definedName name="MO_CFSum_CFPS">Model!$196:$196</definedName>
    <definedName name="MO_CFSum_Divestiture">Model!$201:$201</definedName>
    <definedName name="MO_CFSum_Dividend">Model!$202:$202</definedName>
    <definedName name="MO_CFSum_DPS">Model!$203:$203</definedName>
    <definedName name="MO_CFSum_FCF_PostDivPostAD">Model!$211:$211</definedName>
    <definedName name="MO_CFSum_FCF_PostDivPostADPostDebtPostBuyback">Model!$212:$212</definedName>
    <definedName name="MO_CFSum_FCF_PostDivPreAD">Model!$210:$210</definedName>
    <definedName name="MO_CFSum_FCF_PreDiv">Model!$209:$209</definedName>
    <definedName name="MO_CFSum_NetDebtIssuance">Model!$205:$205</definedName>
    <definedName name="MO_CFSum_NetShares">Model!$206:$206</definedName>
    <definedName name="MO_CFSum_NetShares_Price">Model!$207:$207</definedName>
    <definedName name="MO_Checks_Bottom">Model!$C$440:$XFD$461</definedName>
    <definedName name="MO_Checks_BS">Model!$437:$437</definedName>
    <definedName name="MO_Checks_CF">Model!$373:$373</definedName>
    <definedName name="MO_Checks_IS">Model!$116:$116</definedName>
    <definedName name="MO_Common_Column_A">Model!$A:$A</definedName>
    <definedName name="MO_Common_Column_B">Model!$B:$B</definedName>
    <definedName name="MO_Common_ColumnHeader">Model!$5:$5</definedName>
    <definedName name="MO_Common_CompanySubtitle">Model!$2:$2</definedName>
    <definedName name="MO_Common_CompanyTitle">Model!$1:$1</definedName>
    <definedName name="MO_Common_FPDays">Model!$3:$3</definedName>
    <definedName name="MO_Common_QEndDate">Model!$4:$4</definedName>
    <definedName name="MO_GA_TotalRevenue">Model!$15:$15</definedName>
    <definedName name="MO_IS_COGS">Model!$103:$103</definedName>
    <definedName name="MO_IS_EBIT">Model!$107:$107</definedName>
    <definedName name="MO_IS_EBT">Model!$112:$112</definedName>
    <definedName name="MO_IS_FirstRow">Model!$102:$102</definedName>
    <definedName name="MO_IS_GP">Model!$104:$104</definedName>
    <definedName name="MO_IS_NI_ContinOp">Model!$114:$114</definedName>
    <definedName name="MO_IS_REV">Model!$102:$102</definedName>
    <definedName name="MO_MA_COGS">Model!$87:$87</definedName>
    <definedName name="MO_MA_COGS_DA_Including">Model!$88:$88</definedName>
    <definedName name="MO_MA_EBIT">Model!$99:$99</definedName>
    <definedName name="MO_MA_EBITDA">Model!$94:$94</definedName>
    <definedName name="MO_MA_EBITDA_Adj">Model!$95:$95</definedName>
    <definedName name="MO_MA_GM">Model!$89:$89</definedName>
    <definedName name="MO_MA_GM_DA_Including">Model!$90:$90</definedName>
    <definedName name="MO_MA_SGA">Model!$93:$93</definedName>
    <definedName name="MO_OS_EBIT">Model!$53:$53</definedName>
    <definedName name="MO_RIS_Adjustments_Dilution_GAAP">Model!$176:$176</definedName>
    <definedName name="MO_RIS_Adjustments_Dilution_NONGAAP">Model!$179:$179</definedName>
    <definedName name="MO_RIS_Adjustments_NONGAAP">Model!$178:$178</definedName>
    <definedName name="MO_RIS_COGS">Model!$152:$152</definedName>
    <definedName name="MO_RIS_DA">Model!$160:$160</definedName>
    <definedName name="MO_RIS_DisCont">Model!$172:$172</definedName>
    <definedName name="MO_RIS_Dividend_Prefs">Model!$174:$174</definedName>
    <definedName name="MO_RIS_EBIT">Model!$162:$162</definedName>
    <definedName name="MO_RIS_EBITDA">Model!$156:$156</definedName>
    <definedName name="MO_RIS_EBITDA_Adj">Model!$157:$157</definedName>
    <definedName name="MO_RIS_EBT">Model!$167:$167</definedName>
    <definedName name="MO_RIS_EPS_WAB">Model!$185:$185</definedName>
    <definedName name="MO_RIS_EPS_WAD">Model!$186:$186</definedName>
    <definedName name="MO_RIS_EPS_WAD_Adj">Model!$187:$187</definedName>
    <definedName name="MO_RIS_GP">Model!$153:$153</definedName>
    <definedName name="MO_RIS_IE">Model!$164:$164</definedName>
    <definedName name="MO_RIS_IE_Net">Model!$164:$164</definedName>
    <definedName name="MO_RIS_NCI">Model!$173:$173</definedName>
    <definedName name="MO_RIS_NI_ContinOp">Model!$171:$171</definedName>
    <definedName name="MO_RIS_NI_GAAP_Basic">Model!$175:$175</definedName>
    <definedName name="MO_RIS_NI_GAAP_Diluted">Model!$177:$177</definedName>
    <definedName name="MO_RIS_NI_NONGAAP_Diluted">Model!$180:$180</definedName>
    <definedName name="MO_RIS_OI">Model!$165:$165</definedName>
    <definedName name="MO_RIS_OTI">Model!$166:$166</definedName>
    <definedName name="MO_RIS_REV">Model!$149:$149</definedName>
    <definedName name="MO_RIS_SBC">Model!$161:$161</definedName>
    <definedName name="MO_RIS_SGA">Model!$155:$155</definedName>
    <definedName name="MO_RIS_ShareCount_WAB">Model!$190:$190</definedName>
    <definedName name="MO_RIS_ShareCount_WAD">Model!$191:$191</definedName>
    <definedName name="MO_RIS_ShareCount_WAD_Adj">Model!$192:$192</definedName>
    <definedName name="MO_RIS_Tax_Current">Model!$169:$169</definedName>
    <definedName name="MO_RIS_Tax_Deferred">Model!$170:$170</definedName>
    <definedName name="MO_RIS_TaxRate_Current">Model!$182:$182</definedName>
    <definedName name="MO_RIS_TaxRate_Deferred">Model!$183:$183</definedName>
    <definedName name="MO_Section_AdjustedNumbers">Model!$118:$118</definedName>
    <definedName name="MO_Section_BalanceSheet">Model!$384:$384</definedName>
    <definedName name="MO_Section_BalanceSheetSummary">Model!$214:$214</definedName>
    <definedName name="MO_Section_CashFlowStatement">Model!$314:$314</definedName>
    <definedName name="MO_Section_CashFlowSummary">Model!$194:$194</definedName>
    <definedName name="MO_Section_Copyright">Model!$543:$543</definedName>
    <definedName name="MO_Section_CumulativeCashFlowStatement">Model!$255:$255</definedName>
    <definedName name="MO_Section_GrowthAnalysis">Model!$6:$6</definedName>
    <definedName name="MO_Section_IncomeStatement">Model!$101:$101</definedName>
    <definedName name="MO_Section_KeyMetricsMajorCustomerswithRevenues10FS">Model!$81:$81</definedName>
    <definedName name="MO_Section_LastRow">Model!$543:$543</definedName>
    <definedName name="MO_Section_MarginAnalysis">Model!$86:$86</definedName>
    <definedName name="MO_Section_ModelChecks">Model!$439:$439</definedName>
    <definedName name="MO_Section_OperatingStatsBacklogAnalysisFS">Model!$28:$28</definedName>
    <definedName name="MO_Section_RevisedIncomeStatement">Model!$148:$148</definedName>
    <definedName name="MO_Section_SegmentedResultsGeographicBreakdownFS">Model!$71:$71</definedName>
    <definedName name="MO_Section_SegmentedResultsOperatingProfitBreakdownFS">Model!$47:$47</definedName>
    <definedName name="MO_Section_SegmentedResultsRevenueBreakdownbyProductLineFS">Model!$60:$60</definedName>
    <definedName name="MO_Section_SegmentedResultsRevenueBreakdownFS">Model!$17:$17</definedName>
    <definedName name="MO_Section_Tables">Model!$463:$463</definedName>
    <definedName name="MO_Section_Valuation">Model!$233:$233</definedName>
    <definedName name="MO_Section_WorkingCapitalForecasting">Model!$375:$375</definedName>
    <definedName name="MO_SNA_FPStartDate">Model!$496:$496</definedName>
    <definedName name="MO_SNA_IsHistoricalPeriod">Model!$497:$497</definedName>
    <definedName name="MO_SNA_LastDataRow">Model!$435:$435</definedName>
    <definedName name="MO_SPT_FXAverage">Model!$519:$519</definedName>
    <definedName name="MO_SPT_FXAverage_Sources">Model!$520:$524</definedName>
    <definedName name="MO_SPT_StockAverage">Model!$512:$512</definedName>
    <definedName name="MO_SPT_StockAverage_Sources">Model!$513:$517</definedName>
    <definedName name="MO_SPT_StockHigh">Model!$498:$498</definedName>
    <definedName name="MO_SPT_StockHigh_Sources">Model!$499:$503</definedName>
    <definedName name="MO_SPT_StockLow">Model!$505:$505</definedName>
    <definedName name="MO_SPT_StockLow_Sources">Model!$506:$510</definedName>
    <definedName name="MO_SubSection_BS_CA">Model!$385:$385</definedName>
    <definedName name="MO_SubSection_BS_CL">Model!$405:$405</definedName>
    <definedName name="MO_SubSection_BS_NCA">Model!$395:$395</definedName>
    <definedName name="MO_SubSection_BS_NCL">Model!$418:$418</definedName>
    <definedName name="MO_SubSection_BS_SE">Model!$427:$427</definedName>
    <definedName name="MO_SubSection_CCFS_CFF">Model!$292:$292</definedName>
    <definedName name="MO_SubSection_CCFS_CFI">Model!$284:$284</definedName>
    <definedName name="MO_SubSection_CCFS_CFO">Model!$256:$256</definedName>
    <definedName name="MO_SubSection_CFS_CFF">Model!$351:$351</definedName>
    <definedName name="MO_SubSection_CFS_CFI">Model!$343:$343</definedName>
    <definedName name="MO_SubSection_CFS_CFO">Model!$315:$315</definedName>
    <definedName name="MO_VA_EV">Model!$236:$236</definedName>
    <definedName name="MO_VA_EV_ToEBITDA">Model!$239:$239</definedName>
    <definedName name="MO_VA_EVCalc_NCI">Model!$251:$251</definedName>
    <definedName name="MO_VA_EVCalc_Other">Model!$253:$253</definedName>
    <definedName name="MO_VA_EVCalc_Prefs">Model!$252:$252</definedName>
    <definedName name="MO_VA_FCFYield_ToEV">Model!$242:$242</definedName>
    <definedName name="MO_VA_FCFYield_ToMktCap">Model!$241:$241</definedName>
    <definedName name="MO_VA_FX_Average">Model!$247:$247</definedName>
    <definedName name="MO_VA_MarketCap">Model!$235:$235</definedName>
    <definedName name="MO_VA_P_ToCF">Model!$240:$240</definedName>
    <definedName name="MO_VA_P_ToE">Model!$238:$238</definedName>
    <definedName name="MO_VA_StockPrice">Model!$234:$234</definedName>
    <definedName name="MO_VA_StockPrice_Avg">Model!$246:$246</definedName>
    <definedName name="MO_VA_StockPrice_High">Model!$244:$244</definedName>
    <definedName name="MO_VA_StockPrice_Low">Model!$245:$245</definedName>
    <definedName name="MO_VA_StockPrice_TradingCurrency">Model!$248:$248</definedName>
    <definedName name="MO_WCF_AP_Margin">Model!$378:$378</definedName>
    <definedName name="MO_WCF_AP_Margin_Change">Model!$382:$382</definedName>
    <definedName name="MO_WCF_AR_Margin">Model!$376:$376</definedName>
    <definedName name="MO_WCF_AR_Margin_Change">Model!$380:$380</definedName>
    <definedName name="MO_WCF_INV_Margin">Model!$377:$377</definedName>
    <definedName name="MO_WCF_INV_Margin_Change">Model!$381:$381</definedName>
    <definedName name="_xlnm.Print_Area" localSheetId="1">'Main Writeup'!$A$1:$N$99</definedName>
    <definedName name="_xlnm.Print_Area" localSheetId="5">Model!$A$1:$BB$435</definedName>
    <definedName name="_xlnm.Print_Area" localSheetId="7">'Summary Page'!$A$1:$BB$119</definedName>
    <definedName name="_xlnm.Print_Area">'Main Writeup'!$A$1:$N$99</definedName>
    <definedName name="_xlnm.Print_Titles" localSheetId="5">Model!$5:$5</definedName>
    <definedName name="SP.ValuationToggle">'Summary Page'!$B$4</definedName>
    <definedName name="SP_BSR_Capital">'Summary Page'!$81:$81</definedName>
    <definedName name="SP_BSR_CashFlow">'Summary Page'!$80:$80</definedName>
    <definedName name="SP_BSR_CashFlow_LTM">'Summary Page'!$83:$83</definedName>
    <definedName name="SP_BSR_CL">'Summary Page'!$102:$102</definedName>
    <definedName name="SP_BSR_CL_Avg">'Summary Page'!$103:$103</definedName>
    <definedName name="SP_BSR_Debt">'Summary Page'!$96:$96</definedName>
    <definedName name="SP_BSR_Debt_Avg">'Summary Page'!$97:$97</definedName>
    <definedName name="SP_BSR_EBITDA">'Summary Page'!$79:$79</definedName>
    <definedName name="SP_BSR_EBITDA_LTM">'Summary Page'!$82:$82</definedName>
    <definedName name="SP_BSR_SE">'Summary Page'!$88:$88</definedName>
    <definedName name="SP_BSR_SE_Avg">'Summary Page'!$89:$89</definedName>
    <definedName name="SP_BSR_TA">'Summary Page'!$93:$93</definedName>
    <definedName name="SP_BSR_TA_Avg">'Summary Page'!$94:$94</definedName>
    <definedName name="SP_CFA_Acquisition">'Summary Page'!$64:$64</definedName>
    <definedName name="SP_CFA_Capex">'Summary Page'!$60:$60</definedName>
    <definedName name="SP_CFA_CFO_BeforeWC">'Summary Page'!$59:$59</definedName>
    <definedName name="SP_CFA_CFO_PerShare">'Summary Page'!$72:$72</definedName>
    <definedName name="SP_CFA_Debt">'Summary Page'!$68:$68</definedName>
    <definedName name="SP_CFA_Div">'Summary Page'!$62:$62</definedName>
    <definedName name="SP_CFA_Div_PerShare">'Summary Page'!$74:$74</definedName>
    <definedName name="SP_CFA_Divestiture">'Summary Page'!$65:$65</definedName>
    <definedName name="SP_CFA_Equity">'Summary Page'!$67:$67</definedName>
    <definedName name="SP_CFA_FCF_PerShare">'Summary Page'!$73:$73</definedName>
    <definedName name="SP_CFA_FCF_PostDiv">'Summary Page'!$63:$63</definedName>
    <definedName name="SP_CFA_FCF_PreDiv">'Summary Page'!$61:$61</definedName>
    <definedName name="SP_CFA_NetChange">'Summary Page'!$70:$70</definedName>
    <definedName name="SP_CFA_Other">'Summary Page'!$69:$69</definedName>
    <definedName name="SP_CFA_Payout_vsEPS">'Summary Page'!$76:$76</definedName>
    <definedName name="SP_CFA_Payout_vsFCF">'Summary Page'!$75:$75</definedName>
    <definedName name="SP_CFA_WC">'Summary Page'!$66:$66</definedName>
    <definedName name="SP_Checks_SummaryPage">'Summary Page'!$C$122:$XFD$125</definedName>
    <definedName name="SP_Common_Column_A">'Summary Page'!$A:$A</definedName>
    <definedName name="SP_Common_Column_B">'Summary Page'!$B:$B</definedName>
    <definedName name="SP_Common_ColumnHeader">'Summary Page'!$2:$2</definedName>
    <definedName name="SP_Common_QEndDate">'Summary Page'!$1:$1</definedName>
    <definedName name="SP_CS_Cash">'Summary Page'!$7:$7</definedName>
    <definedName name="SP_CS_Debt">'Summary Page'!$8:$8</definedName>
    <definedName name="SP_CS_EV">'Summary Page'!$11:$11</definedName>
    <definedName name="SP_CS_EVCalc_Other">'Summary Page'!$10:$10</definedName>
    <definedName name="SP_CS_MarketCap">'Summary Page'!$6:$6</definedName>
    <definedName name="SP_CS_OL">'Summary Page'!$9:$9</definedName>
    <definedName name="SP_CS_ShareCount">'Summary Page'!$5:$5</definedName>
    <definedName name="SP_CS_StockPrice">'Summary Page'!$4:$4</definedName>
    <definedName name="SP_GF_COGS">'Summary Page'!$32:$32</definedName>
    <definedName name="SP_GF_DA">'Summary Page'!$36:$36</definedName>
    <definedName name="SP_GF_DisCont">'Summary Page'!$41:$41</definedName>
    <definedName name="SP_GF_Div_Prefs">'Summary Page'!$43:$43</definedName>
    <definedName name="SP_GF_EBITDA">'Summary Page'!$34:$34</definedName>
    <definedName name="SP_GF_EBT">'Summary Page'!$39:$39</definedName>
    <definedName name="SP_GF_EPS_GAAP">'Summary Page'!$45:$45</definedName>
    <definedName name="SP_GF_IE">'Summary Page'!$37:$37</definedName>
    <definedName name="SP_GF_IE_Net">'Summary Page'!$37:$37</definedName>
    <definedName name="SP_GF_NCI">'Summary Page'!$42:$42</definedName>
    <definedName name="SP_GF_NI">'Summary Page'!$44:$44</definedName>
    <definedName name="SP_GF_OI">'Summary Page'!$38:$38</definedName>
    <definedName name="SP_GF_Rev">'Summary Page'!$31:$31</definedName>
    <definedName name="SP_GF_SBC">'Summary Page'!$35:$35</definedName>
    <definedName name="SP_GF_SGA">'Summary Page'!$33:$33</definedName>
    <definedName name="SP_GF_Tax">'Summary Page'!$40:$40</definedName>
    <definedName name="SP_MA_COGS">'Summary Page'!$53:$53</definedName>
    <definedName name="SP_MA_EBITDA">'Summary Page'!$55:$55</definedName>
    <definedName name="SP_MA_EBITDA_Adj">'Summary Page'!$56:$56</definedName>
    <definedName name="SP_MA_SGA">'Summary Page'!$54:$54</definedName>
    <definedName name="SP_NGF_EBITDA">'Summary Page'!$48:$48</definedName>
    <definedName name="SP_NGF_EPS">'Summary Page'!$50:$50</definedName>
    <definedName name="SP_NGF_NI">'Summary Page'!$49:$49</definedName>
    <definedName name="SP_PR_ROA">'Summary Page'!$95:$95</definedName>
    <definedName name="SP_PR_ROCE">'Summary Page'!$105:$105</definedName>
    <definedName name="SP_PR_ROE">'Summary Page'!$90:$90</definedName>
    <definedName name="SP_PR_ROIC">'Summary Page'!$99:$99</definedName>
    <definedName name="SP_Section_Checks">'Summary Page'!$121:$121</definedName>
    <definedName name="tb_ConsensusEstimate">Model!$A$484:$BB$493</definedName>
    <definedName name="tb_EntireModel">Model!$A$1:$BB$437</definedName>
    <definedName name="tb_KeyOutputs">Model!$A$476:$A$482</definedName>
    <definedName name="tb_StockPrice">Model!$A$495:$BB$525</definedName>
    <definedName name="tb_Tickers">Model!$A$465:$A$469</definedName>
    <definedName name="tb_UpdateLog">'Update Log'!$C$10:$H$32</definedName>
    <definedName name="tb_ValuationToggle">Model!$A$471:$B$474</definedName>
    <definedName name="UL.CSIN">'Update Log'!$H$7</definedName>
    <definedName name="UL.ModelVersion">'Update Log'!$H$8</definedName>
    <definedName name="UL.MRQ">'Update Log'!$F$7</definedName>
    <definedName name="UL.MRQColNum">'Update Log'!$E$7</definedName>
    <definedName name="z_YPOAFJ0182_MO_AN_Adjustedconsolidatedsales">Model!$121:$121</definedName>
    <definedName name="z_YPOAFJ0182_MO_AN_AdjustedEBITDA">Model!$146:$146</definedName>
    <definedName name="z_YPOAFJ0182_MO_AN_Adjustedincomefromoperations">Model!$127:$127</definedName>
    <definedName name="z_YPOAFJ0182_MO_AN_Adjustednetincome">Model!$134:$134</definedName>
    <definedName name="z_YPOAFJ0182_MO_AN_Antennabusinessimpairmentandrestructuring">Model!$126:$126</definedName>
    <definedName name="z_YPOAFJ0182_MO_AN_Antennabusinessimpairmentandrestructuring_1">Model!$132:$132</definedName>
    <definedName name="z_YPOAFJ0182_MO_AN_Depreciationandamortizationexpense">Model!$139:$139</definedName>
    <definedName name="z_YPOAFJ0182_MO_AN_Equitybasedcompensationexpense">Model!$140:$140</definedName>
    <definedName name="z_YPOAFJ0182_MO_AN_Equityinvestmentimpairment">Model!$133:$133</definedName>
    <definedName name="z_YPOAFJ0182_MO_AN_Equityinvestmentloss">Model!$144:$144</definedName>
    <definedName name="z_YPOAFJ0182_MO_AN_Gainonsaleofbusiness">Model!$145:$145</definedName>
    <definedName name="z_YPOAFJ0182_MO_AN_Goodwillandotherassetimpairments">Model!$141:$141</definedName>
    <definedName name="z_YPOAFJ0182_MO_AN_Incomefromoperations">Model!$123:$123</definedName>
    <definedName name="z_YPOAFJ0182_MO_AN_Incometaxbenefitexpense">Model!$138:$138</definedName>
    <definedName name="z_YPOAFJ0182_MO_AN_Interestexpense">Model!$137:$137</definedName>
    <definedName name="z_YPOAFJ0182_MO_AN_Legalreserve_2">Model!$143:$143</definedName>
    <definedName name="z_YPOAFJ0182_MO_AN_Legalreserveincrease">Model!$125:$125</definedName>
    <definedName name="z_YPOAFJ0182_MO_AN_Legalreserveincrease_1">Model!$131:$131</definedName>
    <definedName name="z_YPOAFJ0182_MO_AN_Netincome">Model!$129:$129</definedName>
    <definedName name="z_YPOAFJ0182_MO_AN_Netincome_1">Model!$136:$136</definedName>
    <definedName name="z_YPOAFJ0182_MO_AN_NonGAAPadjustmentRemoveeffectofsemiconductorbusiness">Model!$120:$120</definedName>
    <definedName name="z_YPOAFJ0182_MO_AN_NonGAAPadjustmentRemoveeffectofsemiconductorbusiness_1">Model!$124:$124</definedName>
    <definedName name="z_YPOAFJ0182_MO_AN_NonGAAPadjustmentRemoveeffectofsemiconductorbusiness_2">Model!$130:$130</definedName>
    <definedName name="z_YPOAFJ0182_MO_AN_Restructuringrelatedseverancecharges">Model!$142:$142</definedName>
    <definedName name="z_YPOAFJ0182_MO_AN_Sales">Model!$119:$119</definedName>
    <definedName name="z_YPOAFJ0182_MO_BlankRow_AN">Model!$122:$122</definedName>
    <definedName name="z_YPOAFJ0182_MO_BlankRow_AN_1">Model!$128:$128</definedName>
    <definedName name="z_YPOAFJ0182_MO_BlankRow_AN_2">Model!$147:$147</definedName>
    <definedName name="z_YPOAFJ0182_MO_BlankRow_AN_3">Model!$135:$135</definedName>
    <definedName name="z_YPOAFJ0182_MO_BlankRow_BS_1">Model!$394:$394</definedName>
    <definedName name="z_YPOAFJ0182_MO_BlankRow_BS_2">Model!$404:$404</definedName>
    <definedName name="z_YPOAFJ0182_MO_BlankRow_BS_3">Model!$417:$417</definedName>
    <definedName name="z_YPOAFJ0182_MO_BlankRow_BS_4">Model!$426:$426</definedName>
    <definedName name="z_YPOAFJ0182_MO_BlankRow_BS_5">Model!$436:$436</definedName>
    <definedName name="z_YPOAFJ0182_MO_BlankRow_BS_6">Model!$438:$438</definedName>
    <definedName name="z_YPOAFJ0182_MO_BlankRow_BSS">Model!$232:$232</definedName>
    <definedName name="z_YPOAFJ0182_MO_BlankRow_BSS_1">Model!$221:$221</definedName>
    <definedName name="z_YPOAFJ0182_MO_BlankRow_BSS_2">Model!$228:$228</definedName>
    <definedName name="z_YPOAFJ0182_MO_BlankRow_CCFS">Model!$283:$283</definedName>
    <definedName name="z_YPOAFJ0182_MO_BlankRow_CCFS_1">Model!$291:$291</definedName>
    <definedName name="z_YPOAFJ0182_MO_BlankRow_CCFS_2">Model!$307:$307</definedName>
    <definedName name="z_YPOAFJ0182_MO_BlankRow_CCFS_3">Model!$310:$310</definedName>
    <definedName name="z_YPOAFJ0182_MO_BlankRow_CCFS_4">Model!$313:$313</definedName>
    <definedName name="z_YPOAFJ0182_MO_BlankRow_CFS_2">Model!$342:$342</definedName>
    <definedName name="z_YPOAFJ0182_MO_BlankRow_CFS_3">Model!$350:$350</definedName>
    <definedName name="z_YPOAFJ0182_MO_BlankRow_CFS_4">Model!$366:$366</definedName>
    <definedName name="z_YPOAFJ0182_MO_BlankRow_CFS_5">Model!$369:$369</definedName>
    <definedName name="z_YPOAFJ0182_MO_BlankRow_CFS_6">Model!$372:$372</definedName>
    <definedName name="z_YPOAFJ0182_MO_BlankRow_CFS_7">Model!$374:$374</definedName>
    <definedName name="z_YPOAFJ0182_MO_BlankRow_CFSum">Model!$208:$208</definedName>
    <definedName name="z_YPOAFJ0182_MO_BlankRow_CFSum_1">Model!$213:$213</definedName>
    <definedName name="z_YPOAFJ0182_MO_BlankRow_CFSum_2">Model!$204:$204</definedName>
    <definedName name="z_YPOAFJ0182_MO_BlankRow_GA">Model!$16:$16</definedName>
    <definedName name="z_YPOAFJ0182_MO_BlankRow_IS">Model!$115:$115</definedName>
    <definedName name="z_YPOAFJ0182_MO_BlankRow_IS_1">Model!$117:$117</definedName>
    <definedName name="z_YPOAFJ0182_MO_BlankRow_MA">Model!$92:$92</definedName>
    <definedName name="z_YPOAFJ0182_MO_BlankRow_MA_1">Model!$100:$100</definedName>
    <definedName name="z_YPOAFJ0182_MO_BlankRow_MA_2">Model!$237:$237</definedName>
    <definedName name="z_YPOAFJ0182_MO_BlankRow_MA_3">Model!$249:$249</definedName>
    <definedName name="z_YPOAFJ0182_MO_BlankRow_MA_4">Model!$254:$254</definedName>
    <definedName name="z_YPOAFJ0182_MO_BlankRow_MA_5">Model!$243:$243</definedName>
    <definedName name="z_YPOAFJ0182_MO_BlankRow_OS">Model!$27:$27</definedName>
    <definedName name="z_YPOAFJ0182_MO_BlankRow_OS_1">Model!$33:$33</definedName>
    <definedName name="z_YPOAFJ0182_MO_BlankRow_OS_10">Model!$379:$379</definedName>
    <definedName name="z_YPOAFJ0182_MO_BlankRow_OS_11">Model!$383:$383</definedName>
    <definedName name="z_YPOAFJ0182_MO_BlankRow_OS_12">Model!$54:$54</definedName>
    <definedName name="z_YPOAFJ0182_MO_BlankRow_OS_13">Model!$59:$59</definedName>
    <definedName name="z_YPOAFJ0182_MO_BlankRow_OS_14">Model!$70:$70</definedName>
    <definedName name="z_YPOAFJ0182_MO_BlankRow_OS_15">Model!$42:$42</definedName>
    <definedName name="z_YPOAFJ0182_MO_BlankRow_OS_2">Model!$35:$35</definedName>
    <definedName name="z_YPOAFJ0182_MO_BlankRow_OS_3">Model!$40:$40</definedName>
    <definedName name="z_YPOAFJ0182_MO_BlankRow_OS_4">"Deleted"</definedName>
    <definedName name="z_YPOAFJ0182_MO_BlankRow_OS_5">Model!$46:$46</definedName>
    <definedName name="z_YPOAFJ0182_MO_BlankRow_OS_6">"Deleted"</definedName>
    <definedName name="z_YPOAFJ0182_MO_BlankRow_OS_7">Model!$80:$80</definedName>
    <definedName name="z_YPOAFJ0182_MO_BlankRow_OS_8">Model!$85:$85</definedName>
    <definedName name="z_YPOAFJ0182_MO_BlankRow_OS_9">"Deleted"</definedName>
    <definedName name="z_YPOAFJ0182_MO_BlankRow_RIS">Model!$151:$151</definedName>
    <definedName name="z_YPOAFJ0182_MO_BlankRow_RIS_1">Model!$154:$154</definedName>
    <definedName name="z_YPOAFJ0182_MO_BlankRow_RIS_2">Model!$159:$159</definedName>
    <definedName name="z_YPOAFJ0182_MO_BlankRow_RIS_3">Model!$163:$163</definedName>
    <definedName name="z_YPOAFJ0182_MO_BlankRow_RIS_4">Model!$168:$168</definedName>
    <definedName name="z_YPOAFJ0182_MO_BlankRow_RIS_5">Model!$181:$181</definedName>
    <definedName name="z_YPOAFJ0182_MO_BlankRow_RIS_6">Model!$184:$184</definedName>
    <definedName name="z_YPOAFJ0182_MO_BlankRow_RIS_7">Model!$189:$189</definedName>
    <definedName name="z_YPOAFJ0182_MO_BlankRow_RIS_8">Model!$193:$193</definedName>
    <definedName name="z_YPOAFJ0182_MO_BS_accountspayable">Model!$407:$407</definedName>
    <definedName name="z_YPOAFJ0182_MO_BS_accountsreceivable">Model!$387:$387</definedName>
    <definedName name="z_YPOAFJ0182_MO_BS_AccruedExpensesandOtherCurrentLiabilities">Model!$408:$408</definedName>
    <definedName name="z_YPOAFJ0182_MO_BS_accruedincometaxes">Model!$409:$409</definedName>
    <definedName name="z_YPOAFJ0182_MO_BS_AccumulatedOtherComprehensiveLoss">Model!$430:$430</definedName>
    <definedName name="z_YPOAFJ0182_MO_BS_AdditionalPaidinCapital">Model!$429:$429</definedName>
    <definedName name="z_YPOAFJ0182_MO_BS_Assetsheldforsale">Model!$391:$391</definedName>
    <definedName name="z_YPOAFJ0182_MO_BS_billingsinexcessofrecoverablecostsandaccruedprofitsonuncompletedcontracts">Model!$413:$413</definedName>
    <definedName name="z_YPOAFJ0182_MO_BS_BSCheck">Model!$437:$437</definedName>
    <definedName name="z_YPOAFJ0182_MO_BS_cashandcashequivalents">Model!$386:$386</definedName>
    <definedName name="z_YPOAFJ0182_MO_BS_commonstock">Model!$428:$428</definedName>
    <definedName name="z_YPOAFJ0182_MO_BS_CurrentAssets">Model!$385:$385</definedName>
    <definedName name="z_YPOAFJ0182_MO_BS_CurrentLiabilities">Model!$405:$405</definedName>
    <definedName name="z_YPOAFJ0182_MO_BS_CurrentMaturitiesofLongtermDebt">Model!$406:$406</definedName>
    <definedName name="z_YPOAFJ0182_MO_BS_CurrentOperatingLeaseLiabilities">Model!$410:$410</definedName>
    <definedName name="z_YPOAFJ0182_MO_BS_customeradvancepaymentsanddeferredrevenue">Model!$412:$412</definedName>
    <definedName name="z_YPOAFJ0182_MO_BS_deferredincometaxes">Model!$392:$392</definedName>
    <definedName name="z_YPOAFJ0182_MO_BS_deferredincometaxes_1">Model!$397:$397</definedName>
    <definedName name="z_YPOAFJ0182_MO_BS_deferredincometaxes_2">Model!$415:$415</definedName>
    <definedName name="z_YPOAFJ0182_MO_BS_deferredincometaxes_3">Model!$423:$423</definedName>
    <definedName name="z_YPOAFJ0182_MO_BS_Goodwill">Model!$401:$401</definedName>
    <definedName name="z_YPOAFJ0182_MO_BS_IntangibleAssets">Model!$400:$400</definedName>
    <definedName name="z_YPOAFJ0182_MO_BS_inventories">Model!$388:$388</definedName>
    <definedName name="z_YPOAFJ0182_MO_BS_Liabilitiesheldforsale">Model!$414:$414</definedName>
    <definedName name="z_YPOAFJ0182_MO_BS_LongtermDebt">Model!$419:$419</definedName>
    <definedName name="z_YPOAFJ0182_MO_BS_LongtermOperatingLeaseLiabilities">Model!$421:$421</definedName>
    <definedName name="z_YPOAFJ0182_MO_BS_NCI">Model!$434:$434</definedName>
    <definedName name="z_YPOAFJ0182_MO_BS_NetIncomeonReportedISNIonRevised">Model!$441:$441</definedName>
    <definedName name="z_YPOAFJ0182_MO_BS_NetIncomeonRevisedISNIonCFstatement">Model!$440:$440</definedName>
    <definedName name="z_YPOAFJ0182_MO_BS_NonCurrentAssets">Model!$395:$395</definedName>
    <definedName name="z_YPOAFJ0182_MO_BS_NonCurrentLiabilities">Model!$418:$418</definedName>
    <definedName name="z_YPOAFJ0182_MO_BS_OperatingRightofUseAssets">Model!$398:$398</definedName>
    <definedName name="z_YPOAFJ0182_MO_BS_OtherAccruedExpenses">Model!$411:$411</definedName>
    <definedName name="z_YPOAFJ0182_MO_BS_OtherAssets">Model!$399:$399</definedName>
    <definedName name="z_YPOAFJ0182_MO_BS_OtherCurrentAssets">Model!$390:$390</definedName>
    <definedName name="z_YPOAFJ0182_MO_BS_OtherLiabilities">Model!$422:$422</definedName>
    <definedName name="z_YPOAFJ0182_MO_BS_othershareholders’equity">"Deleted"</definedName>
    <definedName name="z_YPOAFJ0182_MO_BS_OtherShareholdersEquity">"Deleted"</definedName>
    <definedName name="z_YPOAFJ0182_MO_BS_PrepaidExpensesandOtherCurrentAssets">Model!$389:$389</definedName>
    <definedName name="z_YPOAFJ0182_MO_BS_PropertyPlantandEquipment">Model!$396:$396</definedName>
    <definedName name="z_YPOAFJ0182_MO_BS_retainedearnings">Model!$431:$431</definedName>
    <definedName name="z_YPOAFJ0182_MO_BS_ShareholdersEquity">Model!$427:$427</definedName>
    <definedName name="z_YPOAFJ0182_MO_BS_SupplementalRetirementPlanandOtherLiabilitiesforPensionBenefits">Model!$420:$420</definedName>
    <definedName name="z_YPOAFJ0182_MO_BS_TotalAssets">Model!$403:$403</definedName>
    <definedName name="z_YPOAFJ0182_MO_BS_TotalCurrentAssets">Model!$393:$393</definedName>
    <definedName name="z_YPOAFJ0182_MO_BS_TotalCurrentLiabilities">Model!$416:$416</definedName>
    <definedName name="z_YPOAFJ0182_MO_BS_TotalLiabilities">Model!$425:$425</definedName>
    <definedName name="z_YPOAFJ0182_MO_BS_TotalLiabilitiesSE">Model!$435:$435</definedName>
    <definedName name="z_YPOAFJ0182_MO_BS_TotalNonCurrentAssets">Model!$402:$402</definedName>
    <definedName name="z_YPOAFJ0182_MO_BS_TotalNonCurrentliabilities">Model!$424:$424</definedName>
    <definedName name="z_YPOAFJ0182_MO_BS_TotalSE">Model!$433:$433</definedName>
    <definedName name="z_YPOAFJ0182_MO_BS_treasurystock">Model!$432:$432</definedName>
    <definedName name="z_YPOAFJ0182_MO_BSS_Cash">Model!$215:$215</definedName>
    <definedName name="z_YPOAFJ0182_MO_BSS_Debt">Model!$218:$218</definedName>
    <definedName name="z_YPOAFJ0182_MO_BSS_DebtCashFlow">Model!$231:$231</definedName>
    <definedName name="z_YPOAFJ0182_MO_BSS_DebtEBITDA">Model!$230:$230</definedName>
    <definedName name="z_YPOAFJ0182_MO_BSS_EBITDANetInterestExpense">Model!$229:$229</definedName>
    <definedName name="z_YPOAFJ0182_MO_BSS_EffectiveInterestRateonCash">Model!$225:$225</definedName>
    <definedName name="z_YPOAFJ0182_MO_BSS_EffectiveInterestRateonDebt">Model!$223:$223</definedName>
    <definedName name="z_YPOAFJ0182_MO_BSS_EffectiveNetInterestRateonDebt">Model!$227:$227</definedName>
    <definedName name="z_YPOAFJ0182_MO_BSS_InterestExpense">Model!$222:$222</definedName>
    <definedName name="z_YPOAFJ0182_MO_BSS_InterestIncome">Model!$224:$224</definedName>
    <definedName name="z_YPOAFJ0182_MO_BSS_LTDebt">Model!$217:$217</definedName>
    <definedName name="z_YPOAFJ0182_MO_BSS_NetDebt">Model!$220:$220</definedName>
    <definedName name="z_YPOAFJ0182_MO_BSS_NetInterestExpenseIncome">Model!$226:$226</definedName>
    <definedName name="z_YPOAFJ0182_MO_BSS_OperatingLeaseLiabilities">Model!$219:$219</definedName>
    <definedName name="z_YPOAFJ0182_MO_BSS_STDebt">Model!$216:$216</definedName>
    <definedName name="z_YPOAFJ0182_MO_CCFS_accountspayable">Model!$274:$274</definedName>
    <definedName name="z_YPOAFJ0182_MO_CCFS_accountsreceivable">Model!$272:$272</definedName>
    <definedName name="z_YPOAFJ0182_MO_CCFS_accruedexpenses">Model!$275:$275</definedName>
    <definedName name="z_YPOAFJ0182_MO_CCFS_AccruedLegalReserve">Model!$265:$265</definedName>
    <definedName name="z_YPOAFJ0182_MO_CCFS_AcquisitionEarnoutPayments">Model!$299:$299</definedName>
    <definedName name="z_YPOAFJ0182_MO_CCFS_AcquisitionofBusiness">Model!$285:$285</definedName>
    <definedName name="z_YPOAFJ0182_MO_CCFS_BeginningCashBalance">Model!$311:$311</definedName>
    <definedName name="z_YPOAFJ0182_MO_CCFS_billingsinexcessofrecoverablecostsandaccruedprofitsonuncompletedcontracts">Model!$278:$278</definedName>
    <definedName name="z_YPOAFJ0182_MO_CCFS_capitalexpenditures">Model!$287:$287</definedName>
    <definedName name="z_YPOAFJ0182_MO_CCFS_CFF">Model!$292:$292</definedName>
    <definedName name="z_YPOAFJ0182_MO_CCFS_CFI">Model!$284:$284</definedName>
    <definedName name="z_YPOAFJ0182_MO_CCFS_CFO">Model!$256:$256</definedName>
    <definedName name="z_YPOAFJ0182_MO_CCFS_CFObeforeWC">Model!$271:$271</definedName>
    <definedName name="z_YPOAFJ0182_MO_CCFS_customeradvancedpaymentsanddeferredrevenue">Model!$277:$277</definedName>
    <definedName name="z_YPOAFJ0182_MO_CCFS_DebtAcquisitionCosts">Model!$298:$298</definedName>
    <definedName name="z_YPOAFJ0182_MO_CCFS_deferredtaxbenefit">Model!$261:$261</definedName>
    <definedName name="z_YPOAFJ0182_MO_CCFS_depreciationandamortization">Model!$258:$258</definedName>
    <definedName name="z_YPOAFJ0182_MO_CCFS_DividendPaid">Model!$302:$302</definedName>
    <definedName name="z_YPOAFJ0182_MO_CCFS_EndingCashBalance">Model!$312:$312</definedName>
    <definedName name="z_YPOAFJ0182_MO_CCFS_EquityInvestmentImpairment">Model!$268:$268</definedName>
    <definedName name="z_YPOAFJ0182_MO_CCFS_FX">Model!$308:$308</definedName>
    <definedName name="z_YPOAFJ0182_MO_CCFS_GainonSaleofBusiness">Model!$264:$264</definedName>
    <definedName name="z_YPOAFJ0182_MO_CCFS_impairmentloss">Model!$262:$262</definedName>
    <definedName name="z_YPOAFJ0182_MO_CCFS_incometaxbenefitfromexerciseofstockoptions">Model!$304:$304</definedName>
    <definedName name="z_YPOAFJ0182_MO_CCFS_incometaxes">Model!$280:$280</definedName>
    <definedName name="z_YPOAFJ0182_MO_CCFS_inventories">Model!$273:$273</definedName>
    <definedName name="z_YPOAFJ0182_MO_CCFS_NetCFF">Model!$306:$306</definedName>
    <definedName name="z_YPOAFJ0182_MO_CCFS_NetCFI">Model!$290:$290</definedName>
    <definedName name="z_YPOAFJ0182_MO_CCFS_NetCFO">Model!$282:$282</definedName>
    <definedName name="z_YPOAFJ0182_MO_CCFS_NetChangeinCashBalance">Model!$309:$309</definedName>
    <definedName name="z_YPOAFJ0182_MO_CCFS_netincome">Model!$257:$257</definedName>
    <definedName name="z_YPOAFJ0182_MO_CCFS_noncashadjustmenttocontingentconsideration">Model!$269:$269</definedName>
    <definedName name="z_YPOAFJ0182_MO_CCFS_Noncashseverance">Model!$266:$266</definedName>
    <definedName name="z_YPOAFJ0182_MO_CCFS_Operatingleaseamortizationexpense">Model!$263:$263</definedName>
    <definedName name="z_YPOAFJ0182_MO_CCFS_Operatingleaseliabilities">Model!$279:$279</definedName>
    <definedName name="z_YPOAFJ0182_MO_CCFS_Other">Model!$270:$270</definedName>
    <definedName name="z_YPOAFJ0182_MO_CCFS_Other_4">Model!$303:$303</definedName>
    <definedName name="z_YPOAFJ0182_MO_CCFS_OtherCurrentAssetsandLiabilities">Model!$276:$276</definedName>
    <definedName name="z_YPOAFJ0182_MO_CCFS_OtherFinancingActivities">Model!$305:$305</definedName>
    <definedName name="z_YPOAFJ0182_MO_CCFS_OtherInvestingActivities">Model!$289:$289</definedName>
    <definedName name="z_YPOAFJ0182_MO_CCFS_PaymentsforLongtermDebt">Model!$294:$294</definedName>
    <definedName name="z_YPOAFJ0182_MO_CCFS_PaymentsforLongtermDebt_1">"Deleted"</definedName>
    <definedName name="z_YPOAFJ0182_MO_CCFS_paymentsonnotepayable">Model!$296:$296</definedName>
    <definedName name="z_YPOAFJ0182_MO_CCFS_proceedsfromexerciseofstockoptions">Model!$301:$301</definedName>
    <definedName name="z_YPOAFJ0182_MO_CCFS_ProceedsfromLongtermDebt">Model!$293:$293</definedName>
    <definedName name="z_YPOAFJ0182_MO_CCFS_proceedsfromnotepayable">Model!$295:$295</definedName>
    <definedName name="z_YPOAFJ0182_MO_CCFS_proceedsfromsaleoffixedassets">Model!$288:$288</definedName>
    <definedName name="z_YPOAFJ0182_MO_CCFS_ProceedsonSaleofBusiness">Model!$286:$286</definedName>
    <definedName name="z_YPOAFJ0182_MO_CCFS_provisionsfornoncashlossesoninventoryandreceivables">Model!$259:$259</definedName>
    <definedName name="z_YPOAFJ0182_MO_CCFS_purchaseofoutstandingsharesfortreasury">Model!$297:$297</definedName>
    <definedName name="z_YPOAFJ0182_MO_CCFS_RestructuringActivities">Model!$267:$267</definedName>
    <definedName name="z_YPOAFJ0182_MO_CCFS_stockcompensationexpense">Model!$260:$260</definedName>
    <definedName name="z_YPOAFJ0182_MO_CCFS_SupplementalRetirementandOtherLiabilities">Model!$281:$281</definedName>
    <definedName name="z_YPOAFJ0182_MO_CCFS_useofindustrialbondproceeds">Model!$300:$300</definedName>
    <definedName name="z_YPOAFJ0182_MO_CFS_accountspayable">Model!$333:$333</definedName>
    <definedName name="z_YPOAFJ0182_MO_CFS_accountsreceivable">Model!$331:$331</definedName>
    <definedName name="z_YPOAFJ0182_MO_CFS_accruedexpenses">Model!$334:$334</definedName>
    <definedName name="z_YPOAFJ0182_MO_CFS_AccruedLegalReserve">Model!$324:$324</definedName>
    <definedName name="z_YPOAFJ0182_MO_CFS_AcquisitionEarnoutPayments">Model!$358:$358</definedName>
    <definedName name="z_YPOAFJ0182_MO_CFS_AcquisitionofBusiness">Model!$344:$344</definedName>
    <definedName name="z_YPOAFJ0182_MO_CFS_BeginningCashBalance">Model!$370:$370</definedName>
    <definedName name="z_YPOAFJ0182_MO_CFS_billingsinexcessofrecoverablecostsandaccruedprofitsonuncompletedcontracts">Model!$337:$337</definedName>
    <definedName name="z_YPOAFJ0182_MO_CFS_capitalexpenditures">Model!$346:$346</definedName>
    <definedName name="z_YPOAFJ0182_MO_CFS_CFCheck">Model!$373:$373</definedName>
    <definedName name="z_YPOAFJ0182_MO_CFS_CFF">Model!$351:$351</definedName>
    <definedName name="z_YPOAFJ0182_MO_CFS_CFI">Model!$343:$343</definedName>
    <definedName name="z_YPOAFJ0182_MO_CFS_CFO">Model!$315:$315</definedName>
    <definedName name="z_YPOAFJ0182_MO_CFS_CFObeforeWC">Model!$330:$330</definedName>
    <definedName name="z_YPOAFJ0182_MO_CFS_customeradvancedpaymentsanddeferredrevenue">Model!$336:$336</definedName>
    <definedName name="z_YPOAFJ0182_MO_CFS_DebtAcquisitionCosts">Model!$357:$357</definedName>
    <definedName name="z_YPOAFJ0182_MO_CFS_deferredtaxbenefit">Model!$320:$320</definedName>
    <definedName name="z_YPOAFJ0182_MO_CFS_depreciationandamortization">Model!$317:$317</definedName>
    <definedName name="z_YPOAFJ0182_MO_CFS_DividendPaid">Model!$361:$361</definedName>
    <definedName name="z_YPOAFJ0182_MO_CFS_EndingCashBalance">Model!$371:$371</definedName>
    <definedName name="z_YPOAFJ0182_MO_CFS_EquityInvestmentImpairment">Model!$327:$327</definedName>
    <definedName name="z_YPOAFJ0182_MO_CFS_FX">Model!$367:$367</definedName>
    <definedName name="z_YPOAFJ0182_MO_CFS_GainonSaleofBusiness">Model!$323:$323</definedName>
    <definedName name="z_YPOAFJ0182_MO_CFS_impairmentloss">Model!$321:$321</definedName>
    <definedName name="z_YPOAFJ0182_MO_CFS_incometaxbenefitfromexerciseofstockoptions">Model!$363:$363</definedName>
    <definedName name="z_YPOAFJ0182_MO_CFS_incometaxes">Model!$339:$339</definedName>
    <definedName name="z_YPOAFJ0182_MO_CFS_inventories">Model!$332:$332</definedName>
    <definedName name="z_YPOAFJ0182_MO_CFS_NetCFF">Model!$365:$365</definedName>
    <definedName name="z_YPOAFJ0182_MO_CFS_NetCFI">Model!$349:$349</definedName>
    <definedName name="z_YPOAFJ0182_MO_CFS_NetCFO">Model!$341:$341</definedName>
    <definedName name="z_YPOAFJ0182_MO_CFS_NetChangeinCashBalance">Model!$368:$368</definedName>
    <definedName name="z_YPOAFJ0182_MO_CFS_netincome">Model!$316:$316</definedName>
    <definedName name="z_YPOAFJ0182_MO_CFS_noncashadjustmenttocontingentconsideration">Model!$328:$328</definedName>
    <definedName name="z_YPOAFJ0182_MO_CFS_Noncashseverance">Model!$325:$325</definedName>
    <definedName name="z_YPOAFJ0182_MO_CFS_Operatingleaseamortizationexpense">Model!$322:$322</definedName>
    <definedName name="z_YPOAFJ0182_MO_CFS_Operatingleaseliabilities">Model!$338:$338</definedName>
    <definedName name="z_YPOAFJ0182_MO_CFS_Other">Model!$329:$329</definedName>
    <definedName name="z_YPOAFJ0182_MO_CFS_Other_4">Model!$362:$362</definedName>
    <definedName name="z_YPOAFJ0182_MO_CFS_OtherCurrentAssetsandLiabilities">Model!$335:$335</definedName>
    <definedName name="z_YPOAFJ0182_MO_CFS_OtherFinancingActivities">Model!$364:$364</definedName>
    <definedName name="z_YPOAFJ0182_MO_CFS_OtherInvestingActivities">Model!$348:$348</definedName>
    <definedName name="z_YPOAFJ0182_MO_CFS_PaymentsforLongtermDebt">Model!$353:$353</definedName>
    <definedName name="z_YPOAFJ0182_MO_CFS_PaymentsforLongtermDebt_1">"Deleted"</definedName>
    <definedName name="z_YPOAFJ0182_MO_CFS_paymentsonnotepayable">Model!$355:$355</definedName>
    <definedName name="z_YPOAFJ0182_MO_CFS_proceedsfromexerciseofstockoptions">Model!$360:$360</definedName>
    <definedName name="z_YPOAFJ0182_MO_CFS_ProceedsfromLongtermDebt">Model!$352:$352</definedName>
    <definedName name="z_YPOAFJ0182_MO_CFS_proceedsfromnotepayable">Model!$354:$354</definedName>
    <definedName name="z_YPOAFJ0182_MO_CFS_proceedsfromsaleoffixedassets">Model!$347:$347</definedName>
    <definedName name="z_YPOAFJ0182_MO_CFS_ProceedsonSaleofBusiness">Model!$345:$345</definedName>
    <definedName name="z_YPOAFJ0182_MO_CFS_provisionsfornoncashlossesoninventoryandreceivables">Model!$318:$318</definedName>
    <definedName name="z_YPOAFJ0182_MO_CFS_PurchaseofOutstandingSharesforTreasury">Model!$356:$356</definedName>
    <definedName name="z_YPOAFJ0182_MO_CFS_RestructuringActivities">Model!$326:$326</definedName>
    <definedName name="z_YPOAFJ0182_MO_CFS_stockcompensationexpense">Model!$319:$319</definedName>
    <definedName name="z_YPOAFJ0182_MO_CFS_SupplementalRetirementandOtherLiabilities">Model!$340:$340</definedName>
    <definedName name="z_YPOAFJ0182_MO_CFS_useofindustrialbondproceeds">Model!$359:$359</definedName>
    <definedName name="z_YPOAFJ0182_MO_CFSum_Acquisitions">Model!$200:$200</definedName>
    <definedName name="z_YPOAFJ0182_MO_CFSum_Capex">Model!$198:$198</definedName>
    <definedName name="z_YPOAFJ0182_MO_CFSum_CashFlowPerDilutedShare">Model!$196:$196</definedName>
    <definedName name="z_YPOAFJ0182_MO_CFSum_ConsensusEstimatesCapex">Model!$199:$199</definedName>
    <definedName name="z_YPOAFJ0182_MO_CFSum_consensusestimatescashflowperdilutedshare">Model!$197:$197</definedName>
    <definedName name="z_YPOAFJ0182_MO_CFSum_Divestiture">Model!$201:$201</definedName>
    <definedName name="z_YPOAFJ0182_MO_CFSum_DividendPaid">Model!$202:$202</definedName>
    <definedName name="z_YPOAFJ0182_MO_CFSum_DividendPerShare">Model!$203:$203</definedName>
    <definedName name="z_YPOAFJ0182_MO_CFSum_EstimatedSharePriceforIssuanceBuybacks">Model!$207:$207</definedName>
    <definedName name="z_YPOAFJ0182_MO_CFSum_FCF">Model!$209:$209</definedName>
    <definedName name="z_YPOAFJ0182_MO_CFSum_FCF_1">Model!$210:$210</definedName>
    <definedName name="z_YPOAFJ0182_MO_CFSum_FCF_2">Model!$211:$211</definedName>
    <definedName name="z_YPOAFJ0182_MO_CFSum_FCFPostDivDebtBuyback">Model!$212:$212</definedName>
    <definedName name="z_YPOAFJ0182_MO_CFSum_NetDebtIssuanceRepayment">Model!$205:$205</definedName>
    <definedName name="z_YPOAFJ0182_MO_CFSum_NetShareIssuanceBuybacks">Model!$206:$206</definedName>
    <definedName name="z_YPOAFJ0182_MO_CFSum_OperatingCashFlowbeforeWC">Model!$195:$195</definedName>
    <definedName name="z_YPOAFJ0182_MO_Header_ColumnHeader">Model!$5:$5</definedName>
    <definedName name="z_YPOAFJ0182_MO_Header_CompanySubTitle">Model!$2:$2</definedName>
    <definedName name="z_YPOAFJ0182_MO_Header_CompanyTitle">Model!$1:$1</definedName>
    <definedName name="z_YPOAFJ0182_MO_Header_FPDays">Model!$3:$3</definedName>
    <definedName name="z_YPOAFJ0182_MO_Header_QEndDate">Model!$4:$4</definedName>
    <definedName name="z_YPOAFJ0182_MO_IS_contingentliabilityfairvalueadjustment">Model!$111:$111</definedName>
    <definedName name="z_YPOAFJ0182_MO_IS_costofproductssold">Model!$103:$103</definedName>
    <definedName name="z_YPOAFJ0182_MO_IS_GainonSaleofBusiness">Model!$110:$110</definedName>
    <definedName name="z_YPOAFJ0182_MO_IS_grossprofit">Model!$104:$104</definedName>
    <definedName name="z_YPOAFJ0182_MO_IS_impairmentloss">Model!$105:$105</definedName>
    <definedName name="z_YPOAFJ0182_MO_IS_incomebeforeincometaxes">Model!$112:$112</definedName>
    <definedName name="z_YPOAFJ0182_MO_IS_incomefromoperations">Model!$107:$107</definedName>
    <definedName name="z_YPOAFJ0182_MO_IS_interestexpense">Model!$108:$108</definedName>
    <definedName name="z_YPOAFJ0182_MO_IS_ISCheck">Model!$116:$116</definedName>
    <definedName name="z_YPOAFJ0182_MO_IS_netincome">Model!$114:$114</definedName>
    <definedName name="z_YPOAFJ0182_MO_IS_OtherExpense">Model!$109:$109</definedName>
    <definedName name="z_YPOAFJ0182_MO_IS_provisionforincometaxes">Model!$113:$113</definedName>
    <definedName name="z_YPOAFJ0182_MO_IS_sales">Model!$102:$102</definedName>
    <definedName name="z_YPOAFJ0182_MO_IS_selling">Model!$106:$106</definedName>
    <definedName name="z_YPOAFJ0182_MO_MA_AdjustedEBITDAMargin">Model!$95:$95</definedName>
    <definedName name="z_YPOAFJ0182_MO_MA_AverageFXRate">Model!$247:$247</definedName>
    <definedName name="z_YPOAFJ0182_MO_MA_COGSMarginExcludingDA">Model!$87:$87</definedName>
    <definedName name="z_YPOAFJ0182_MO_MA_COGSMarginIncludingDA">Model!$88:$88</definedName>
    <definedName name="z_YPOAFJ0182_MO_MA_consensusestimatesadjustedebitdamargin">Model!$96:$96</definedName>
    <definedName name="z_YPOAFJ0182_MO_MA_consensusestimatesgrossmargin">Model!$91:$91</definedName>
    <definedName name="z_YPOAFJ0182_MO_MA_EBITDAMargin">Model!$94:$94</definedName>
    <definedName name="z_YPOAFJ0182_MO_MA_ebitmargin">Model!$99:$99</definedName>
    <definedName name="z_YPOAFJ0182_MO_MA_GrossMarginExcludingDA">Model!$89:$89</definedName>
    <definedName name="z_YPOAFJ0182_MO_MA_GrossMarginIncludingDA">Model!$90:$90</definedName>
    <definedName name="z_YPOAFJ0182_MO_MA_SGAMargin">Model!$93:$93</definedName>
    <definedName name="z_YPOAFJ0182_MO_MA_StockPriceTradingCurAvg">Model!$248:$248</definedName>
    <definedName name="z_YPOAFJ0182_MO_OS_AccountsPayable">Model!$378:$378</definedName>
    <definedName name="z_YPOAFJ0182_MO_OS_AccountsPayableYYChange">Model!$382:$382</definedName>
    <definedName name="z_YPOAFJ0182_MO_OS_AccountsReceivableNetofAllowanceforDoubtfulAccounts">Model!$376:$376</definedName>
    <definedName name="z_YPOAFJ0182_MO_OS_AccountsReceivableNetofAllowanceforDoubtfulAccountsYYChange">Model!$380:$380</definedName>
    <definedName name="z_YPOAFJ0182_MO_OS_AccruedExpensesandOtherCurrentLiabilities">"Deleted"</definedName>
    <definedName name="z_YPOAFJ0182_MO_OS_AccruedExpensesandOtherCurrentLiabilitiesYYChange">"Deleted"</definedName>
    <definedName name="z_YPOAFJ0182_MO_OS_Aerospaceadjustedincomefromoperations">Model!$55:$55</definedName>
    <definedName name="z_YPOAFJ0182_MO_OS_aerospacebookbillratio">Model!$43:$43</definedName>
    <definedName name="z_YPOAFJ0182_MO_OS_aerospacedefenserevenue">Model!$24:$24</definedName>
    <definedName name="z_YPOAFJ0182_MO_OS_aerospacedefenserevenuegrowth">Model!$13:$13</definedName>
    <definedName name="z_YPOAFJ0182_MO_OS_aerospaceoperatingprofit">Model!$48:$48</definedName>
    <definedName name="z_YPOAFJ0182_MO_OS_aerospaceoperatingprofitmargin">Model!$97:$97</definedName>
    <definedName name="z_YPOAFJ0182_MO_OS_aerospacerevenueasaofendingbacklog">Model!$34:$34</definedName>
    <definedName name="z_YPOAFJ0182_MO_OS_applerevenue">Model!$83:$83</definedName>
    <definedName name="z_YPOAFJ0182_MO_OS_asiarevenue">Model!$75:$75</definedName>
    <definedName name="z_YPOAFJ0182_MO_OS_Avionicsrevenue">Model!$63:$63</definedName>
    <definedName name="z_YPOAFJ0182_MO_OS_beginningaerospacebacklog">Model!$29:$29</definedName>
    <definedName name="z_YPOAFJ0182_MO_OS_beginningtestsystemsbacklog">Model!$36:$36</definedName>
    <definedName name="z_YPOAFJ0182_MO_OS_boeingrevenue">Model!$84:$84</definedName>
    <definedName name="z_YPOAFJ0182_MO_OS_bookings">Model!$30:$30</definedName>
    <definedName name="z_YPOAFJ0182_MO_OS_bookings_1">Model!$37:$37</definedName>
    <definedName name="z_YPOAFJ0182_MO_OS_businessjetrevenue">Model!$20:$20</definedName>
    <definedName name="z_YPOAFJ0182_MO_OS_businessjetrevenuegrowth">Model!$9:$9</definedName>
    <definedName name="z_YPOAFJ0182_MO_OS_commercialtransportrevenue">Model!$18:$18</definedName>
    <definedName name="z_YPOAFJ0182_MO_OS_commercialtransportrevenuegrowth">Model!$7:$7</definedName>
    <definedName name="z_YPOAFJ0182_MO_OS_Corporateandotherexpensesnet">Model!$51:$51</definedName>
    <definedName name="z_YPOAFJ0182_MO_OS_CustomerAdvancePaymentsandDeferredRevenue">"Deleted"</definedName>
    <definedName name="z_YPOAFJ0182_MO_OS_CustomerAdvancePaymentsandDeferredRevenueYYChange">"Deleted"</definedName>
    <definedName name="z_YPOAFJ0182_MO_OS_ElectricalPowerMotionrevenue">Model!$61:$61</definedName>
    <definedName name="z_YPOAFJ0182_MO_OS_endingaerospacebacklog">Model!$32:$32</definedName>
    <definedName name="z_YPOAFJ0182_MO_OS_endingtestsystemsbacklog">Model!$39:$39</definedName>
    <definedName name="z_YPOAFJ0182_MO_OS_europerevenue">Model!$76:$76</definedName>
    <definedName name="z_YPOAFJ0182_MO_OS_Inventories">Model!$377:$377</definedName>
    <definedName name="z_YPOAFJ0182_MO_OS_InventoriesYYChange">Model!$381:$381</definedName>
    <definedName name="z_YPOAFJ0182_MO_OS_LightingSafetyrevenue">Model!$62:$62</definedName>
    <definedName name="z_YPOAFJ0182_MO_OS_militaryrevenue">Model!$19:$19</definedName>
    <definedName name="z_YPOAFJ0182_MO_OS_militaryrevenuegrowth">Model!$8:$8</definedName>
    <definedName name="z_YPOAFJ0182_MO_OS_northamericaexcludingunitedstatesrevenue">Model!$73:$73</definedName>
    <definedName name="z_YPOAFJ0182_MO_OS_OperatingIncome">Model!$53:$53</definedName>
    <definedName name="z_YPOAFJ0182_MO_OS_Otheradjustedincomefromoperations">Model!$57:$57</definedName>
    <definedName name="z_YPOAFJ0182_MO_OS_Otherexpensenetofotherincome">Model!$52:$52</definedName>
    <definedName name="z_YPOAFJ0182_MO_OS_Otherproductrevenue">Model!$66:$66</definedName>
    <definedName name="z_YPOAFJ0182_MO_OS_Otherrevenue">Model!$21:$21</definedName>
    <definedName name="z_YPOAFJ0182_MO_OS_Otherrevenue_1">Model!$78:$78</definedName>
    <definedName name="z_YPOAFJ0182_MO_OS_Otherrevenuegrowth">Model!$10:$10</definedName>
    <definedName name="z_YPOAFJ0182_MO_OS_panasonicrevenue">Model!$82:$82</definedName>
    <definedName name="z_YPOAFJ0182_MO_OS_realizedrevenue">Model!$31:$31</definedName>
    <definedName name="z_YPOAFJ0182_MO_OS_realizedrevenue_1">Model!$38:$38</definedName>
    <definedName name="z_YPOAFJ0182_MO_OS_semiconductorrevenue">Model!$23:$23</definedName>
    <definedName name="z_YPOAFJ0182_MO_OS_semiconductorrevenuegrowth">Model!$12:$12</definedName>
    <definedName name="z_YPOAFJ0182_MO_OS_southamericarevenue">Model!$77:$77</definedName>
    <definedName name="z_YPOAFJ0182_MO_OS_Structuresrevenue">Model!$65:$65</definedName>
    <definedName name="z_YPOAFJ0182_MO_OS_SystemsCertificationrevenue">Model!$64:$64</definedName>
    <definedName name="z_YPOAFJ0182_MO_OS_TestSystems_5">Model!$68:$68</definedName>
    <definedName name="z_YPOAFJ0182_MO_OS_TestSystemsadjustedincomefromoperations">Model!$56:$56</definedName>
    <definedName name="z_YPOAFJ0182_MO_OS_testsystemsbookbillratio">Model!$44:$44</definedName>
    <definedName name="z_YPOAFJ0182_MO_OS_testsystemsoperatingprofit">Model!$49:$49</definedName>
    <definedName name="z_YPOAFJ0182_MO_OS_testsystemsoperatingprofitmargin">Model!$98:$98</definedName>
    <definedName name="z_YPOAFJ0182_MO_OS_testsystemsrevenueasaofendingbacklog">Model!$41:$41</definedName>
    <definedName name="z_YPOAFJ0182_MO_OS_Totaladjustedincomefromoperations">Model!$58:$58</definedName>
    <definedName name="z_YPOAFJ0182_MO_OS_totalaerospacerevenue">Model!$22:$22</definedName>
    <definedName name="z_YPOAFJ0182_MO_OS_TotalAerospacerevenue_2">Model!$67:$67</definedName>
    <definedName name="z_YPOAFJ0182_MO_OS_totalaerospacerevenuegrowth">Model!$11:$11</definedName>
    <definedName name="z_YPOAFJ0182_MO_OS_totalcompanybookbillratio">Model!$45:$45</definedName>
    <definedName name="z_YPOAFJ0182_MO_OS_totalnorthamericarevenue">Model!$74:$74</definedName>
    <definedName name="z_YPOAFJ0182_MO_OS_totaloperatingprofit">Model!$50:$50</definedName>
    <definedName name="z_YPOAFJ0182_MO_OS_totalrevenue">Model!$26:$26</definedName>
    <definedName name="z_YPOAFJ0182_MO_OS_totalrevenue_1">Model!$79:$79</definedName>
    <definedName name="z_YPOAFJ0182_MO_OS_TotalRevenue_3">Model!$69:$69</definedName>
    <definedName name="z_YPOAFJ0182_MO_OS_TotalRevenueGrowth">Model!$15:$15</definedName>
    <definedName name="z_YPOAFJ0182_MO_OS_totaltestsystemsrevenue">Model!$25:$25</definedName>
    <definedName name="z_YPOAFJ0182_MO_OS_totaltestsystemsrevenuegrowth">Model!$14:$14</definedName>
    <definedName name="z_YPOAFJ0182_MO_OS_unitedstates">Model!$72:$72</definedName>
    <definedName name="z_YPOAFJ0182_MO_RIS_AdjustedEarningsPerShareWAD">Model!$187:$187</definedName>
    <definedName name="z_YPOAFJ0182_MO_RIS_AdjustedEBITDANoAdjustments">Model!$157:$157</definedName>
    <definedName name="z_YPOAFJ0182_MO_RIS_AdjustedNetIncome">Model!$180:$180</definedName>
    <definedName name="z_YPOAFJ0182_MO_RIS_AdjustedSharesOutstandingWAD">Model!$192:$192</definedName>
    <definedName name="z_YPOAFJ0182_MO_RIS_AdjustmentsforConvertibleSecurities">Model!$176:$176</definedName>
    <definedName name="z_YPOAFJ0182_MO_RIS_COGSadjforDA">Model!$152:$152</definedName>
    <definedName name="z_YPOAFJ0182_MO_RIS_consensusestimatesadjustedearningspersharewad">Model!$188:$188</definedName>
    <definedName name="z_YPOAFJ0182_MO_RIS_consensusestimatesadjustedebitda">Model!$158:$158</definedName>
    <definedName name="z_YPOAFJ0182_MO_RIS_consensusestimatesnetrevenue">Model!$150:$150</definedName>
    <definedName name="z_YPOAFJ0182_MO_RIS_Currenttax">Model!$169:$169</definedName>
    <definedName name="z_YPOAFJ0182_MO_RIS_Currenttaxrate">Model!$182:$182</definedName>
    <definedName name="z_YPOAFJ0182_MO_RIS_DA">Model!$160:$160</definedName>
    <definedName name="z_YPOAFJ0182_MO_RIS_Deferredtax">Model!$170:$170</definedName>
    <definedName name="z_YPOAFJ0182_MO_RIS_Deferredtaxrate">Model!$183:$183</definedName>
    <definedName name="z_YPOAFJ0182_MO_RIS_DilutedNetIncometoCommonShareholders">Model!$177:$177</definedName>
    <definedName name="z_YPOAFJ0182_MO_RIS_DiscontinuedOperations">Model!$172:$172</definedName>
    <definedName name="z_YPOAFJ0182_MO_RIS_EarningsPerShareWAB">Model!$185:$185</definedName>
    <definedName name="z_YPOAFJ0182_MO_RIS_EarningsPerShareWAD">Model!$186:$186</definedName>
    <definedName name="z_YPOAFJ0182_MO_RIS_EBIT">Model!$162:$162</definedName>
    <definedName name="z_YPOAFJ0182_MO_RIS_EBITDA">Model!$156:$156</definedName>
    <definedName name="z_YPOAFJ0182_MO_RIS_EBT">Model!$167:$167</definedName>
    <definedName name="z_YPOAFJ0182_MO_RIS_GrossProfit">Model!$153:$153</definedName>
    <definedName name="z_YPOAFJ0182_MO_RIS_Interestexpense">Model!$164:$164</definedName>
    <definedName name="z_YPOAFJ0182_MO_RIS_NetIncomefromContinuedOperation">Model!$171:$171</definedName>
    <definedName name="z_YPOAFJ0182_MO_RIS_NetIncometoCommonShareholders">Model!$175:$175</definedName>
    <definedName name="z_YPOAFJ0182_MO_RIS_NetIncometoNCI">Model!$173:$173</definedName>
    <definedName name="z_YPOAFJ0182_MO_RIS_NetRevenue">Model!$149:$149</definedName>
    <definedName name="z_YPOAFJ0182_MO_RIS_NonGAAPAdjustments">Model!$178:$178</definedName>
    <definedName name="z_YPOAFJ0182_MO_RIS_NonGAAPAdjustmentsforDilutiveSecurities">Model!$179:$179</definedName>
    <definedName name="z_YPOAFJ0182_MO_RIS_Onetimeitem">Model!$166:$166</definedName>
    <definedName name="z_YPOAFJ0182_MO_RIS_Otheritems">Model!$165:$165</definedName>
    <definedName name="z_YPOAFJ0182_MO_RIS_Preferredstockdividends">Model!$174:$174</definedName>
    <definedName name="z_YPOAFJ0182_MO_RIS_SBC">Model!$161:$161</definedName>
    <definedName name="z_YPOAFJ0182_MO_RIS_SGAadjforSBC">Model!$155:$155</definedName>
    <definedName name="z_YPOAFJ0182_MO_RIS_SharesOutstandingWAB">Model!$190:$190</definedName>
    <definedName name="z_YPOAFJ0182_MO_RIS_SharesOutstandingWAD">Model!$191:$191</definedName>
    <definedName name="z_YPOAFJ0182_MO_Section_AN_AdjustedNumbers">Model!$118:$118</definedName>
    <definedName name="z_YPOAFJ0182_MO_Section_BS_BalanceSheet">Model!$384:$384</definedName>
    <definedName name="z_YPOAFJ0182_MO_Section_BS_ModelChecks">Model!$439:$439</definedName>
    <definedName name="z_YPOAFJ0182_MO_Section_BSS_BalanceSheetSummary">Model!$214:$214</definedName>
    <definedName name="z_YPOAFJ0182_MO_Section_CCFS_CumulativeCashFlowStatement">Model!$255:$255</definedName>
    <definedName name="z_YPOAFJ0182_MO_Section_CFS_CashFlowStatement">Model!$314:$314</definedName>
    <definedName name="z_YPOAFJ0182_MO_Section_CFSum_CashFlowSummary">Model!$194:$194</definedName>
    <definedName name="z_YPOAFJ0182_MO_Section_GA_GrowthAnalysis">Model!$6:$6</definedName>
    <definedName name="z_YPOAFJ0182_MO_Section_IS_IncomeStatement">Model!$101:$101</definedName>
    <definedName name="z_YPOAFJ0182_MO_Section_MA_MarginAnalysis">Model!$86:$86</definedName>
    <definedName name="z_YPOAFJ0182_MO_Section_OS_KeyMetricsMajorCustomerswithRevenues10FS">Model!$81:$81</definedName>
    <definedName name="z_YPOAFJ0182_MO_Section_OS_OperatingStatsBacklogAnalysisFS">Model!$28:$28</definedName>
    <definedName name="z_YPOAFJ0182_MO_Section_OS_SegmentedResultsGeographicBreakdownFS">Model!$71:$71</definedName>
    <definedName name="z_YPOAFJ0182_MO_Section_OS_SegmentedResultsOperatingProfitBreakdownFS">Model!$47:$47</definedName>
    <definedName name="z_YPOAFJ0182_MO_Section_OS_SegmentedResultsRevenueBreakdownbyProductLineFS">Model!$60:$60</definedName>
    <definedName name="z_YPOAFJ0182_MO_Section_OS_SegmentedResultsRevenueBreakdownFS">Model!$17:$17</definedName>
    <definedName name="z_YPOAFJ0182_MO_Section_OS_SegmentMarginAnalysis">"Deleted"</definedName>
    <definedName name="z_YPOAFJ0182_MO_Section_OS_WorkingCapitalForecasting">Model!$375:$375</definedName>
    <definedName name="z_YPOAFJ0182_MO_Section_RIS_RevisedIncomeStatement">Model!$148:$148</definedName>
    <definedName name="z_YPOAFJ0182_MO_Section_TB_Tables">Model!$463:$463</definedName>
    <definedName name="z_YPOAFJ0182_MO_Section_VA_Valuation">Model!$233:$233</definedName>
    <definedName name="z_YPOAFJ0182_MO_VA_EnterpriseValueAverage">Model!$236:$236</definedName>
    <definedName name="z_YPOAFJ0182_MO_VA_EnterpriseValueAvg">"Deleted"</definedName>
    <definedName name="z_YPOAFJ0182_MO_VA_enterprisevaluecomponents">Model!$250:$250</definedName>
    <definedName name="z_YPOAFJ0182_MO_VA_EnterpriseValueHigh">"Deleted"</definedName>
    <definedName name="z_YPOAFJ0182_MO_VA_EnterpriseValueLow">"Deleted"</definedName>
    <definedName name="z_YPOAFJ0182_MO_VA_EVEBITDAAverage">Model!$239:$239</definedName>
    <definedName name="z_YPOAFJ0182_MO_VA_FCFYieldtoAverageEnterpriseValue">Model!$242:$242</definedName>
    <definedName name="z_YPOAFJ0182_MO_VA_FCFYieldtoAverageMarketCap">Model!$241:$241</definedName>
    <definedName name="z_YPOAFJ0182_MO_VA_MarketCapAverage">Model!$235:$235</definedName>
    <definedName name="z_YPOAFJ0182_MO_VA_MarketCapAvg">"Deleted"</definedName>
    <definedName name="z_YPOAFJ0182_MO_VA_MarketCapHigh">"Deleted"</definedName>
    <definedName name="z_YPOAFJ0182_MO_VA_MarketCapLow">"Deleted"</definedName>
    <definedName name="z_YPOAFJ0182_MO_VA_NoncontrollingInterest">Model!$251:$251</definedName>
    <definedName name="z_YPOAFJ0182_MO_VA_OtherEVComponents">Model!$253:$253</definedName>
    <definedName name="z_YPOAFJ0182_MO_VA_PCFAverage">Model!$240:$240</definedName>
    <definedName name="z_YPOAFJ0182_MO_VA_PEAverage">Model!$238:$238</definedName>
    <definedName name="z_YPOAFJ0182_MO_VA_PreferredShares">Model!$252:$252</definedName>
    <definedName name="z_YPOAFJ0182_MO_VA_StockAvg">Model!$246:$246</definedName>
    <definedName name="z_YPOAFJ0182_MO_VA_StockHigh">Model!$244:$244</definedName>
    <definedName name="z_YPOAFJ0182_MO_VA_StockLow">Model!$245:$245</definedName>
    <definedName name="z_YPOAFJ0182_MO_VA_StockPriceAverage">Model!$234:$234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1" i="9" l="1"/>
  <c r="D73" i="9"/>
  <c r="H12" i="14" l="1"/>
  <c r="H10" i="14"/>
  <c r="D119" i="13"/>
  <c r="E119" i="13" s="1"/>
  <c r="F119" i="13" s="1"/>
  <c r="G119" i="13" s="1"/>
  <c r="C119" i="13"/>
  <c r="E113" i="13"/>
  <c r="D113" i="13"/>
  <c r="C113" i="13"/>
  <c r="F103" i="13"/>
  <c r="C68" i="13"/>
  <c r="D61" i="13" s="1"/>
  <c r="C61" i="13"/>
  <c r="C93" i="13" s="1"/>
  <c r="H56" i="13"/>
  <c r="G56" i="13"/>
  <c r="F56" i="13"/>
  <c r="E56" i="13"/>
  <c r="D56" i="13"/>
  <c r="C56" i="13"/>
  <c r="B42" i="13"/>
  <c r="B43" i="13" s="1"/>
  <c r="T39" i="13"/>
  <c r="S39" i="13"/>
  <c r="R39" i="13"/>
  <c r="Q39" i="13"/>
  <c r="E39" i="13" s="1"/>
  <c r="P39" i="13"/>
  <c r="D39" i="13" s="1"/>
  <c r="O39" i="13"/>
  <c r="H39" i="13"/>
  <c r="G39" i="13"/>
  <c r="G62" i="13" s="1"/>
  <c r="F39" i="13"/>
  <c r="F62" i="13" s="1"/>
  <c r="C39" i="13"/>
  <c r="C40" i="13" s="1"/>
  <c r="B39" i="13"/>
  <c r="B40" i="13" s="1"/>
  <c r="M37" i="13"/>
  <c r="L37" i="13"/>
  <c r="K37" i="13"/>
  <c r="J37" i="13"/>
  <c r="I37" i="13"/>
  <c r="G37" i="13"/>
  <c r="T36" i="13"/>
  <c r="S36" i="13"/>
  <c r="G36" i="13" s="1"/>
  <c r="R36" i="13"/>
  <c r="F36" i="13" s="1"/>
  <c r="Q36" i="13"/>
  <c r="E36" i="13" s="1"/>
  <c r="P36" i="13"/>
  <c r="O36" i="13"/>
  <c r="H36" i="13"/>
  <c r="D36" i="13"/>
  <c r="D37" i="13" s="1"/>
  <c r="C36" i="13"/>
  <c r="C54" i="13" s="1"/>
  <c r="B36" i="13"/>
  <c r="C34" i="13"/>
  <c r="F33" i="13"/>
  <c r="G33" i="13" s="1"/>
  <c r="H33" i="13" s="1"/>
  <c r="I33" i="13" s="1"/>
  <c r="J33" i="13" s="1"/>
  <c r="K33" i="13" s="1"/>
  <c r="L33" i="13" s="1"/>
  <c r="M33" i="13" s="1"/>
  <c r="D33" i="13"/>
  <c r="E33" i="13" s="1"/>
  <c r="B12" i="13"/>
  <c r="L103" i="13" s="1"/>
  <c r="M5" i="13"/>
  <c r="M5" i="13" a="1"/>
  <c r="N4" i="13"/>
  <c r="N4" i="13" a="1"/>
  <c r="B4" i="13"/>
  <c r="D373" i="14"/>
  <c r="D374" i="14" s="1"/>
  <c r="D375" i="14" s="1"/>
  <c r="G366" i="14"/>
  <c r="F366" i="14"/>
  <c r="C366" i="14"/>
  <c r="G364" i="14"/>
  <c r="H364" i="14" s="1"/>
  <c r="I364" i="14" s="1"/>
  <c r="F364" i="14"/>
  <c r="I361" i="14"/>
  <c r="H361" i="14"/>
  <c r="G361" i="14"/>
  <c r="E361" i="14"/>
  <c r="C361" i="14"/>
  <c r="F361" i="14" s="1"/>
  <c r="H360" i="14"/>
  <c r="H366" i="14" s="1"/>
  <c r="F360" i="14"/>
  <c r="E360" i="14"/>
  <c r="E366" i="14" s="1"/>
  <c r="D360" i="14"/>
  <c r="D361" i="14" s="1"/>
  <c r="G359" i="14"/>
  <c r="H359" i="14" s="1"/>
  <c r="I359" i="14" s="1"/>
  <c r="F359" i="14"/>
  <c r="I356" i="14"/>
  <c r="H356" i="14"/>
  <c r="G356" i="14"/>
  <c r="E356" i="14"/>
  <c r="I355" i="14"/>
  <c r="H355" i="14"/>
  <c r="G355" i="14"/>
  <c r="F355" i="14"/>
  <c r="F356" i="14" s="1"/>
  <c r="E355" i="14"/>
  <c r="J350" i="14"/>
  <c r="J348" i="14"/>
  <c r="I347" i="14"/>
  <c r="I348" i="14" s="1"/>
  <c r="I350" i="14" s="1"/>
  <c r="F346" i="14"/>
  <c r="D346" i="14"/>
  <c r="F342" i="14"/>
  <c r="H338" i="14"/>
  <c r="I338" i="14" s="1"/>
  <c r="J338" i="14" s="1"/>
  <c r="F338" i="14"/>
  <c r="G338" i="14" s="1"/>
  <c r="D334" i="14"/>
  <c r="F333" i="14"/>
  <c r="H332" i="14"/>
  <c r="I331" i="14"/>
  <c r="J331" i="14" s="1"/>
  <c r="G331" i="14"/>
  <c r="H331" i="14" s="1"/>
  <c r="C328" i="14"/>
  <c r="H326" i="14"/>
  <c r="J333" i="14" s="1"/>
  <c r="J324" i="14"/>
  <c r="J322" i="14"/>
  <c r="J321" i="14"/>
  <c r="F306" i="14"/>
  <c r="E306" i="14"/>
  <c r="F305" i="14"/>
  <c r="E305" i="14"/>
  <c r="F302" i="14"/>
  <c r="F300" i="14"/>
  <c r="F299" i="14"/>
  <c r="E286" i="14"/>
  <c r="G278" i="14"/>
  <c r="H278" i="14" s="1"/>
  <c r="I278" i="14" s="1"/>
  <c r="F278" i="14"/>
  <c r="E278" i="14"/>
  <c r="F276" i="14"/>
  <c r="G276" i="14" s="1"/>
  <c r="E276" i="14"/>
  <c r="C274" i="14"/>
  <c r="Q267" i="14"/>
  <c r="Q268" i="14" s="1"/>
  <c r="Q269" i="14" s="1"/>
  <c r="R266" i="14"/>
  <c r="R267" i="14" s="1"/>
  <c r="R268" i="14" s="1"/>
  <c r="R269" i="14" s="1"/>
  <c r="Q266" i="14"/>
  <c r="V264" i="14"/>
  <c r="R264" i="14"/>
  <c r="Q264" i="14"/>
  <c r="U263" i="14"/>
  <c r="T263" i="14"/>
  <c r="S263" i="14"/>
  <c r="R263" i="14"/>
  <c r="R265" i="14" s="1"/>
  <c r="Q263" i="14"/>
  <c r="I251" i="14"/>
  <c r="I252" i="14" s="1"/>
  <c r="J250" i="14"/>
  <c r="J251" i="14" s="1"/>
  <c r="J252" i="14" s="1"/>
  <c r="E247" i="14" s="1"/>
  <c r="J253" i="14" s="1"/>
  <c r="I250" i="14"/>
  <c r="AD249" i="14"/>
  <c r="K249" i="14"/>
  <c r="I249" i="14"/>
  <c r="H249" i="14" s="1"/>
  <c r="G249" i="14"/>
  <c r="F249" i="14"/>
  <c r="E249" i="14" s="1"/>
  <c r="K248" i="14"/>
  <c r="H248" i="14"/>
  <c r="H250" i="14" s="1"/>
  <c r="H251" i="14" s="1"/>
  <c r="H252" i="14" s="1"/>
  <c r="H253" i="14" s="1"/>
  <c r="C231" i="14"/>
  <c r="C241" i="14" s="1"/>
  <c r="D230" i="14"/>
  <c r="C230" i="14"/>
  <c r="C240" i="14" s="1"/>
  <c r="M227" i="14"/>
  <c r="P227" i="14" s="1"/>
  <c r="E227" i="14"/>
  <c r="M226" i="14"/>
  <c r="O226" i="14" s="1"/>
  <c r="P226" i="14" s="1"/>
  <c r="D225" i="14"/>
  <c r="C225" i="14"/>
  <c r="C235" i="14" s="1"/>
  <c r="C224" i="14"/>
  <c r="C234" i="14" s="1"/>
  <c r="C220" i="14"/>
  <c r="E219" i="14"/>
  <c r="C219" i="14"/>
  <c r="E218" i="14"/>
  <c r="C217" i="14"/>
  <c r="F209" i="14"/>
  <c r="E209" i="14"/>
  <c r="E230" i="14" s="1"/>
  <c r="D209" i="14"/>
  <c r="C209" i="14"/>
  <c r="E208" i="14"/>
  <c r="E229" i="14" s="1"/>
  <c r="D208" i="14"/>
  <c r="D229" i="14" s="1"/>
  <c r="C208" i="14"/>
  <c r="C229" i="14" s="1"/>
  <c r="C239" i="14" s="1"/>
  <c r="E207" i="14"/>
  <c r="E228" i="14" s="1"/>
  <c r="D207" i="14"/>
  <c r="D228" i="14" s="1"/>
  <c r="C207" i="14"/>
  <c r="C228" i="14" s="1"/>
  <c r="C238" i="14" s="1"/>
  <c r="E206" i="14"/>
  <c r="D206" i="14"/>
  <c r="D227" i="14" s="1"/>
  <c r="C206" i="14"/>
  <c r="C216" i="14" s="1"/>
  <c r="E205" i="14"/>
  <c r="D205" i="14"/>
  <c r="D226" i="14" s="1"/>
  <c r="C205" i="14"/>
  <c r="C215" i="14" s="1"/>
  <c r="E204" i="14"/>
  <c r="E214" i="14" s="1"/>
  <c r="D204" i="14"/>
  <c r="C204" i="14"/>
  <c r="C214" i="14" s="1"/>
  <c r="E203" i="14"/>
  <c r="D203" i="14"/>
  <c r="D224" i="14" s="1"/>
  <c r="C203" i="14"/>
  <c r="C213" i="14" s="1"/>
  <c r="F202" i="14"/>
  <c r="AG197" i="14"/>
  <c r="Q199" i="14" s="1"/>
  <c r="Q200" i="14" s="1"/>
  <c r="AE197" i="14"/>
  <c r="O199" i="14" s="1"/>
  <c r="O200" i="14" s="1"/>
  <c r="R197" i="14"/>
  <c r="R196" i="14" s="1"/>
  <c r="Q197" i="14"/>
  <c r="P197" i="14"/>
  <c r="P198" i="14" s="1"/>
  <c r="O197" i="14"/>
  <c r="O198" i="14" s="1"/>
  <c r="N197" i="14"/>
  <c r="N186" i="14" s="1"/>
  <c r="M197" i="14"/>
  <c r="L197" i="14"/>
  <c r="S197" i="14" s="1"/>
  <c r="J197" i="14"/>
  <c r="I197" i="14"/>
  <c r="Q198" i="14" s="1"/>
  <c r="H197" i="14"/>
  <c r="G197" i="14"/>
  <c r="F197" i="14"/>
  <c r="E197" i="14"/>
  <c r="M198" i="14" s="1"/>
  <c r="D197" i="14"/>
  <c r="AH196" i="14"/>
  <c r="AH197" i="14" s="1"/>
  <c r="R199" i="14" s="1"/>
  <c r="R200" i="14" s="1"/>
  <c r="AA196" i="14"/>
  <c r="Z196" i="14"/>
  <c r="AG194" i="14"/>
  <c r="Q194" i="14"/>
  <c r="AA191" i="14"/>
  <c r="X191" i="14"/>
  <c r="AF191" i="14" s="1"/>
  <c r="AF197" i="14" s="1"/>
  <c r="P199" i="14" s="1"/>
  <c r="P200" i="14" s="1"/>
  <c r="P191" i="14"/>
  <c r="W189" i="14"/>
  <c r="O189" i="14"/>
  <c r="AA186" i="14"/>
  <c r="V186" i="14"/>
  <c r="V187" i="14" s="1"/>
  <c r="U184" i="14"/>
  <c r="AC183" i="14"/>
  <c r="U183" i="14"/>
  <c r="M183" i="14"/>
  <c r="M184" i="14" s="1"/>
  <c r="T179" i="14"/>
  <c r="T178" i="14"/>
  <c r="AF177" i="14"/>
  <c r="AC177" i="14"/>
  <c r="Z177" i="14"/>
  <c r="AH177" i="14" s="1"/>
  <c r="Y177" i="14"/>
  <c r="AG177" i="14" s="1"/>
  <c r="X177" i="14"/>
  <c r="W177" i="14"/>
  <c r="V177" i="14"/>
  <c r="AD177" i="14" s="1"/>
  <c r="U177" i="14"/>
  <c r="T177" i="14"/>
  <c r="AB177" i="14" s="1"/>
  <c r="N161" i="14"/>
  <c r="X159" i="14"/>
  <c r="U262" i="14" s="1"/>
  <c r="U264" i="14" s="1"/>
  <c r="W159" i="14"/>
  <c r="T262" i="14" s="1"/>
  <c r="T264" i="14" s="1"/>
  <c r="V159" i="14"/>
  <c r="S262" i="14" s="1"/>
  <c r="S264" i="14" s="1"/>
  <c r="U159" i="14"/>
  <c r="U157" i="14"/>
  <c r="T157" i="14"/>
  <c r="N157" i="14"/>
  <c r="N162" i="14" s="1"/>
  <c r="M157" i="14"/>
  <c r="M162" i="14" s="1"/>
  <c r="L157" i="14"/>
  <c r="L162" i="14" s="1"/>
  <c r="K157" i="14"/>
  <c r="K162" i="14" s="1"/>
  <c r="J157" i="14"/>
  <c r="J162" i="14" s="1"/>
  <c r="I157" i="14"/>
  <c r="I162" i="14" s="1"/>
  <c r="H157" i="14"/>
  <c r="H162" i="14" s="1"/>
  <c r="G157" i="14"/>
  <c r="G162" i="14" s="1"/>
  <c r="F157" i="14"/>
  <c r="F162" i="14" s="1"/>
  <c r="E157" i="14"/>
  <c r="E162" i="14" s="1"/>
  <c r="D157" i="14"/>
  <c r="D162" i="14" s="1"/>
  <c r="X156" i="14"/>
  <c r="V156" i="14"/>
  <c r="N156" i="14"/>
  <c r="M156" i="14"/>
  <c r="M161" i="14" s="1"/>
  <c r="F156" i="14"/>
  <c r="F161" i="14" s="1"/>
  <c r="E156" i="14"/>
  <c r="E161" i="14" s="1"/>
  <c r="Y155" i="14"/>
  <c r="R155" i="14"/>
  <c r="Q155" i="14"/>
  <c r="Q160" i="14" s="1"/>
  <c r="J155" i="14"/>
  <c r="J160" i="14" s="1"/>
  <c r="I155" i="14"/>
  <c r="I160" i="14" s="1"/>
  <c r="U152" i="14"/>
  <c r="V152" i="14" s="1"/>
  <c r="T152" i="14"/>
  <c r="S152" i="14"/>
  <c r="S157" i="14" s="1"/>
  <c r="S162" i="14" s="1"/>
  <c r="T162" i="14" s="1"/>
  <c r="U162" i="14" s="1"/>
  <c r="V162" i="14" s="1"/>
  <c r="W162" i="14" s="1"/>
  <c r="X162" i="14" s="1"/>
  <c r="R152" i="14"/>
  <c r="R157" i="14" s="1"/>
  <c r="Q152" i="14"/>
  <c r="Q157" i="14" s="1"/>
  <c r="Q162" i="14" s="1"/>
  <c r="P152" i="14"/>
  <c r="P157" i="14" s="1"/>
  <c r="P162" i="14" s="1"/>
  <c r="O152" i="14"/>
  <c r="O157" i="14" s="1"/>
  <c r="O162" i="14" s="1"/>
  <c r="AA151" i="14"/>
  <c r="AB151" i="14" s="1"/>
  <c r="Z151" i="14"/>
  <c r="Z156" i="14" s="1"/>
  <c r="Y151" i="14"/>
  <c r="Y156" i="14" s="1"/>
  <c r="X151" i="14"/>
  <c r="AD151" i="14" s="1"/>
  <c r="W151" i="14"/>
  <c r="W156" i="14" s="1"/>
  <c r="V151" i="14"/>
  <c r="U151" i="14"/>
  <c r="U156" i="14" s="1"/>
  <c r="T151" i="14"/>
  <c r="T156" i="14" s="1"/>
  <c r="S151" i="14"/>
  <c r="S156" i="14" s="1"/>
  <c r="S161" i="14" s="1"/>
  <c r="T161" i="14" s="1"/>
  <c r="U161" i="14" s="1"/>
  <c r="V161" i="14" s="1"/>
  <c r="W161" i="14" s="1"/>
  <c r="X161" i="14" s="1"/>
  <c r="R151" i="14"/>
  <c r="R156" i="14" s="1"/>
  <c r="Q151" i="14"/>
  <c r="Q156" i="14" s="1"/>
  <c r="Q161" i="14" s="1"/>
  <c r="P151" i="14"/>
  <c r="P156" i="14" s="1"/>
  <c r="P161" i="14" s="1"/>
  <c r="O151" i="14"/>
  <c r="O156" i="14" s="1"/>
  <c r="O161" i="14" s="1"/>
  <c r="N151" i="14"/>
  <c r="M151" i="14"/>
  <c r="L151" i="14"/>
  <c r="L156" i="14" s="1"/>
  <c r="L161" i="14" s="1"/>
  <c r="K151" i="14"/>
  <c r="K156" i="14" s="1"/>
  <c r="K161" i="14" s="1"/>
  <c r="J151" i="14"/>
  <c r="J156" i="14" s="1"/>
  <c r="J161" i="14" s="1"/>
  <c r="I151" i="14"/>
  <c r="I156" i="14" s="1"/>
  <c r="I161" i="14" s="1"/>
  <c r="H151" i="14"/>
  <c r="H156" i="14" s="1"/>
  <c r="H161" i="14" s="1"/>
  <c r="G151" i="14"/>
  <c r="G156" i="14" s="1"/>
  <c r="G161" i="14" s="1"/>
  <c r="F151" i="14"/>
  <c r="E151" i="14"/>
  <c r="D151" i="14"/>
  <c r="D156" i="14" s="1"/>
  <c r="D161" i="14" s="1"/>
  <c r="Y150" i="14"/>
  <c r="Z150" i="14" s="1"/>
  <c r="X150" i="14"/>
  <c r="X155" i="14" s="1"/>
  <c r="AD155" i="14" s="1"/>
  <c r="W150" i="14"/>
  <c r="W155" i="14" s="1"/>
  <c r="V150" i="14"/>
  <c r="V155" i="14" s="1"/>
  <c r="U150" i="14"/>
  <c r="U155" i="14" s="1"/>
  <c r="T150" i="14"/>
  <c r="T155" i="14" s="1"/>
  <c r="S150" i="14"/>
  <c r="S155" i="14" s="1"/>
  <c r="S160" i="14" s="1"/>
  <c r="T160" i="14" s="1"/>
  <c r="U160" i="14" s="1"/>
  <c r="V160" i="14" s="1"/>
  <c r="W160" i="14" s="1"/>
  <c r="X160" i="14" s="1"/>
  <c r="R150" i="14"/>
  <c r="Q150" i="14"/>
  <c r="P150" i="14"/>
  <c r="P155" i="14" s="1"/>
  <c r="P160" i="14" s="1"/>
  <c r="O150" i="14"/>
  <c r="O155" i="14" s="1"/>
  <c r="O160" i="14" s="1"/>
  <c r="N150" i="14"/>
  <c r="N155" i="14" s="1"/>
  <c r="N160" i="14" s="1"/>
  <c r="M150" i="14"/>
  <c r="M155" i="14" s="1"/>
  <c r="M160" i="14" s="1"/>
  <c r="L150" i="14"/>
  <c r="L155" i="14" s="1"/>
  <c r="L160" i="14" s="1"/>
  <c r="K150" i="14"/>
  <c r="K155" i="14" s="1"/>
  <c r="K160" i="14" s="1"/>
  <c r="J150" i="14"/>
  <c r="I150" i="14"/>
  <c r="H150" i="14"/>
  <c r="H155" i="14" s="1"/>
  <c r="H160" i="14" s="1"/>
  <c r="G150" i="14"/>
  <c r="G155" i="14" s="1"/>
  <c r="G160" i="14" s="1"/>
  <c r="F150" i="14"/>
  <c r="F155" i="14" s="1"/>
  <c r="F160" i="14" s="1"/>
  <c r="E150" i="14"/>
  <c r="E155" i="14" s="1"/>
  <c r="E160" i="14" s="1"/>
  <c r="D150" i="14"/>
  <c r="AC150" i="14" s="1"/>
  <c r="AB148" i="14"/>
  <c r="AA148" i="14"/>
  <c r="Z148" i="14"/>
  <c r="Y148" i="14"/>
  <c r="X148" i="14"/>
  <c r="W148" i="14"/>
  <c r="V148" i="14"/>
  <c r="U148" i="14"/>
  <c r="T148" i="14"/>
  <c r="S148" i="14"/>
  <c r="R148" i="14"/>
  <c r="Q148" i="14"/>
  <c r="P148" i="14"/>
  <c r="O148" i="14"/>
  <c r="N148" i="14"/>
  <c r="M148" i="14"/>
  <c r="L148" i="14"/>
  <c r="K148" i="14"/>
  <c r="J148" i="14"/>
  <c r="I148" i="14"/>
  <c r="H148" i="14"/>
  <c r="G148" i="14"/>
  <c r="F148" i="14"/>
  <c r="E148" i="14"/>
  <c r="D148" i="14"/>
  <c r="E141" i="14"/>
  <c r="D141" i="14"/>
  <c r="F140" i="14"/>
  <c r="F141" i="14" s="1"/>
  <c r="G141" i="14" s="1"/>
  <c r="D140" i="14"/>
  <c r="S138" i="14"/>
  <c r="S137" i="14" s="1"/>
  <c r="R138" i="14"/>
  <c r="Q138" i="14"/>
  <c r="P138" i="14"/>
  <c r="O138" i="14"/>
  <c r="O137" i="14" s="1"/>
  <c r="N138" i="14"/>
  <c r="N137" i="14" s="1"/>
  <c r="M138" i="14"/>
  <c r="M137" i="14" s="1"/>
  <c r="L138" i="14"/>
  <c r="K138" i="14"/>
  <c r="K137" i="14" s="1"/>
  <c r="J138" i="14"/>
  <c r="I138" i="14"/>
  <c r="R137" i="14"/>
  <c r="Q137" i="14"/>
  <c r="P137" i="14"/>
  <c r="J137" i="14"/>
  <c r="I137" i="14"/>
  <c r="S136" i="14"/>
  <c r="R136" i="14"/>
  <c r="Q136" i="14"/>
  <c r="P136" i="14"/>
  <c r="O136" i="14"/>
  <c r="N136" i="14"/>
  <c r="M136" i="14"/>
  <c r="L136" i="14"/>
  <c r="L137" i="14" s="1"/>
  <c r="K136" i="14"/>
  <c r="J136" i="14"/>
  <c r="I136" i="14"/>
  <c r="T128" i="14"/>
  <c r="S128" i="14"/>
  <c r="S127" i="14" s="1"/>
  <c r="R128" i="14"/>
  <c r="Q128" i="14"/>
  <c r="P128" i="14"/>
  <c r="P127" i="14" s="1"/>
  <c r="O128" i="14"/>
  <c r="O127" i="14" s="1"/>
  <c r="N128" i="14"/>
  <c r="I244" i="14" s="1"/>
  <c r="M128" i="14"/>
  <c r="M127" i="14" s="1"/>
  <c r="L128" i="14"/>
  <c r="K128" i="14"/>
  <c r="K127" i="14" s="1"/>
  <c r="J128" i="14"/>
  <c r="I128" i="14"/>
  <c r="H128" i="14"/>
  <c r="H127" i="14" s="1"/>
  <c r="G128" i="14"/>
  <c r="G127" i="14" s="1"/>
  <c r="F128" i="14"/>
  <c r="F127" i="14" s="1"/>
  <c r="E128" i="14"/>
  <c r="E127" i="14" s="1"/>
  <c r="D128" i="14"/>
  <c r="T127" i="14"/>
  <c r="Q127" i="14"/>
  <c r="L127" i="14"/>
  <c r="I127" i="14"/>
  <c r="D127" i="14"/>
  <c r="T126" i="14"/>
  <c r="S126" i="14"/>
  <c r="R126" i="14"/>
  <c r="R127" i="14" s="1"/>
  <c r="Q126" i="14"/>
  <c r="P126" i="14"/>
  <c r="O126" i="14"/>
  <c r="N126" i="14"/>
  <c r="M126" i="14"/>
  <c r="L126" i="14"/>
  <c r="K126" i="14"/>
  <c r="J126" i="14"/>
  <c r="J127" i="14" s="1"/>
  <c r="I126" i="14"/>
  <c r="H126" i="14"/>
  <c r="G126" i="14"/>
  <c r="F126" i="14"/>
  <c r="E126" i="14"/>
  <c r="D126" i="14"/>
  <c r="S121" i="14"/>
  <c r="T121" i="14" s="1"/>
  <c r="R121" i="14"/>
  <c r="Q121" i="14"/>
  <c r="P121" i="14"/>
  <c r="O121" i="14"/>
  <c r="G116" i="14"/>
  <c r="F107" i="14"/>
  <c r="D107" i="14"/>
  <c r="H107" i="14" s="1"/>
  <c r="F105" i="14"/>
  <c r="E105" i="14"/>
  <c r="E107" i="14" s="1"/>
  <c r="D105" i="14"/>
  <c r="G104" i="14"/>
  <c r="G107" i="14" s="1"/>
  <c r="H103" i="14"/>
  <c r="G103" i="14"/>
  <c r="G105" i="14" s="1"/>
  <c r="E102" i="14"/>
  <c r="F102" i="14" s="1"/>
  <c r="G102" i="14" s="1"/>
  <c r="H64" i="14"/>
  <c r="G64" i="14"/>
  <c r="G65" i="14" s="1"/>
  <c r="F64" i="14"/>
  <c r="F65" i="14" s="1"/>
  <c r="I63" i="14"/>
  <c r="I62" i="14"/>
  <c r="I61" i="14"/>
  <c r="I60" i="14"/>
  <c r="N41" i="14"/>
  <c r="O35" i="14"/>
  <c r="O34" i="14"/>
  <c r="K28" i="14"/>
  <c r="K27" i="14"/>
  <c r="K26" i="14"/>
  <c r="K25" i="14"/>
  <c r="K24" i="14"/>
  <c r="K23" i="14"/>
  <c r="M10" i="14"/>
  <c r="D9" i="14"/>
  <c r="B7" i="14"/>
  <c r="B3" i="14"/>
  <c r="B15" i="13" l="1"/>
  <c r="G72" i="13"/>
  <c r="H13" i="14"/>
  <c r="F71" i="13"/>
  <c r="E37" i="13"/>
  <c r="E54" i="13"/>
  <c r="E62" i="13"/>
  <c r="E55" i="13"/>
  <c r="F72" i="13"/>
  <c r="E40" i="13"/>
  <c r="H37" i="13"/>
  <c r="I36" i="13"/>
  <c r="I39" i="13" s="1"/>
  <c r="H54" i="13"/>
  <c r="I71" i="13"/>
  <c r="E72" i="13"/>
  <c r="D40" i="13"/>
  <c r="D62" i="13"/>
  <c r="H72" i="13"/>
  <c r="H62" i="13"/>
  <c r="H40" i="13"/>
  <c r="D34" i="13"/>
  <c r="G118" i="13"/>
  <c r="C42" i="13"/>
  <c r="E71" i="13"/>
  <c r="G71" i="13"/>
  <c r="F37" i="13"/>
  <c r="F54" i="13"/>
  <c r="F40" i="13"/>
  <c r="B19" i="13"/>
  <c r="B20" i="13" s="1"/>
  <c r="G54" i="13"/>
  <c r="H71" i="13"/>
  <c r="D72" i="13"/>
  <c r="C37" i="13"/>
  <c r="D54" i="13"/>
  <c r="E103" i="13"/>
  <c r="M103" i="13"/>
  <c r="G40" i="13"/>
  <c r="C55" i="13"/>
  <c r="C62" i="13"/>
  <c r="D95" i="13"/>
  <c r="G103" i="13"/>
  <c r="E95" i="13"/>
  <c r="H103" i="13"/>
  <c r="G121" i="13"/>
  <c r="G138" i="13" s="1"/>
  <c r="D71" i="13"/>
  <c r="F95" i="13"/>
  <c r="I103" i="13"/>
  <c r="G95" i="13"/>
  <c r="J103" i="13"/>
  <c r="H95" i="13"/>
  <c r="C103" i="13"/>
  <c r="K103" i="13"/>
  <c r="D103" i="13"/>
  <c r="AC156" i="14"/>
  <c r="R161" i="14"/>
  <c r="AC161" i="14" s="1"/>
  <c r="AA150" i="14"/>
  <c r="Z155" i="14"/>
  <c r="Y161" i="14"/>
  <c r="Z161" i="14" s="1"/>
  <c r="AA161" i="14" s="1"/>
  <c r="AB161" i="14" s="1"/>
  <c r="AE161" i="14" s="1"/>
  <c r="AD161" i="14"/>
  <c r="AB156" i="14"/>
  <c r="AE156" i="14" s="1"/>
  <c r="AE151" i="14"/>
  <c r="Y160" i="14"/>
  <c r="AD156" i="14"/>
  <c r="AC155" i="14"/>
  <c r="R162" i="14"/>
  <c r="AC162" i="14" s="1"/>
  <c r="AC157" i="14"/>
  <c r="AD187" i="14"/>
  <c r="AA187" i="14"/>
  <c r="AD162" i="14"/>
  <c r="V157" i="14"/>
  <c r="W152" i="14"/>
  <c r="AA184" i="14"/>
  <c r="AC184" i="14" s="1"/>
  <c r="AC197" i="14" s="1"/>
  <c r="M199" i="14" s="1"/>
  <c r="M200" i="14" s="1"/>
  <c r="F230" i="14"/>
  <c r="F240" i="14" s="1"/>
  <c r="F219" i="14"/>
  <c r="H104" i="14"/>
  <c r="I64" i="14"/>
  <c r="AC151" i="14"/>
  <c r="E239" i="14"/>
  <c r="D155" i="14"/>
  <c r="D160" i="14" s="1"/>
  <c r="R160" i="14"/>
  <c r="AD186" i="14"/>
  <c r="AD197" i="14" s="1"/>
  <c r="N199" i="14" s="1"/>
  <c r="N200" i="14" s="1"/>
  <c r="E215" i="14"/>
  <c r="H65" i="14"/>
  <c r="I65" i="14" s="1"/>
  <c r="J278" i="14"/>
  <c r="K278" i="14" s="1"/>
  <c r="L278" i="14" s="1"/>
  <c r="AA156" i="14"/>
  <c r="F206" i="14"/>
  <c r="F227" i="14" s="1"/>
  <c r="F204" i="14"/>
  <c r="F208" i="14"/>
  <c r="F205" i="14"/>
  <c r="F203" i="14"/>
  <c r="G202" i="14"/>
  <c r="C218" i="14"/>
  <c r="C226" i="14"/>
  <c r="C236" i="14" s="1"/>
  <c r="AB249" i="14"/>
  <c r="N127" i="14"/>
  <c r="R198" i="14"/>
  <c r="F207" i="14"/>
  <c r="J254" i="14"/>
  <c r="F309" i="14"/>
  <c r="AD150" i="14"/>
  <c r="L178" i="14"/>
  <c r="L180" i="14" s="1"/>
  <c r="T180" i="14"/>
  <c r="L198" i="14"/>
  <c r="E213" i="14"/>
  <c r="E224" i="14"/>
  <c r="E234" i="14" s="1"/>
  <c r="I253" i="14"/>
  <c r="I254" i="14" s="1"/>
  <c r="E225" i="14"/>
  <c r="E235" i="14" s="1"/>
  <c r="E226" i="14"/>
  <c r="E236" i="14" s="1"/>
  <c r="C227" i="14"/>
  <c r="C237" i="14" s="1"/>
  <c r="K250" i="14"/>
  <c r="K251" i="14" s="1"/>
  <c r="K252" i="14" s="1"/>
  <c r="K253" i="14" s="1"/>
  <c r="K254" i="14" s="1"/>
  <c r="L248" i="14"/>
  <c r="H308" i="14"/>
  <c r="H294" i="14" s="1"/>
  <c r="G308" i="14"/>
  <c r="G294" i="14" s="1"/>
  <c r="N187" i="14"/>
  <c r="F280" i="14" s="1"/>
  <c r="H276" i="14"/>
  <c r="N198" i="14"/>
  <c r="J335" i="14"/>
  <c r="J342" i="14" s="1"/>
  <c r="I335" i="14"/>
  <c r="I342" i="14" s="1"/>
  <c r="G335" i="14"/>
  <c r="G342" i="14" s="1"/>
  <c r="E335" i="14"/>
  <c r="E342" i="14" s="1"/>
  <c r="H347" i="14"/>
  <c r="H348" i="14" s="1"/>
  <c r="H350" i="14" s="1"/>
  <c r="G347" i="14"/>
  <c r="G348" i="14" s="1"/>
  <c r="G350" i="14" s="1"/>
  <c r="F347" i="14"/>
  <c r="F348" i="14" s="1"/>
  <c r="F350" i="14" s="1"/>
  <c r="H335" i="14"/>
  <c r="H342" i="14" s="1"/>
  <c r="E240" i="14"/>
  <c r="I308" i="14"/>
  <c r="I294" i="14" s="1"/>
  <c r="J294" i="14" s="1"/>
  <c r="K294" i="14" s="1"/>
  <c r="L294" i="14" s="1"/>
  <c r="G248" i="14"/>
  <c r="Q249" i="14"/>
  <c r="R249" i="14" s="1"/>
  <c r="S249" i="14" s="1"/>
  <c r="Y249" i="14"/>
  <c r="Z249" i="14" s="1"/>
  <c r="AA249" i="14" s="1"/>
  <c r="D366" i="14"/>
  <c r="L249" i="14"/>
  <c r="M249" i="14" s="1"/>
  <c r="N249" i="14" s="1"/>
  <c r="O249" i="14" s="1"/>
  <c r="P249" i="14" s="1"/>
  <c r="T249" i="14"/>
  <c r="U249" i="14" s="1"/>
  <c r="V249" i="14" s="1"/>
  <c r="W249" i="14" s="1"/>
  <c r="X249" i="14" s="1"/>
  <c r="G333" i="14"/>
  <c r="H333" i="14"/>
  <c r="I360" i="14"/>
  <c r="I366" i="14" s="1"/>
  <c r="I333" i="14"/>
  <c r="H16" i="7"/>
  <c r="H8" i="8"/>
  <c r="H7" i="8"/>
  <c r="F7" i="8"/>
  <c r="A119" i="9"/>
  <c r="A118" i="9"/>
  <c r="A117" i="9"/>
  <c r="A116" i="9"/>
  <c r="A115" i="9"/>
  <c r="I104" i="9"/>
  <c r="H104" i="9"/>
  <c r="G104" i="9"/>
  <c r="I98" i="9"/>
  <c r="H98" i="9"/>
  <c r="G98" i="9"/>
  <c r="AQ88" i="9"/>
  <c r="BB74" i="9"/>
  <c r="BA74" i="9"/>
  <c r="AZ74" i="9"/>
  <c r="AX74" i="9"/>
  <c r="AW74" i="9"/>
  <c r="AV74" i="9"/>
  <c r="AU74" i="9"/>
  <c r="AS74" i="9"/>
  <c r="AR74" i="9"/>
  <c r="AQ74" i="9"/>
  <c r="AP74" i="9"/>
  <c r="AN74" i="9"/>
  <c r="AM74" i="9"/>
  <c r="AL74" i="9"/>
  <c r="AK74" i="9"/>
  <c r="AI74" i="9"/>
  <c r="AH74" i="9"/>
  <c r="AG74" i="9"/>
  <c r="AF74" i="9"/>
  <c r="AD74" i="9"/>
  <c r="AC74" i="9"/>
  <c r="AB74" i="9"/>
  <c r="AA74" i="9"/>
  <c r="Y74" i="9"/>
  <c r="X74" i="9"/>
  <c r="W74" i="9"/>
  <c r="V74" i="9"/>
  <c r="T74" i="9"/>
  <c r="S74" i="9"/>
  <c r="R74" i="9"/>
  <c r="Q74" i="9"/>
  <c r="O74" i="9"/>
  <c r="N74" i="9"/>
  <c r="M74" i="9"/>
  <c r="L74" i="9"/>
  <c r="J74" i="9"/>
  <c r="I74" i="9"/>
  <c r="H74" i="9"/>
  <c r="G74" i="9"/>
  <c r="F74" i="9"/>
  <c r="E74" i="9"/>
  <c r="D74" i="9"/>
  <c r="C74" i="9"/>
  <c r="BB69" i="9"/>
  <c r="BA69" i="9"/>
  <c r="AZ69" i="9"/>
  <c r="AX69" i="9"/>
  <c r="AW69" i="9"/>
  <c r="AV69" i="9"/>
  <c r="AU69" i="9"/>
  <c r="AS69" i="9"/>
  <c r="AR69" i="9"/>
  <c r="BB68" i="9"/>
  <c r="BA68" i="9"/>
  <c r="AZ68" i="9"/>
  <c r="AX68" i="9"/>
  <c r="AW68" i="9"/>
  <c r="AV68" i="9"/>
  <c r="AU68" i="9"/>
  <c r="AS68" i="9"/>
  <c r="AR68" i="9"/>
  <c r="BB67" i="9"/>
  <c r="BA67" i="9"/>
  <c r="AZ67" i="9"/>
  <c r="AX67" i="9"/>
  <c r="AW67" i="9"/>
  <c r="AV67" i="9"/>
  <c r="AU67" i="9"/>
  <c r="AS67" i="9"/>
  <c r="AR67" i="9"/>
  <c r="BB65" i="9"/>
  <c r="BA65" i="9"/>
  <c r="AZ65" i="9"/>
  <c r="AX65" i="9"/>
  <c r="AW65" i="9"/>
  <c r="AV65" i="9"/>
  <c r="AU65" i="9"/>
  <c r="AS65" i="9"/>
  <c r="AR65" i="9"/>
  <c r="A65" i="9"/>
  <c r="BB64" i="9"/>
  <c r="BA64" i="9"/>
  <c r="AZ64" i="9"/>
  <c r="AX64" i="9"/>
  <c r="AW64" i="9"/>
  <c r="AV64" i="9"/>
  <c r="AU64" i="9"/>
  <c r="AS64" i="9"/>
  <c r="AR64" i="9"/>
  <c r="A64" i="9"/>
  <c r="A62" i="9"/>
  <c r="BB60" i="9"/>
  <c r="BA60" i="9"/>
  <c r="AZ60" i="9"/>
  <c r="AX60" i="9"/>
  <c r="AW60" i="9"/>
  <c r="AV60" i="9"/>
  <c r="AU60" i="9"/>
  <c r="AS60" i="9"/>
  <c r="AR60" i="9"/>
  <c r="A60" i="9"/>
  <c r="A59" i="9"/>
  <c r="A55" i="9"/>
  <c r="A54" i="9"/>
  <c r="A53" i="9"/>
  <c r="A50" i="9"/>
  <c r="A49" i="9"/>
  <c r="A44" i="9"/>
  <c r="BB43" i="9"/>
  <c r="BA43" i="9"/>
  <c r="AZ43" i="9"/>
  <c r="AX43" i="9"/>
  <c r="AW43" i="9"/>
  <c r="AV43" i="9"/>
  <c r="AU43" i="9"/>
  <c r="AS43" i="9"/>
  <c r="AR43" i="9"/>
  <c r="AQ43" i="9"/>
  <c r="AP43" i="9"/>
  <c r="AO43" i="9"/>
  <c r="AN43" i="9"/>
  <c r="AM43" i="9"/>
  <c r="AL43" i="9"/>
  <c r="AK43" i="9"/>
  <c r="AJ43" i="9"/>
  <c r="AI43" i="9"/>
  <c r="AH43" i="9"/>
  <c r="AG43" i="9"/>
  <c r="AF43" i="9"/>
  <c r="AE43" i="9"/>
  <c r="AD43" i="9"/>
  <c r="AC43" i="9"/>
  <c r="AB43" i="9"/>
  <c r="AA43" i="9"/>
  <c r="Z43" i="9"/>
  <c r="Y43" i="9"/>
  <c r="X43" i="9"/>
  <c r="W43" i="9"/>
  <c r="V43" i="9"/>
  <c r="U43" i="9"/>
  <c r="T43" i="9"/>
  <c r="S43" i="9"/>
  <c r="R43" i="9"/>
  <c r="Q43" i="9"/>
  <c r="P43" i="9"/>
  <c r="O43" i="9"/>
  <c r="N43" i="9"/>
  <c r="M43" i="9"/>
  <c r="L43" i="9"/>
  <c r="K43" i="9"/>
  <c r="J43" i="9"/>
  <c r="I43" i="9"/>
  <c r="H43" i="9"/>
  <c r="G43" i="9"/>
  <c r="F43" i="9"/>
  <c r="E43" i="9"/>
  <c r="D43" i="9"/>
  <c r="C43" i="9"/>
  <c r="A43" i="9"/>
  <c r="BB42" i="9"/>
  <c r="BA42" i="9"/>
  <c r="AZ42" i="9"/>
  <c r="AX42" i="9"/>
  <c r="AW42" i="9"/>
  <c r="AV42" i="9"/>
  <c r="AU42" i="9"/>
  <c r="AS42" i="9"/>
  <c r="AR42" i="9"/>
  <c r="AQ42" i="9"/>
  <c r="AP42" i="9"/>
  <c r="AO42" i="9"/>
  <c r="AN42" i="9"/>
  <c r="AM42" i="9"/>
  <c r="AL42" i="9"/>
  <c r="AK42" i="9"/>
  <c r="AJ42" i="9"/>
  <c r="AI42" i="9"/>
  <c r="AH42" i="9"/>
  <c r="AG42" i="9"/>
  <c r="AF42" i="9"/>
  <c r="AE42" i="9"/>
  <c r="AD42" i="9"/>
  <c r="AC42" i="9"/>
  <c r="AB42" i="9"/>
  <c r="AA42" i="9"/>
  <c r="Z42" i="9"/>
  <c r="Y42" i="9"/>
  <c r="X42" i="9"/>
  <c r="W42" i="9"/>
  <c r="V42" i="9"/>
  <c r="U42" i="9"/>
  <c r="T42" i="9"/>
  <c r="S42" i="9"/>
  <c r="R42" i="9"/>
  <c r="Q42" i="9"/>
  <c r="P42" i="9"/>
  <c r="O42" i="9"/>
  <c r="N42" i="9"/>
  <c r="M42" i="9"/>
  <c r="L42" i="9"/>
  <c r="K42" i="9"/>
  <c r="J42" i="9"/>
  <c r="I42" i="9"/>
  <c r="H42" i="9"/>
  <c r="G42" i="9"/>
  <c r="F42" i="9"/>
  <c r="E42" i="9"/>
  <c r="D42" i="9"/>
  <c r="C42" i="9"/>
  <c r="A42" i="9"/>
  <c r="BB41" i="9"/>
  <c r="BA41" i="9"/>
  <c r="AZ41" i="9"/>
  <c r="AX41" i="9"/>
  <c r="AW41" i="9"/>
  <c r="AV41" i="9"/>
  <c r="AU41" i="9"/>
  <c r="AS41" i="9"/>
  <c r="AR41" i="9"/>
  <c r="AQ41" i="9"/>
  <c r="AP41" i="9"/>
  <c r="AO41" i="9"/>
  <c r="AN41" i="9"/>
  <c r="AM41" i="9"/>
  <c r="AL41" i="9"/>
  <c r="AK41" i="9"/>
  <c r="AJ41" i="9"/>
  <c r="AI41" i="9"/>
  <c r="AH41" i="9"/>
  <c r="AG41" i="9"/>
  <c r="AF41" i="9"/>
  <c r="AE41" i="9"/>
  <c r="AD41" i="9"/>
  <c r="AC41" i="9"/>
  <c r="AB41" i="9"/>
  <c r="AA41" i="9"/>
  <c r="Z41" i="9"/>
  <c r="Y41" i="9"/>
  <c r="X41" i="9"/>
  <c r="W41" i="9"/>
  <c r="V41" i="9"/>
  <c r="U41" i="9"/>
  <c r="T41" i="9"/>
  <c r="S41" i="9"/>
  <c r="R41" i="9"/>
  <c r="Q41" i="9"/>
  <c r="P41" i="9"/>
  <c r="O41" i="9"/>
  <c r="N41" i="9"/>
  <c r="M41" i="9"/>
  <c r="L41" i="9"/>
  <c r="K41" i="9"/>
  <c r="J41" i="9"/>
  <c r="I41" i="9"/>
  <c r="H41" i="9"/>
  <c r="G41" i="9"/>
  <c r="F41" i="9"/>
  <c r="E41" i="9"/>
  <c r="D41" i="9"/>
  <c r="C41" i="9"/>
  <c r="A41" i="9"/>
  <c r="A39" i="9"/>
  <c r="BB38" i="9"/>
  <c r="BA38" i="9"/>
  <c r="AZ38" i="9"/>
  <c r="AX38" i="9"/>
  <c r="AW38" i="9"/>
  <c r="AV38" i="9"/>
  <c r="AU38" i="9"/>
  <c r="AS38" i="9"/>
  <c r="AR38" i="9"/>
  <c r="A37" i="9"/>
  <c r="BB36" i="9"/>
  <c r="BA36" i="9"/>
  <c r="AZ36" i="9"/>
  <c r="AX36" i="9"/>
  <c r="AW36" i="9"/>
  <c r="AV36" i="9"/>
  <c r="AU36" i="9"/>
  <c r="AS36" i="9"/>
  <c r="AR36" i="9"/>
  <c r="A36" i="9"/>
  <c r="BB35" i="9"/>
  <c r="BA35" i="9"/>
  <c r="AZ35" i="9"/>
  <c r="AX35" i="9"/>
  <c r="AW35" i="9"/>
  <c r="AV35" i="9"/>
  <c r="AU35" i="9"/>
  <c r="AS35" i="9"/>
  <c r="AR35" i="9"/>
  <c r="A35" i="9"/>
  <c r="A34" i="9"/>
  <c r="A33" i="9"/>
  <c r="A32" i="9"/>
  <c r="A31" i="9"/>
  <c r="BB28" i="9"/>
  <c r="BA28" i="9"/>
  <c r="AZ28" i="9"/>
  <c r="AY28" i="9"/>
  <c r="AX28" i="9"/>
  <c r="AW28" i="9"/>
  <c r="AV28" i="9"/>
  <c r="AU28" i="9"/>
  <c r="AT28" i="9"/>
  <c r="AS28" i="9"/>
  <c r="AR28" i="9"/>
  <c r="A28" i="9"/>
  <c r="BB27" i="9"/>
  <c r="BA27" i="9"/>
  <c r="AZ27" i="9"/>
  <c r="AY27" i="9"/>
  <c r="AX27" i="9"/>
  <c r="AW27" i="9"/>
  <c r="AV27" i="9"/>
  <c r="AU27" i="9"/>
  <c r="AT27" i="9"/>
  <c r="AS27" i="9"/>
  <c r="AR27" i="9"/>
  <c r="AQ27" i="9"/>
  <c r="AP27" i="9"/>
  <c r="AO27" i="9"/>
  <c r="AM27" i="9"/>
  <c r="AL27" i="9"/>
  <c r="AK27" i="9"/>
  <c r="AJ27" i="9"/>
  <c r="AH27" i="9"/>
  <c r="AG27" i="9"/>
  <c r="AF27" i="9"/>
  <c r="AE27" i="9"/>
  <c r="AC27" i="9"/>
  <c r="AB27" i="9"/>
  <c r="AA27" i="9"/>
  <c r="Z27" i="9"/>
  <c r="X27" i="9"/>
  <c r="W27" i="9"/>
  <c r="V27" i="9"/>
  <c r="U27" i="9"/>
  <c r="S27" i="9"/>
  <c r="R27" i="9"/>
  <c r="Q27" i="9"/>
  <c r="P27" i="9"/>
  <c r="N27" i="9"/>
  <c r="M27" i="9"/>
  <c r="L27" i="9"/>
  <c r="K27" i="9"/>
  <c r="I27" i="9"/>
  <c r="H27" i="9"/>
  <c r="G27" i="9"/>
  <c r="F27" i="9"/>
  <c r="E27" i="9"/>
  <c r="D27" i="9"/>
  <c r="C27" i="9"/>
  <c r="A27" i="9"/>
  <c r="BB26" i="9"/>
  <c r="BA26" i="9"/>
  <c r="AZ26" i="9"/>
  <c r="AY26" i="9"/>
  <c r="AX26" i="9"/>
  <c r="AW26" i="9"/>
  <c r="AV26" i="9"/>
  <c r="AU26" i="9"/>
  <c r="AT26" i="9"/>
  <c r="AS26" i="9"/>
  <c r="AR26" i="9"/>
  <c r="AQ26" i="9"/>
  <c r="AP26" i="9"/>
  <c r="AO26" i="9"/>
  <c r="AM26" i="9"/>
  <c r="AL26" i="9"/>
  <c r="AK26" i="9"/>
  <c r="AJ26" i="9"/>
  <c r="AH26" i="9"/>
  <c r="AG26" i="9"/>
  <c r="AF26" i="9"/>
  <c r="AE26" i="9"/>
  <c r="AC26" i="9"/>
  <c r="AB26" i="9"/>
  <c r="AA26" i="9"/>
  <c r="Z26" i="9"/>
  <c r="X26" i="9"/>
  <c r="W26" i="9"/>
  <c r="V26" i="9"/>
  <c r="U26" i="9"/>
  <c r="S26" i="9"/>
  <c r="R26" i="9"/>
  <c r="Q26" i="9"/>
  <c r="P26" i="9"/>
  <c r="N26" i="9"/>
  <c r="M26" i="9"/>
  <c r="L26" i="9"/>
  <c r="K26" i="9"/>
  <c r="I26" i="9"/>
  <c r="H26" i="9"/>
  <c r="G26" i="9"/>
  <c r="F26" i="9"/>
  <c r="E26" i="9"/>
  <c r="D26" i="9"/>
  <c r="C26" i="9"/>
  <c r="A26" i="9"/>
  <c r="J24" i="9"/>
  <c r="I24" i="9"/>
  <c r="H24" i="9"/>
  <c r="G24" i="9"/>
  <c r="F24" i="9"/>
  <c r="E24" i="9"/>
  <c r="D24" i="9"/>
  <c r="C24" i="9"/>
  <c r="A24" i="9"/>
  <c r="J23" i="9"/>
  <c r="I23" i="9"/>
  <c r="H23" i="9"/>
  <c r="G23" i="9"/>
  <c r="F23" i="9"/>
  <c r="E23" i="9"/>
  <c r="D23" i="9"/>
  <c r="C23" i="9"/>
  <c r="A23" i="9"/>
  <c r="J22" i="9"/>
  <c r="I22" i="9"/>
  <c r="H22" i="9"/>
  <c r="G22" i="9"/>
  <c r="F22" i="9"/>
  <c r="E22" i="9"/>
  <c r="D22" i="9"/>
  <c r="C22" i="9"/>
  <c r="A22" i="9"/>
  <c r="AL20" i="9"/>
  <c r="AG20" i="9"/>
  <c r="AD20" i="9"/>
  <c r="Y20" i="9"/>
  <c r="V20" i="9"/>
  <c r="Q20" i="9"/>
  <c r="N20" i="9"/>
  <c r="I20" i="9"/>
  <c r="F20" i="9"/>
  <c r="AQ19" i="9"/>
  <c r="AM19" i="9"/>
  <c r="AL19" i="9"/>
  <c r="AK19" i="9"/>
  <c r="AK20" i="9" s="1"/>
  <c r="AI19" i="9"/>
  <c r="AH19" i="9"/>
  <c r="AG19" i="9"/>
  <c r="AF19" i="9"/>
  <c r="AD19" i="9"/>
  <c r="AC19" i="9"/>
  <c r="AC20" i="9" s="1"/>
  <c r="AB19" i="9"/>
  <c r="AA19" i="9"/>
  <c r="Y19" i="9"/>
  <c r="X19" i="9"/>
  <c r="W19" i="9"/>
  <c r="V19" i="9"/>
  <c r="T19" i="9"/>
  <c r="S19" i="9"/>
  <c r="R19" i="9"/>
  <c r="Q19" i="9"/>
  <c r="O19" i="9"/>
  <c r="N19" i="9"/>
  <c r="M19" i="9"/>
  <c r="M20" i="9" s="1"/>
  <c r="L19" i="9"/>
  <c r="J19" i="9"/>
  <c r="I19" i="9"/>
  <c r="H19" i="9"/>
  <c r="G19" i="9"/>
  <c r="F19" i="9"/>
  <c r="E19" i="9"/>
  <c r="E20" i="9" s="1"/>
  <c r="D19" i="9"/>
  <c r="C19" i="9"/>
  <c r="A19" i="9"/>
  <c r="AQ18" i="9"/>
  <c r="AQ20" i="9" s="1"/>
  <c r="AP18" i="9"/>
  <c r="AM18" i="9"/>
  <c r="AM20" i="9" s="1"/>
  <c r="AL18" i="9"/>
  <c r="AK18" i="9"/>
  <c r="AI18" i="9"/>
  <c r="AI20" i="9" s="1"/>
  <c r="AH18" i="9"/>
  <c r="AG18" i="9"/>
  <c r="AF18" i="9"/>
  <c r="AF20" i="9" s="1"/>
  <c r="AD18" i="9"/>
  <c r="AC18" i="9"/>
  <c r="AB18" i="9"/>
  <c r="AB20" i="9" s="1"/>
  <c r="AA18" i="9"/>
  <c r="AA20" i="9" s="1"/>
  <c r="Y18" i="9"/>
  <c r="X18" i="9"/>
  <c r="X20" i="9" s="1"/>
  <c r="W18" i="9"/>
  <c r="W20" i="9" s="1"/>
  <c r="V18" i="9"/>
  <c r="T18" i="9"/>
  <c r="T20" i="9" s="1"/>
  <c r="S18" i="9"/>
  <c r="S20" i="9" s="1"/>
  <c r="R18" i="9"/>
  <c r="R20" i="9" s="1"/>
  <c r="Q18" i="9"/>
  <c r="O18" i="9"/>
  <c r="O20" i="9" s="1"/>
  <c r="N18" i="9"/>
  <c r="M18" i="9"/>
  <c r="L18" i="9"/>
  <c r="L20" i="9" s="1"/>
  <c r="J18" i="9"/>
  <c r="J20" i="9" s="1"/>
  <c r="I18" i="9"/>
  <c r="H18" i="9"/>
  <c r="H20" i="9" s="1"/>
  <c r="G18" i="9"/>
  <c r="G20" i="9" s="1"/>
  <c r="F18" i="9"/>
  <c r="E18" i="9"/>
  <c r="D18" i="9"/>
  <c r="D20" i="9" s="1"/>
  <c r="C18" i="9"/>
  <c r="C20" i="9" s="1"/>
  <c r="A18" i="9"/>
  <c r="J16" i="9"/>
  <c r="I16" i="9"/>
  <c r="H16" i="9"/>
  <c r="G16" i="9"/>
  <c r="C16" i="9"/>
  <c r="A16" i="9"/>
  <c r="J15" i="9"/>
  <c r="I15" i="9"/>
  <c r="H15" i="9"/>
  <c r="G15" i="9"/>
  <c r="C15" i="9"/>
  <c r="A15" i="9"/>
  <c r="J14" i="9"/>
  <c r="I14" i="9"/>
  <c r="H14" i="9"/>
  <c r="G14" i="9"/>
  <c r="C14" i="9"/>
  <c r="A14" i="9"/>
  <c r="A11" i="9"/>
  <c r="A8" i="9"/>
  <c r="A7" i="9"/>
  <c r="A6" i="9"/>
  <c r="A5" i="9"/>
  <c r="A4" i="9"/>
  <c r="BA2" i="9"/>
  <c r="AZ2" i="9"/>
  <c r="AY2" i="9"/>
  <c r="AX2" i="9"/>
  <c r="AW2" i="9"/>
  <c r="AV2" i="9"/>
  <c r="AU2" i="9"/>
  <c r="AT2" i="9"/>
  <c r="AS2" i="9"/>
  <c r="AR2" i="9"/>
  <c r="AQ2" i="9"/>
  <c r="AP2" i="9"/>
  <c r="AO2" i="9"/>
  <c r="AN2" i="9"/>
  <c r="AM2" i="9"/>
  <c r="AL2" i="9"/>
  <c r="AK2" i="9"/>
  <c r="AJ2" i="9"/>
  <c r="AI2" i="9"/>
  <c r="AH2"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C1" i="9"/>
  <c r="A1" i="9"/>
  <c r="J116" i="10"/>
  <c r="J115" i="10"/>
  <c r="J114" i="10"/>
  <c r="J112" i="10"/>
  <c r="J111" i="10"/>
  <c r="J110" i="10"/>
  <c r="J109" i="10"/>
  <c r="J108" i="10"/>
  <c r="J107" i="10"/>
  <c r="J105" i="10"/>
  <c r="J104" i="10"/>
  <c r="J103" i="10"/>
  <c r="J102" i="10"/>
  <c r="J100" i="10"/>
  <c r="J99" i="10"/>
  <c r="J98" i="10"/>
  <c r="J97" i="10"/>
  <c r="J96" i="10"/>
  <c r="J95" i="10"/>
  <c r="J94" i="10"/>
  <c r="J92" i="10"/>
  <c r="J91" i="10"/>
  <c r="J90" i="10"/>
  <c r="J89" i="10"/>
  <c r="J88" i="10"/>
  <c r="J87" i="10"/>
  <c r="J86" i="10"/>
  <c r="J84" i="10"/>
  <c r="J83" i="10"/>
  <c r="J82" i="10"/>
  <c r="J81" i="10"/>
  <c r="J80" i="10"/>
  <c r="J79" i="10"/>
  <c r="J78" i="10"/>
  <c r="J77" i="10"/>
  <c r="J76" i="10"/>
  <c r="J75" i="10"/>
  <c r="J73" i="10"/>
  <c r="J72" i="10"/>
  <c r="J71" i="10"/>
  <c r="J70" i="10"/>
  <c r="J68" i="10"/>
  <c r="J67" i="10"/>
  <c r="J66" i="10"/>
  <c r="J65" i="10"/>
  <c r="J64" i="10"/>
  <c r="J63" i="10"/>
  <c r="J62" i="10"/>
  <c r="J60" i="10"/>
  <c r="J59" i="10"/>
  <c r="J58" i="10"/>
  <c r="J57" i="10"/>
  <c r="J56" i="10"/>
  <c r="J55" i="10"/>
  <c r="J54" i="10"/>
  <c r="J52" i="10"/>
  <c r="J51" i="10"/>
  <c r="J50" i="10"/>
  <c r="J49" i="10"/>
  <c r="J48" i="10"/>
  <c r="J47" i="10"/>
  <c r="J45" i="10"/>
  <c r="J44" i="10"/>
  <c r="J43" i="10"/>
  <c r="J42" i="10"/>
  <c r="J41" i="10"/>
  <c r="J40" i="10"/>
  <c r="J38" i="10"/>
  <c r="J37" i="10"/>
  <c r="J35" i="10"/>
  <c r="J34" i="10"/>
  <c r="J33" i="10"/>
  <c r="J32" i="10"/>
  <c r="J31" i="10"/>
  <c r="J30" i="10"/>
  <c r="J28" i="10"/>
  <c r="J27" i="10"/>
  <c r="J26" i="10"/>
  <c r="J25" i="10"/>
  <c r="J23" i="10"/>
  <c r="J22" i="10"/>
  <c r="J20" i="10"/>
  <c r="J19" i="10"/>
  <c r="J18" i="10"/>
  <c r="J17" i="10"/>
  <c r="J15" i="10"/>
  <c r="J14" i="10"/>
  <c r="J12" i="10"/>
  <c r="J11" i="10"/>
  <c r="J10" i="10"/>
  <c r="J8" i="10"/>
  <c r="J7" i="10"/>
  <c r="J6" i="10"/>
  <c r="F2" i="10"/>
  <c r="B1" i="10"/>
  <c r="B540" i="1"/>
  <c r="B539" i="1"/>
  <c r="B530" i="1"/>
  <c r="B529" i="1"/>
  <c r="B528" i="1"/>
  <c r="BB524" i="1"/>
  <c r="BA524" i="1"/>
  <c r="AZ524" i="1"/>
  <c r="AY524" i="1"/>
  <c r="AX524" i="1"/>
  <c r="AW524" i="1"/>
  <c r="AV524" i="1"/>
  <c r="AU524" i="1"/>
  <c r="AT524" i="1"/>
  <c r="AS524" i="1"/>
  <c r="AR524" i="1"/>
  <c r="AQ524" i="1"/>
  <c r="AP524" i="1"/>
  <c r="AO524" i="1"/>
  <c r="AN524" i="1"/>
  <c r="AM524" i="1"/>
  <c r="AL524" i="1"/>
  <c r="AK524" i="1"/>
  <c r="AJ524" i="1"/>
  <c r="AI524" i="1"/>
  <c r="AH524" i="1"/>
  <c r="AG524" i="1"/>
  <c r="AF524" i="1"/>
  <c r="AE524" i="1"/>
  <c r="AD524" i="1"/>
  <c r="AC524" i="1"/>
  <c r="AB524" i="1"/>
  <c r="AA524" i="1"/>
  <c r="Z524" i="1"/>
  <c r="Y524" i="1"/>
  <c r="X524" i="1"/>
  <c r="W524" i="1"/>
  <c r="V524" i="1"/>
  <c r="U524" i="1"/>
  <c r="T524" i="1"/>
  <c r="S524" i="1"/>
  <c r="R524" i="1"/>
  <c r="Q524" i="1"/>
  <c r="P524" i="1"/>
  <c r="O524" i="1"/>
  <c r="N524" i="1"/>
  <c r="M524" i="1"/>
  <c r="L524" i="1"/>
  <c r="K524" i="1"/>
  <c r="J524" i="1"/>
  <c r="I524" i="1"/>
  <c r="H524" i="1"/>
  <c r="G524" i="1"/>
  <c r="F524" i="1"/>
  <c r="E524" i="1"/>
  <c r="D524" i="1"/>
  <c r="C524" i="1"/>
  <c r="BB520" i="1"/>
  <c r="BA520" i="1"/>
  <c r="AZ520" i="1"/>
  <c r="AY520" i="1"/>
  <c r="AX520" i="1"/>
  <c r="AW520" i="1"/>
  <c r="AV520" i="1"/>
  <c r="AU520" i="1"/>
  <c r="AT520" i="1"/>
  <c r="AS520" i="1"/>
  <c r="AR520" i="1"/>
  <c r="BB517" i="1"/>
  <c r="BA517" i="1"/>
  <c r="AZ517" i="1"/>
  <c r="AY517" i="1"/>
  <c r="AX517" i="1"/>
  <c r="AW517" i="1"/>
  <c r="AV517" i="1"/>
  <c r="AU517" i="1"/>
  <c r="AT517" i="1"/>
  <c r="AS517" i="1"/>
  <c r="AR517" i="1"/>
  <c r="AQ517" i="1"/>
  <c r="AP517" i="1"/>
  <c r="AO517" i="1"/>
  <c r="AN517" i="1"/>
  <c r="AM517" i="1"/>
  <c r="AL517" i="1"/>
  <c r="AK517" i="1"/>
  <c r="AJ517" i="1"/>
  <c r="AI517" i="1"/>
  <c r="AH517" i="1"/>
  <c r="AG517" i="1"/>
  <c r="AF517" i="1"/>
  <c r="AE517" i="1"/>
  <c r="AD517" i="1"/>
  <c r="AC517" i="1"/>
  <c r="AB517" i="1"/>
  <c r="AA517" i="1"/>
  <c r="Z517" i="1"/>
  <c r="Y517" i="1"/>
  <c r="X517" i="1"/>
  <c r="W517" i="1"/>
  <c r="V517" i="1"/>
  <c r="U517" i="1"/>
  <c r="T517" i="1"/>
  <c r="S517" i="1"/>
  <c r="R517" i="1"/>
  <c r="Q517" i="1"/>
  <c r="P517" i="1"/>
  <c r="O517" i="1"/>
  <c r="N517" i="1"/>
  <c r="M517" i="1"/>
  <c r="L517" i="1"/>
  <c r="K517" i="1"/>
  <c r="J517" i="1"/>
  <c r="I517" i="1"/>
  <c r="H517" i="1"/>
  <c r="G517" i="1"/>
  <c r="F517" i="1"/>
  <c r="E517" i="1"/>
  <c r="D517" i="1"/>
  <c r="C517" i="1"/>
  <c r="BB515" i="1"/>
  <c r="BA515" i="1"/>
  <c r="AZ515" i="1"/>
  <c r="AY515" i="1"/>
  <c r="AX515" i="1"/>
  <c r="AW515" i="1"/>
  <c r="AV515" i="1"/>
  <c r="AU515" i="1"/>
  <c r="AT515" i="1"/>
  <c r="AS515" i="1"/>
  <c r="AR515" i="1"/>
  <c r="AQ515" i="1"/>
  <c r="AP515" i="1"/>
  <c r="AO515" i="1"/>
  <c r="AN515" i="1"/>
  <c r="AM515" i="1"/>
  <c r="AL515" i="1"/>
  <c r="AK515" i="1"/>
  <c r="AJ515" i="1"/>
  <c r="AI515" i="1"/>
  <c r="AH515" i="1"/>
  <c r="AG515" i="1"/>
  <c r="AF515" i="1"/>
  <c r="AE515" i="1"/>
  <c r="AD515" i="1"/>
  <c r="AC515" i="1"/>
  <c r="AB515" i="1"/>
  <c r="AA515" i="1"/>
  <c r="Z515" i="1"/>
  <c r="Y515" i="1"/>
  <c r="X515" i="1"/>
  <c r="W515" i="1"/>
  <c r="V515" i="1"/>
  <c r="U515" i="1"/>
  <c r="T515" i="1"/>
  <c r="S515" i="1"/>
  <c r="R515" i="1"/>
  <c r="Q515" i="1"/>
  <c r="P515" i="1"/>
  <c r="O515" i="1"/>
  <c r="N515" i="1"/>
  <c r="M515" i="1"/>
  <c r="L515" i="1"/>
  <c r="K515" i="1"/>
  <c r="J515" i="1"/>
  <c r="I515" i="1"/>
  <c r="H515" i="1"/>
  <c r="G515" i="1"/>
  <c r="F515" i="1"/>
  <c r="E515" i="1"/>
  <c r="D515" i="1"/>
  <c r="C515" i="1"/>
  <c r="BB510" i="1"/>
  <c r="BA510" i="1"/>
  <c r="AZ510" i="1"/>
  <c r="AY510" i="1"/>
  <c r="AX510" i="1"/>
  <c r="AW510" i="1"/>
  <c r="AV510" i="1"/>
  <c r="AU510" i="1"/>
  <c r="AT510" i="1"/>
  <c r="AS510" i="1"/>
  <c r="AR510" i="1"/>
  <c r="AQ510" i="1"/>
  <c r="AP510" i="1"/>
  <c r="AO510" i="1"/>
  <c r="AN510" i="1"/>
  <c r="AM510" i="1"/>
  <c r="AL510" i="1"/>
  <c r="AK510" i="1"/>
  <c r="AJ510" i="1"/>
  <c r="AI510" i="1"/>
  <c r="AH510" i="1"/>
  <c r="AG510" i="1"/>
  <c r="AF510" i="1"/>
  <c r="AE510" i="1"/>
  <c r="AD510" i="1"/>
  <c r="AC510" i="1"/>
  <c r="AB510" i="1"/>
  <c r="AA510" i="1"/>
  <c r="Z510" i="1"/>
  <c r="Y510" i="1"/>
  <c r="X510" i="1"/>
  <c r="W510" i="1"/>
  <c r="V510" i="1"/>
  <c r="U510" i="1"/>
  <c r="T510" i="1"/>
  <c r="S510" i="1"/>
  <c r="R510" i="1"/>
  <c r="Q510" i="1"/>
  <c r="P510" i="1"/>
  <c r="O510" i="1"/>
  <c r="N510" i="1"/>
  <c r="M510" i="1"/>
  <c r="L510" i="1"/>
  <c r="K510" i="1"/>
  <c r="J510" i="1"/>
  <c r="I510" i="1"/>
  <c r="H510" i="1"/>
  <c r="G510" i="1"/>
  <c r="F510" i="1"/>
  <c r="E510" i="1"/>
  <c r="D510" i="1"/>
  <c r="C510" i="1"/>
  <c r="BB508" i="1"/>
  <c r="BA508" i="1"/>
  <c r="AZ508" i="1"/>
  <c r="AY508" i="1"/>
  <c r="AX508" i="1"/>
  <c r="AW508" i="1"/>
  <c r="AV508" i="1"/>
  <c r="AU508" i="1"/>
  <c r="AT508" i="1"/>
  <c r="AS508" i="1"/>
  <c r="AR508" i="1"/>
  <c r="AQ508" i="1"/>
  <c r="AP508" i="1"/>
  <c r="AO508" i="1"/>
  <c r="AN508" i="1"/>
  <c r="AM508" i="1"/>
  <c r="AL508" i="1"/>
  <c r="AK508" i="1"/>
  <c r="AJ508" i="1"/>
  <c r="AI508" i="1"/>
  <c r="AH508" i="1"/>
  <c r="AG508" i="1"/>
  <c r="AF508" i="1"/>
  <c r="AE508" i="1"/>
  <c r="AD508" i="1"/>
  <c r="AC508" i="1"/>
  <c r="AB508" i="1"/>
  <c r="AA508" i="1"/>
  <c r="Z508" i="1"/>
  <c r="Y508" i="1"/>
  <c r="X508" i="1"/>
  <c r="W508" i="1"/>
  <c r="V508" i="1"/>
  <c r="U508" i="1"/>
  <c r="T508" i="1"/>
  <c r="S508" i="1"/>
  <c r="R508" i="1"/>
  <c r="Q508" i="1"/>
  <c r="P508" i="1"/>
  <c r="O508" i="1"/>
  <c r="N508" i="1"/>
  <c r="M508" i="1"/>
  <c r="L508" i="1"/>
  <c r="K508" i="1"/>
  <c r="J508" i="1"/>
  <c r="I508" i="1"/>
  <c r="H508" i="1"/>
  <c r="G508" i="1"/>
  <c r="F508" i="1"/>
  <c r="E508" i="1"/>
  <c r="D508" i="1"/>
  <c r="C508" i="1"/>
  <c r="BB503" i="1"/>
  <c r="BA503" i="1"/>
  <c r="AZ503" i="1"/>
  <c r="AY503" i="1"/>
  <c r="AX503" i="1"/>
  <c r="AW503" i="1"/>
  <c r="AV503" i="1"/>
  <c r="AU503" i="1"/>
  <c r="AT503" i="1"/>
  <c r="AS503" i="1"/>
  <c r="AR503" i="1"/>
  <c r="AQ503" i="1"/>
  <c r="AP503" i="1"/>
  <c r="AO503" i="1"/>
  <c r="AN503" i="1"/>
  <c r="AM503" i="1"/>
  <c r="AL503" i="1"/>
  <c r="AK503" i="1"/>
  <c r="AJ503" i="1"/>
  <c r="AI503" i="1"/>
  <c r="AH503" i="1"/>
  <c r="AG503" i="1"/>
  <c r="AF503" i="1"/>
  <c r="AE503" i="1"/>
  <c r="AD503" i="1"/>
  <c r="AC503" i="1"/>
  <c r="AB503" i="1"/>
  <c r="AA503" i="1"/>
  <c r="Z503" i="1"/>
  <c r="Y503" i="1"/>
  <c r="X503" i="1"/>
  <c r="W503" i="1"/>
  <c r="V503" i="1"/>
  <c r="U503" i="1"/>
  <c r="T503" i="1"/>
  <c r="S503" i="1"/>
  <c r="R503" i="1"/>
  <c r="Q503" i="1"/>
  <c r="P503" i="1"/>
  <c r="O503" i="1"/>
  <c r="N503" i="1"/>
  <c r="M503" i="1"/>
  <c r="L503" i="1"/>
  <c r="K503" i="1"/>
  <c r="J503" i="1"/>
  <c r="I503" i="1"/>
  <c r="H503" i="1"/>
  <c r="G503" i="1"/>
  <c r="F503" i="1"/>
  <c r="E503" i="1"/>
  <c r="D503" i="1"/>
  <c r="C503" i="1"/>
  <c r="BB501" i="1"/>
  <c r="BA501" i="1"/>
  <c r="AZ501" i="1"/>
  <c r="AY501" i="1"/>
  <c r="AX501" i="1"/>
  <c r="AW501" i="1"/>
  <c r="AV501" i="1"/>
  <c r="AU501" i="1"/>
  <c r="AT501" i="1"/>
  <c r="AS501" i="1"/>
  <c r="AR501" i="1"/>
  <c r="AQ501" i="1"/>
  <c r="AP501" i="1"/>
  <c r="AO501" i="1"/>
  <c r="AN501" i="1"/>
  <c r="AM501" i="1"/>
  <c r="AL501" i="1"/>
  <c r="AK501" i="1"/>
  <c r="AJ501" i="1"/>
  <c r="AI501" i="1"/>
  <c r="AH501" i="1"/>
  <c r="AG501" i="1"/>
  <c r="AF501" i="1"/>
  <c r="AE501" i="1"/>
  <c r="AD501" i="1"/>
  <c r="AC501" i="1"/>
  <c r="AB501" i="1"/>
  <c r="AA501" i="1"/>
  <c r="Z501" i="1"/>
  <c r="Y501" i="1"/>
  <c r="X501" i="1"/>
  <c r="W501" i="1"/>
  <c r="V501" i="1"/>
  <c r="U501" i="1"/>
  <c r="T501" i="1"/>
  <c r="S501" i="1"/>
  <c r="R501" i="1"/>
  <c r="Q501" i="1"/>
  <c r="P501" i="1"/>
  <c r="O501" i="1"/>
  <c r="N501" i="1"/>
  <c r="M501" i="1"/>
  <c r="L501" i="1"/>
  <c r="K501" i="1"/>
  <c r="J501" i="1"/>
  <c r="I501" i="1"/>
  <c r="H501" i="1"/>
  <c r="G501" i="1"/>
  <c r="F501" i="1"/>
  <c r="E501" i="1"/>
  <c r="D501" i="1"/>
  <c r="C501" i="1"/>
  <c r="BB497" i="1"/>
  <c r="BA497" i="1"/>
  <c r="AZ497" i="1"/>
  <c r="AY497" i="1"/>
  <c r="AX497" i="1"/>
  <c r="AW497" i="1"/>
  <c r="AV497" i="1"/>
  <c r="AU497" i="1"/>
  <c r="AT497" i="1"/>
  <c r="AS497" i="1"/>
  <c r="AR497" i="1"/>
  <c r="AQ497" i="1"/>
  <c r="AP497" i="1"/>
  <c r="AO497" i="1"/>
  <c r="AN497" i="1"/>
  <c r="AM497" i="1"/>
  <c r="AL497" i="1"/>
  <c r="AK497" i="1"/>
  <c r="AJ497" i="1"/>
  <c r="AI497" i="1"/>
  <c r="AH497" i="1"/>
  <c r="AG497" i="1"/>
  <c r="AF497" i="1"/>
  <c r="AE497" i="1"/>
  <c r="AD497" i="1"/>
  <c r="AC497" i="1"/>
  <c r="AB497" i="1"/>
  <c r="AA497" i="1"/>
  <c r="Z497" i="1"/>
  <c r="Y497" i="1"/>
  <c r="X497" i="1"/>
  <c r="W497" i="1"/>
  <c r="V497" i="1"/>
  <c r="U497" i="1"/>
  <c r="T497" i="1"/>
  <c r="S497" i="1"/>
  <c r="R497" i="1"/>
  <c r="Q497" i="1"/>
  <c r="P497" i="1"/>
  <c r="O497" i="1"/>
  <c r="N497" i="1"/>
  <c r="M497" i="1"/>
  <c r="L497" i="1"/>
  <c r="K497" i="1"/>
  <c r="J497" i="1"/>
  <c r="I497" i="1"/>
  <c r="H497" i="1"/>
  <c r="G497" i="1"/>
  <c r="F497" i="1"/>
  <c r="E497" i="1"/>
  <c r="D497" i="1"/>
  <c r="C497" i="1"/>
  <c r="A487" i="1"/>
  <c r="BA484" i="1"/>
  <c r="AZ484" i="1"/>
  <c r="AY484" i="1"/>
  <c r="AX484" i="1"/>
  <c r="AW484" i="1"/>
  <c r="AV484" i="1"/>
  <c r="AU484" i="1"/>
  <c r="AT484" i="1"/>
  <c r="AS484" i="1"/>
  <c r="AR484" i="1"/>
  <c r="A479" i="1"/>
  <c r="A477" i="1"/>
  <c r="BB452" i="1"/>
  <c r="BA452" i="1"/>
  <c r="AZ452" i="1"/>
  <c r="AY452" i="1"/>
  <c r="AX452" i="1"/>
  <c r="AW452" i="1"/>
  <c r="AV452" i="1"/>
  <c r="AU452" i="1"/>
  <c r="AT452" i="1"/>
  <c r="AS452" i="1"/>
  <c r="AR452" i="1"/>
  <c r="AQ452" i="1"/>
  <c r="AP452" i="1"/>
  <c r="AM452" i="1"/>
  <c r="AL452" i="1"/>
  <c r="AK452" i="1"/>
  <c r="AY451" i="1"/>
  <c r="AT451" i="1"/>
  <c r="BB450" i="1"/>
  <c r="BA450" i="1"/>
  <c r="AZ450" i="1"/>
  <c r="AY450" i="1"/>
  <c r="AX450" i="1"/>
  <c r="AW450" i="1"/>
  <c r="AV450" i="1"/>
  <c r="AU450" i="1"/>
  <c r="AT450" i="1"/>
  <c r="AS450" i="1"/>
  <c r="AR450" i="1"/>
  <c r="BB448" i="1"/>
  <c r="BA448" i="1"/>
  <c r="AZ448" i="1"/>
  <c r="AY448" i="1"/>
  <c r="AX448" i="1"/>
  <c r="AW448" i="1"/>
  <c r="AV448" i="1"/>
  <c r="AU448" i="1"/>
  <c r="AT448" i="1"/>
  <c r="AS448" i="1"/>
  <c r="AR448" i="1"/>
  <c r="V442" i="1"/>
  <c r="BB441" i="1"/>
  <c r="BA441" i="1"/>
  <c r="AZ441" i="1"/>
  <c r="AY441" i="1"/>
  <c r="AX441" i="1"/>
  <c r="AW441" i="1"/>
  <c r="AV441" i="1"/>
  <c r="AU441" i="1"/>
  <c r="AT441" i="1"/>
  <c r="AS441" i="1"/>
  <c r="AR441" i="1"/>
  <c r="BB440" i="1"/>
  <c r="BA440" i="1"/>
  <c r="AZ440" i="1"/>
  <c r="AY440" i="1"/>
  <c r="AX440" i="1"/>
  <c r="AW440" i="1"/>
  <c r="AV440" i="1"/>
  <c r="AU440" i="1"/>
  <c r="AT440" i="1"/>
  <c r="AS440" i="1"/>
  <c r="AR440" i="1"/>
  <c r="AR434" i="1"/>
  <c r="AS434" i="1" s="1"/>
  <c r="AT434" i="1" s="1"/>
  <c r="AU434" i="1" s="1"/>
  <c r="AV434" i="1" s="1"/>
  <c r="AW434" i="1" s="1"/>
  <c r="AX434" i="1" s="1"/>
  <c r="AB434" i="1"/>
  <c r="AC434" i="1" s="1"/>
  <c r="X434" i="1"/>
  <c r="W434" i="1"/>
  <c r="AP433" i="1"/>
  <c r="AP88" i="9" s="1"/>
  <c r="AM433" i="1"/>
  <c r="AL433" i="1"/>
  <c r="AL88" i="9" s="1"/>
  <c r="AK433" i="1"/>
  <c r="AK88" i="9" s="1"/>
  <c r="AH433" i="1"/>
  <c r="AH88" i="9" s="1"/>
  <c r="AG433" i="1"/>
  <c r="AG88" i="9" s="1"/>
  <c r="AF433" i="1"/>
  <c r="AE433" i="1"/>
  <c r="AC433" i="1"/>
  <c r="AC88" i="9" s="1"/>
  <c r="AB433" i="1"/>
  <c r="AB88" i="9" s="1"/>
  <c r="AA433" i="1"/>
  <c r="AA88" i="9" s="1"/>
  <c r="Z433" i="1"/>
  <c r="Z88" i="9" s="1"/>
  <c r="X433" i="1"/>
  <c r="W433" i="1"/>
  <c r="V433" i="1"/>
  <c r="V88" i="9" s="1"/>
  <c r="U433" i="1"/>
  <c r="U88" i="9" s="1"/>
  <c r="S433" i="1"/>
  <c r="S88" i="9" s="1"/>
  <c r="R433" i="1"/>
  <c r="R88" i="9" s="1"/>
  <c r="Q433" i="1"/>
  <c r="Q88" i="9" s="1"/>
  <c r="P433" i="1"/>
  <c r="N433" i="1"/>
  <c r="N88" i="9" s="1"/>
  <c r="M433" i="1"/>
  <c r="M88" i="9" s="1"/>
  <c r="L433" i="1"/>
  <c r="L88" i="9" s="1"/>
  <c r="I433" i="1"/>
  <c r="I88" i="9" s="1"/>
  <c r="H433" i="1"/>
  <c r="G433" i="1"/>
  <c r="F433" i="1"/>
  <c r="F88" i="9" s="1"/>
  <c r="AY432" i="1"/>
  <c r="AT432" i="1"/>
  <c r="AN432" i="1"/>
  <c r="AI432" i="1"/>
  <c r="AD432" i="1"/>
  <c r="Y432" i="1"/>
  <c r="T432" i="1"/>
  <c r="O432" i="1"/>
  <c r="J432" i="1"/>
  <c r="AN431" i="1"/>
  <c r="AI431" i="1"/>
  <c r="AD431" i="1"/>
  <c r="Y431" i="1"/>
  <c r="T431" i="1"/>
  <c r="O431" i="1"/>
  <c r="J431" i="1"/>
  <c r="AN430" i="1"/>
  <c r="AI430" i="1"/>
  <c r="AD430" i="1"/>
  <c r="Y430" i="1"/>
  <c r="T430" i="1"/>
  <c r="O430" i="1"/>
  <c r="J430" i="1"/>
  <c r="AY429" i="1"/>
  <c r="AT429" i="1"/>
  <c r="AN429" i="1"/>
  <c r="AI429" i="1"/>
  <c r="AD429" i="1"/>
  <c r="Y429" i="1"/>
  <c r="T429" i="1"/>
  <c r="O429" i="1"/>
  <c r="J429" i="1"/>
  <c r="AR428" i="1"/>
  <c r="AS428" i="1" s="1"/>
  <c r="AT428" i="1" s="1"/>
  <c r="AU428" i="1" s="1"/>
  <c r="AV428" i="1" s="1"/>
  <c r="AW428" i="1" s="1"/>
  <c r="AX428" i="1" s="1"/>
  <c r="AY428" i="1" s="1"/>
  <c r="AZ428" i="1" s="1"/>
  <c r="BA428" i="1" s="1"/>
  <c r="BB428" i="1" s="1"/>
  <c r="AO428" i="1"/>
  <c r="AO433" i="1" s="1"/>
  <c r="AN428" i="1"/>
  <c r="AN433" i="1" s="1"/>
  <c r="AJ428" i="1"/>
  <c r="AE428" i="1"/>
  <c r="AD428" i="1" s="1"/>
  <c r="AD433" i="1" s="1"/>
  <c r="AD88" i="9" s="1"/>
  <c r="AD89" i="9" s="1"/>
  <c r="Z428" i="1"/>
  <c r="Y428" i="1"/>
  <c r="T428" i="1"/>
  <c r="O428" i="1"/>
  <c r="O433" i="1" s="1"/>
  <c r="K428" i="1"/>
  <c r="E428" i="1"/>
  <c r="E433" i="1" s="1"/>
  <c r="D428" i="1"/>
  <c r="D433" i="1" s="1"/>
  <c r="C428" i="1"/>
  <c r="C433" i="1" s="1"/>
  <c r="AQ425" i="1"/>
  <c r="AQ435" i="1" s="1"/>
  <c r="AJ425" i="1"/>
  <c r="AA425" i="1"/>
  <c r="AA435" i="1" s="1"/>
  <c r="S425" i="1"/>
  <c r="S435" i="1" s="1"/>
  <c r="L425" i="1"/>
  <c r="K425" i="1"/>
  <c r="D425" i="1"/>
  <c r="C425" i="1"/>
  <c r="AQ424" i="1"/>
  <c r="AP424" i="1"/>
  <c r="AO424" i="1"/>
  <c r="AN424" i="1"/>
  <c r="AM424" i="1"/>
  <c r="AL424" i="1"/>
  <c r="AK424" i="1"/>
  <c r="AJ424" i="1"/>
  <c r="AH424" i="1"/>
  <c r="AG424" i="1"/>
  <c r="AF424" i="1"/>
  <c r="AE424" i="1"/>
  <c r="AC424" i="1"/>
  <c r="AB424" i="1"/>
  <c r="AA424" i="1"/>
  <c r="Z424" i="1"/>
  <c r="X424" i="1"/>
  <c r="W424" i="1"/>
  <c r="V424" i="1"/>
  <c r="U424" i="1"/>
  <c r="S424" i="1"/>
  <c r="R424" i="1"/>
  <c r="Q424" i="1"/>
  <c r="P424" i="1"/>
  <c r="O424" i="1"/>
  <c r="N424" i="1"/>
  <c r="M424" i="1"/>
  <c r="L424" i="1"/>
  <c r="K424" i="1"/>
  <c r="J424" i="1"/>
  <c r="I424" i="1"/>
  <c r="H424" i="1"/>
  <c r="G424" i="1"/>
  <c r="F424" i="1"/>
  <c r="E424" i="1"/>
  <c r="D424" i="1"/>
  <c r="C424" i="1"/>
  <c r="AN423" i="1"/>
  <c r="AI423" i="1"/>
  <c r="AD423" i="1"/>
  <c r="Y423" i="1"/>
  <c r="T423" i="1"/>
  <c r="AZ422" i="1"/>
  <c r="BA422" i="1" s="1"/>
  <c r="BB422" i="1" s="1"/>
  <c r="AR422" i="1"/>
  <c r="AS422" i="1" s="1"/>
  <c r="AT422" i="1" s="1"/>
  <c r="AU422" i="1" s="1"/>
  <c r="AV422" i="1" s="1"/>
  <c r="AW422" i="1" s="1"/>
  <c r="AX422" i="1" s="1"/>
  <c r="AY422" i="1" s="1"/>
  <c r="AN422" i="1"/>
  <c r="AI422" i="1"/>
  <c r="AD422" i="1"/>
  <c r="Y422" i="1"/>
  <c r="T422" i="1"/>
  <c r="AZ421" i="1"/>
  <c r="BA421" i="1" s="1"/>
  <c r="BB421" i="1" s="1"/>
  <c r="AR421" i="1"/>
  <c r="AS421" i="1" s="1"/>
  <c r="AT421" i="1" s="1"/>
  <c r="AU421" i="1" s="1"/>
  <c r="AV421" i="1" s="1"/>
  <c r="AW421" i="1" s="1"/>
  <c r="AX421" i="1" s="1"/>
  <c r="AY421" i="1" s="1"/>
  <c r="AN421" i="1"/>
  <c r="AS420" i="1"/>
  <c r="AT420" i="1" s="1"/>
  <c r="AU420" i="1" s="1"/>
  <c r="AV420" i="1" s="1"/>
  <c r="AW420" i="1" s="1"/>
  <c r="AX420" i="1" s="1"/>
  <c r="AY420" i="1" s="1"/>
  <c r="AZ420" i="1" s="1"/>
  <c r="BA420" i="1" s="1"/>
  <c r="BB420" i="1" s="1"/>
  <c r="AR420" i="1"/>
  <c r="AN420" i="1"/>
  <c r="AI420" i="1"/>
  <c r="AD420" i="1"/>
  <c r="Y420" i="1"/>
  <c r="T420" i="1"/>
  <c r="AN419" i="1"/>
  <c r="AI419" i="1"/>
  <c r="AI424" i="1" s="1"/>
  <c r="AD419" i="1"/>
  <c r="AD424" i="1" s="1"/>
  <c r="Y419" i="1"/>
  <c r="Y424" i="1" s="1"/>
  <c r="T419" i="1"/>
  <c r="AQ416" i="1"/>
  <c r="AQ102" i="9" s="1"/>
  <c r="AP416" i="1"/>
  <c r="AP102" i="9" s="1"/>
  <c r="AO416" i="1"/>
  <c r="AO102" i="9" s="1"/>
  <c r="AO103" i="9" s="1"/>
  <c r="AM416" i="1"/>
  <c r="AL416" i="1"/>
  <c r="AL102" i="9" s="1"/>
  <c r="AK416" i="1"/>
  <c r="AK102" i="9" s="1"/>
  <c r="AJ416" i="1"/>
  <c r="AJ102" i="9" s="1"/>
  <c r="AH416" i="1"/>
  <c r="AH102" i="9" s="1"/>
  <c r="AF416" i="1"/>
  <c r="AE416" i="1"/>
  <c r="AC416" i="1"/>
  <c r="AC102" i="9" s="1"/>
  <c r="AA416" i="1"/>
  <c r="AA102" i="9" s="1"/>
  <c r="Z416" i="1"/>
  <c r="Z102" i="9" s="1"/>
  <c r="X416" i="1"/>
  <c r="W416" i="1"/>
  <c r="V416" i="1"/>
  <c r="V102" i="9" s="1"/>
  <c r="U416" i="1"/>
  <c r="U102" i="9" s="1"/>
  <c r="S416" i="1"/>
  <c r="S102" i="9" s="1"/>
  <c r="R416" i="1"/>
  <c r="R102" i="9" s="1"/>
  <c r="Q416" i="1"/>
  <c r="Q102" i="9" s="1"/>
  <c r="P416" i="1"/>
  <c r="O416" i="1"/>
  <c r="N416" i="1"/>
  <c r="N102" i="9" s="1"/>
  <c r="M416" i="1"/>
  <c r="M102" i="9" s="1"/>
  <c r="L416" i="1"/>
  <c r="L102" i="9" s="1"/>
  <c r="K416" i="1"/>
  <c r="K102" i="9" s="1"/>
  <c r="J416" i="1"/>
  <c r="J102" i="9" s="1"/>
  <c r="I416" i="1"/>
  <c r="I102" i="9" s="1"/>
  <c r="H416" i="1"/>
  <c r="G416" i="1"/>
  <c r="F416" i="1"/>
  <c r="F102" i="9" s="1"/>
  <c r="E416" i="1"/>
  <c r="E102" i="9" s="1"/>
  <c r="E103" i="9" s="1"/>
  <c r="D416" i="1"/>
  <c r="D102" i="9" s="1"/>
  <c r="C416" i="1"/>
  <c r="C102" i="9" s="1"/>
  <c r="C103" i="9" s="1"/>
  <c r="AR415" i="1"/>
  <c r="AS415" i="1" s="1"/>
  <c r="AT415" i="1" s="1"/>
  <c r="AU415" i="1" s="1"/>
  <c r="AV415" i="1" s="1"/>
  <c r="AW415" i="1" s="1"/>
  <c r="AX415" i="1" s="1"/>
  <c r="AY415" i="1" s="1"/>
  <c r="AZ415" i="1" s="1"/>
  <c r="BA415" i="1" s="1"/>
  <c r="BB415" i="1" s="1"/>
  <c r="AN415" i="1"/>
  <c r="AI415" i="1"/>
  <c r="AG415" i="1"/>
  <c r="AD415" i="1"/>
  <c r="AB415" i="1"/>
  <c r="Y415" i="1"/>
  <c r="W415" i="1"/>
  <c r="T415" i="1"/>
  <c r="AT414" i="1"/>
  <c r="AU414" i="1" s="1"/>
  <c r="AV414" i="1" s="1"/>
  <c r="AW414" i="1" s="1"/>
  <c r="AX414" i="1" s="1"/>
  <c r="AY414" i="1" s="1"/>
  <c r="AZ414" i="1" s="1"/>
  <c r="BA414" i="1" s="1"/>
  <c r="BB414" i="1" s="1"/>
  <c r="AR414" i="1"/>
  <c r="AS414" i="1" s="1"/>
  <c r="AN414" i="1"/>
  <c r="AI414" i="1"/>
  <c r="AR413" i="1"/>
  <c r="AS413" i="1" s="1"/>
  <c r="AT413" i="1" s="1"/>
  <c r="AU413" i="1" s="1"/>
  <c r="AV413" i="1" s="1"/>
  <c r="AW413" i="1" s="1"/>
  <c r="AX413" i="1" s="1"/>
  <c r="AY413" i="1" s="1"/>
  <c r="AZ413" i="1" s="1"/>
  <c r="BA413" i="1" s="1"/>
  <c r="BB413" i="1" s="1"/>
  <c r="AN413" i="1"/>
  <c r="AI413" i="1"/>
  <c r="AG413" i="1"/>
  <c r="AG416" i="1" s="1"/>
  <c r="AD413" i="1"/>
  <c r="AB413" i="1"/>
  <c r="AB416" i="1" s="1"/>
  <c r="AB102" i="9" s="1"/>
  <c r="Y413" i="1"/>
  <c r="W413" i="1"/>
  <c r="T413" i="1"/>
  <c r="AR412" i="1"/>
  <c r="AS412" i="1" s="1"/>
  <c r="AT412" i="1" s="1"/>
  <c r="AU412" i="1" s="1"/>
  <c r="AV412" i="1" s="1"/>
  <c r="AW412" i="1" s="1"/>
  <c r="AX412" i="1" s="1"/>
  <c r="AY412" i="1" s="1"/>
  <c r="AZ412" i="1" s="1"/>
  <c r="BA412" i="1" s="1"/>
  <c r="BB412" i="1" s="1"/>
  <c r="AN412" i="1"/>
  <c r="AI412" i="1"/>
  <c r="AD412" i="1"/>
  <c r="Y412" i="1"/>
  <c r="T412" i="1"/>
  <c r="AR411" i="1"/>
  <c r="AS411" i="1" s="1"/>
  <c r="AT411" i="1" s="1"/>
  <c r="AU411" i="1" s="1"/>
  <c r="AV411" i="1" s="1"/>
  <c r="AW411" i="1" s="1"/>
  <c r="AX411" i="1" s="1"/>
  <c r="AY411" i="1" s="1"/>
  <c r="AZ411" i="1" s="1"/>
  <c r="BA411" i="1" s="1"/>
  <c r="BB411" i="1" s="1"/>
  <c r="AN411" i="1"/>
  <c r="AI411" i="1"/>
  <c r="AD411" i="1"/>
  <c r="Y411" i="1"/>
  <c r="T411" i="1"/>
  <c r="AR410" i="1"/>
  <c r="AS410" i="1" s="1"/>
  <c r="AT410" i="1" s="1"/>
  <c r="AU410" i="1" s="1"/>
  <c r="AV410" i="1" s="1"/>
  <c r="AW410" i="1" s="1"/>
  <c r="AX410" i="1" s="1"/>
  <c r="AY410" i="1" s="1"/>
  <c r="AZ410" i="1" s="1"/>
  <c r="BA410" i="1" s="1"/>
  <c r="BB410" i="1" s="1"/>
  <c r="AN410" i="1"/>
  <c r="AV409" i="1"/>
  <c r="AW409" i="1" s="1"/>
  <c r="AX409" i="1" s="1"/>
  <c r="AY409" i="1" s="1"/>
  <c r="AZ409" i="1" s="1"/>
  <c r="BA409" i="1" s="1"/>
  <c r="BB409" i="1" s="1"/>
  <c r="AR409" i="1"/>
  <c r="AS409" i="1" s="1"/>
  <c r="AT409" i="1" s="1"/>
  <c r="AU409" i="1" s="1"/>
  <c r="AN409" i="1"/>
  <c r="AI409" i="1"/>
  <c r="AD409" i="1"/>
  <c r="Y409" i="1"/>
  <c r="T409" i="1"/>
  <c r="AR408" i="1"/>
  <c r="AS408" i="1" s="1"/>
  <c r="AT408" i="1" s="1"/>
  <c r="AU408" i="1" s="1"/>
  <c r="AV408" i="1" s="1"/>
  <c r="AW408" i="1" s="1"/>
  <c r="AX408" i="1" s="1"/>
  <c r="AY408" i="1" s="1"/>
  <c r="AZ408" i="1" s="1"/>
  <c r="BA408" i="1" s="1"/>
  <c r="BB408" i="1" s="1"/>
  <c r="AN408" i="1"/>
  <c r="AI408" i="1"/>
  <c r="AD408" i="1"/>
  <c r="Y408" i="1"/>
  <c r="T408" i="1"/>
  <c r="AN407" i="1"/>
  <c r="AI407" i="1"/>
  <c r="AD407" i="1"/>
  <c r="Y407" i="1"/>
  <c r="T407" i="1"/>
  <c r="AN406" i="1"/>
  <c r="AN416" i="1" s="1"/>
  <c r="AI406" i="1"/>
  <c r="AD406" i="1"/>
  <c r="AD416" i="1" s="1"/>
  <c r="Y406" i="1"/>
  <c r="Y416" i="1" s="1"/>
  <c r="T406" i="1"/>
  <c r="AQ403" i="1"/>
  <c r="AP403" i="1"/>
  <c r="Z403" i="1"/>
  <c r="S403" i="1"/>
  <c r="P403" i="1"/>
  <c r="AQ402" i="1"/>
  <c r="AP402" i="1"/>
  <c r="AO402" i="1"/>
  <c r="AM402" i="1"/>
  <c r="AL402" i="1"/>
  <c r="AK402" i="1"/>
  <c r="AJ402" i="1"/>
  <c r="AH402" i="1"/>
  <c r="AG402" i="1"/>
  <c r="AF402" i="1"/>
  <c r="AE402" i="1"/>
  <c r="AD402" i="1"/>
  <c r="AC402" i="1"/>
  <c r="AB402" i="1"/>
  <c r="AA402" i="1"/>
  <c r="Z402" i="1"/>
  <c r="X402" i="1"/>
  <c r="X403" i="1" s="1"/>
  <c r="W402" i="1"/>
  <c r="V402" i="1"/>
  <c r="U402" i="1"/>
  <c r="T402" i="1"/>
  <c r="S402" i="1"/>
  <c r="R402" i="1"/>
  <c r="Q402" i="1"/>
  <c r="P402" i="1"/>
  <c r="O402" i="1"/>
  <c r="N402" i="1"/>
  <c r="M402" i="1"/>
  <c r="L402" i="1"/>
  <c r="K402" i="1"/>
  <c r="J402" i="1"/>
  <c r="I402" i="1"/>
  <c r="H402" i="1"/>
  <c r="G402" i="1"/>
  <c r="F402" i="1"/>
  <c r="E402" i="1"/>
  <c r="D402" i="1"/>
  <c r="C402" i="1"/>
  <c r="AR401" i="1"/>
  <c r="AS401" i="1" s="1"/>
  <c r="AT401" i="1" s="1"/>
  <c r="AU401" i="1" s="1"/>
  <c r="AV401" i="1" s="1"/>
  <c r="AW401" i="1" s="1"/>
  <c r="AX401" i="1" s="1"/>
  <c r="AY401" i="1" s="1"/>
  <c r="AZ401" i="1" s="1"/>
  <c r="BA401" i="1" s="1"/>
  <c r="BB401" i="1" s="1"/>
  <c r="AN401" i="1"/>
  <c r="AI401" i="1"/>
  <c r="AD401" i="1"/>
  <c r="Y401" i="1"/>
  <c r="T401" i="1"/>
  <c r="AR400" i="1"/>
  <c r="AS400" i="1" s="1"/>
  <c r="AT400" i="1" s="1"/>
  <c r="AU400" i="1" s="1"/>
  <c r="AV400" i="1" s="1"/>
  <c r="AW400" i="1" s="1"/>
  <c r="AX400" i="1" s="1"/>
  <c r="AY400" i="1" s="1"/>
  <c r="AZ400" i="1" s="1"/>
  <c r="BA400" i="1" s="1"/>
  <c r="BB400" i="1" s="1"/>
  <c r="AN400" i="1"/>
  <c r="AI400" i="1"/>
  <c r="AD400" i="1"/>
  <c r="Y400" i="1"/>
  <c r="T400" i="1"/>
  <c r="AX399" i="1"/>
  <c r="AY399" i="1" s="1"/>
  <c r="AZ399" i="1" s="1"/>
  <c r="BA399" i="1" s="1"/>
  <c r="BB399" i="1" s="1"/>
  <c r="AR399" i="1"/>
  <c r="AS399" i="1" s="1"/>
  <c r="AT399" i="1" s="1"/>
  <c r="AU399" i="1" s="1"/>
  <c r="AV399" i="1" s="1"/>
  <c r="AW399" i="1" s="1"/>
  <c r="AN399" i="1"/>
  <c r="AI399" i="1"/>
  <c r="AD399" i="1"/>
  <c r="Y399" i="1"/>
  <c r="T399" i="1"/>
  <c r="AR398" i="1"/>
  <c r="AS398" i="1" s="1"/>
  <c r="AT398" i="1" s="1"/>
  <c r="AU398" i="1" s="1"/>
  <c r="AV398" i="1" s="1"/>
  <c r="AW398" i="1" s="1"/>
  <c r="AX398" i="1" s="1"/>
  <c r="AY398" i="1" s="1"/>
  <c r="AZ398" i="1" s="1"/>
  <c r="BA398" i="1" s="1"/>
  <c r="BB398" i="1" s="1"/>
  <c r="AN398" i="1"/>
  <c r="AT397" i="1"/>
  <c r="AU397" i="1" s="1"/>
  <c r="AV397" i="1" s="1"/>
  <c r="AW397" i="1" s="1"/>
  <c r="AX397" i="1" s="1"/>
  <c r="AY397" i="1" s="1"/>
  <c r="AZ397" i="1" s="1"/>
  <c r="BA397" i="1" s="1"/>
  <c r="BB397" i="1" s="1"/>
  <c r="AR397" i="1"/>
  <c r="AS397" i="1" s="1"/>
  <c r="AN397" i="1"/>
  <c r="AI397" i="1"/>
  <c r="AN396" i="1"/>
  <c r="AN402" i="1" s="1"/>
  <c r="AI396" i="1"/>
  <c r="AD396" i="1"/>
  <c r="Y396" i="1"/>
  <c r="AQ393" i="1"/>
  <c r="AP393" i="1"/>
  <c r="AO393" i="1"/>
  <c r="AO403" i="1" s="1"/>
  <c r="AN393" i="1"/>
  <c r="AN403" i="1" s="1"/>
  <c r="AM393" i="1"/>
  <c r="AL393" i="1"/>
  <c r="AK393" i="1"/>
  <c r="AK403" i="1" s="1"/>
  <c r="AJ393" i="1"/>
  <c r="AJ403" i="1" s="1"/>
  <c r="AI393" i="1"/>
  <c r="AH393" i="1"/>
  <c r="AH403" i="1" s="1"/>
  <c r="AG393" i="1"/>
  <c r="AG403" i="1" s="1"/>
  <c r="AF393" i="1"/>
  <c r="AF403" i="1" s="1"/>
  <c r="AE393" i="1"/>
  <c r="AC393" i="1"/>
  <c r="AC403" i="1" s="1"/>
  <c r="AB393" i="1"/>
  <c r="AB403" i="1" s="1"/>
  <c r="AA393" i="1"/>
  <c r="AA403" i="1" s="1"/>
  <c r="Z393" i="1"/>
  <c r="X393" i="1"/>
  <c r="W393" i="1"/>
  <c r="W403" i="1" s="1"/>
  <c r="V393" i="1"/>
  <c r="V403" i="1" s="1"/>
  <c r="U393" i="1"/>
  <c r="U403" i="1" s="1"/>
  <c r="T393" i="1"/>
  <c r="S393" i="1"/>
  <c r="R393" i="1"/>
  <c r="R403" i="1" s="1"/>
  <c r="Q393" i="1"/>
  <c r="Q403" i="1" s="1"/>
  <c r="P393" i="1"/>
  <c r="O393" i="1"/>
  <c r="O403" i="1" s="1"/>
  <c r="N393" i="1"/>
  <c r="N403" i="1" s="1"/>
  <c r="M393" i="1"/>
  <c r="M403" i="1" s="1"/>
  <c r="L393" i="1"/>
  <c r="K393" i="1"/>
  <c r="K403" i="1" s="1"/>
  <c r="J393" i="1"/>
  <c r="J403" i="1" s="1"/>
  <c r="I393" i="1"/>
  <c r="I403" i="1" s="1"/>
  <c r="H393" i="1"/>
  <c r="H403" i="1" s="1"/>
  <c r="G393" i="1"/>
  <c r="G403" i="1" s="1"/>
  <c r="F393" i="1"/>
  <c r="F403" i="1" s="1"/>
  <c r="E393" i="1"/>
  <c r="E403" i="1" s="1"/>
  <c r="D393" i="1"/>
  <c r="C393" i="1"/>
  <c r="C403" i="1" s="1"/>
  <c r="AT392" i="1"/>
  <c r="AU392" i="1" s="1"/>
  <c r="AV392" i="1" s="1"/>
  <c r="AW392" i="1" s="1"/>
  <c r="AX392" i="1" s="1"/>
  <c r="AY392" i="1" s="1"/>
  <c r="AZ392" i="1" s="1"/>
  <c r="BA392" i="1" s="1"/>
  <c r="BB392" i="1" s="1"/>
  <c r="AR392" i="1"/>
  <c r="AS392" i="1" s="1"/>
  <c r="AN392" i="1"/>
  <c r="AI392" i="1"/>
  <c r="AD392" i="1"/>
  <c r="Y392" i="1"/>
  <c r="T392" i="1"/>
  <c r="AZ391" i="1"/>
  <c r="BA391" i="1" s="1"/>
  <c r="BB391" i="1" s="1"/>
  <c r="AR391" i="1"/>
  <c r="AS391" i="1" s="1"/>
  <c r="AT391" i="1" s="1"/>
  <c r="AU391" i="1" s="1"/>
  <c r="AV391" i="1" s="1"/>
  <c r="AW391" i="1" s="1"/>
  <c r="AX391" i="1" s="1"/>
  <c r="AY391" i="1" s="1"/>
  <c r="AN391" i="1"/>
  <c r="AI391" i="1"/>
  <c r="AR390" i="1"/>
  <c r="AS390" i="1" s="1"/>
  <c r="AT390" i="1" s="1"/>
  <c r="AU390" i="1" s="1"/>
  <c r="AV390" i="1" s="1"/>
  <c r="AW390" i="1" s="1"/>
  <c r="AX390" i="1" s="1"/>
  <c r="AY390" i="1" s="1"/>
  <c r="AZ390" i="1" s="1"/>
  <c r="BA390" i="1" s="1"/>
  <c r="BB390" i="1" s="1"/>
  <c r="AN390" i="1"/>
  <c r="AI390" i="1"/>
  <c r="AD390" i="1"/>
  <c r="Y390" i="1"/>
  <c r="T390" i="1"/>
  <c r="AR389" i="1"/>
  <c r="AS389" i="1" s="1"/>
  <c r="AT389" i="1" s="1"/>
  <c r="AU389" i="1" s="1"/>
  <c r="AV389" i="1" s="1"/>
  <c r="AW389" i="1" s="1"/>
  <c r="AX389" i="1" s="1"/>
  <c r="AY389" i="1" s="1"/>
  <c r="AZ389" i="1" s="1"/>
  <c r="BA389" i="1" s="1"/>
  <c r="BB389" i="1" s="1"/>
  <c r="AN389" i="1"/>
  <c r="AI389" i="1"/>
  <c r="AD389" i="1"/>
  <c r="Y389" i="1"/>
  <c r="T389" i="1"/>
  <c r="AN388" i="1"/>
  <c r="AI388" i="1"/>
  <c r="AD388" i="1"/>
  <c r="Y388" i="1"/>
  <c r="T388" i="1"/>
  <c r="AN387" i="1"/>
  <c r="AI387" i="1"/>
  <c r="AD387" i="1"/>
  <c r="Y387" i="1"/>
  <c r="T387" i="1"/>
  <c r="AN386" i="1"/>
  <c r="AI386" i="1"/>
  <c r="AD386" i="1"/>
  <c r="Y386" i="1"/>
  <c r="Y393" i="1" s="1"/>
  <c r="T386" i="1"/>
  <c r="A371" i="1"/>
  <c r="C370" i="1"/>
  <c r="A370" i="1"/>
  <c r="A368" i="1"/>
  <c r="AY367" i="1"/>
  <c r="AQ367" i="1"/>
  <c r="AP367" i="1"/>
  <c r="AO367" i="1"/>
  <c r="AM367" i="1"/>
  <c r="AL367" i="1"/>
  <c r="AK367" i="1"/>
  <c r="AJ367" i="1"/>
  <c r="AH367" i="1"/>
  <c r="AH69" i="9" s="1"/>
  <c r="AG367" i="1"/>
  <c r="AF367" i="1"/>
  <c r="AE367" i="1"/>
  <c r="AC367" i="1"/>
  <c r="AB367" i="1"/>
  <c r="AA367" i="1"/>
  <c r="Z367" i="1"/>
  <c r="Z69" i="9" s="1"/>
  <c r="X367" i="1"/>
  <c r="W367" i="1"/>
  <c r="V367" i="1"/>
  <c r="U367" i="1"/>
  <c r="T367" i="1"/>
  <c r="S367" i="1"/>
  <c r="R367" i="1"/>
  <c r="R69" i="9" s="1"/>
  <c r="Q367" i="1"/>
  <c r="P367" i="1"/>
  <c r="O367" i="1"/>
  <c r="N367" i="1"/>
  <c r="M367" i="1"/>
  <c r="L367" i="1"/>
  <c r="K367" i="1"/>
  <c r="J367" i="1"/>
  <c r="J69" i="9" s="1"/>
  <c r="I367" i="1"/>
  <c r="H367" i="1"/>
  <c r="G367" i="1"/>
  <c r="F367" i="1"/>
  <c r="E367" i="1"/>
  <c r="D367" i="1"/>
  <c r="C367" i="1"/>
  <c r="A367" i="1"/>
  <c r="A365" i="1"/>
  <c r="AY364" i="1"/>
  <c r="AQ364" i="1"/>
  <c r="AT364" i="1" s="1"/>
  <c r="AP364" i="1"/>
  <c r="AO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G364" i="1"/>
  <c r="F364" i="1"/>
  <c r="E364" i="1"/>
  <c r="D364" i="1"/>
  <c r="C364" i="1"/>
  <c r="A364" i="1"/>
  <c r="AY363" i="1"/>
  <c r="AQ363" i="1"/>
  <c r="AT363" i="1" s="1"/>
  <c r="AP363" i="1"/>
  <c r="AO363" i="1"/>
  <c r="AM363" i="1"/>
  <c r="AL363" i="1"/>
  <c r="AK363" i="1"/>
  <c r="AJ363" i="1"/>
  <c r="AH363" i="1"/>
  <c r="AG363" i="1"/>
  <c r="AF363" i="1"/>
  <c r="AE363" i="1"/>
  <c r="AC363" i="1"/>
  <c r="AB363" i="1"/>
  <c r="AA363" i="1"/>
  <c r="Z363" i="1"/>
  <c r="X363" i="1"/>
  <c r="W363" i="1"/>
  <c r="V363" i="1"/>
  <c r="U363" i="1"/>
  <c r="T363" i="1"/>
  <c r="S363" i="1"/>
  <c r="R363" i="1"/>
  <c r="Q363" i="1"/>
  <c r="P363" i="1"/>
  <c r="O363" i="1"/>
  <c r="N363" i="1"/>
  <c r="M363" i="1"/>
  <c r="L363" i="1"/>
  <c r="K363" i="1"/>
  <c r="J363" i="1"/>
  <c r="I363" i="1"/>
  <c r="H363" i="1"/>
  <c r="G363" i="1"/>
  <c r="F363" i="1"/>
  <c r="E363" i="1"/>
  <c r="D363" i="1"/>
  <c r="C363" i="1"/>
  <c r="AY362" i="1"/>
  <c r="AQ362" i="1"/>
  <c r="AP362" i="1"/>
  <c r="AT362" i="1" s="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G362" i="1"/>
  <c r="F362" i="1"/>
  <c r="E362" i="1"/>
  <c r="D362" i="1"/>
  <c r="C362" i="1"/>
  <c r="A362" i="1"/>
  <c r="AQ361" i="1"/>
  <c r="AP361" i="1"/>
  <c r="AO361" i="1"/>
  <c r="AM361" i="1"/>
  <c r="AM365" i="1" s="1"/>
  <c r="AL361" i="1"/>
  <c r="AK361" i="1"/>
  <c r="AJ361" i="1"/>
  <c r="AH361" i="1"/>
  <c r="AG361" i="1"/>
  <c r="AF361" i="1"/>
  <c r="AE361" i="1"/>
  <c r="AC361" i="1"/>
  <c r="AB361" i="1"/>
  <c r="AA361" i="1"/>
  <c r="Z361" i="1"/>
  <c r="X361" i="1"/>
  <c r="W361" i="1"/>
  <c r="W365" i="1" s="1"/>
  <c r="V361" i="1"/>
  <c r="U361" i="1"/>
  <c r="T361" i="1"/>
  <c r="S361" i="1"/>
  <c r="R361" i="1"/>
  <c r="Q361" i="1"/>
  <c r="P361" i="1"/>
  <c r="O361" i="1"/>
  <c r="N361" i="1"/>
  <c r="M361" i="1"/>
  <c r="L361" i="1"/>
  <c r="K361" i="1"/>
  <c r="J361" i="1"/>
  <c r="I361" i="1"/>
  <c r="H361" i="1"/>
  <c r="G361" i="1"/>
  <c r="F361" i="1"/>
  <c r="E361" i="1"/>
  <c r="D361" i="1"/>
  <c r="C361" i="1"/>
  <c r="AY360" i="1"/>
  <c r="AQ360" i="1"/>
  <c r="AP360" i="1"/>
  <c r="AT360" i="1" s="1"/>
  <c r="AO360" i="1"/>
  <c r="AM360" i="1"/>
  <c r="AL360" i="1"/>
  <c r="AK360" i="1"/>
  <c r="AJ360" i="1"/>
  <c r="AH360" i="1"/>
  <c r="AG360" i="1"/>
  <c r="AF360" i="1"/>
  <c r="AE360" i="1"/>
  <c r="AC360" i="1"/>
  <c r="AB360" i="1"/>
  <c r="AA360" i="1"/>
  <c r="Z360" i="1"/>
  <c r="X360" i="1"/>
  <c r="W360" i="1"/>
  <c r="V360" i="1"/>
  <c r="U360" i="1"/>
  <c r="T360" i="1"/>
  <c r="S360" i="1"/>
  <c r="R360" i="1"/>
  <c r="Q360" i="1"/>
  <c r="P360" i="1"/>
  <c r="O360" i="1"/>
  <c r="N360" i="1"/>
  <c r="M360" i="1"/>
  <c r="L360" i="1"/>
  <c r="K360" i="1"/>
  <c r="J360" i="1"/>
  <c r="I360" i="1"/>
  <c r="H360" i="1"/>
  <c r="G360" i="1"/>
  <c r="F360" i="1"/>
  <c r="E360" i="1"/>
  <c r="D360" i="1"/>
  <c r="C360" i="1"/>
  <c r="AY359" i="1"/>
  <c r="AQ359" i="1"/>
  <c r="AP359" i="1"/>
  <c r="AT359" i="1" s="1"/>
  <c r="AO359" i="1"/>
  <c r="AM359" i="1"/>
  <c r="AL359" i="1"/>
  <c r="AK359" i="1"/>
  <c r="AJ359" i="1"/>
  <c r="AH359" i="1"/>
  <c r="AG359" i="1"/>
  <c r="AF359" i="1"/>
  <c r="AE359" i="1"/>
  <c r="AC359" i="1"/>
  <c r="AB359" i="1"/>
  <c r="AA359" i="1"/>
  <c r="Z359" i="1"/>
  <c r="X359" i="1"/>
  <c r="W359" i="1"/>
  <c r="V359" i="1"/>
  <c r="U359" i="1"/>
  <c r="T359" i="1"/>
  <c r="S359" i="1"/>
  <c r="R359" i="1"/>
  <c r="Q359" i="1"/>
  <c r="P359" i="1"/>
  <c r="O359" i="1"/>
  <c r="N359" i="1"/>
  <c r="M359" i="1"/>
  <c r="L359" i="1"/>
  <c r="K359" i="1"/>
  <c r="J359" i="1"/>
  <c r="I359" i="1"/>
  <c r="H359" i="1"/>
  <c r="G359" i="1"/>
  <c r="F359" i="1"/>
  <c r="E359" i="1"/>
  <c r="D359" i="1"/>
  <c r="C359" i="1"/>
  <c r="AY358" i="1"/>
  <c r="AT358" i="1"/>
  <c r="AQ358" i="1"/>
  <c r="AP358" i="1"/>
  <c r="AO358" i="1"/>
  <c r="AM358" i="1"/>
  <c r="AL358" i="1"/>
  <c r="AK358" i="1"/>
  <c r="AJ358" i="1"/>
  <c r="AH358" i="1"/>
  <c r="AG358" i="1"/>
  <c r="AF358" i="1"/>
  <c r="AE358" i="1"/>
  <c r="AC358" i="1"/>
  <c r="AB358" i="1"/>
  <c r="AA358" i="1"/>
  <c r="Z358" i="1"/>
  <c r="X358" i="1"/>
  <c r="W358" i="1"/>
  <c r="V358" i="1"/>
  <c r="U358" i="1"/>
  <c r="T358" i="1"/>
  <c r="S358" i="1"/>
  <c r="R358" i="1"/>
  <c r="Q358" i="1"/>
  <c r="P358" i="1"/>
  <c r="O358" i="1"/>
  <c r="N358" i="1"/>
  <c r="M358" i="1"/>
  <c r="L358" i="1"/>
  <c r="K358" i="1"/>
  <c r="J358" i="1"/>
  <c r="I358" i="1"/>
  <c r="H358" i="1"/>
  <c r="G358" i="1"/>
  <c r="F358" i="1"/>
  <c r="E358" i="1"/>
  <c r="D358" i="1"/>
  <c r="C358" i="1"/>
  <c r="AY357" i="1"/>
  <c r="AQ357" i="1"/>
  <c r="AT357" i="1" s="1"/>
  <c r="AP357" i="1"/>
  <c r="AO357" i="1"/>
  <c r="AM357" i="1"/>
  <c r="AL357" i="1"/>
  <c r="AK357" i="1"/>
  <c r="AJ357" i="1"/>
  <c r="AH357" i="1"/>
  <c r="AG357" i="1"/>
  <c r="AF357" i="1"/>
  <c r="AE357" i="1"/>
  <c r="AC357" i="1"/>
  <c r="AB357" i="1"/>
  <c r="AA357" i="1"/>
  <c r="Z357" i="1"/>
  <c r="X357" i="1"/>
  <c r="W357" i="1"/>
  <c r="V357" i="1"/>
  <c r="U357" i="1"/>
  <c r="T357" i="1"/>
  <c r="S357" i="1"/>
  <c r="R357" i="1"/>
  <c r="Q357" i="1"/>
  <c r="P357" i="1"/>
  <c r="O357" i="1"/>
  <c r="N357" i="1"/>
  <c r="M357" i="1"/>
  <c r="L357" i="1"/>
  <c r="K357" i="1"/>
  <c r="J357" i="1"/>
  <c r="I357" i="1"/>
  <c r="H357" i="1"/>
  <c r="G357" i="1"/>
  <c r="F357" i="1"/>
  <c r="E357" i="1"/>
  <c r="D357" i="1"/>
  <c r="C357" i="1"/>
  <c r="BB356" i="1"/>
  <c r="BA356" i="1"/>
  <c r="AZ356" i="1"/>
  <c r="AX356" i="1"/>
  <c r="AW356" i="1"/>
  <c r="AV356" i="1"/>
  <c r="AU356" i="1"/>
  <c r="AY356" i="1" s="1"/>
  <c r="AS356" i="1"/>
  <c r="AR356" i="1"/>
  <c r="AQ356" i="1"/>
  <c r="AT356" i="1" s="1"/>
  <c r="AP356" i="1"/>
  <c r="AO356" i="1"/>
  <c r="AM356" i="1"/>
  <c r="AL356" i="1"/>
  <c r="AK356" i="1"/>
  <c r="AJ356" i="1"/>
  <c r="AH356" i="1"/>
  <c r="AG356" i="1"/>
  <c r="AF356" i="1"/>
  <c r="AE356" i="1"/>
  <c r="AE365" i="1" s="1"/>
  <c r="AE368" i="1" s="1"/>
  <c r="AC356" i="1"/>
  <c r="AB356" i="1"/>
  <c r="AA356" i="1"/>
  <c r="Z356" i="1"/>
  <c r="X356" i="1"/>
  <c r="W356" i="1"/>
  <c r="V356" i="1"/>
  <c r="U356" i="1"/>
  <c r="T356" i="1"/>
  <c r="S356" i="1"/>
  <c r="R356" i="1"/>
  <c r="Q356" i="1"/>
  <c r="P356" i="1"/>
  <c r="O356" i="1"/>
  <c r="O365" i="1" s="1"/>
  <c r="N356" i="1"/>
  <c r="M356" i="1"/>
  <c r="L356" i="1"/>
  <c r="K356" i="1"/>
  <c r="J356" i="1"/>
  <c r="I356" i="1"/>
  <c r="H356" i="1"/>
  <c r="G356" i="1"/>
  <c r="G365" i="1" s="1"/>
  <c r="F356" i="1"/>
  <c r="E356" i="1"/>
  <c r="D356" i="1"/>
  <c r="C356" i="1"/>
  <c r="AY355" i="1"/>
  <c r="AQ355" i="1"/>
  <c r="AP355" i="1"/>
  <c r="AT355" i="1" s="1"/>
  <c r="AO355" i="1"/>
  <c r="AM355" i="1"/>
  <c r="AL355" i="1"/>
  <c r="AK355" i="1"/>
  <c r="AJ355" i="1"/>
  <c r="AH355" i="1"/>
  <c r="AG355" i="1"/>
  <c r="AF355" i="1"/>
  <c r="AE355" i="1"/>
  <c r="AC355" i="1"/>
  <c r="AB355" i="1"/>
  <c r="AA355" i="1"/>
  <c r="Z355" i="1"/>
  <c r="X355" i="1"/>
  <c r="W355" i="1"/>
  <c r="V355" i="1"/>
  <c r="U355" i="1"/>
  <c r="T355" i="1"/>
  <c r="S355" i="1"/>
  <c r="R355" i="1"/>
  <c r="Q355" i="1"/>
  <c r="P355" i="1"/>
  <c r="O355" i="1"/>
  <c r="N355" i="1"/>
  <c r="M355" i="1"/>
  <c r="L355" i="1"/>
  <c r="K355" i="1"/>
  <c r="J355" i="1"/>
  <c r="I355" i="1"/>
  <c r="H355" i="1"/>
  <c r="G355" i="1"/>
  <c r="F355" i="1"/>
  <c r="E355" i="1"/>
  <c r="D355" i="1"/>
  <c r="C355" i="1"/>
  <c r="AY354" i="1"/>
  <c r="AQ354" i="1"/>
  <c r="AQ365" i="1" s="1"/>
  <c r="AP354" i="1"/>
  <c r="AT354" i="1" s="1"/>
  <c r="AO354" i="1"/>
  <c r="AM354" i="1"/>
  <c r="AL354" i="1"/>
  <c r="AK354" i="1"/>
  <c r="AJ354" i="1"/>
  <c r="AH354" i="1"/>
  <c r="AG354" i="1"/>
  <c r="AF354" i="1"/>
  <c r="AE354" i="1"/>
  <c r="AC354" i="1"/>
  <c r="AB354" i="1"/>
  <c r="AA354" i="1"/>
  <c r="Z354" i="1"/>
  <c r="X354" i="1"/>
  <c r="W354" i="1"/>
  <c r="V354" i="1"/>
  <c r="U354" i="1"/>
  <c r="T354" i="1"/>
  <c r="S354" i="1"/>
  <c r="R354" i="1"/>
  <c r="Q354" i="1"/>
  <c r="P354" i="1"/>
  <c r="O354" i="1"/>
  <c r="N354" i="1"/>
  <c r="M354" i="1"/>
  <c r="L354" i="1"/>
  <c r="K354" i="1"/>
  <c r="J354" i="1"/>
  <c r="I354" i="1"/>
  <c r="H354" i="1"/>
  <c r="G354" i="1"/>
  <c r="F354" i="1"/>
  <c r="E354" i="1"/>
  <c r="D354" i="1"/>
  <c r="C354" i="1"/>
  <c r="BB353" i="1"/>
  <c r="BA353" i="1"/>
  <c r="AZ353" i="1"/>
  <c r="AX353" i="1"/>
  <c r="AW353" i="1"/>
  <c r="AV353" i="1"/>
  <c r="AU353" i="1"/>
  <c r="AY353" i="1" s="1"/>
  <c r="AS353" i="1"/>
  <c r="AR353" i="1"/>
  <c r="AQ353" i="1"/>
  <c r="AP353" i="1"/>
  <c r="AT353" i="1" s="1"/>
  <c r="AO353" i="1"/>
  <c r="AM353" i="1"/>
  <c r="AL353" i="1"/>
  <c r="AK353" i="1"/>
  <c r="AJ353" i="1"/>
  <c r="AH353" i="1"/>
  <c r="AG353" i="1"/>
  <c r="AF353" i="1"/>
  <c r="AE353" i="1"/>
  <c r="AC353" i="1"/>
  <c r="AB353" i="1"/>
  <c r="AA353" i="1"/>
  <c r="Z353" i="1"/>
  <c r="X353" i="1"/>
  <c r="W353" i="1"/>
  <c r="V353" i="1"/>
  <c r="U353" i="1"/>
  <c r="T353" i="1"/>
  <c r="S353" i="1"/>
  <c r="R353" i="1"/>
  <c r="Q353" i="1"/>
  <c r="P353" i="1"/>
  <c r="O353" i="1"/>
  <c r="N353" i="1"/>
  <c r="M353" i="1"/>
  <c r="L353" i="1"/>
  <c r="K353" i="1"/>
  <c r="J353" i="1"/>
  <c r="I353" i="1"/>
  <c r="H353" i="1"/>
  <c r="G353" i="1"/>
  <c r="F353" i="1"/>
  <c r="E353" i="1"/>
  <c r="D353" i="1"/>
  <c r="C353" i="1"/>
  <c r="AY352" i="1"/>
  <c r="AT352" i="1"/>
  <c r="AQ352" i="1"/>
  <c r="AP352" i="1"/>
  <c r="AO352" i="1"/>
  <c r="AO365" i="1" s="1"/>
  <c r="AM352" i="1"/>
  <c r="AL352" i="1"/>
  <c r="AL365" i="1" s="1"/>
  <c r="AK352" i="1"/>
  <c r="AK365" i="1" s="1"/>
  <c r="AJ352" i="1"/>
  <c r="AJ365" i="1" s="1"/>
  <c r="AH352" i="1"/>
  <c r="AG352" i="1"/>
  <c r="AF352" i="1"/>
  <c r="AE352" i="1"/>
  <c r="AC352" i="1"/>
  <c r="AB352" i="1"/>
  <c r="AB365" i="1" s="1"/>
  <c r="AA352" i="1"/>
  <c r="Z352" i="1"/>
  <c r="X352" i="1"/>
  <c r="W352" i="1"/>
  <c r="V352" i="1"/>
  <c r="V365" i="1" s="1"/>
  <c r="U352" i="1"/>
  <c r="U365" i="1" s="1"/>
  <c r="T352" i="1"/>
  <c r="T365" i="1" s="1"/>
  <c r="S352" i="1"/>
  <c r="R352" i="1"/>
  <c r="Q352" i="1"/>
  <c r="Q365" i="1" s="1"/>
  <c r="P352" i="1"/>
  <c r="O352" i="1"/>
  <c r="N352" i="1"/>
  <c r="N365" i="1" s="1"/>
  <c r="M352" i="1"/>
  <c r="M365" i="1" s="1"/>
  <c r="L352" i="1"/>
  <c r="L365" i="1" s="1"/>
  <c r="K352" i="1"/>
  <c r="J352" i="1"/>
  <c r="I352" i="1"/>
  <c r="I365" i="1" s="1"/>
  <c r="H352" i="1"/>
  <c r="G352" i="1"/>
  <c r="F352" i="1"/>
  <c r="F365" i="1" s="1"/>
  <c r="E352" i="1"/>
  <c r="E365" i="1" s="1"/>
  <c r="D352" i="1"/>
  <c r="D365" i="1" s="1"/>
  <c r="C352" i="1"/>
  <c r="A351" i="1"/>
  <c r="BA349" i="1"/>
  <c r="AS349" i="1"/>
  <c r="Q349" i="1"/>
  <c r="I349" i="1"/>
  <c r="A349" i="1"/>
  <c r="AY348" i="1"/>
  <c r="AQ348" i="1"/>
  <c r="AP348" i="1"/>
  <c r="AT348" i="1" s="1"/>
  <c r="AO348" i="1"/>
  <c r="AM348" i="1"/>
  <c r="AL348" i="1"/>
  <c r="AK348" i="1"/>
  <c r="AJ348" i="1"/>
  <c r="AH348" i="1"/>
  <c r="AG348" i="1"/>
  <c r="AF348" i="1"/>
  <c r="AE348" i="1"/>
  <c r="AC348" i="1"/>
  <c r="AB348" i="1"/>
  <c r="AA348" i="1"/>
  <c r="Z348" i="1"/>
  <c r="X348" i="1"/>
  <c r="W348" i="1"/>
  <c r="V348" i="1"/>
  <c r="U348" i="1"/>
  <c r="T348" i="1"/>
  <c r="S348" i="1"/>
  <c r="R348" i="1"/>
  <c r="Q348" i="1"/>
  <c r="P348" i="1"/>
  <c r="O348" i="1"/>
  <c r="N348" i="1"/>
  <c r="M348" i="1"/>
  <c r="L348" i="1"/>
  <c r="K348" i="1"/>
  <c r="J348" i="1"/>
  <c r="I348" i="1"/>
  <c r="H348" i="1"/>
  <c r="G348" i="1"/>
  <c r="F348" i="1"/>
  <c r="E348" i="1"/>
  <c r="D348" i="1"/>
  <c r="C348" i="1"/>
  <c r="A348" i="1"/>
  <c r="BB347" i="1"/>
  <c r="BA347" i="1"/>
  <c r="AZ347" i="1"/>
  <c r="AX347" i="1"/>
  <c r="AX349" i="1" s="1"/>
  <c r="AW347" i="1"/>
  <c r="AV347" i="1"/>
  <c r="AY347" i="1" s="1"/>
  <c r="AU347" i="1"/>
  <c r="AS347" i="1"/>
  <c r="AR347" i="1"/>
  <c r="AQ347" i="1"/>
  <c r="AP347" i="1"/>
  <c r="AO347" i="1"/>
  <c r="AM347" i="1"/>
  <c r="AL347" i="1"/>
  <c r="AK347" i="1"/>
  <c r="AJ347" i="1"/>
  <c r="AH347" i="1"/>
  <c r="AH349" i="1" s="1"/>
  <c r="AG347" i="1"/>
  <c r="AF347" i="1"/>
  <c r="AE347" i="1"/>
  <c r="AC347" i="1"/>
  <c r="AB347" i="1"/>
  <c r="AA347" i="1"/>
  <c r="Z347" i="1"/>
  <c r="Z349" i="1" s="1"/>
  <c r="X347" i="1"/>
  <c r="W347" i="1"/>
  <c r="V347" i="1"/>
  <c r="U347" i="1"/>
  <c r="T347" i="1"/>
  <c r="S347" i="1"/>
  <c r="R347" i="1"/>
  <c r="R349" i="1" s="1"/>
  <c r="Q347" i="1"/>
  <c r="P347" i="1"/>
  <c r="O347" i="1"/>
  <c r="N347" i="1"/>
  <c r="M347" i="1"/>
  <c r="L347" i="1"/>
  <c r="K347" i="1"/>
  <c r="J347" i="1"/>
  <c r="J349" i="1" s="1"/>
  <c r="I347" i="1"/>
  <c r="H347" i="1"/>
  <c r="G347" i="1"/>
  <c r="F347" i="1"/>
  <c r="E347" i="1"/>
  <c r="D347" i="1"/>
  <c r="C347" i="1"/>
  <c r="A347" i="1"/>
  <c r="BB346" i="1"/>
  <c r="BB449" i="1" s="1"/>
  <c r="BA346" i="1"/>
  <c r="BA449" i="1" s="1"/>
  <c r="AZ346" i="1"/>
  <c r="AZ449" i="1" s="1"/>
  <c r="AX346" i="1"/>
  <c r="AX449" i="1" s="1"/>
  <c r="AW346" i="1"/>
  <c r="AW449" i="1" s="1"/>
  <c r="AV346" i="1"/>
  <c r="AV449" i="1" s="1"/>
  <c r="AU346" i="1"/>
  <c r="AS346" i="1"/>
  <c r="AS449" i="1" s="1"/>
  <c r="AR346" i="1"/>
  <c r="AR449" i="1" s="1"/>
  <c r="AQ346" i="1"/>
  <c r="AP346" i="1"/>
  <c r="AO346" i="1"/>
  <c r="AM346" i="1"/>
  <c r="AL346" i="1"/>
  <c r="AK346" i="1"/>
  <c r="AJ346" i="1"/>
  <c r="AH346" i="1"/>
  <c r="AG346" i="1"/>
  <c r="AF346" i="1"/>
  <c r="AE346" i="1"/>
  <c r="AC346" i="1"/>
  <c r="AB346" i="1"/>
  <c r="AA346" i="1"/>
  <c r="Z346" i="1"/>
  <c r="X346" i="1"/>
  <c r="W346" i="1"/>
  <c r="V346" i="1"/>
  <c r="U346" i="1"/>
  <c r="U349" i="1" s="1"/>
  <c r="T346" i="1"/>
  <c r="S346" i="1"/>
  <c r="R346" i="1"/>
  <c r="Q346" i="1"/>
  <c r="P346" i="1"/>
  <c r="O346" i="1"/>
  <c r="N346" i="1"/>
  <c r="M346" i="1"/>
  <c r="L346" i="1"/>
  <c r="K346" i="1"/>
  <c r="J346" i="1"/>
  <c r="I346" i="1"/>
  <c r="H346" i="1"/>
  <c r="G346" i="1"/>
  <c r="F346" i="1"/>
  <c r="E346" i="1"/>
  <c r="E349" i="1" s="1"/>
  <c r="D346" i="1"/>
  <c r="C346" i="1"/>
  <c r="A346" i="1"/>
  <c r="AY345" i="1"/>
  <c r="AQ345" i="1"/>
  <c r="AT345" i="1" s="1"/>
  <c r="AP345" i="1"/>
  <c r="AO345" i="1"/>
  <c r="AM345" i="1"/>
  <c r="AM349" i="1" s="1"/>
  <c r="AL345" i="1"/>
  <c r="AK345" i="1"/>
  <c r="AJ345" i="1"/>
  <c r="AI345" i="1"/>
  <c r="AH345" i="1"/>
  <c r="AG345" i="1"/>
  <c r="AF345" i="1"/>
  <c r="AE345" i="1"/>
  <c r="AE349" i="1" s="1"/>
  <c r="AD345" i="1"/>
  <c r="AC345" i="1"/>
  <c r="AB345" i="1"/>
  <c r="AA345" i="1"/>
  <c r="Z345" i="1"/>
  <c r="Y345" i="1"/>
  <c r="X345" i="1"/>
  <c r="W345" i="1"/>
  <c r="W349" i="1" s="1"/>
  <c r="V345" i="1"/>
  <c r="U345" i="1"/>
  <c r="T345" i="1"/>
  <c r="S345" i="1"/>
  <c r="R345" i="1"/>
  <c r="Q345" i="1"/>
  <c r="P345" i="1"/>
  <c r="O345" i="1"/>
  <c r="O349" i="1" s="1"/>
  <c r="N345" i="1"/>
  <c r="M345" i="1"/>
  <c r="L345" i="1"/>
  <c r="K345" i="1"/>
  <c r="J345" i="1"/>
  <c r="I345" i="1"/>
  <c r="H345" i="1"/>
  <c r="G345" i="1"/>
  <c r="G349" i="1" s="1"/>
  <c r="F345" i="1"/>
  <c r="E345" i="1"/>
  <c r="D345" i="1"/>
  <c r="C345" i="1"/>
  <c r="A345" i="1"/>
  <c r="BB344" i="1"/>
  <c r="BB349" i="1" s="1"/>
  <c r="BA344" i="1"/>
  <c r="AZ344" i="1"/>
  <c r="AZ349" i="1" s="1"/>
  <c r="AX344" i="1"/>
  <c r="AW344" i="1"/>
  <c r="AW349" i="1" s="1"/>
  <c r="AV344" i="1"/>
  <c r="AV349" i="1" s="1"/>
  <c r="AU344" i="1"/>
  <c r="AS344" i="1"/>
  <c r="AR344" i="1"/>
  <c r="AT344" i="1" s="1"/>
  <c r="AQ344" i="1"/>
  <c r="AP344" i="1"/>
  <c r="AO344" i="1"/>
  <c r="AO349" i="1" s="1"/>
  <c r="AM344" i="1"/>
  <c r="AL344" i="1"/>
  <c r="AL349" i="1" s="1"/>
  <c r="AK344" i="1"/>
  <c r="AJ344" i="1"/>
  <c r="AJ349" i="1" s="1"/>
  <c r="AH344" i="1"/>
  <c r="AG344" i="1"/>
  <c r="AG349" i="1" s="1"/>
  <c r="AF344" i="1"/>
  <c r="AF349" i="1" s="1"/>
  <c r="AE344" i="1"/>
  <c r="AC344" i="1"/>
  <c r="AB344" i="1"/>
  <c r="AB349" i="1" s="1"/>
  <c r="AA344" i="1"/>
  <c r="AA349" i="1" s="1"/>
  <c r="Z344" i="1"/>
  <c r="Y344" i="1"/>
  <c r="X344" i="1"/>
  <c r="X349" i="1" s="1"/>
  <c r="W344" i="1"/>
  <c r="V344" i="1"/>
  <c r="V349" i="1" s="1"/>
  <c r="U344" i="1"/>
  <c r="T344" i="1"/>
  <c r="T349" i="1" s="1"/>
  <c r="S344" i="1"/>
  <c r="S349" i="1" s="1"/>
  <c r="R344" i="1"/>
  <c r="Q344" i="1"/>
  <c r="P344" i="1"/>
  <c r="P349" i="1" s="1"/>
  <c r="O344" i="1"/>
  <c r="N344" i="1"/>
  <c r="N349" i="1" s="1"/>
  <c r="M344" i="1"/>
  <c r="L344" i="1"/>
  <c r="L349" i="1" s="1"/>
  <c r="K344" i="1"/>
  <c r="K349" i="1" s="1"/>
  <c r="J344" i="1"/>
  <c r="I344" i="1"/>
  <c r="H344" i="1"/>
  <c r="H349" i="1" s="1"/>
  <c r="G344" i="1"/>
  <c r="F344" i="1"/>
  <c r="F349" i="1" s="1"/>
  <c r="E344" i="1"/>
  <c r="D344" i="1"/>
  <c r="D349" i="1" s="1"/>
  <c r="C344" i="1"/>
  <c r="C349" i="1" s="1"/>
  <c r="A344" i="1"/>
  <c r="A343" i="1"/>
  <c r="A341" i="1"/>
  <c r="AY340" i="1"/>
  <c r="AQ340" i="1"/>
  <c r="AP340" i="1"/>
  <c r="AT340" i="1" s="1"/>
  <c r="AO340" i="1"/>
  <c r="AM340" i="1"/>
  <c r="AL340" i="1"/>
  <c r="AK340" i="1"/>
  <c r="AJ340" i="1"/>
  <c r="AH340" i="1"/>
  <c r="AG340" i="1"/>
  <c r="AF340" i="1"/>
  <c r="AE340" i="1"/>
  <c r="AC340" i="1"/>
  <c r="AB340" i="1"/>
  <c r="AA340" i="1"/>
  <c r="Z340" i="1"/>
  <c r="X340" i="1"/>
  <c r="W340" i="1"/>
  <c r="V340" i="1"/>
  <c r="U340" i="1"/>
  <c r="T340" i="1"/>
  <c r="S340" i="1"/>
  <c r="R340" i="1"/>
  <c r="Q340" i="1"/>
  <c r="P340" i="1"/>
  <c r="O340" i="1"/>
  <c r="N340" i="1"/>
  <c r="M340" i="1"/>
  <c r="L340" i="1"/>
  <c r="K340" i="1"/>
  <c r="J340" i="1"/>
  <c r="I340" i="1"/>
  <c r="H340" i="1"/>
  <c r="G340" i="1"/>
  <c r="F340" i="1"/>
  <c r="E340" i="1"/>
  <c r="D340" i="1"/>
  <c r="C340" i="1"/>
  <c r="A340" i="1"/>
  <c r="AY339" i="1"/>
  <c r="AQ339" i="1"/>
  <c r="AP339" i="1"/>
  <c r="AT339" i="1" s="1"/>
  <c r="AO339" i="1"/>
  <c r="AM339" i="1"/>
  <c r="AL339" i="1"/>
  <c r="AK339" i="1"/>
  <c r="AJ339" i="1"/>
  <c r="AH339" i="1"/>
  <c r="AG339" i="1"/>
  <c r="AF339" i="1"/>
  <c r="AE339" i="1"/>
  <c r="AD339" i="1"/>
  <c r="AC339" i="1"/>
  <c r="AB339" i="1"/>
  <c r="AA339" i="1"/>
  <c r="Z339" i="1"/>
  <c r="X339" i="1"/>
  <c r="W339" i="1"/>
  <c r="V339" i="1"/>
  <c r="U339" i="1"/>
  <c r="T339" i="1"/>
  <c r="S339" i="1"/>
  <c r="R339" i="1"/>
  <c r="Q339" i="1"/>
  <c r="P339" i="1"/>
  <c r="O339" i="1"/>
  <c r="N339" i="1"/>
  <c r="M339" i="1"/>
  <c r="L339" i="1"/>
  <c r="K339" i="1"/>
  <c r="J339" i="1"/>
  <c r="I339" i="1"/>
  <c r="H339" i="1"/>
  <c r="G339" i="1"/>
  <c r="F339" i="1"/>
  <c r="E339" i="1"/>
  <c r="D339" i="1"/>
  <c r="C339" i="1"/>
  <c r="A339" i="1"/>
  <c r="AY338" i="1"/>
  <c r="AQ338" i="1"/>
  <c r="AP338" i="1"/>
  <c r="AT338" i="1" s="1"/>
  <c r="AO338" i="1"/>
  <c r="AN338" i="1"/>
  <c r="AM338" i="1"/>
  <c r="AL338" i="1"/>
  <c r="AK338" i="1"/>
  <c r="AJ338" i="1"/>
  <c r="AI338" i="1"/>
  <c r="AH338" i="1"/>
  <c r="AG338" i="1"/>
  <c r="AF338" i="1"/>
  <c r="AE338" i="1"/>
  <c r="AD338" i="1"/>
  <c r="AC338" i="1"/>
  <c r="AB338" i="1"/>
  <c r="AA338" i="1"/>
  <c r="Z338" i="1"/>
  <c r="Y338" i="1"/>
  <c r="X338" i="1"/>
  <c r="W338" i="1"/>
  <c r="V338" i="1"/>
  <c r="U338" i="1"/>
  <c r="T338" i="1"/>
  <c r="S338" i="1"/>
  <c r="R338" i="1"/>
  <c r="Q338" i="1"/>
  <c r="P338" i="1"/>
  <c r="O338" i="1"/>
  <c r="N338" i="1"/>
  <c r="M338" i="1"/>
  <c r="L338" i="1"/>
  <c r="K338" i="1"/>
  <c r="J338" i="1"/>
  <c r="I338" i="1"/>
  <c r="H338" i="1"/>
  <c r="G338" i="1"/>
  <c r="F338" i="1"/>
  <c r="E338" i="1"/>
  <c r="D338" i="1"/>
  <c r="C338" i="1"/>
  <c r="A338" i="1"/>
  <c r="AY337" i="1"/>
  <c r="AT337" i="1"/>
  <c r="AQ337" i="1"/>
  <c r="AP337" i="1"/>
  <c r="AO337" i="1"/>
  <c r="AM337" i="1"/>
  <c r="AL337" i="1"/>
  <c r="AK337" i="1"/>
  <c r="AJ337" i="1"/>
  <c r="AH337" i="1"/>
  <c r="AG337" i="1"/>
  <c r="AF337" i="1"/>
  <c r="AE337" i="1"/>
  <c r="AC337" i="1"/>
  <c r="AB337" i="1"/>
  <c r="AA337" i="1"/>
  <c r="Z337" i="1"/>
  <c r="X337" i="1"/>
  <c r="W337" i="1"/>
  <c r="V337" i="1"/>
  <c r="U337" i="1"/>
  <c r="T337" i="1"/>
  <c r="S337" i="1"/>
  <c r="R337" i="1"/>
  <c r="Q337" i="1"/>
  <c r="P337" i="1"/>
  <c r="O337" i="1"/>
  <c r="N337" i="1"/>
  <c r="M337" i="1"/>
  <c r="L337" i="1"/>
  <c r="K337" i="1"/>
  <c r="J337" i="1"/>
  <c r="I337" i="1"/>
  <c r="H337" i="1"/>
  <c r="G337" i="1"/>
  <c r="F337" i="1"/>
  <c r="E337" i="1"/>
  <c r="D337" i="1"/>
  <c r="C337" i="1"/>
  <c r="A337" i="1"/>
  <c r="AY336" i="1"/>
  <c r="AQ336" i="1"/>
  <c r="AP336" i="1"/>
  <c r="AT336" i="1" s="1"/>
  <c r="AO336" i="1"/>
  <c r="AM336" i="1"/>
  <c r="AL336" i="1"/>
  <c r="AK336" i="1"/>
  <c r="AJ336" i="1"/>
  <c r="AH336" i="1"/>
  <c r="AG336" i="1"/>
  <c r="AF336" i="1"/>
  <c r="AE336" i="1"/>
  <c r="AC336" i="1"/>
  <c r="AB336" i="1"/>
  <c r="AA336" i="1"/>
  <c r="Z336" i="1"/>
  <c r="X336" i="1"/>
  <c r="W336" i="1"/>
  <c r="V336" i="1"/>
  <c r="U336" i="1"/>
  <c r="T336" i="1"/>
  <c r="S336" i="1"/>
  <c r="R336" i="1"/>
  <c r="Q336" i="1"/>
  <c r="P336" i="1"/>
  <c r="O336" i="1"/>
  <c r="N336" i="1"/>
  <c r="M336" i="1"/>
  <c r="L336" i="1"/>
  <c r="K336" i="1"/>
  <c r="I336" i="1"/>
  <c r="H336" i="1"/>
  <c r="G336" i="1"/>
  <c r="F336" i="1"/>
  <c r="E336" i="1"/>
  <c r="D336" i="1"/>
  <c r="C336" i="1"/>
  <c r="A336" i="1"/>
  <c r="AY335" i="1"/>
  <c r="AT335" i="1"/>
  <c r="AQ335" i="1"/>
  <c r="AP335" i="1"/>
  <c r="AO335" i="1"/>
  <c r="AM335" i="1"/>
  <c r="AL335" i="1"/>
  <c r="AK335" i="1"/>
  <c r="AJ335" i="1"/>
  <c r="AH335" i="1"/>
  <c r="AG335" i="1"/>
  <c r="AF335" i="1"/>
  <c r="AE335" i="1"/>
  <c r="AC335" i="1"/>
  <c r="AB335" i="1"/>
  <c r="AA335" i="1"/>
  <c r="Z335" i="1"/>
  <c r="X335" i="1"/>
  <c r="W335" i="1"/>
  <c r="V335" i="1"/>
  <c r="U335" i="1"/>
  <c r="S335" i="1"/>
  <c r="R335" i="1"/>
  <c r="Q335" i="1"/>
  <c r="P335" i="1"/>
  <c r="O335" i="1"/>
  <c r="N335" i="1"/>
  <c r="M335" i="1"/>
  <c r="L335" i="1"/>
  <c r="K335" i="1"/>
  <c r="I335" i="1"/>
  <c r="H335" i="1"/>
  <c r="G335" i="1"/>
  <c r="F335" i="1"/>
  <c r="E335" i="1"/>
  <c r="D335" i="1"/>
  <c r="C335" i="1"/>
  <c r="A335" i="1"/>
  <c r="AY334" i="1"/>
  <c r="AQ334" i="1"/>
  <c r="AP334" i="1"/>
  <c r="AO334" i="1"/>
  <c r="AM334" i="1"/>
  <c r="AL334" i="1"/>
  <c r="AK334" i="1"/>
  <c r="AJ334" i="1"/>
  <c r="AH334" i="1"/>
  <c r="AG334" i="1"/>
  <c r="AF334" i="1"/>
  <c r="AE334" i="1"/>
  <c r="AC334" i="1"/>
  <c r="AB334" i="1"/>
  <c r="AA334" i="1"/>
  <c r="Z334" i="1"/>
  <c r="X334" i="1"/>
  <c r="W334" i="1"/>
  <c r="V334" i="1"/>
  <c r="U334" i="1"/>
  <c r="T334" i="1"/>
  <c r="S334" i="1"/>
  <c r="R334" i="1"/>
  <c r="Q334" i="1"/>
  <c r="P334" i="1"/>
  <c r="O334" i="1"/>
  <c r="N334" i="1"/>
  <c r="M334" i="1"/>
  <c r="L334" i="1"/>
  <c r="K334" i="1"/>
  <c r="J334" i="1"/>
  <c r="I334" i="1"/>
  <c r="H334" i="1"/>
  <c r="G334" i="1"/>
  <c r="F334" i="1"/>
  <c r="E334" i="1"/>
  <c r="D334" i="1"/>
  <c r="C334" i="1"/>
  <c r="A334" i="1"/>
  <c r="AQ333" i="1"/>
  <c r="AP333" i="1"/>
  <c r="AO333" i="1"/>
  <c r="AM333" i="1"/>
  <c r="AL333" i="1"/>
  <c r="AK333" i="1"/>
  <c r="AJ333" i="1"/>
  <c r="AH333" i="1"/>
  <c r="AG333" i="1"/>
  <c r="AF333" i="1"/>
  <c r="AE333" i="1"/>
  <c r="AC333" i="1"/>
  <c r="AB333" i="1"/>
  <c r="AA333" i="1"/>
  <c r="Z333" i="1"/>
  <c r="X333" i="1"/>
  <c r="W333" i="1"/>
  <c r="V333" i="1"/>
  <c r="U333" i="1"/>
  <c r="T333" i="1"/>
  <c r="S333" i="1"/>
  <c r="R333" i="1"/>
  <c r="Q333" i="1"/>
  <c r="P333" i="1"/>
  <c r="O333" i="1"/>
  <c r="N333" i="1"/>
  <c r="M333" i="1"/>
  <c r="L333" i="1"/>
  <c r="K333" i="1"/>
  <c r="J333" i="1"/>
  <c r="I333" i="1"/>
  <c r="H333" i="1"/>
  <c r="G333" i="1"/>
  <c r="F333" i="1"/>
  <c r="E333" i="1"/>
  <c r="D333" i="1"/>
  <c r="C333" i="1"/>
  <c r="A333" i="1"/>
  <c r="AQ332" i="1"/>
  <c r="AP332" i="1"/>
  <c r="AO332" i="1"/>
  <c r="AN332" i="1"/>
  <c r="AM332" i="1"/>
  <c r="AL332" i="1"/>
  <c r="AK332" i="1"/>
  <c r="AJ332" i="1"/>
  <c r="AH332" i="1"/>
  <c r="AG332" i="1"/>
  <c r="AF332" i="1"/>
  <c r="AE332" i="1"/>
  <c r="AC332" i="1"/>
  <c r="AB332" i="1"/>
  <c r="AA332" i="1"/>
  <c r="Z332" i="1"/>
  <c r="X332" i="1"/>
  <c r="W332" i="1"/>
  <c r="V332" i="1"/>
  <c r="U332" i="1"/>
  <c r="T332" i="1"/>
  <c r="S332" i="1"/>
  <c r="R332" i="1"/>
  <c r="Q332" i="1"/>
  <c r="P332" i="1"/>
  <c r="O332" i="1"/>
  <c r="N332" i="1"/>
  <c r="M332" i="1"/>
  <c r="L332" i="1"/>
  <c r="K332" i="1"/>
  <c r="J332" i="1"/>
  <c r="I332" i="1"/>
  <c r="H332" i="1"/>
  <c r="G332" i="1"/>
  <c r="F332" i="1"/>
  <c r="E332" i="1"/>
  <c r="D332" i="1"/>
  <c r="C332" i="1"/>
  <c r="A332" i="1"/>
  <c r="AQ331" i="1"/>
  <c r="AP331" i="1"/>
  <c r="AO331" i="1"/>
  <c r="AO66" i="9" s="1"/>
  <c r="AM331" i="1"/>
  <c r="AL331" i="1"/>
  <c r="AK331" i="1"/>
  <c r="AK66" i="9" s="1"/>
  <c r="AJ331" i="1"/>
  <c r="AH331" i="1"/>
  <c r="AG331" i="1"/>
  <c r="AG66" i="9" s="1"/>
  <c r="AF331" i="1"/>
  <c r="AE331" i="1"/>
  <c r="AE66" i="9" s="1"/>
  <c r="AC331" i="1"/>
  <c r="AC66" i="9" s="1"/>
  <c r="AB331" i="1"/>
  <c r="AA331" i="1"/>
  <c r="Z331" i="1"/>
  <c r="X331" i="1"/>
  <c r="W331" i="1"/>
  <c r="V331" i="1"/>
  <c r="U331" i="1"/>
  <c r="T331" i="1"/>
  <c r="S331" i="1"/>
  <c r="R331" i="1"/>
  <c r="Q331" i="1"/>
  <c r="Q66" i="9" s="1"/>
  <c r="P331" i="1"/>
  <c r="O331" i="1"/>
  <c r="N331" i="1"/>
  <c r="M331" i="1"/>
  <c r="L331" i="1"/>
  <c r="K331" i="1"/>
  <c r="J331" i="1"/>
  <c r="I331" i="1"/>
  <c r="I66" i="9" s="1"/>
  <c r="H331" i="1"/>
  <c r="G331" i="1"/>
  <c r="F331" i="1"/>
  <c r="E331" i="1"/>
  <c r="D331" i="1"/>
  <c r="C331" i="1"/>
  <c r="A331" i="1"/>
  <c r="AE330" i="1"/>
  <c r="AE341" i="1" s="1"/>
  <c r="O330" i="1"/>
  <c r="A330" i="1"/>
  <c r="AY329" i="1"/>
  <c r="AQ329" i="1"/>
  <c r="AP329" i="1"/>
  <c r="AO329" i="1"/>
  <c r="AM329" i="1"/>
  <c r="AL329" i="1"/>
  <c r="AK329" i="1"/>
  <c r="AJ329" i="1"/>
  <c r="AH329" i="1"/>
  <c r="AG329" i="1"/>
  <c r="AF329" i="1"/>
  <c r="AE329" i="1"/>
  <c r="AC329" i="1"/>
  <c r="AB329" i="1"/>
  <c r="AA329" i="1"/>
  <c r="Z329" i="1"/>
  <c r="X329" i="1"/>
  <c r="W329" i="1"/>
  <c r="V329" i="1"/>
  <c r="U329" i="1"/>
  <c r="T329" i="1"/>
  <c r="S329" i="1"/>
  <c r="R329" i="1"/>
  <c r="Q329" i="1"/>
  <c r="P329" i="1"/>
  <c r="O329" i="1"/>
  <c r="N329" i="1"/>
  <c r="M329" i="1"/>
  <c r="L329" i="1"/>
  <c r="K329" i="1"/>
  <c r="J329" i="1"/>
  <c r="I329" i="1"/>
  <c r="H329" i="1"/>
  <c r="G329" i="1"/>
  <c r="F329" i="1"/>
  <c r="E329" i="1"/>
  <c r="D329" i="1"/>
  <c r="C329" i="1"/>
  <c r="A329" i="1"/>
  <c r="AY328" i="1"/>
  <c r="AT328" i="1"/>
  <c r="AQ328" i="1"/>
  <c r="AP328" i="1"/>
  <c r="AO328" i="1"/>
  <c r="AM328" i="1"/>
  <c r="AL328" i="1"/>
  <c r="AK328" i="1"/>
  <c r="AJ328" i="1"/>
  <c r="AH328" i="1"/>
  <c r="AG328" i="1"/>
  <c r="AF328" i="1"/>
  <c r="AE328" i="1"/>
  <c r="AD328" i="1"/>
  <c r="AC328" i="1"/>
  <c r="AB328" i="1"/>
  <c r="AA328" i="1"/>
  <c r="Z328" i="1"/>
  <c r="X328" i="1"/>
  <c r="W328" i="1"/>
  <c r="V328" i="1"/>
  <c r="U328" i="1"/>
  <c r="T328" i="1"/>
  <c r="S328" i="1"/>
  <c r="R328" i="1"/>
  <c r="Q328" i="1"/>
  <c r="P328" i="1"/>
  <c r="O328" i="1"/>
  <c r="N328" i="1"/>
  <c r="M328" i="1"/>
  <c r="L328" i="1"/>
  <c r="K328" i="1"/>
  <c r="J328" i="1"/>
  <c r="I328" i="1"/>
  <c r="H328" i="1"/>
  <c r="G328" i="1"/>
  <c r="F328" i="1"/>
  <c r="E328" i="1"/>
  <c r="D328" i="1"/>
  <c r="C328" i="1"/>
  <c r="A328" i="1"/>
  <c r="AY327" i="1"/>
  <c r="AQ327" i="1"/>
  <c r="AP327" i="1"/>
  <c r="AT327" i="1" s="1"/>
  <c r="AO327" i="1"/>
  <c r="AM327" i="1"/>
  <c r="AL327" i="1"/>
  <c r="AK327" i="1"/>
  <c r="AJ327" i="1"/>
  <c r="AH327" i="1"/>
  <c r="AG327" i="1"/>
  <c r="AF327" i="1"/>
  <c r="AE327" i="1"/>
  <c r="AD327" i="1"/>
  <c r="AC327" i="1"/>
  <c r="AB327" i="1"/>
  <c r="AA327" i="1"/>
  <c r="Z327" i="1"/>
  <c r="Y327" i="1"/>
  <c r="X327" i="1"/>
  <c r="W327" i="1"/>
  <c r="V327" i="1"/>
  <c r="U327" i="1"/>
  <c r="T327" i="1"/>
  <c r="S327" i="1"/>
  <c r="R327" i="1"/>
  <c r="Q327" i="1"/>
  <c r="P327" i="1"/>
  <c r="O327" i="1"/>
  <c r="N327" i="1"/>
  <c r="M327" i="1"/>
  <c r="L327" i="1"/>
  <c r="K327" i="1"/>
  <c r="J327" i="1"/>
  <c r="I327" i="1"/>
  <c r="H327" i="1"/>
  <c r="G327" i="1"/>
  <c r="F327" i="1"/>
  <c r="E327" i="1"/>
  <c r="D327" i="1"/>
  <c r="C327" i="1"/>
  <c r="A327" i="1"/>
  <c r="AY326" i="1"/>
  <c r="AT326" i="1"/>
  <c r="AQ326" i="1"/>
  <c r="AP326" i="1"/>
  <c r="AO326" i="1"/>
  <c r="AM326" i="1"/>
  <c r="AL326" i="1"/>
  <c r="AK326" i="1"/>
  <c r="AJ326" i="1"/>
  <c r="AH326" i="1"/>
  <c r="AG326" i="1"/>
  <c r="AF326" i="1"/>
  <c r="AE326" i="1"/>
  <c r="AD326" i="1"/>
  <c r="AC326" i="1"/>
  <c r="AB326" i="1"/>
  <c r="AA326" i="1"/>
  <c r="Z326" i="1"/>
  <c r="Y326" i="1"/>
  <c r="X326" i="1"/>
  <c r="W326" i="1"/>
  <c r="V326" i="1"/>
  <c r="U326" i="1"/>
  <c r="T326" i="1"/>
  <c r="S326" i="1"/>
  <c r="R326" i="1"/>
  <c r="Q326" i="1"/>
  <c r="P326" i="1"/>
  <c r="O326" i="1"/>
  <c r="N326" i="1"/>
  <c r="M326" i="1"/>
  <c r="L326" i="1"/>
  <c r="K326" i="1"/>
  <c r="J326" i="1"/>
  <c r="I326" i="1"/>
  <c r="H326" i="1"/>
  <c r="G326" i="1"/>
  <c r="F326" i="1"/>
  <c r="E326" i="1"/>
  <c r="D326" i="1"/>
  <c r="C326" i="1"/>
  <c r="A326" i="1"/>
  <c r="AY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T325" i="1"/>
  <c r="S325" i="1"/>
  <c r="R325" i="1"/>
  <c r="Q325" i="1"/>
  <c r="P325" i="1"/>
  <c r="O325" i="1"/>
  <c r="N325" i="1"/>
  <c r="M325" i="1"/>
  <c r="L325" i="1"/>
  <c r="K325" i="1"/>
  <c r="J325" i="1"/>
  <c r="I325" i="1"/>
  <c r="H325" i="1"/>
  <c r="G325" i="1"/>
  <c r="F325" i="1"/>
  <c r="E325" i="1"/>
  <c r="D325" i="1"/>
  <c r="C325" i="1"/>
  <c r="A325" i="1"/>
  <c r="AY324" i="1"/>
  <c r="AQ324" i="1"/>
  <c r="AP324" i="1"/>
  <c r="AT324" i="1" s="1"/>
  <c r="AO324" i="1"/>
  <c r="AM324" i="1"/>
  <c r="AL324" i="1"/>
  <c r="AK324" i="1"/>
  <c r="AJ324" i="1"/>
  <c r="AH324" i="1"/>
  <c r="AG324" i="1"/>
  <c r="AF324" i="1"/>
  <c r="AE324" i="1"/>
  <c r="AD324" i="1"/>
  <c r="AC324" i="1"/>
  <c r="AB324" i="1"/>
  <c r="AA324" i="1"/>
  <c r="Z324" i="1"/>
  <c r="Y324" i="1"/>
  <c r="X324" i="1"/>
  <c r="W324" i="1"/>
  <c r="V324" i="1"/>
  <c r="U324" i="1"/>
  <c r="T324" i="1"/>
  <c r="S324" i="1"/>
  <c r="R324" i="1"/>
  <c r="Q324" i="1"/>
  <c r="P324" i="1"/>
  <c r="O324" i="1"/>
  <c r="N324" i="1"/>
  <c r="M324" i="1"/>
  <c r="L324" i="1"/>
  <c r="K324" i="1"/>
  <c r="J324" i="1"/>
  <c r="I324" i="1"/>
  <c r="H324" i="1"/>
  <c r="G324" i="1"/>
  <c r="F324" i="1"/>
  <c r="E324" i="1"/>
  <c r="D324" i="1"/>
  <c r="C324" i="1"/>
  <c r="A324" i="1"/>
  <c r="AY323" i="1"/>
  <c r="AQ323" i="1"/>
  <c r="AP323" i="1"/>
  <c r="AT323" i="1" s="1"/>
  <c r="AO323" i="1"/>
  <c r="AN323" i="1"/>
  <c r="AM323" i="1"/>
  <c r="AL323" i="1"/>
  <c r="AK323" i="1"/>
  <c r="AJ323" i="1"/>
  <c r="AI323" i="1"/>
  <c r="AH323" i="1"/>
  <c r="AG323" i="1"/>
  <c r="AF323" i="1"/>
  <c r="AE323" i="1"/>
  <c r="AD323" i="1"/>
  <c r="AC323" i="1"/>
  <c r="AB323" i="1"/>
  <c r="AA323" i="1"/>
  <c r="Z323" i="1"/>
  <c r="Y323" i="1"/>
  <c r="X323" i="1"/>
  <c r="W323" i="1"/>
  <c r="V323" i="1"/>
  <c r="U323" i="1"/>
  <c r="T323" i="1"/>
  <c r="S323" i="1"/>
  <c r="R323" i="1"/>
  <c r="Q323" i="1"/>
  <c r="P323" i="1"/>
  <c r="O323" i="1"/>
  <c r="N323" i="1"/>
  <c r="M323" i="1"/>
  <c r="L323" i="1"/>
  <c r="K323" i="1"/>
  <c r="J323" i="1"/>
  <c r="I323" i="1"/>
  <c r="H323" i="1"/>
  <c r="G323" i="1"/>
  <c r="F323" i="1"/>
  <c r="E323" i="1"/>
  <c r="D323" i="1"/>
  <c r="C323" i="1"/>
  <c r="A323" i="1"/>
  <c r="AY322" i="1"/>
  <c r="AQ322" i="1"/>
  <c r="AP322" i="1"/>
  <c r="AT322" i="1" s="1"/>
  <c r="AO322" i="1"/>
  <c r="AN322" i="1"/>
  <c r="AM322" i="1"/>
  <c r="AL322" i="1"/>
  <c r="AK322" i="1"/>
  <c r="AJ322" i="1"/>
  <c r="AI322" i="1"/>
  <c r="AH322" i="1"/>
  <c r="AG322" i="1"/>
  <c r="AF322" i="1"/>
  <c r="AE322" i="1"/>
  <c r="AD322" i="1"/>
  <c r="AC322" i="1"/>
  <c r="AB322" i="1"/>
  <c r="AA322" i="1"/>
  <c r="Z322" i="1"/>
  <c r="Z330" i="1" s="1"/>
  <c r="Y322" i="1"/>
  <c r="X322" i="1"/>
  <c r="W322" i="1"/>
  <c r="V322" i="1"/>
  <c r="U322" i="1"/>
  <c r="T322" i="1"/>
  <c r="S322" i="1"/>
  <c r="R322" i="1"/>
  <c r="Q322" i="1"/>
  <c r="P322" i="1"/>
  <c r="O322" i="1"/>
  <c r="N322" i="1"/>
  <c r="M322" i="1"/>
  <c r="L322" i="1"/>
  <c r="K322" i="1"/>
  <c r="J322" i="1"/>
  <c r="J330" i="1" s="1"/>
  <c r="I322" i="1"/>
  <c r="H322" i="1"/>
  <c r="G322" i="1"/>
  <c r="F322" i="1"/>
  <c r="E322" i="1"/>
  <c r="D322" i="1"/>
  <c r="C322" i="1"/>
  <c r="A322" i="1"/>
  <c r="AY321" i="1"/>
  <c r="AQ321" i="1"/>
  <c r="AP321" i="1"/>
  <c r="AO321" i="1"/>
  <c r="AM321" i="1"/>
  <c r="AL321" i="1"/>
  <c r="AK321" i="1"/>
  <c r="AJ321" i="1"/>
  <c r="AH321" i="1"/>
  <c r="AG321" i="1"/>
  <c r="AF321" i="1"/>
  <c r="AE321" i="1"/>
  <c r="AC321" i="1"/>
  <c r="AB321" i="1"/>
  <c r="AA321" i="1"/>
  <c r="Z321" i="1"/>
  <c r="X321" i="1"/>
  <c r="W321" i="1"/>
  <c r="V321" i="1"/>
  <c r="U321" i="1"/>
  <c r="T321" i="1"/>
  <c r="S321" i="1"/>
  <c r="R321" i="1"/>
  <c r="Q321" i="1"/>
  <c r="P321" i="1"/>
  <c r="O321" i="1"/>
  <c r="N321" i="1"/>
  <c r="M321" i="1"/>
  <c r="L321" i="1"/>
  <c r="K321" i="1"/>
  <c r="J321" i="1"/>
  <c r="I321" i="1"/>
  <c r="H321" i="1"/>
  <c r="G321" i="1"/>
  <c r="F321" i="1"/>
  <c r="E321" i="1"/>
  <c r="D321" i="1"/>
  <c r="C321" i="1"/>
  <c r="A321" i="1"/>
  <c r="AQ320" i="1"/>
  <c r="AP320" i="1"/>
  <c r="AO320" i="1"/>
  <c r="AM320" i="1"/>
  <c r="AL320" i="1"/>
  <c r="AK320" i="1"/>
  <c r="AJ320" i="1"/>
  <c r="AI320" i="1"/>
  <c r="AH320" i="1"/>
  <c r="AG320" i="1"/>
  <c r="AF320" i="1"/>
  <c r="AE320" i="1"/>
  <c r="AC320" i="1"/>
  <c r="AB320" i="1"/>
  <c r="AA320" i="1"/>
  <c r="Z320" i="1"/>
  <c r="X320" i="1"/>
  <c r="W320" i="1"/>
  <c r="V320" i="1"/>
  <c r="U320" i="1"/>
  <c r="T320" i="1"/>
  <c r="S320" i="1"/>
  <c r="R320" i="1"/>
  <c r="Q320" i="1"/>
  <c r="P320" i="1"/>
  <c r="O320" i="1"/>
  <c r="N320" i="1"/>
  <c r="M320" i="1"/>
  <c r="L320" i="1"/>
  <c r="K320" i="1"/>
  <c r="J320" i="1"/>
  <c r="I320" i="1"/>
  <c r="H320" i="1"/>
  <c r="G320" i="1"/>
  <c r="F320" i="1"/>
  <c r="E320" i="1"/>
  <c r="D320" i="1"/>
  <c r="C320" i="1"/>
  <c r="A320" i="1"/>
  <c r="BB319" i="1"/>
  <c r="BA319" i="1"/>
  <c r="AZ319" i="1"/>
  <c r="AX319" i="1"/>
  <c r="AW319" i="1"/>
  <c r="AV319" i="1"/>
  <c r="AU319" i="1"/>
  <c r="AS319" i="1"/>
  <c r="AR319" i="1"/>
  <c r="AQ319" i="1"/>
  <c r="AP319" i="1"/>
  <c r="AO319" i="1"/>
  <c r="AM319" i="1"/>
  <c r="AL319" i="1"/>
  <c r="AK319" i="1"/>
  <c r="AJ319" i="1"/>
  <c r="AH319" i="1"/>
  <c r="AG319" i="1"/>
  <c r="AF319" i="1"/>
  <c r="AE319" i="1"/>
  <c r="AC319" i="1"/>
  <c r="AB319" i="1"/>
  <c r="AA319" i="1"/>
  <c r="Z319" i="1"/>
  <c r="X319" i="1"/>
  <c r="W319" i="1"/>
  <c r="V319" i="1"/>
  <c r="U319" i="1"/>
  <c r="T319" i="1"/>
  <c r="S319" i="1"/>
  <c r="R319" i="1"/>
  <c r="Q319" i="1"/>
  <c r="P319" i="1"/>
  <c r="O319" i="1"/>
  <c r="N319" i="1"/>
  <c r="M319" i="1"/>
  <c r="L319" i="1"/>
  <c r="K319" i="1"/>
  <c r="J319" i="1"/>
  <c r="I319" i="1"/>
  <c r="H319" i="1"/>
  <c r="G319" i="1"/>
  <c r="F319" i="1"/>
  <c r="E319" i="1"/>
  <c r="D319" i="1"/>
  <c r="C319" i="1"/>
  <c r="A319" i="1"/>
  <c r="AY318" i="1"/>
  <c r="AT318" i="1"/>
  <c r="AQ318" i="1"/>
  <c r="AP318" i="1"/>
  <c r="AO318" i="1"/>
  <c r="AM318" i="1"/>
  <c r="AL318" i="1"/>
  <c r="AK318" i="1"/>
  <c r="AJ318" i="1"/>
  <c r="AH318" i="1"/>
  <c r="AG318" i="1"/>
  <c r="AF318" i="1"/>
  <c r="AE318" i="1"/>
  <c r="AC318" i="1"/>
  <c r="AB318" i="1"/>
  <c r="AA318" i="1"/>
  <c r="Z318" i="1"/>
  <c r="X318" i="1"/>
  <c r="W318" i="1"/>
  <c r="V318" i="1"/>
  <c r="U318" i="1"/>
  <c r="T318" i="1"/>
  <c r="S318" i="1"/>
  <c r="R318" i="1"/>
  <c r="Q318" i="1"/>
  <c r="P318" i="1"/>
  <c r="O318" i="1"/>
  <c r="N318" i="1"/>
  <c r="M318" i="1"/>
  <c r="L318" i="1"/>
  <c r="K318" i="1"/>
  <c r="J318" i="1"/>
  <c r="I318" i="1"/>
  <c r="H318" i="1"/>
  <c r="G318" i="1"/>
  <c r="F318" i="1"/>
  <c r="E318" i="1"/>
  <c r="D318" i="1"/>
  <c r="C318" i="1"/>
  <c r="A318" i="1"/>
  <c r="BB317" i="1"/>
  <c r="BA317" i="1"/>
  <c r="AZ317" i="1"/>
  <c r="AX317" i="1"/>
  <c r="AW317" i="1"/>
  <c r="AV317" i="1"/>
  <c r="AU317" i="1"/>
  <c r="AS317" i="1"/>
  <c r="AR317" i="1"/>
  <c r="AR396" i="1" s="1"/>
  <c r="AQ317" i="1"/>
  <c r="AT317" i="1" s="1"/>
  <c r="AP317" i="1"/>
  <c r="AO317" i="1"/>
  <c r="AM317" i="1"/>
  <c r="AL317" i="1"/>
  <c r="AK317" i="1"/>
  <c r="AJ317" i="1"/>
  <c r="AH317" i="1"/>
  <c r="AG317" i="1"/>
  <c r="AF317" i="1"/>
  <c r="AE317" i="1"/>
  <c r="AC317" i="1"/>
  <c r="AB317" i="1"/>
  <c r="AA317" i="1"/>
  <c r="Z317" i="1"/>
  <c r="X317" i="1"/>
  <c r="W317" i="1"/>
  <c r="V317" i="1"/>
  <c r="U317" i="1"/>
  <c r="T317" i="1"/>
  <c r="S317" i="1"/>
  <c r="R317" i="1"/>
  <c r="Q317" i="1"/>
  <c r="P317" i="1"/>
  <c r="O317" i="1"/>
  <c r="N317" i="1"/>
  <c r="M317" i="1"/>
  <c r="L317" i="1"/>
  <c r="K317" i="1"/>
  <c r="J317" i="1"/>
  <c r="I317" i="1"/>
  <c r="H317" i="1"/>
  <c r="G317" i="1"/>
  <c r="F317" i="1"/>
  <c r="E317" i="1"/>
  <c r="D317" i="1"/>
  <c r="C317" i="1"/>
  <c r="A317" i="1"/>
  <c r="AQ316" i="1"/>
  <c r="AP316" i="1"/>
  <c r="AO316" i="1"/>
  <c r="AM316" i="1"/>
  <c r="AL316" i="1"/>
  <c r="AK316" i="1"/>
  <c r="AJ316" i="1"/>
  <c r="AH316" i="1"/>
  <c r="AG316" i="1"/>
  <c r="AF316" i="1"/>
  <c r="AE316" i="1"/>
  <c r="AC316" i="1"/>
  <c r="AB316" i="1"/>
  <c r="AB330" i="1" s="1"/>
  <c r="AB341" i="1" s="1"/>
  <c r="AA316" i="1"/>
  <c r="Z316" i="1"/>
  <c r="X316" i="1"/>
  <c r="W316" i="1"/>
  <c r="V316" i="1"/>
  <c r="U316" i="1"/>
  <c r="T316" i="1"/>
  <c r="S316" i="1"/>
  <c r="R316" i="1"/>
  <c r="Q316" i="1"/>
  <c r="P316" i="1"/>
  <c r="O316" i="1"/>
  <c r="N316" i="1"/>
  <c r="M316" i="1"/>
  <c r="L316" i="1"/>
  <c r="K316" i="1"/>
  <c r="J316" i="1"/>
  <c r="I316" i="1"/>
  <c r="H316" i="1"/>
  <c r="G316" i="1"/>
  <c r="F316" i="1"/>
  <c r="E316" i="1"/>
  <c r="D316" i="1"/>
  <c r="C316" i="1"/>
  <c r="A316" i="1"/>
  <c r="A315" i="1"/>
  <c r="Y311" i="1"/>
  <c r="Z311" i="1" s="1"/>
  <c r="AX308" i="1"/>
  <c r="AS308" i="1"/>
  <c r="AN308" i="1"/>
  <c r="AN367" i="1" s="1"/>
  <c r="AI308" i="1"/>
  <c r="AI367" i="1" s="1"/>
  <c r="AD308" i="1"/>
  <c r="AD367" i="1" s="1"/>
  <c r="AD69" i="9" s="1"/>
  <c r="Y308" i="1"/>
  <c r="Y367" i="1" s="1"/>
  <c r="BB306" i="1"/>
  <c r="BA306" i="1"/>
  <c r="BA309" i="1" s="1"/>
  <c r="AZ306" i="1"/>
  <c r="AY306" i="1"/>
  <c r="AW306" i="1"/>
  <c r="AV306" i="1"/>
  <c r="AU306" i="1"/>
  <c r="AT306" i="1"/>
  <c r="AR306" i="1"/>
  <c r="AR309" i="1" s="1"/>
  <c r="AQ306" i="1"/>
  <c r="AQ309" i="1" s="1"/>
  <c r="AP306" i="1"/>
  <c r="AO306" i="1"/>
  <c r="AN306" i="1"/>
  <c r="AM306" i="1"/>
  <c r="AL306" i="1"/>
  <c r="AK306" i="1"/>
  <c r="AK309" i="1" s="1"/>
  <c r="AJ306" i="1"/>
  <c r="AH306" i="1"/>
  <c r="AG306" i="1"/>
  <c r="AF306" i="1"/>
  <c r="AE306" i="1"/>
  <c r="AE309" i="1" s="1"/>
  <c r="AC306" i="1"/>
  <c r="AB306" i="1"/>
  <c r="AA306" i="1"/>
  <c r="AA309" i="1" s="1"/>
  <c r="Z306" i="1"/>
  <c r="X306" i="1"/>
  <c r="X309" i="1" s="1"/>
  <c r="X312" i="1" s="1"/>
  <c r="W306" i="1"/>
  <c r="V306" i="1"/>
  <c r="U306" i="1"/>
  <c r="U309" i="1" s="1"/>
  <c r="T306" i="1"/>
  <c r="S306" i="1"/>
  <c r="R306" i="1"/>
  <c r="Q306" i="1"/>
  <c r="P306" i="1"/>
  <c r="P309" i="1" s="1"/>
  <c r="O306" i="1"/>
  <c r="N306" i="1"/>
  <c r="M306" i="1"/>
  <c r="M309" i="1" s="1"/>
  <c r="L306" i="1"/>
  <c r="K306" i="1"/>
  <c r="J306" i="1"/>
  <c r="I306" i="1"/>
  <c r="H306" i="1"/>
  <c r="H309" i="1" s="1"/>
  <c r="G306" i="1"/>
  <c r="F306" i="1"/>
  <c r="E306" i="1"/>
  <c r="E309" i="1" s="1"/>
  <c r="D306" i="1"/>
  <c r="C306" i="1"/>
  <c r="AX305" i="1"/>
  <c r="AS305" i="1"/>
  <c r="AN305" i="1"/>
  <c r="AN364" i="1" s="1"/>
  <c r="AX304" i="1"/>
  <c r="AS304" i="1"/>
  <c r="AN304" i="1"/>
  <c r="AN363" i="1" s="1"/>
  <c r="AI304" i="1"/>
  <c r="AI363" i="1" s="1"/>
  <c r="AD304" i="1"/>
  <c r="AD363" i="1" s="1"/>
  <c r="Y304" i="1"/>
  <c r="Y363" i="1" s="1"/>
  <c r="AX302" i="1"/>
  <c r="AS302" i="1"/>
  <c r="AN302" i="1"/>
  <c r="AN361" i="1" s="1"/>
  <c r="AI302" i="1"/>
  <c r="AI361" i="1" s="1"/>
  <c r="AD302" i="1"/>
  <c r="AD361" i="1" s="1"/>
  <c r="Y302" i="1"/>
  <c r="Y361" i="1" s="1"/>
  <c r="AX301" i="1"/>
  <c r="AS301" i="1"/>
  <c r="AN301" i="1"/>
  <c r="AN360" i="1" s="1"/>
  <c r="AI301" i="1"/>
  <c r="AI360" i="1" s="1"/>
  <c r="AD301" i="1"/>
  <c r="AD360" i="1" s="1"/>
  <c r="Y301" i="1"/>
  <c r="Y360" i="1" s="1"/>
  <c r="AX300" i="1"/>
  <c r="AS300" i="1"/>
  <c r="AN300" i="1"/>
  <c r="AN359" i="1" s="1"/>
  <c r="AI300" i="1"/>
  <c r="AI359" i="1" s="1"/>
  <c r="AD300" i="1"/>
  <c r="AD359" i="1" s="1"/>
  <c r="Y300" i="1"/>
  <c r="Y359" i="1" s="1"/>
  <c r="AX299" i="1"/>
  <c r="AS299" i="1"/>
  <c r="AN299" i="1"/>
  <c r="AN358" i="1" s="1"/>
  <c r="AI299" i="1"/>
  <c r="AI358" i="1" s="1"/>
  <c r="AD299" i="1"/>
  <c r="AD358" i="1" s="1"/>
  <c r="Y299" i="1"/>
  <c r="Y358" i="1" s="1"/>
  <c r="AX298" i="1"/>
  <c r="AS298" i="1"/>
  <c r="AN298" i="1"/>
  <c r="AN357" i="1" s="1"/>
  <c r="AI298" i="1"/>
  <c r="AI357" i="1" s="1"/>
  <c r="AD298" i="1"/>
  <c r="AD357" i="1" s="1"/>
  <c r="Y298" i="1"/>
  <c r="Y357" i="1" s="1"/>
  <c r="AX297" i="1"/>
  <c r="AS297" i="1"/>
  <c r="AN297" i="1"/>
  <c r="AN356" i="1" s="1"/>
  <c r="AI297" i="1"/>
  <c r="AI356" i="1" s="1"/>
  <c r="AI206" i="1" s="1"/>
  <c r="AI67" i="9" s="1"/>
  <c r="AD297" i="1"/>
  <c r="AD356" i="1" s="1"/>
  <c r="Y297" i="1"/>
  <c r="Y356" i="1" s="1"/>
  <c r="AX296" i="1"/>
  <c r="AS296" i="1"/>
  <c r="AN296" i="1"/>
  <c r="AN355" i="1" s="1"/>
  <c r="AI296" i="1"/>
  <c r="AI355" i="1" s="1"/>
  <c r="AD296" i="1"/>
  <c r="AD355" i="1" s="1"/>
  <c r="Y296" i="1"/>
  <c r="Y355" i="1" s="1"/>
  <c r="AX295" i="1"/>
  <c r="AS295" i="1"/>
  <c r="AN295" i="1"/>
  <c r="AN354" i="1" s="1"/>
  <c r="AI295" i="1"/>
  <c r="AI354" i="1" s="1"/>
  <c r="AD295" i="1"/>
  <c r="AD354" i="1" s="1"/>
  <c r="Y295" i="1"/>
  <c r="Y354" i="1" s="1"/>
  <c r="AX294" i="1"/>
  <c r="AS294" i="1"/>
  <c r="AN294" i="1"/>
  <c r="AN353" i="1" s="1"/>
  <c r="AI294" i="1"/>
  <c r="AI353" i="1" s="1"/>
  <c r="AD294" i="1"/>
  <c r="AD353" i="1" s="1"/>
  <c r="Y294" i="1"/>
  <c r="Y353" i="1" s="1"/>
  <c r="AX293" i="1"/>
  <c r="AX306" i="1" s="1"/>
  <c r="AS293" i="1"/>
  <c r="AN293" i="1"/>
  <c r="AN352" i="1" s="1"/>
  <c r="AI293" i="1"/>
  <c r="AD293" i="1"/>
  <c r="AD352" i="1" s="1"/>
  <c r="Y293" i="1"/>
  <c r="Y352" i="1" s="1"/>
  <c r="BB290" i="1"/>
  <c r="BA290" i="1"/>
  <c r="AZ290" i="1"/>
  <c r="AY290" i="1"/>
  <c r="AW290" i="1"/>
  <c r="AW309" i="1" s="1"/>
  <c r="AV290" i="1"/>
  <c r="AU290" i="1"/>
  <c r="AT290" i="1"/>
  <c r="AR290" i="1"/>
  <c r="AQ290" i="1"/>
  <c r="AP290" i="1"/>
  <c r="AO290" i="1"/>
  <c r="AO309" i="1" s="1"/>
  <c r="AM290" i="1"/>
  <c r="AL290" i="1"/>
  <c r="AK290" i="1"/>
  <c r="AJ290" i="1"/>
  <c r="AH290" i="1"/>
  <c r="AG290" i="1"/>
  <c r="AF290" i="1"/>
  <c r="AE290" i="1"/>
  <c r="AC290" i="1"/>
  <c r="AB290" i="1"/>
  <c r="AA290" i="1"/>
  <c r="Z290" i="1"/>
  <c r="X290" i="1"/>
  <c r="W290" i="1"/>
  <c r="V290" i="1"/>
  <c r="U290" i="1"/>
  <c r="T290" i="1"/>
  <c r="S290" i="1"/>
  <c r="R290" i="1"/>
  <c r="Q290" i="1"/>
  <c r="Q309" i="1" s="1"/>
  <c r="P290" i="1"/>
  <c r="O290" i="1"/>
  <c r="N290" i="1"/>
  <c r="M290" i="1"/>
  <c r="L290" i="1"/>
  <c r="K290" i="1"/>
  <c r="J290" i="1"/>
  <c r="I290" i="1"/>
  <c r="I309" i="1" s="1"/>
  <c r="H290" i="1"/>
  <c r="G290" i="1"/>
  <c r="F290" i="1"/>
  <c r="E290" i="1"/>
  <c r="D290" i="1"/>
  <c r="C290" i="1"/>
  <c r="AX289" i="1"/>
  <c r="AS289" i="1"/>
  <c r="AN289" i="1"/>
  <c r="AN348" i="1" s="1"/>
  <c r="AI289" i="1"/>
  <c r="AI348" i="1" s="1"/>
  <c r="AD289" i="1"/>
  <c r="AD348" i="1" s="1"/>
  <c r="Y289" i="1"/>
  <c r="Y348" i="1" s="1"/>
  <c r="AX288" i="1"/>
  <c r="AS288" i="1"/>
  <c r="AN288" i="1"/>
  <c r="AN347" i="1" s="1"/>
  <c r="AI288" i="1"/>
  <c r="AI347" i="1" s="1"/>
  <c r="AD288" i="1"/>
  <c r="AD347" i="1" s="1"/>
  <c r="Y288" i="1"/>
  <c r="Y347" i="1" s="1"/>
  <c r="AX287" i="1"/>
  <c r="AS287" i="1"/>
  <c r="AN287" i="1"/>
  <c r="AN346" i="1" s="1"/>
  <c r="AI287" i="1"/>
  <c r="AI346" i="1" s="1"/>
  <c r="AD287" i="1"/>
  <c r="AD346" i="1" s="1"/>
  <c r="Y287" i="1"/>
  <c r="Y346" i="1" s="1"/>
  <c r="AX286" i="1"/>
  <c r="AS286" i="1"/>
  <c r="AN286" i="1"/>
  <c r="AN345" i="1" s="1"/>
  <c r="AX285" i="1"/>
  <c r="AX290" i="1" s="1"/>
  <c r="AS285" i="1"/>
  <c r="AN285" i="1"/>
  <c r="AN290" i="1" s="1"/>
  <c r="AI285" i="1"/>
  <c r="AI344" i="1" s="1"/>
  <c r="AD285" i="1"/>
  <c r="AM282" i="1"/>
  <c r="AE282" i="1"/>
  <c r="O282" i="1"/>
  <c r="AX281" i="1"/>
  <c r="AS281" i="1"/>
  <c r="AN281" i="1"/>
  <c r="AN340" i="1" s="1"/>
  <c r="AI281" i="1"/>
  <c r="AI340" i="1" s="1"/>
  <c r="AD281" i="1"/>
  <c r="AD340" i="1" s="1"/>
  <c r="Y281" i="1"/>
  <c r="Y340" i="1" s="1"/>
  <c r="AX280" i="1"/>
  <c r="AS280" i="1"/>
  <c r="AN280" i="1"/>
  <c r="AN339" i="1" s="1"/>
  <c r="AI280" i="1"/>
  <c r="AI339" i="1" s="1"/>
  <c r="AD280" i="1"/>
  <c r="Y280" i="1"/>
  <c r="Y339" i="1" s="1"/>
  <c r="AX279" i="1"/>
  <c r="AS279" i="1"/>
  <c r="AX278" i="1"/>
  <c r="AS278" i="1"/>
  <c r="AN278" i="1"/>
  <c r="AN337" i="1" s="1"/>
  <c r="AI278" i="1"/>
  <c r="AI337" i="1" s="1"/>
  <c r="AD278" i="1"/>
  <c r="AD337" i="1" s="1"/>
  <c r="Y278" i="1"/>
  <c r="Y337" i="1" s="1"/>
  <c r="AX277" i="1"/>
  <c r="AS277" i="1"/>
  <c r="AN277" i="1"/>
  <c r="AN336" i="1" s="1"/>
  <c r="AI277" i="1"/>
  <c r="AI336" i="1" s="1"/>
  <c r="AD277" i="1"/>
  <c r="AD336" i="1" s="1"/>
  <c r="Y277" i="1"/>
  <c r="Y336" i="1" s="1"/>
  <c r="J277" i="1"/>
  <c r="J336" i="1" s="1"/>
  <c r="AX276" i="1"/>
  <c r="AS276" i="1"/>
  <c r="AN276" i="1"/>
  <c r="AN335" i="1" s="1"/>
  <c r="AI276" i="1"/>
  <c r="AI335" i="1" s="1"/>
  <c r="AD276" i="1"/>
  <c r="AD335" i="1" s="1"/>
  <c r="Y276" i="1"/>
  <c r="Y335" i="1" s="1"/>
  <c r="T276" i="1"/>
  <c r="T335" i="1" s="1"/>
  <c r="O276" i="1"/>
  <c r="J276" i="1"/>
  <c r="J335" i="1" s="1"/>
  <c r="AX275" i="1"/>
  <c r="AS275" i="1"/>
  <c r="AN275" i="1"/>
  <c r="AN334" i="1" s="1"/>
  <c r="AI275" i="1"/>
  <c r="AI334" i="1" s="1"/>
  <c r="AD275" i="1"/>
  <c r="AD334" i="1" s="1"/>
  <c r="Y275" i="1"/>
  <c r="Y334" i="1" s="1"/>
  <c r="AX274" i="1"/>
  <c r="AS274" i="1"/>
  <c r="AN274" i="1"/>
  <c r="AN333" i="1" s="1"/>
  <c r="AI274" i="1"/>
  <c r="AI333" i="1" s="1"/>
  <c r="AD274" i="1"/>
  <c r="AD333" i="1" s="1"/>
  <c r="Y274" i="1"/>
  <c r="Y333" i="1" s="1"/>
  <c r="AX273" i="1"/>
  <c r="AS273" i="1"/>
  <c r="AN273" i="1"/>
  <c r="AI273" i="1"/>
  <c r="AI332" i="1" s="1"/>
  <c r="AD273" i="1"/>
  <c r="AD332" i="1" s="1"/>
  <c r="Y273" i="1"/>
  <c r="Y332" i="1" s="1"/>
  <c r="AX272" i="1"/>
  <c r="AS272" i="1"/>
  <c r="AN272" i="1"/>
  <c r="AN331" i="1" s="1"/>
  <c r="AI272" i="1"/>
  <c r="AI331" i="1" s="1"/>
  <c r="AD272" i="1"/>
  <c r="AD331" i="1" s="1"/>
  <c r="Y272" i="1"/>
  <c r="Y331" i="1" s="1"/>
  <c r="Y66" i="9" s="1"/>
  <c r="BB271" i="1"/>
  <c r="BB282" i="1" s="1"/>
  <c r="BB309" i="1" s="1"/>
  <c r="BA271" i="1"/>
  <c r="BA282" i="1" s="1"/>
  <c r="AZ271" i="1"/>
  <c r="AZ282" i="1" s="1"/>
  <c r="AY271" i="1"/>
  <c r="AY282" i="1" s="1"/>
  <c r="AW271" i="1"/>
  <c r="AW282" i="1" s="1"/>
  <c r="AV271" i="1"/>
  <c r="AV282" i="1" s="1"/>
  <c r="AU271" i="1"/>
  <c r="AU282" i="1" s="1"/>
  <c r="AT271" i="1"/>
  <c r="AT282" i="1" s="1"/>
  <c r="AT309" i="1" s="1"/>
  <c r="AR271" i="1"/>
  <c r="AR282" i="1" s="1"/>
  <c r="AQ271" i="1"/>
  <c r="AQ282" i="1" s="1"/>
  <c r="AP271" i="1"/>
  <c r="AP282" i="1" s="1"/>
  <c r="AP309" i="1" s="1"/>
  <c r="AO271" i="1"/>
  <c r="AO282" i="1" s="1"/>
  <c r="AM271" i="1"/>
  <c r="AL271" i="1"/>
  <c r="AL282" i="1" s="1"/>
  <c r="AL309" i="1" s="1"/>
  <c r="AK271" i="1"/>
  <c r="AK282" i="1" s="1"/>
  <c r="AJ271" i="1"/>
  <c r="AJ282" i="1" s="1"/>
  <c r="AH271" i="1"/>
  <c r="AH282" i="1" s="1"/>
  <c r="AH309" i="1" s="1"/>
  <c r="AG271" i="1"/>
  <c r="AG282" i="1" s="1"/>
  <c r="AF271" i="1"/>
  <c r="AF282" i="1" s="1"/>
  <c r="AE271" i="1"/>
  <c r="AC271" i="1"/>
  <c r="AC282" i="1" s="1"/>
  <c r="AB271" i="1"/>
  <c r="AB282" i="1" s="1"/>
  <c r="AA271" i="1"/>
  <c r="AA282" i="1" s="1"/>
  <c r="Z271" i="1"/>
  <c r="Z282" i="1" s="1"/>
  <c r="Z309" i="1" s="1"/>
  <c r="Z312" i="1" s="1"/>
  <c r="AA311" i="1" s="1"/>
  <c r="AB311" i="1" s="1"/>
  <c r="AC311" i="1" s="1"/>
  <c r="AD311" i="1" s="1"/>
  <c r="AE311" i="1" s="1"/>
  <c r="X271" i="1"/>
  <c r="X282" i="1" s="1"/>
  <c r="W271" i="1"/>
  <c r="W282" i="1" s="1"/>
  <c r="V271" i="1"/>
  <c r="V282" i="1" s="1"/>
  <c r="V309" i="1" s="1"/>
  <c r="U271" i="1"/>
  <c r="U282" i="1" s="1"/>
  <c r="T271" i="1"/>
  <c r="T282" i="1" s="1"/>
  <c r="S271" i="1"/>
  <c r="S282" i="1" s="1"/>
  <c r="R271" i="1"/>
  <c r="R282" i="1" s="1"/>
  <c r="R309" i="1" s="1"/>
  <c r="Q271" i="1"/>
  <c r="Q282" i="1" s="1"/>
  <c r="P271" i="1"/>
  <c r="P282" i="1" s="1"/>
  <c r="O271" i="1"/>
  <c r="N271" i="1"/>
  <c r="N282" i="1" s="1"/>
  <c r="N309" i="1" s="1"/>
  <c r="M271" i="1"/>
  <c r="M282" i="1" s="1"/>
  <c r="L271" i="1"/>
  <c r="L282" i="1" s="1"/>
  <c r="K271" i="1"/>
  <c r="K282" i="1" s="1"/>
  <c r="J271" i="1"/>
  <c r="I271" i="1"/>
  <c r="I282" i="1" s="1"/>
  <c r="H271" i="1"/>
  <c r="H282" i="1" s="1"/>
  <c r="G271" i="1"/>
  <c r="G282" i="1" s="1"/>
  <c r="F271" i="1"/>
  <c r="F282" i="1" s="1"/>
  <c r="F309" i="1" s="1"/>
  <c r="E271" i="1"/>
  <c r="E282" i="1" s="1"/>
  <c r="D271" i="1"/>
  <c r="D282" i="1" s="1"/>
  <c r="C271" i="1"/>
  <c r="C282" i="1" s="1"/>
  <c r="AX270" i="1"/>
  <c r="AS270" i="1"/>
  <c r="AN270" i="1"/>
  <c r="AN329" i="1" s="1"/>
  <c r="AI270" i="1"/>
  <c r="AI329" i="1" s="1"/>
  <c r="AD270" i="1"/>
  <c r="AD329" i="1" s="1"/>
  <c r="Y270" i="1"/>
  <c r="Y329" i="1" s="1"/>
  <c r="AX269" i="1"/>
  <c r="AS269" i="1"/>
  <c r="AN269" i="1"/>
  <c r="AN328" i="1" s="1"/>
  <c r="AI269" i="1"/>
  <c r="AI328" i="1" s="1"/>
  <c r="AD269" i="1"/>
  <c r="Y269" i="1"/>
  <c r="Y328" i="1" s="1"/>
  <c r="AX268" i="1"/>
  <c r="AS268" i="1"/>
  <c r="AN268" i="1"/>
  <c r="AN327" i="1" s="1"/>
  <c r="AI268" i="1"/>
  <c r="AI327" i="1" s="1"/>
  <c r="AX267" i="1"/>
  <c r="AS267" i="1"/>
  <c r="AN267" i="1"/>
  <c r="AN326" i="1" s="1"/>
  <c r="AI267" i="1"/>
  <c r="AI326" i="1" s="1"/>
  <c r="AX265" i="1"/>
  <c r="AS265" i="1"/>
  <c r="AN265" i="1"/>
  <c r="AN324" i="1" s="1"/>
  <c r="AI265" i="1"/>
  <c r="AI324" i="1" s="1"/>
  <c r="AX264" i="1"/>
  <c r="AS264" i="1"/>
  <c r="AN264" i="1"/>
  <c r="AX263" i="1"/>
  <c r="AS263" i="1"/>
  <c r="AX262" i="1"/>
  <c r="AS262" i="1"/>
  <c r="AN262" i="1"/>
  <c r="AN321" i="1" s="1"/>
  <c r="AI262" i="1"/>
  <c r="AI321" i="1" s="1"/>
  <c r="AD262" i="1"/>
  <c r="AD321" i="1" s="1"/>
  <c r="Y262" i="1"/>
  <c r="Y321" i="1" s="1"/>
  <c r="AX261" i="1"/>
  <c r="AS261" i="1"/>
  <c r="AN261" i="1"/>
  <c r="AN320" i="1" s="1"/>
  <c r="AI261" i="1"/>
  <c r="AD261" i="1"/>
  <c r="AD320" i="1" s="1"/>
  <c r="Y261" i="1"/>
  <c r="Y320" i="1" s="1"/>
  <c r="AX260" i="1"/>
  <c r="AS260" i="1"/>
  <c r="AN260" i="1"/>
  <c r="AN319" i="1" s="1"/>
  <c r="AI260" i="1"/>
  <c r="AI319" i="1" s="1"/>
  <c r="AD260" i="1"/>
  <c r="AD319" i="1" s="1"/>
  <c r="Y260" i="1"/>
  <c r="Y319" i="1" s="1"/>
  <c r="AX259" i="1"/>
  <c r="AS259" i="1"/>
  <c r="AS271" i="1" s="1"/>
  <c r="AN259" i="1"/>
  <c r="AN318" i="1" s="1"/>
  <c r="AI259" i="1"/>
  <c r="AI318" i="1" s="1"/>
  <c r="AD259" i="1"/>
  <c r="AD318" i="1" s="1"/>
  <c r="Y259" i="1"/>
  <c r="Y318" i="1" s="1"/>
  <c r="AX258" i="1"/>
  <c r="AS258" i="1"/>
  <c r="AN258" i="1"/>
  <c r="AN317" i="1" s="1"/>
  <c r="AI258" i="1"/>
  <c r="AD258" i="1"/>
  <c r="AD317" i="1" s="1"/>
  <c r="Y258" i="1"/>
  <c r="Y317" i="1" s="1"/>
  <c r="AX257" i="1"/>
  <c r="AX271" i="1" s="1"/>
  <c r="AS257" i="1"/>
  <c r="AN257" i="1"/>
  <c r="AN316" i="1" s="1"/>
  <c r="AI257" i="1"/>
  <c r="AI316" i="1" s="1"/>
  <c r="AD257" i="1"/>
  <c r="AD271" i="1" s="1"/>
  <c r="AD282" i="1" s="1"/>
  <c r="Y257" i="1"/>
  <c r="Y316" i="1" s="1"/>
  <c r="AW251" i="1"/>
  <c r="AW10" i="9" s="1"/>
  <c r="AV251" i="1"/>
  <c r="AV10" i="9" s="1"/>
  <c r="AU251" i="1"/>
  <c r="AU10" i="9" s="1"/>
  <c r="AT251" i="1"/>
  <c r="AT10" i="9" s="1"/>
  <c r="AS251" i="1"/>
  <c r="AS10" i="9" s="1"/>
  <c r="AR251" i="1"/>
  <c r="AR10" i="9" s="1"/>
  <c r="AQ251" i="1"/>
  <c r="AQ10" i="9" s="1"/>
  <c r="AP251" i="1"/>
  <c r="AP10" i="9" s="1"/>
  <c r="AO251" i="1"/>
  <c r="AO10" i="9" s="1"/>
  <c r="AN251" i="1"/>
  <c r="AN10" i="9" s="1"/>
  <c r="AM251" i="1"/>
  <c r="AM10" i="9" s="1"/>
  <c r="AL251" i="1"/>
  <c r="AL10" i="9" s="1"/>
  <c r="AK251" i="1"/>
  <c r="AK10" i="9" s="1"/>
  <c r="AJ251" i="1"/>
  <c r="AJ10" i="9" s="1"/>
  <c r="AI251" i="1"/>
  <c r="AI10" i="9" s="1"/>
  <c r="AH251" i="1"/>
  <c r="AH10" i="9" s="1"/>
  <c r="AG251" i="1"/>
  <c r="AG10" i="9" s="1"/>
  <c r="AF251" i="1"/>
  <c r="AF10" i="9" s="1"/>
  <c r="AE251" i="1"/>
  <c r="AE10" i="9" s="1"/>
  <c r="AD251" i="1"/>
  <c r="AD10" i="9" s="1"/>
  <c r="AC251" i="1"/>
  <c r="AC10" i="9" s="1"/>
  <c r="AB251" i="1"/>
  <c r="AB10" i="9" s="1"/>
  <c r="AA251" i="1"/>
  <c r="AA10" i="9" s="1"/>
  <c r="Z251" i="1"/>
  <c r="Z10" i="9" s="1"/>
  <c r="Y251" i="1"/>
  <c r="Y10" i="9" s="1"/>
  <c r="X251" i="1"/>
  <c r="X10" i="9" s="1"/>
  <c r="W251" i="1"/>
  <c r="W10" i="9" s="1"/>
  <c r="V251" i="1"/>
  <c r="V10" i="9" s="1"/>
  <c r="U251" i="1"/>
  <c r="U10" i="9" s="1"/>
  <c r="T251" i="1"/>
  <c r="T10" i="9" s="1"/>
  <c r="S251" i="1"/>
  <c r="S10" i="9" s="1"/>
  <c r="R251" i="1"/>
  <c r="R10" i="9" s="1"/>
  <c r="Q251" i="1"/>
  <c r="Q10" i="9" s="1"/>
  <c r="P251" i="1"/>
  <c r="P10" i="9" s="1"/>
  <c r="O251" i="1"/>
  <c r="O10" i="9" s="1"/>
  <c r="N251" i="1"/>
  <c r="N10" i="9" s="1"/>
  <c r="M251" i="1"/>
  <c r="M10" i="9" s="1"/>
  <c r="L251" i="1"/>
  <c r="L10" i="9" s="1"/>
  <c r="K251" i="1"/>
  <c r="K10" i="9" s="1"/>
  <c r="J251" i="1"/>
  <c r="J10" i="9" s="1"/>
  <c r="I251" i="1"/>
  <c r="I10" i="9" s="1"/>
  <c r="H251" i="1"/>
  <c r="H10" i="9" s="1"/>
  <c r="G251" i="1"/>
  <c r="G10" i="9" s="1"/>
  <c r="F251" i="1"/>
  <c r="F10" i="9" s="1"/>
  <c r="E251" i="1"/>
  <c r="E10" i="9" s="1"/>
  <c r="D251" i="1"/>
  <c r="D10" i="9" s="1"/>
  <c r="C251" i="1"/>
  <c r="C10" i="9" s="1"/>
  <c r="BB246" i="1"/>
  <c r="BA246" i="1"/>
  <c r="AZ246" i="1"/>
  <c r="AY246" i="1"/>
  <c r="AX246" i="1"/>
  <c r="AW246" i="1"/>
  <c r="AV246" i="1"/>
  <c r="AU246" i="1"/>
  <c r="AT246" i="1"/>
  <c r="AS246" i="1"/>
  <c r="AR246" i="1"/>
  <c r="BB245" i="1"/>
  <c r="BA245" i="1"/>
  <c r="AZ245" i="1"/>
  <c r="AY245" i="1"/>
  <c r="AX245" i="1"/>
  <c r="AW245" i="1"/>
  <c r="AV245" i="1"/>
  <c r="AU245" i="1"/>
  <c r="AT245" i="1"/>
  <c r="AS245" i="1"/>
  <c r="AR245" i="1"/>
  <c r="BB244" i="1"/>
  <c r="BA244" i="1"/>
  <c r="AZ244" i="1"/>
  <c r="AY244" i="1"/>
  <c r="AX244" i="1"/>
  <c r="AW244" i="1"/>
  <c r="AV244" i="1"/>
  <c r="AU244" i="1"/>
  <c r="AT244" i="1"/>
  <c r="AS244" i="1"/>
  <c r="AR244" i="1"/>
  <c r="A242" i="1"/>
  <c r="A241" i="1"/>
  <c r="A240" i="1"/>
  <c r="A239" i="1"/>
  <c r="A480" i="1" s="1"/>
  <c r="A238" i="1"/>
  <c r="A481" i="1" s="1"/>
  <c r="A236" i="1"/>
  <c r="A235" i="1"/>
  <c r="AO220" i="1"/>
  <c r="AG220" i="1"/>
  <c r="AB220" i="1"/>
  <c r="Y220" i="1"/>
  <c r="T220" i="1"/>
  <c r="L220" i="1"/>
  <c r="BB219" i="1"/>
  <c r="BB9" i="9" s="1"/>
  <c r="BA219" i="1"/>
  <c r="BA9" i="9" s="1"/>
  <c r="AZ219" i="1"/>
  <c r="AZ9" i="9" s="1"/>
  <c r="AY219" i="1"/>
  <c r="AY9" i="9" s="1"/>
  <c r="AX219" i="1"/>
  <c r="AX9" i="9" s="1"/>
  <c r="AW219" i="1"/>
  <c r="AW9" i="9" s="1"/>
  <c r="AV219" i="1"/>
  <c r="AV9" i="9" s="1"/>
  <c r="AU219" i="1"/>
  <c r="AU9" i="9" s="1"/>
  <c r="AT219" i="1"/>
  <c r="AT9" i="9" s="1"/>
  <c r="AS219" i="1"/>
  <c r="AS9" i="9" s="1"/>
  <c r="AR219" i="1"/>
  <c r="AR9" i="9" s="1"/>
  <c r="AQ219" i="1"/>
  <c r="AQ9" i="9" s="1"/>
  <c r="AP219" i="1"/>
  <c r="AP9" i="9" s="1"/>
  <c r="AO219" i="1"/>
  <c r="AO9" i="9" s="1"/>
  <c r="AN219" i="1"/>
  <c r="AN9" i="9" s="1"/>
  <c r="AM219" i="1"/>
  <c r="AM9" i="9" s="1"/>
  <c r="AL219" i="1"/>
  <c r="AL9" i="9" s="1"/>
  <c r="AK219" i="1"/>
  <c r="AK9" i="9" s="1"/>
  <c r="AJ219" i="1"/>
  <c r="AJ9" i="9" s="1"/>
  <c r="AI219" i="1"/>
  <c r="AI9" i="9" s="1"/>
  <c r="AH219" i="1"/>
  <c r="AH9" i="9" s="1"/>
  <c r="AG219" i="1"/>
  <c r="AG9" i="9" s="1"/>
  <c r="AF219" i="1"/>
  <c r="AF9" i="9" s="1"/>
  <c r="AE219" i="1"/>
  <c r="AE9" i="9" s="1"/>
  <c r="AD219" i="1"/>
  <c r="AD9" i="9" s="1"/>
  <c r="AC219" i="1"/>
  <c r="AC9" i="9" s="1"/>
  <c r="AB219" i="1"/>
  <c r="AB9" i="9" s="1"/>
  <c r="AA219" i="1"/>
  <c r="AA9" i="9" s="1"/>
  <c r="Z219" i="1"/>
  <c r="Z9" i="9" s="1"/>
  <c r="Y219" i="1"/>
  <c r="Y9" i="9" s="1"/>
  <c r="X219" i="1"/>
  <c r="X9" i="9" s="1"/>
  <c r="W219" i="1"/>
  <c r="W9" i="9" s="1"/>
  <c r="V219" i="1"/>
  <c r="V9" i="9" s="1"/>
  <c r="U219" i="1"/>
  <c r="U9" i="9" s="1"/>
  <c r="T219" i="1"/>
  <c r="T9" i="9" s="1"/>
  <c r="S219" i="1"/>
  <c r="S9" i="9" s="1"/>
  <c r="R219" i="1"/>
  <c r="R9" i="9" s="1"/>
  <c r="Q219" i="1"/>
  <c r="Q9" i="9" s="1"/>
  <c r="P219" i="1"/>
  <c r="P9" i="9" s="1"/>
  <c r="O219" i="1"/>
  <c r="O9" i="9" s="1"/>
  <c r="N219" i="1"/>
  <c r="N9" i="9" s="1"/>
  <c r="M219" i="1"/>
  <c r="M9" i="9" s="1"/>
  <c r="L219" i="1"/>
  <c r="L9" i="9" s="1"/>
  <c r="K219" i="1"/>
  <c r="K9" i="9" s="1"/>
  <c r="J219" i="1"/>
  <c r="J9" i="9" s="1"/>
  <c r="I219" i="1"/>
  <c r="I9" i="9" s="1"/>
  <c r="H219" i="1"/>
  <c r="H9" i="9" s="1"/>
  <c r="G219" i="1"/>
  <c r="G9" i="9" s="1"/>
  <c r="F219" i="1"/>
  <c r="F9" i="9" s="1"/>
  <c r="E219" i="1"/>
  <c r="E9" i="9" s="1"/>
  <c r="D219" i="1"/>
  <c r="D9" i="9" s="1"/>
  <c r="C219" i="1"/>
  <c r="C9" i="9" s="1"/>
  <c r="AQ218" i="1"/>
  <c r="AQ220" i="1" s="1"/>
  <c r="AP218" i="1"/>
  <c r="AO218" i="1"/>
  <c r="AN218" i="1"/>
  <c r="AM218" i="1"/>
  <c r="AL218" i="1"/>
  <c r="AK218" i="1"/>
  <c r="AJ218" i="1"/>
  <c r="AI218" i="1"/>
  <c r="AH218" i="1"/>
  <c r="AG218" i="1"/>
  <c r="AF218" i="1"/>
  <c r="AE218" i="1"/>
  <c r="AD218" i="1"/>
  <c r="AC218" i="1"/>
  <c r="AB218" i="1"/>
  <c r="AA218" i="1"/>
  <c r="Z218" i="1"/>
  <c r="Y218" i="1"/>
  <c r="X218" i="1"/>
  <c r="W218" i="1"/>
  <c r="V218" i="1"/>
  <c r="U218" i="1"/>
  <c r="T218" i="1"/>
  <c r="S218" i="1"/>
  <c r="S220" i="1" s="1"/>
  <c r="R218" i="1"/>
  <c r="Q218" i="1"/>
  <c r="Q220" i="1" s="1"/>
  <c r="P218" i="1"/>
  <c r="O218" i="1"/>
  <c r="N218" i="1"/>
  <c r="M218" i="1"/>
  <c r="L218" i="1"/>
  <c r="K218" i="1"/>
  <c r="J218" i="1"/>
  <c r="I218" i="1"/>
  <c r="H218" i="1"/>
  <c r="G218" i="1"/>
  <c r="F218" i="1"/>
  <c r="E218" i="1"/>
  <c r="D218" i="1"/>
  <c r="D220" i="1" s="1"/>
  <c r="C218" i="1"/>
  <c r="AS217" i="1"/>
  <c r="AS419" i="1" s="1"/>
  <c r="AQ217" i="1"/>
  <c r="AR217" i="1" s="1"/>
  <c r="AR419" i="1" s="1"/>
  <c r="AP217" i="1"/>
  <c r="AO217" i="1"/>
  <c r="AN217" i="1"/>
  <c r="AM217" i="1"/>
  <c r="AL217" i="1"/>
  <c r="AK217" i="1"/>
  <c r="AJ217" i="1"/>
  <c r="AI217" i="1"/>
  <c r="AH217" i="1"/>
  <c r="AG217" i="1"/>
  <c r="AF217" i="1"/>
  <c r="AE217" i="1"/>
  <c r="AD217" i="1"/>
  <c r="AC217" i="1"/>
  <c r="AB217" i="1"/>
  <c r="AA217" i="1"/>
  <c r="Z217" i="1"/>
  <c r="Y217" i="1"/>
  <c r="X217" i="1"/>
  <c r="W217" i="1"/>
  <c r="V217" i="1"/>
  <c r="U217" i="1"/>
  <c r="T217" i="1"/>
  <c r="S217" i="1"/>
  <c r="R217" i="1"/>
  <c r="Q217" i="1"/>
  <c r="P217" i="1"/>
  <c r="O217" i="1"/>
  <c r="N217" i="1"/>
  <c r="M217" i="1"/>
  <c r="L217" i="1"/>
  <c r="K217" i="1"/>
  <c r="J217" i="1"/>
  <c r="I217" i="1"/>
  <c r="H217" i="1"/>
  <c r="G217" i="1"/>
  <c r="F217" i="1"/>
  <c r="E217" i="1"/>
  <c r="D217" i="1"/>
  <c r="C217" i="1"/>
  <c r="AQ216" i="1"/>
  <c r="AP216" i="1"/>
  <c r="AO216" i="1"/>
  <c r="AN216" i="1"/>
  <c r="AM216" i="1"/>
  <c r="AL216" i="1"/>
  <c r="AK216" i="1"/>
  <c r="AJ216" i="1"/>
  <c r="AI216" i="1"/>
  <c r="AH216" i="1"/>
  <c r="AG216" i="1"/>
  <c r="AF216" i="1"/>
  <c r="AE216" i="1"/>
  <c r="AD216" i="1"/>
  <c r="AC216" i="1"/>
  <c r="AB216" i="1"/>
  <c r="AA216" i="1"/>
  <c r="Z216" i="1"/>
  <c r="Y216" i="1"/>
  <c r="X216" i="1"/>
  <c r="W216" i="1"/>
  <c r="V216" i="1"/>
  <c r="U216" i="1"/>
  <c r="T216" i="1"/>
  <c r="S216" i="1"/>
  <c r="R216" i="1"/>
  <c r="Q216" i="1"/>
  <c r="P216" i="1"/>
  <c r="O216" i="1"/>
  <c r="N216" i="1"/>
  <c r="M216" i="1"/>
  <c r="L216" i="1"/>
  <c r="K216" i="1"/>
  <c r="J216" i="1"/>
  <c r="I216" i="1"/>
  <c r="H216" i="1"/>
  <c r="G216" i="1"/>
  <c r="F216" i="1"/>
  <c r="E216" i="1"/>
  <c r="D216" i="1"/>
  <c r="C216" i="1"/>
  <c r="AQ215" i="1"/>
  <c r="AP215" i="1"/>
  <c r="AO215" i="1"/>
  <c r="AN215" i="1"/>
  <c r="AM215" i="1"/>
  <c r="AL215" i="1"/>
  <c r="AK215" i="1"/>
  <c r="AJ215" i="1"/>
  <c r="AI215" i="1"/>
  <c r="AH215" i="1"/>
  <c r="AG215" i="1"/>
  <c r="AF215" i="1"/>
  <c r="AE215" i="1"/>
  <c r="AD215" i="1"/>
  <c r="AC215" i="1"/>
  <c r="AB215" i="1"/>
  <c r="AA215" i="1"/>
  <c r="Z215" i="1"/>
  <c r="Y215" i="1"/>
  <c r="X215" i="1"/>
  <c r="W215" i="1"/>
  <c r="V215" i="1"/>
  <c r="V7" i="9" s="1"/>
  <c r="U215" i="1"/>
  <c r="T215" i="1"/>
  <c r="S215" i="1"/>
  <c r="R215" i="1"/>
  <c r="Q215" i="1"/>
  <c r="P215" i="1"/>
  <c r="O215" i="1"/>
  <c r="N215" i="1"/>
  <c r="M215" i="1"/>
  <c r="L215" i="1"/>
  <c r="K215" i="1"/>
  <c r="J215" i="1"/>
  <c r="I215" i="1"/>
  <c r="H215" i="1"/>
  <c r="G215" i="1"/>
  <c r="F215" i="1"/>
  <c r="E215" i="1"/>
  <c r="D215" i="1"/>
  <c r="C215" i="1"/>
  <c r="AY207" i="1"/>
  <c r="AT207" i="1"/>
  <c r="AY206" i="1"/>
  <c r="AY67" i="9" s="1"/>
  <c r="AT206" i="1"/>
  <c r="AT67" i="9" s="1"/>
  <c r="AQ206" i="1"/>
  <c r="AQ67" i="9" s="1"/>
  <c r="AP206" i="1"/>
  <c r="AP67" i="9" s="1"/>
  <c r="AO206" i="1"/>
  <c r="AO67" i="9" s="1"/>
  <c r="AN206" i="1"/>
  <c r="AN67" i="9" s="1"/>
  <c r="AM206" i="1"/>
  <c r="AM67" i="9" s="1"/>
  <c r="AL206" i="1"/>
  <c r="AL67" i="9" s="1"/>
  <c r="AK206" i="1"/>
  <c r="AK67" i="9" s="1"/>
  <c r="AJ206" i="1"/>
  <c r="AJ67" i="9" s="1"/>
  <c r="AH206" i="1"/>
  <c r="AH67" i="9" s="1"/>
  <c r="AG206" i="1"/>
  <c r="AG67" i="9" s="1"/>
  <c r="AF206" i="1"/>
  <c r="AF67" i="9" s="1"/>
  <c r="AD206" i="1"/>
  <c r="AD67" i="9" s="1"/>
  <c r="AC206" i="1"/>
  <c r="AC67" i="9" s="1"/>
  <c r="AB206" i="1"/>
  <c r="AB67" i="9" s="1"/>
  <c r="AA206" i="1"/>
  <c r="AA67" i="9" s="1"/>
  <c r="Z206" i="1"/>
  <c r="Z67" i="9" s="1"/>
  <c r="Y206" i="1"/>
  <c r="Y67" i="9" s="1"/>
  <c r="X206" i="1"/>
  <c r="X67" i="9" s="1"/>
  <c r="W206" i="1"/>
  <c r="W67" i="9" s="1"/>
  <c r="V206" i="1"/>
  <c r="V67" i="9" s="1"/>
  <c r="U206" i="1"/>
  <c r="U67" i="9" s="1"/>
  <c r="T206" i="1"/>
  <c r="T67" i="9" s="1"/>
  <c r="S206" i="1"/>
  <c r="S67" i="9" s="1"/>
  <c r="R206" i="1"/>
  <c r="R67" i="9" s="1"/>
  <c r="Q206" i="1"/>
  <c r="Q67" i="9" s="1"/>
  <c r="P206" i="1"/>
  <c r="P67" i="9" s="1"/>
  <c r="O206" i="1"/>
  <c r="O67" i="9" s="1"/>
  <c r="N206" i="1"/>
  <c r="N67" i="9" s="1"/>
  <c r="M206" i="1"/>
  <c r="M67" i="9" s="1"/>
  <c r="L206" i="1"/>
  <c r="L67" i="9" s="1"/>
  <c r="K206" i="1"/>
  <c r="K67" i="9" s="1"/>
  <c r="J206" i="1"/>
  <c r="J67" i="9" s="1"/>
  <c r="I206" i="1"/>
  <c r="I67" i="9" s="1"/>
  <c r="H206" i="1"/>
  <c r="H67" i="9" s="1"/>
  <c r="G206" i="1"/>
  <c r="G67" i="9" s="1"/>
  <c r="F206" i="1"/>
  <c r="F67" i="9" s="1"/>
  <c r="E206" i="1"/>
  <c r="E67" i="9" s="1"/>
  <c r="D206" i="1"/>
  <c r="D67" i="9" s="1"/>
  <c r="C206" i="1"/>
  <c r="C67" i="9" s="1"/>
  <c r="AY205" i="1"/>
  <c r="AY68" i="9" s="1"/>
  <c r="AT205" i="1"/>
  <c r="AT68" i="9" s="1"/>
  <c r="AQ205" i="1"/>
  <c r="AQ68" i="9" s="1"/>
  <c r="AP205" i="1"/>
  <c r="AP68" i="9" s="1"/>
  <c r="AO205" i="1"/>
  <c r="AO68" i="9" s="1"/>
  <c r="AN205" i="1"/>
  <c r="AN68" i="9" s="1"/>
  <c r="AM205" i="1"/>
  <c r="AM68" i="9" s="1"/>
  <c r="AL205" i="1"/>
  <c r="AL68" i="9" s="1"/>
  <c r="AK205" i="1"/>
  <c r="AK68" i="9" s="1"/>
  <c r="AJ205" i="1"/>
  <c r="AJ68" i="9" s="1"/>
  <c r="AH205" i="1"/>
  <c r="AH68" i="9" s="1"/>
  <c r="AG205" i="1"/>
  <c r="AG68" i="9" s="1"/>
  <c r="AF205" i="1"/>
  <c r="AF68" i="9" s="1"/>
  <c r="AE205" i="1"/>
  <c r="AE68" i="9" s="1"/>
  <c r="AD205" i="1"/>
  <c r="AD68" i="9" s="1"/>
  <c r="AC205" i="1"/>
  <c r="AC68" i="9" s="1"/>
  <c r="AB205" i="1"/>
  <c r="AB68" i="9" s="1"/>
  <c r="AA205" i="1"/>
  <c r="AA68" i="9" s="1"/>
  <c r="Z205" i="1"/>
  <c r="Z68" i="9" s="1"/>
  <c r="Y205" i="1"/>
  <c r="Y68" i="9" s="1"/>
  <c r="X205" i="1"/>
  <c r="X68" i="9" s="1"/>
  <c r="W205" i="1"/>
  <c r="W68" i="9" s="1"/>
  <c r="V205" i="1"/>
  <c r="V68" i="9" s="1"/>
  <c r="U205" i="1"/>
  <c r="U68" i="9" s="1"/>
  <c r="T205" i="1"/>
  <c r="T68" i="9" s="1"/>
  <c r="S205" i="1"/>
  <c r="S68" i="9" s="1"/>
  <c r="R205" i="1"/>
  <c r="R68" i="9" s="1"/>
  <c r="Q205" i="1"/>
  <c r="Q68" i="9" s="1"/>
  <c r="P205" i="1"/>
  <c r="P68" i="9" s="1"/>
  <c r="O205" i="1"/>
  <c r="O68" i="9" s="1"/>
  <c r="N205" i="1"/>
  <c r="N68" i="9" s="1"/>
  <c r="M205" i="1"/>
  <c r="M68" i="9" s="1"/>
  <c r="L205" i="1"/>
  <c r="L68" i="9" s="1"/>
  <c r="K205" i="1"/>
  <c r="K68" i="9" s="1"/>
  <c r="J205" i="1"/>
  <c r="J68" i="9" s="1"/>
  <c r="I205" i="1"/>
  <c r="I68" i="9" s="1"/>
  <c r="H205" i="1"/>
  <c r="H68" i="9" s="1"/>
  <c r="G205" i="1"/>
  <c r="G68" i="9" s="1"/>
  <c r="F205" i="1"/>
  <c r="F68" i="9" s="1"/>
  <c r="E205" i="1"/>
  <c r="E68" i="9" s="1"/>
  <c r="D205" i="1"/>
  <c r="D68" i="9" s="1"/>
  <c r="C205" i="1"/>
  <c r="C68" i="9" s="1"/>
  <c r="AY203" i="1"/>
  <c r="AY74" i="9" s="1"/>
  <c r="AT203" i="1"/>
  <c r="AT74" i="9" s="1"/>
  <c r="AO203" i="1"/>
  <c r="AO74" i="9" s="1"/>
  <c r="AJ203" i="1"/>
  <c r="AJ74" i="9" s="1"/>
  <c r="AE203" i="1"/>
  <c r="AE74" i="9" s="1"/>
  <c r="Z203" i="1"/>
  <c r="Z74" i="9" s="1"/>
  <c r="U203" i="1"/>
  <c r="U74" i="9" s="1"/>
  <c r="P203" i="1"/>
  <c r="P74" i="9" s="1"/>
  <c r="K203" i="1"/>
  <c r="K74" i="9" s="1"/>
  <c r="AQ202" i="1"/>
  <c r="AQ62" i="9" s="1"/>
  <c r="AP202" i="1"/>
  <c r="AP62" i="9" s="1"/>
  <c r="AO202" i="1"/>
  <c r="AO62" i="9" s="1"/>
  <c r="AN202" i="1"/>
  <c r="AN62" i="9" s="1"/>
  <c r="AM202" i="1"/>
  <c r="AM62" i="9" s="1"/>
  <c r="AL202" i="1"/>
  <c r="AL62" i="9" s="1"/>
  <c r="AK202" i="1"/>
  <c r="AK62" i="9" s="1"/>
  <c r="AJ202" i="1"/>
  <c r="AJ62" i="9" s="1"/>
  <c r="AI202" i="1"/>
  <c r="AI62" i="9" s="1"/>
  <c r="AH202" i="1"/>
  <c r="AH62" i="9" s="1"/>
  <c r="AG202" i="1"/>
  <c r="AG62" i="9" s="1"/>
  <c r="AF202" i="1"/>
  <c r="AF62" i="9" s="1"/>
  <c r="AE202" i="1"/>
  <c r="AE62" i="9" s="1"/>
  <c r="AD202" i="1"/>
  <c r="AD62" i="9" s="1"/>
  <c r="AC202" i="1"/>
  <c r="AC62" i="9" s="1"/>
  <c r="AB202" i="1"/>
  <c r="AB62" i="9" s="1"/>
  <c r="AA202" i="1"/>
  <c r="AA62" i="9" s="1"/>
  <c r="Z202" i="1"/>
  <c r="Z62" i="9" s="1"/>
  <c r="Y202" i="1"/>
  <c r="Y62" i="9" s="1"/>
  <c r="X202" i="1"/>
  <c r="X62" i="9" s="1"/>
  <c r="W202" i="1"/>
  <c r="W62" i="9" s="1"/>
  <c r="V202" i="1"/>
  <c r="V62" i="9" s="1"/>
  <c r="U202" i="1"/>
  <c r="U62" i="9" s="1"/>
  <c r="T202" i="1"/>
  <c r="T62" i="9" s="1"/>
  <c r="S202" i="1"/>
  <c r="S62" i="9" s="1"/>
  <c r="R202" i="1"/>
  <c r="R62" i="9" s="1"/>
  <c r="Q202" i="1"/>
  <c r="Q62" i="9" s="1"/>
  <c r="P202" i="1"/>
  <c r="P62" i="9" s="1"/>
  <c r="O202" i="1"/>
  <c r="O62" i="9" s="1"/>
  <c r="N202" i="1"/>
  <c r="N62" i="9" s="1"/>
  <c r="M202" i="1"/>
  <c r="M62" i="9" s="1"/>
  <c r="L202" i="1"/>
  <c r="L62" i="9" s="1"/>
  <c r="K202" i="1"/>
  <c r="K62" i="9" s="1"/>
  <c r="J202" i="1"/>
  <c r="J62" i="9" s="1"/>
  <c r="I202" i="1"/>
  <c r="I62" i="9" s="1"/>
  <c r="H202" i="1"/>
  <c r="H62" i="9" s="1"/>
  <c r="G202" i="1"/>
  <c r="G62" i="9" s="1"/>
  <c r="F202" i="1"/>
  <c r="F62" i="9" s="1"/>
  <c r="E202" i="1"/>
  <c r="E62" i="9" s="1"/>
  <c r="D202" i="1"/>
  <c r="D62" i="9" s="1"/>
  <c r="C202" i="1"/>
  <c r="C62" i="9" s="1"/>
  <c r="AY201" i="1"/>
  <c r="AY65" i="9" s="1"/>
  <c r="AQ201" i="1"/>
  <c r="AQ65" i="9" s="1"/>
  <c r="AP201" i="1"/>
  <c r="AP65" i="9" s="1"/>
  <c r="AO201" i="1"/>
  <c r="AO65" i="9" s="1"/>
  <c r="AN201" i="1"/>
  <c r="AN65" i="9" s="1"/>
  <c r="AM201" i="1"/>
  <c r="AM65" i="9" s="1"/>
  <c r="AL201" i="1"/>
  <c r="AL65" i="9" s="1"/>
  <c r="AK201" i="1"/>
  <c r="AK65" i="9" s="1"/>
  <c r="AJ201" i="1"/>
  <c r="AJ65" i="9" s="1"/>
  <c r="AI201" i="1"/>
  <c r="AI65" i="9" s="1"/>
  <c r="AH201" i="1"/>
  <c r="AH65" i="9" s="1"/>
  <c r="AG201" i="1"/>
  <c r="AG65" i="9" s="1"/>
  <c r="AF201" i="1"/>
  <c r="AF65" i="9" s="1"/>
  <c r="AE201" i="1"/>
  <c r="AE65" i="9" s="1"/>
  <c r="AD201" i="1"/>
  <c r="AD65" i="9" s="1"/>
  <c r="AC201" i="1"/>
  <c r="AC65" i="9" s="1"/>
  <c r="AB201" i="1"/>
  <c r="AB65" i="9" s="1"/>
  <c r="AA201" i="1"/>
  <c r="AA65" i="9" s="1"/>
  <c r="Z201" i="1"/>
  <c r="Z65" i="9" s="1"/>
  <c r="Y201" i="1"/>
  <c r="Y65" i="9" s="1"/>
  <c r="X201" i="1"/>
  <c r="X65" i="9" s="1"/>
  <c r="W201" i="1"/>
  <c r="W65" i="9" s="1"/>
  <c r="V201" i="1"/>
  <c r="V65" i="9" s="1"/>
  <c r="U201" i="1"/>
  <c r="U65" i="9" s="1"/>
  <c r="T201" i="1"/>
  <c r="T65" i="9" s="1"/>
  <c r="S201" i="1"/>
  <c r="S65" i="9" s="1"/>
  <c r="R201" i="1"/>
  <c r="R65" i="9" s="1"/>
  <c r="Q201" i="1"/>
  <c r="Q65" i="9" s="1"/>
  <c r="P201" i="1"/>
  <c r="P65" i="9" s="1"/>
  <c r="O201" i="1"/>
  <c r="O65" i="9" s="1"/>
  <c r="N201" i="1"/>
  <c r="N65" i="9" s="1"/>
  <c r="M201" i="1"/>
  <c r="M65" i="9" s="1"/>
  <c r="L201" i="1"/>
  <c r="L65" i="9" s="1"/>
  <c r="K201" i="1"/>
  <c r="K65" i="9" s="1"/>
  <c r="J201" i="1"/>
  <c r="J65" i="9" s="1"/>
  <c r="I201" i="1"/>
  <c r="I65" i="9" s="1"/>
  <c r="H201" i="1"/>
  <c r="H65" i="9" s="1"/>
  <c r="G201" i="1"/>
  <c r="G65" i="9" s="1"/>
  <c r="F201" i="1"/>
  <c r="F65" i="9" s="1"/>
  <c r="E201" i="1"/>
  <c r="E65" i="9" s="1"/>
  <c r="D201" i="1"/>
  <c r="D65" i="9" s="1"/>
  <c r="C201" i="1"/>
  <c r="C65" i="9" s="1"/>
  <c r="AT200" i="1"/>
  <c r="AQ200" i="1"/>
  <c r="AP200" i="1"/>
  <c r="AO200" i="1"/>
  <c r="AM200" i="1"/>
  <c r="AL200" i="1"/>
  <c r="AK200" i="1"/>
  <c r="AJ200" i="1"/>
  <c r="AI200" i="1"/>
  <c r="AH200" i="1"/>
  <c r="AG200" i="1"/>
  <c r="AF200" i="1"/>
  <c r="AE200" i="1"/>
  <c r="AC200" i="1"/>
  <c r="AB200" i="1"/>
  <c r="AA200" i="1"/>
  <c r="Z200" i="1"/>
  <c r="Y200" i="1"/>
  <c r="X200" i="1"/>
  <c r="W200" i="1"/>
  <c r="V200" i="1"/>
  <c r="U200" i="1"/>
  <c r="T200" i="1"/>
  <c r="S200" i="1"/>
  <c r="R200" i="1"/>
  <c r="Q200" i="1"/>
  <c r="P200" i="1"/>
  <c r="O200" i="1"/>
  <c r="N200" i="1"/>
  <c r="M200" i="1"/>
  <c r="L200" i="1"/>
  <c r="K200" i="1"/>
  <c r="J200" i="1"/>
  <c r="I200" i="1"/>
  <c r="H200" i="1"/>
  <c r="G200" i="1"/>
  <c r="F200" i="1"/>
  <c r="E200" i="1"/>
  <c r="D200" i="1"/>
  <c r="C200" i="1"/>
  <c r="A199" i="1"/>
  <c r="A492" i="1" s="1"/>
  <c r="AQ198" i="1"/>
  <c r="AQ60" i="9" s="1"/>
  <c r="AP198" i="1"/>
  <c r="AP60" i="9" s="1"/>
  <c r="AO198" i="1"/>
  <c r="AO60" i="9" s="1"/>
  <c r="AN198" i="1"/>
  <c r="AN60" i="9" s="1"/>
  <c r="AM198" i="1"/>
  <c r="AM60" i="9" s="1"/>
  <c r="AL198" i="1"/>
  <c r="AL60" i="9" s="1"/>
  <c r="AK198" i="1"/>
  <c r="AK60" i="9" s="1"/>
  <c r="AJ198" i="1"/>
  <c r="AJ60" i="9" s="1"/>
  <c r="AI198" i="1"/>
  <c r="AI60" i="9" s="1"/>
  <c r="AH198" i="1"/>
  <c r="AH60" i="9" s="1"/>
  <c r="AG198" i="1"/>
  <c r="AG60" i="9" s="1"/>
  <c r="AF198" i="1"/>
  <c r="AF60" i="9" s="1"/>
  <c r="AE198" i="1"/>
  <c r="AE60" i="9" s="1"/>
  <c r="AD198" i="1"/>
  <c r="AD60" i="9" s="1"/>
  <c r="AC198" i="1"/>
  <c r="AC60" i="9" s="1"/>
  <c r="AB198" i="1"/>
  <c r="AB60" i="9" s="1"/>
  <c r="AA198" i="1"/>
  <c r="AA60" i="9" s="1"/>
  <c r="Z198" i="1"/>
  <c r="Y198" i="1"/>
  <c r="Y60" i="9" s="1"/>
  <c r="X198" i="1"/>
  <c r="X60" i="9" s="1"/>
  <c r="W198" i="1"/>
  <c r="W60" i="9" s="1"/>
  <c r="V198" i="1"/>
  <c r="V60" i="9" s="1"/>
  <c r="U198" i="1"/>
  <c r="U60" i="9" s="1"/>
  <c r="T198" i="1"/>
  <c r="T60" i="9" s="1"/>
  <c r="S198" i="1"/>
  <c r="S60" i="9" s="1"/>
  <c r="R198" i="1"/>
  <c r="R60" i="9" s="1"/>
  <c r="Q198" i="1"/>
  <c r="Q60" i="9" s="1"/>
  <c r="P198" i="1"/>
  <c r="P60" i="9" s="1"/>
  <c r="O198" i="1"/>
  <c r="O60" i="9" s="1"/>
  <c r="N198" i="1"/>
  <c r="N60" i="9" s="1"/>
  <c r="M198" i="1"/>
  <c r="M60" i="9" s="1"/>
  <c r="L198" i="1"/>
  <c r="L60" i="9" s="1"/>
  <c r="K198" i="1"/>
  <c r="K60" i="9" s="1"/>
  <c r="J198" i="1"/>
  <c r="J60" i="9" s="1"/>
  <c r="I198" i="1"/>
  <c r="I60" i="9" s="1"/>
  <c r="H198" i="1"/>
  <c r="H60" i="9" s="1"/>
  <c r="G198" i="1"/>
  <c r="G60" i="9" s="1"/>
  <c r="F198" i="1"/>
  <c r="F60" i="9" s="1"/>
  <c r="E198" i="1"/>
  <c r="E60" i="9" s="1"/>
  <c r="D198" i="1"/>
  <c r="D60" i="9" s="1"/>
  <c r="C198" i="1"/>
  <c r="C60" i="9" s="1"/>
  <c r="A197" i="1"/>
  <c r="A491" i="1" s="1"/>
  <c r="AE195" i="1"/>
  <c r="AB195" i="1"/>
  <c r="O195" i="1"/>
  <c r="AQ192" i="1"/>
  <c r="AP192" i="1"/>
  <c r="AO192" i="1"/>
  <c r="AO5" i="9" s="1"/>
  <c r="AN192" i="1"/>
  <c r="AM192" i="1"/>
  <c r="AM5" i="9" s="1"/>
  <c r="AL192" i="1"/>
  <c r="AL5" i="9" s="1"/>
  <c r="AK192" i="1"/>
  <c r="AJ192" i="1"/>
  <c r="AI192" i="1"/>
  <c r="AH192" i="1"/>
  <c r="AF192" i="1"/>
  <c r="AD192" i="1"/>
  <c r="AD5" i="9" s="1"/>
  <c r="AC192" i="1"/>
  <c r="AA192" i="1"/>
  <c r="X192" i="1"/>
  <c r="V192" i="1"/>
  <c r="V5" i="9" s="1"/>
  <c r="S192" i="1"/>
  <c r="P192" i="1"/>
  <c r="N192" i="1"/>
  <c r="N5" i="9" s="1"/>
  <c r="M192" i="1"/>
  <c r="K192" i="1"/>
  <c r="H192" i="1"/>
  <c r="F192" i="1"/>
  <c r="F5" i="9" s="1"/>
  <c r="C192" i="1"/>
  <c r="AG191" i="1"/>
  <c r="AG192" i="1" s="1"/>
  <c r="AF191" i="1"/>
  <c r="AE191" i="1"/>
  <c r="AE192" i="1" s="1"/>
  <c r="AD191" i="1"/>
  <c r="AC191" i="1"/>
  <c r="AB191" i="1"/>
  <c r="AB192" i="1" s="1"/>
  <c r="AA191" i="1"/>
  <c r="Z191" i="1"/>
  <c r="Z192" i="1" s="1"/>
  <c r="Y191" i="1"/>
  <c r="Y192" i="1" s="1"/>
  <c r="X191" i="1"/>
  <c r="W191" i="1"/>
  <c r="W192" i="1" s="1"/>
  <c r="V191" i="1"/>
  <c r="U191" i="1"/>
  <c r="U192" i="1" s="1"/>
  <c r="T191" i="1"/>
  <c r="T192" i="1" s="1"/>
  <c r="S191" i="1"/>
  <c r="R191" i="1"/>
  <c r="R192" i="1" s="1"/>
  <c r="Q191" i="1"/>
  <c r="Q192" i="1" s="1"/>
  <c r="P191" i="1"/>
  <c r="O191" i="1"/>
  <c r="O192" i="1" s="1"/>
  <c r="N191" i="1"/>
  <c r="M191" i="1"/>
  <c r="L191" i="1"/>
  <c r="L192" i="1" s="1"/>
  <c r="K191" i="1"/>
  <c r="J191" i="1"/>
  <c r="J192" i="1" s="1"/>
  <c r="I191" i="1"/>
  <c r="I192" i="1" s="1"/>
  <c r="H191" i="1"/>
  <c r="G191" i="1"/>
  <c r="G192" i="1" s="1"/>
  <c r="F191" i="1"/>
  <c r="E191" i="1"/>
  <c r="E192" i="1" s="1"/>
  <c r="D191" i="1"/>
  <c r="D192" i="1" s="1"/>
  <c r="C191" i="1"/>
  <c r="AN190" i="1"/>
  <c r="AO452" i="1" s="1"/>
  <c r="AG190" i="1"/>
  <c r="AF190" i="1"/>
  <c r="AE190" i="1"/>
  <c r="AC190" i="1"/>
  <c r="AB190" i="1"/>
  <c r="AA190" i="1"/>
  <c r="Y190" i="1" s="1"/>
  <c r="Z190" i="1"/>
  <c r="X190" i="1"/>
  <c r="W190" i="1"/>
  <c r="V190" i="1"/>
  <c r="V452" i="1" s="1"/>
  <c r="U190" i="1"/>
  <c r="T190" i="1"/>
  <c r="S190" i="1"/>
  <c r="S452" i="1" s="1"/>
  <c r="R190" i="1"/>
  <c r="Q190" i="1"/>
  <c r="Q452" i="1" s="1"/>
  <c r="P190" i="1"/>
  <c r="O190" i="1"/>
  <c r="N190" i="1"/>
  <c r="N452" i="1" s="1"/>
  <c r="M190" i="1"/>
  <c r="L190" i="1"/>
  <c r="K190" i="1"/>
  <c r="K452" i="1" s="1"/>
  <c r="J190" i="1"/>
  <c r="I190" i="1"/>
  <c r="I452" i="1" s="1"/>
  <c r="H190" i="1"/>
  <c r="G190" i="1"/>
  <c r="F190" i="1"/>
  <c r="F452" i="1" s="1"/>
  <c r="E190" i="1"/>
  <c r="D190" i="1"/>
  <c r="C190" i="1"/>
  <c r="C452" i="1" s="1"/>
  <c r="A188" i="1"/>
  <c r="A490" i="1" s="1"/>
  <c r="AY179" i="1"/>
  <c r="AT179" i="1"/>
  <c r="AY178" i="1"/>
  <c r="AT178" i="1"/>
  <c r="AQ178" i="1"/>
  <c r="AP178" i="1"/>
  <c r="AO178" i="1"/>
  <c r="AN178" i="1"/>
  <c r="AM178" i="1"/>
  <c r="AL178" i="1"/>
  <c r="AK178" i="1"/>
  <c r="AY176" i="1"/>
  <c r="AT176" i="1"/>
  <c r="AY174" i="1"/>
  <c r="AY43" i="9" s="1"/>
  <c r="AT174" i="1"/>
  <c r="AT43" i="9" s="1"/>
  <c r="AY173" i="1"/>
  <c r="AY42" i="9" s="1"/>
  <c r="AT173" i="1"/>
  <c r="AT42" i="9" s="1"/>
  <c r="AY172" i="1"/>
  <c r="AY41" i="9" s="1"/>
  <c r="AT172" i="1"/>
  <c r="AT41" i="9" s="1"/>
  <c r="AQ170" i="1"/>
  <c r="AP170" i="1"/>
  <c r="AO170" i="1"/>
  <c r="AN170" i="1"/>
  <c r="AM170" i="1"/>
  <c r="AL170" i="1"/>
  <c r="AK170" i="1"/>
  <c r="AJ170" i="1"/>
  <c r="AI170" i="1"/>
  <c r="AH170" i="1"/>
  <c r="AH169" i="1" s="1"/>
  <c r="AG170" i="1"/>
  <c r="AF170" i="1"/>
  <c r="AF169" i="1" s="1"/>
  <c r="AE170" i="1"/>
  <c r="AD170" i="1"/>
  <c r="AC170" i="1"/>
  <c r="AB170" i="1"/>
  <c r="AA170" i="1"/>
  <c r="Z170" i="1"/>
  <c r="Y170" i="1"/>
  <c r="X170" i="1"/>
  <c r="X169" i="1" s="1"/>
  <c r="W170" i="1"/>
  <c r="V170" i="1"/>
  <c r="U170" i="1"/>
  <c r="T170" i="1"/>
  <c r="S170" i="1"/>
  <c r="R170" i="1"/>
  <c r="Q170" i="1"/>
  <c r="P170" i="1"/>
  <c r="P169" i="1" s="1"/>
  <c r="O170" i="1"/>
  <c r="N170" i="1"/>
  <c r="N169" i="1" s="1"/>
  <c r="M170" i="1"/>
  <c r="L170" i="1"/>
  <c r="K170" i="1"/>
  <c r="J170" i="1"/>
  <c r="I170" i="1"/>
  <c r="H170" i="1"/>
  <c r="H169" i="1" s="1"/>
  <c r="G170" i="1"/>
  <c r="F170" i="1"/>
  <c r="E170" i="1"/>
  <c r="D170" i="1"/>
  <c r="C170" i="1"/>
  <c r="AP169" i="1"/>
  <c r="AO169" i="1"/>
  <c r="AO40" i="9" s="1"/>
  <c r="AM169" i="1"/>
  <c r="AM40" i="9" s="1"/>
  <c r="AJ169" i="1"/>
  <c r="AJ40" i="9" s="1"/>
  <c r="AG169" i="1"/>
  <c r="AG40" i="9" s="1"/>
  <c r="AE169" i="1"/>
  <c r="AE40" i="9" s="1"/>
  <c r="AB169" i="1"/>
  <c r="AB40" i="9" s="1"/>
  <c r="Z169" i="1"/>
  <c r="W169" i="1"/>
  <c r="W40" i="9" s="1"/>
  <c r="R169" i="1"/>
  <c r="Q169" i="1"/>
  <c r="Q40" i="9" s="1"/>
  <c r="L169" i="1"/>
  <c r="L40" i="9" s="1"/>
  <c r="I169" i="1"/>
  <c r="I40" i="9" s="1"/>
  <c r="G169" i="1"/>
  <c r="G40" i="9" s="1"/>
  <c r="F169" i="1"/>
  <c r="D169" i="1"/>
  <c r="D40" i="9" s="1"/>
  <c r="AY166" i="1"/>
  <c r="AQ166" i="1"/>
  <c r="AP166" i="1"/>
  <c r="AO166" i="1"/>
  <c r="AM166" i="1"/>
  <c r="AL166" i="1"/>
  <c r="AK166" i="1"/>
  <c r="M57" i="10" s="1"/>
  <c r="AJ166" i="1"/>
  <c r="AH166" i="1"/>
  <c r="AG166" i="1"/>
  <c r="AF166" i="1"/>
  <c r="AE166" i="1"/>
  <c r="AC166" i="1"/>
  <c r="AB166" i="1"/>
  <c r="AA166" i="1"/>
  <c r="Z166" i="1"/>
  <c r="Y166" i="1"/>
  <c r="X166" i="1"/>
  <c r="W166" i="1"/>
  <c r="V166" i="1"/>
  <c r="U166" i="1"/>
  <c r="T166" i="1"/>
  <c r="S166" i="1"/>
  <c r="R166" i="1"/>
  <c r="Q166" i="1"/>
  <c r="P166" i="1"/>
  <c r="O166" i="1"/>
  <c r="N166" i="1"/>
  <c r="M166" i="1"/>
  <c r="L166" i="1"/>
  <c r="K166" i="1"/>
  <c r="J166" i="1"/>
  <c r="I166" i="1"/>
  <c r="H166" i="1"/>
  <c r="G166" i="1"/>
  <c r="F166" i="1"/>
  <c r="E166" i="1"/>
  <c r="D166" i="1"/>
  <c r="C166" i="1"/>
  <c r="AY165" i="1"/>
  <c r="AQ165" i="1"/>
  <c r="AP165" i="1"/>
  <c r="AO165" i="1"/>
  <c r="AO38" i="9" s="1"/>
  <c r="AM165" i="1"/>
  <c r="AL165" i="1"/>
  <c r="AK165" i="1"/>
  <c r="AJ165" i="1"/>
  <c r="AH165" i="1"/>
  <c r="AG165" i="1"/>
  <c r="AG38" i="9" s="1"/>
  <c r="AF165" i="1"/>
  <c r="AE165" i="1"/>
  <c r="AC165" i="1"/>
  <c r="AB165" i="1"/>
  <c r="AA165" i="1"/>
  <c r="AA38" i="9" s="1"/>
  <c r="Z165" i="1"/>
  <c r="Y165" i="1"/>
  <c r="Y38" i="9" s="1"/>
  <c r="X165" i="1"/>
  <c r="W165" i="1"/>
  <c r="V165" i="1"/>
  <c r="U165" i="1"/>
  <c r="T165" i="1"/>
  <c r="S165" i="1"/>
  <c r="S38" i="9" s="1"/>
  <c r="R165" i="1"/>
  <c r="Q165" i="1"/>
  <c r="Q38" i="9" s="1"/>
  <c r="P165" i="1"/>
  <c r="O165" i="1"/>
  <c r="N165" i="1"/>
  <c r="M165" i="1"/>
  <c r="L165" i="1"/>
  <c r="K165" i="1"/>
  <c r="K38" i="9" s="1"/>
  <c r="J165" i="1"/>
  <c r="I165" i="1"/>
  <c r="I38" i="9" s="1"/>
  <c r="H165" i="1"/>
  <c r="H38" i="9" s="1"/>
  <c r="G165" i="1"/>
  <c r="F165" i="1"/>
  <c r="E165" i="1"/>
  <c r="D165" i="1"/>
  <c r="C165" i="1"/>
  <c r="C38" i="9" s="1"/>
  <c r="AQ164" i="1"/>
  <c r="AQ37" i="9" s="1"/>
  <c r="AP164" i="1"/>
  <c r="AO164" i="1"/>
  <c r="AM164" i="1"/>
  <c r="AL164" i="1"/>
  <c r="AK164" i="1"/>
  <c r="AJ164" i="1"/>
  <c r="AH164" i="1"/>
  <c r="AG164" i="1"/>
  <c r="AG37" i="9" s="1"/>
  <c r="AF164" i="1"/>
  <c r="AE164" i="1"/>
  <c r="AC164" i="1"/>
  <c r="AB164" i="1"/>
  <c r="AA164" i="1"/>
  <c r="AA37" i="9" s="1"/>
  <c r="Z164" i="1"/>
  <c r="X164" i="1"/>
  <c r="W164" i="1"/>
  <c r="V164" i="1"/>
  <c r="U164" i="1"/>
  <c r="S164" i="1"/>
  <c r="S37" i="9" s="1"/>
  <c r="R164" i="1"/>
  <c r="Q164" i="1"/>
  <c r="Q37" i="9" s="1"/>
  <c r="P164" i="1"/>
  <c r="N164" i="1"/>
  <c r="M164" i="1"/>
  <c r="L164" i="1"/>
  <c r="K164" i="1"/>
  <c r="K37" i="9" s="1"/>
  <c r="I164" i="1"/>
  <c r="I37" i="9" s="1"/>
  <c r="H164" i="1"/>
  <c r="G164" i="1"/>
  <c r="F164" i="1"/>
  <c r="E164" i="1"/>
  <c r="D164" i="1"/>
  <c r="C164" i="1"/>
  <c r="C37" i="9" s="1"/>
  <c r="AY161" i="1"/>
  <c r="AY35" i="9" s="1"/>
  <c r="AQ161" i="1"/>
  <c r="AQ35" i="9" s="1"/>
  <c r="AP161" i="1"/>
  <c r="AP35" i="9" s="1"/>
  <c r="AO161" i="1"/>
  <c r="AO35" i="9" s="1"/>
  <c r="AN161" i="1"/>
  <c r="AN35" i="9" s="1"/>
  <c r="AM161" i="1"/>
  <c r="AM35" i="9" s="1"/>
  <c r="AL161" i="1"/>
  <c r="AK161" i="1"/>
  <c r="AK35" i="9" s="1"/>
  <c r="AJ161" i="1"/>
  <c r="AI161" i="1"/>
  <c r="AI35" i="9" s="1"/>
  <c r="AH161" i="1"/>
  <c r="AH35" i="9" s="1"/>
  <c r="AG161" i="1"/>
  <c r="AG35" i="9" s="1"/>
  <c r="AF161" i="1"/>
  <c r="AF35" i="9" s="1"/>
  <c r="AE161" i="1"/>
  <c r="AE35" i="9" s="1"/>
  <c r="AD161" i="1"/>
  <c r="AD35" i="9" s="1"/>
  <c r="AC161" i="1"/>
  <c r="AC35" i="9" s="1"/>
  <c r="AB161" i="1"/>
  <c r="AA161" i="1"/>
  <c r="AA35" i="9" s="1"/>
  <c r="Z161" i="1"/>
  <c r="Z35" i="9" s="1"/>
  <c r="Y161" i="1"/>
  <c r="Y35" i="9" s="1"/>
  <c r="X161" i="1"/>
  <c r="X35" i="9" s="1"/>
  <c r="W161" i="1"/>
  <c r="W35" i="9" s="1"/>
  <c r="V161" i="1"/>
  <c r="U161" i="1"/>
  <c r="U35" i="9" s="1"/>
  <c r="T161" i="1"/>
  <c r="T35" i="9" s="1"/>
  <c r="S161" i="1"/>
  <c r="S35" i="9" s="1"/>
  <c r="R161" i="1"/>
  <c r="R35" i="9" s="1"/>
  <c r="Q161" i="1"/>
  <c r="Q35" i="9" s="1"/>
  <c r="P161" i="1"/>
  <c r="P35" i="9" s="1"/>
  <c r="O161" i="1"/>
  <c r="O35" i="9" s="1"/>
  <c r="N161" i="1"/>
  <c r="M161" i="1"/>
  <c r="M35" i="9" s="1"/>
  <c r="L161" i="1"/>
  <c r="K161" i="1"/>
  <c r="K35" i="9" s="1"/>
  <c r="J161" i="1"/>
  <c r="J35" i="9" s="1"/>
  <c r="I161" i="1"/>
  <c r="I35" i="9" s="1"/>
  <c r="H161" i="1"/>
  <c r="H35" i="9" s="1"/>
  <c r="G161" i="1"/>
  <c r="G35" i="9" s="1"/>
  <c r="F161" i="1"/>
  <c r="E161" i="1"/>
  <c r="E35" i="9" s="1"/>
  <c r="D161" i="1"/>
  <c r="C161" i="1"/>
  <c r="C35" i="9" s="1"/>
  <c r="AY160" i="1"/>
  <c r="AY36" i="9" s="1"/>
  <c r="AQ160" i="1"/>
  <c r="AQ36" i="9" s="1"/>
  <c r="AP160" i="1"/>
  <c r="AP36" i="9" s="1"/>
  <c r="AO160" i="1"/>
  <c r="AO36" i="9" s="1"/>
  <c r="AN160" i="1"/>
  <c r="AN36" i="9" s="1"/>
  <c r="AM160" i="1"/>
  <c r="AM36" i="9" s="1"/>
  <c r="AL160" i="1"/>
  <c r="AK160" i="1"/>
  <c r="AK36" i="9" s="1"/>
  <c r="AJ160" i="1"/>
  <c r="AH160" i="1"/>
  <c r="AH36" i="9" s="1"/>
  <c r="AG160" i="1"/>
  <c r="AG36" i="9" s="1"/>
  <c r="AF160" i="1"/>
  <c r="AF36" i="9" s="1"/>
  <c r="AE160" i="1"/>
  <c r="AE36" i="9" s="1"/>
  <c r="AD160" i="1"/>
  <c r="AD36" i="9" s="1"/>
  <c r="AC160" i="1"/>
  <c r="AC36" i="9" s="1"/>
  <c r="AB160" i="1"/>
  <c r="AA160" i="1"/>
  <c r="AA36" i="9" s="1"/>
  <c r="Z160" i="1"/>
  <c r="Z36" i="9" s="1"/>
  <c r="Y160" i="1"/>
  <c r="Y36" i="9" s="1"/>
  <c r="X160" i="1"/>
  <c r="X36" i="9" s="1"/>
  <c r="W160" i="1"/>
  <c r="W36" i="9" s="1"/>
  <c r="V160" i="1"/>
  <c r="U160" i="1"/>
  <c r="U36" i="9" s="1"/>
  <c r="T160" i="1"/>
  <c r="T36" i="9" s="1"/>
  <c r="S160" i="1"/>
  <c r="S36" i="9" s="1"/>
  <c r="R160" i="1"/>
  <c r="R36" i="9" s="1"/>
  <c r="Q160" i="1"/>
  <c r="Q36" i="9" s="1"/>
  <c r="P160" i="1"/>
  <c r="P36" i="9" s="1"/>
  <c r="O160" i="1"/>
  <c r="O36" i="9" s="1"/>
  <c r="N160" i="1"/>
  <c r="M160" i="1"/>
  <c r="M36" i="9" s="1"/>
  <c r="L160" i="1"/>
  <c r="K160" i="1"/>
  <c r="K36" i="9" s="1"/>
  <c r="J160" i="1"/>
  <c r="J36" i="9" s="1"/>
  <c r="I160" i="1"/>
  <c r="I36" i="9" s="1"/>
  <c r="H160" i="1"/>
  <c r="H36" i="9" s="1"/>
  <c r="G160" i="1"/>
  <c r="G36" i="9" s="1"/>
  <c r="F160" i="1"/>
  <c r="E160" i="1"/>
  <c r="E36" i="9" s="1"/>
  <c r="D160" i="1"/>
  <c r="C160" i="1"/>
  <c r="C36" i="9" s="1"/>
  <c r="AP155" i="1"/>
  <c r="AP93" i="1" s="1"/>
  <c r="AP450" i="1" s="1"/>
  <c r="AO155" i="1"/>
  <c r="AO33" i="9" s="1"/>
  <c r="AK155" i="1"/>
  <c r="AK33" i="9" s="1"/>
  <c r="AH155" i="1"/>
  <c r="AH33" i="9" s="1"/>
  <c r="AG155" i="1"/>
  <c r="AG33" i="9" s="1"/>
  <c r="AF155" i="1"/>
  <c r="AF33" i="9" s="1"/>
  <c r="AE155" i="1"/>
  <c r="AE33" i="9" s="1"/>
  <c r="AC155" i="1"/>
  <c r="AC33" i="9" s="1"/>
  <c r="Z155" i="1"/>
  <c r="Z33" i="9" s="1"/>
  <c r="X155" i="1"/>
  <c r="X33" i="9" s="1"/>
  <c r="W155" i="1"/>
  <c r="W33" i="9" s="1"/>
  <c r="U155" i="1"/>
  <c r="U33" i="9" s="1"/>
  <c r="R155" i="1"/>
  <c r="R33" i="9" s="1"/>
  <c r="P155" i="1"/>
  <c r="P33" i="9" s="1"/>
  <c r="M155" i="1"/>
  <c r="M33" i="9" s="1"/>
  <c r="I155" i="1"/>
  <c r="I33" i="9" s="1"/>
  <c r="H155" i="1"/>
  <c r="H33" i="9" s="1"/>
  <c r="E155" i="1"/>
  <c r="E33" i="9" s="1"/>
  <c r="AQ153" i="1"/>
  <c r="AQ152" i="1"/>
  <c r="AQ32" i="9" s="1"/>
  <c r="AP152" i="1"/>
  <c r="AO152" i="1"/>
  <c r="AO32" i="9" s="1"/>
  <c r="AM152" i="1"/>
  <c r="AM32" i="9" s="1"/>
  <c r="AK152" i="1"/>
  <c r="AK32" i="9" s="1"/>
  <c r="AH152" i="1"/>
  <c r="AH32" i="9" s="1"/>
  <c r="AF152" i="1"/>
  <c r="AF32" i="9" s="1"/>
  <c r="AE152" i="1"/>
  <c r="AE32" i="9" s="1"/>
  <c r="AC152" i="1"/>
  <c r="AC32" i="9" s="1"/>
  <c r="AA152" i="1"/>
  <c r="AA32" i="9" s="1"/>
  <c r="Z152" i="1"/>
  <c r="Z32" i="9" s="1"/>
  <c r="X152" i="1"/>
  <c r="X32" i="9" s="1"/>
  <c r="U152" i="1"/>
  <c r="U32" i="9" s="1"/>
  <c r="S152" i="1"/>
  <c r="S32" i="9" s="1"/>
  <c r="R152" i="1"/>
  <c r="R32" i="9" s="1"/>
  <c r="Q152" i="1"/>
  <c r="Q32" i="9" s="1"/>
  <c r="P152" i="1"/>
  <c r="P32" i="9" s="1"/>
  <c r="M152" i="1"/>
  <c r="M32" i="9" s="1"/>
  <c r="K152" i="1"/>
  <c r="K32" i="9" s="1"/>
  <c r="I152" i="1"/>
  <c r="I32" i="9" s="1"/>
  <c r="H152" i="1"/>
  <c r="H32" i="9" s="1"/>
  <c r="G152" i="1"/>
  <c r="G32" i="9" s="1"/>
  <c r="E152" i="1"/>
  <c r="E32" i="9" s="1"/>
  <c r="C152" i="1"/>
  <c r="C32" i="9" s="1"/>
  <c r="A150" i="1"/>
  <c r="AQ149" i="1"/>
  <c r="AP149" i="1"/>
  <c r="AO149" i="1"/>
  <c r="AM149" i="1"/>
  <c r="AM15" i="1" s="1"/>
  <c r="AM16" i="9" s="1"/>
  <c r="AL149" i="1"/>
  <c r="AK149" i="1"/>
  <c r="AJ149" i="1"/>
  <c r="X23" i="14" s="1"/>
  <c r="X34" i="14" s="1"/>
  <c r="AH149" i="1"/>
  <c r="AG149" i="1"/>
  <c r="AF149" i="1"/>
  <c r="AF93" i="1" s="1"/>
  <c r="AF450" i="1" s="1"/>
  <c r="AE149" i="1"/>
  <c r="AC149" i="1"/>
  <c r="AC93" i="1" s="1"/>
  <c r="AC450" i="1" s="1"/>
  <c r="AB149" i="1"/>
  <c r="AA149" i="1"/>
  <c r="Z149" i="1"/>
  <c r="V23" i="14" s="1"/>
  <c r="X149" i="1"/>
  <c r="W149" i="1"/>
  <c r="V149" i="1"/>
  <c r="U149" i="1"/>
  <c r="U23" i="14" s="1"/>
  <c r="S149" i="1"/>
  <c r="S15" i="1" s="1"/>
  <c r="S16" i="9" s="1"/>
  <c r="R149" i="1"/>
  <c r="Q149" i="1"/>
  <c r="P149" i="1"/>
  <c r="T23" i="14" s="1"/>
  <c r="N149" i="1"/>
  <c r="M149" i="1"/>
  <c r="M93" i="1" s="1"/>
  <c r="M450" i="1" s="1"/>
  <c r="L149" i="1"/>
  <c r="K149" i="1"/>
  <c r="K153" i="1" s="1"/>
  <c r="I149" i="1"/>
  <c r="I31" i="9" s="1"/>
  <c r="H149" i="1"/>
  <c r="G149" i="1"/>
  <c r="G31" i="9" s="1"/>
  <c r="F149" i="1"/>
  <c r="K15" i="1" s="1"/>
  <c r="K16" i="9" s="1"/>
  <c r="E149" i="1"/>
  <c r="D149" i="1"/>
  <c r="P23" i="14" s="1"/>
  <c r="C149" i="1"/>
  <c r="AQ146" i="1"/>
  <c r="AL146" i="1"/>
  <c r="AL121" i="1"/>
  <c r="AO119" i="1"/>
  <c r="AO121" i="1" s="1"/>
  <c r="AM119" i="1"/>
  <c r="AM121" i="1" s="1"/>
  <c r="AL119" i="1"/>
  <c r="AK119" i="1"/>
  <c r="AK121" i="1" s="1"/>
  <c r="AJ119" i="1"/>
  <c r="AJ121" i="1" s="1"/>
  <c r="AH119" i="1"/>
  <c r="AH121" i="1" s="1"/>
  <c r="AG119" i="1"/>
  <c r="AG121" i="1" s="1"/>
  <c r="AF119" i="1"/>
  <c r="AF121" i="1" s="1"/>
  <c r="BB116" i="1"/>
  <c r="BA116" i="1"/>
  <c r="AZ116" i="1"/>
  <c r="AY116" i="1"/>
  <c r="AX116" i="1"/>
  <c r="AW116" i="1"/>
  <c r="AV116" i="1"/>
  <c r="AU116" i="1"/>
  <c r="AT116" i="1"/>
  <c r="AS116" i="1"/>
  <c r="AR116" i="1"/>
  <c r="AH116" i="1"/>
  <c r="AN113" i="1"/>
  <c r="AN169" i="1" s="1"/>
  <c r="AI113" i="1"/>
  <c r="AI169" i="1" s="1"/>
  <c r="AI40" i="9" s="1"/>
  <c r="AD113" i="1"/>
  <c r="AD169" i="1" s="1"/>
  <c r="Y113" i="1"/>
  <c r="Y169" i="1" s="1"/>
  <c r="Y40" i="9" s="1"/>
  <c r="T113" i="1"/>
  <c r="T169" i="1" s="1"/>
  <c r="O113" i="1"/>
  <c r="O169" i="1" s="1"/>
  <c r="J113" i="1"/>
  <c r="J169" i="1" s="1"/>
  <c r="AN110" i="1"/>
  <c r="AN109" i="1"/>
  <c r="AN165" i="1" s="1"/>
  <c r="AI109" i="1"/>
  <c r="AI165" i="1" s="1"/>
  <c r="AD109" i="1"/>
  <c r="AD165" i="1" s="1"/>
  <c r="AN108" i="1"/>
  <c r="AN164" i="1" s="1"/>
  <c r="AI108" i="1"/>
  <c r="AI164" i="1" s="1"/>
  <c r="AD108" i="1"/>
  <c r="AD164" i="1" s="1"/>
  <c r="Y108" i="1"/>
  <c r="Y164" i="1" s="1"/>
  <c r="T108" i="1"/>
  <c r="T164" i="1" s="1"/>
  <c r="O108" i="1"/>
  <c r="O164" i="1" s="1"/>
  <c r="J108" i="1"/>
  <c r="J164" i="1" s="1"/>
  <c r="AS107" i="1"/>
  <c r="AS112" i="1" s="1"/>
  <c r="AS114" i="1" s="1"/>
  <c r="AC107" i="1"/>
  <c r="AC112" i="1" s="1"/>
  <c r="AC114" i="1" s="1"/>
  <c r="U107" i="1"/>
  <c r="U112" i="1" s="1"/>
  <c r="U114" i="1" s="1"/>
  <c r="S107" i="1"/>
  <c r="S112" i="1" s="1"/>
  <c r="S114" i="1" s="1"/>
  <c r="K107" i="1"/>
  <c r="K112" i="1" s="1"/>
  <c r="K114" i="1" s="1"/>
  <c r="AN106" i="1"/>
  <c r="AN155" i="1" s="1"/>
  <c r="AI106" i="1"/>
  <c r="AI155" i="1" s="1"/>
  <c r="AD106" i="1"/>
  <c r="AD155" i="1" s="1"/>
  <c r="AD33" i="9" s="1"/>
  <c r="Y106" i="1"/>
  <c r="Y155" i="1" s="1"/>
  <c r="T106" i="1"/>
  <c r="T155" i="1" s="1"/>
  <c r="T33" i="9" s="1"/>
  <c r="O106" i="1"/>
  <c r="O155" i="1" s="1"/>
  <c r="J106" i="1"/>
  <c r="J155" i="1" s="1"/>
  <c r="AN105" i="1"/>
  <c r="AI105" i="1"/>
  <c r="AI166" i="1" s="1"/>
  <c r="AD105" i="1"/>
  <c r="AD166" i="1" s="1"/>
  <c r="BB104" i="1"/>
  <c r="BB107" i="1" s="1"/>
  <c r="BB112" i="1" s="1"/>
  <c r="BB114" i="1" s="1"/>
  <c r="BA104" i="1"/>
  <c r="BA107" i="1" s="1"/>
  <c r="BA112" i="1" s="1"/>
  <c r="BA114" i="1" s="1"/>
  <c r="AZ104" i="1"/>
  <c r="AZ107" i="1" s="1"/>
  <c r="AZ112" i="1" s="1"/>
  <c r="AZ114" i="1" s="1"/>
  <c r="AY104" i="1"/>
  <c r="AY107" i="1" s="1"/>
  <c r="AY112" i="1" s="1"/>
  <c r="AY114" i="1" s="1"/>
  <c r="AX104" i="1"/>
  <c r="AX107" i="1" s="1"/>
  <c r="AX112" i="1" s="1"/>
  <c r="AX114" i="1" s="1"/>
  <c r="AW104" i="1"/>
  <c r="AW107" i="1" s="1"/>
  <c r="AW112" i="1" s="1"/>
  <c r="AW114" i="1" s="1"/>
  <c r="AV104" i="1"/>
  <c r="AV107" i="1" s="1"/>
  <c r="AV112" i="1" s="1"/>
  <c r="AV114" i="1" s="1"/>
  <c r="AU104" i="1"/>
  <c r="AU107" i="1" s="1"/>
  <c r="AU112" i="1" s="1"/>
  <c r="AU114" i="1" s="1"/>
  <c r="AT104" i="1"/>
  <c r="AT107" i="1" s="1"/>
  <c r="AT112" i="1" s="1"/>
  <c r="AT114" i="1" s="1"/>
  <c r="AS104" i="1"/>
  <c r="AR104" i="1"/>
  <c r="AR107" i="1" s="1"/>
  <c r="AR112" i="1" s="1"/>
  <c r="AR114" i="1" s="1"/>
  <c r="AQ104" i="1"/>
  <c r="AQ107" i="1" s="1"/>
  <c r="AQ112" i="1" s="1"/>
  <c r="AQ114" i="1" s="1"/>
  <c r="AP104" i="1"/>
  <c r="AP107" i="1" s="1"/>
  <c r="AP112" i="1" s="1"/>
  <c r="AP114" i="1" s="1"/>
  <c r="AO104" i="1"/>
  <c r="AO107" i="1" s="1"/>
  <c r="AM104" i="1"/>
  <c r="AM107" i="1" s="1"/>
  <c r="AL104" i="1"/>
  <c r="AL107" i="1" s="1"/>
  <c r="AK104" i="1"/>
  <c r="AK107" i="1" s="1"/>
  <c r="AJ104" i="1"/>
  <c r="AJ107" i="1" s="1"/>
  <c r="AJ112" i="1" s="1"/>
  <c r="AJ114" i="1" s="1"/>
  <c r="AH104" i="1"/>
  <c r="AH107" i="1" s="1"/>
  <c r="AH112" i="1" s="1"/>
  <c r="AG104" i="1"/>
  <c r="AG107" i="1" s="1"/>
  <c r="AG112" i="1" s="1"/>
  <c r="AG114" i="1" s="1"/>
  <c r="AF104" i="1"/>
  <c r="AF107" i="1" s="1"/>
  <c r="AF112" i="1" s="1"/>
  <c r="AF114" i="1" s="1"/>
  <c r="AE104" i="1"/>
  <c r="AE107" i="1" s="1"/>
  <c r="AE112" i="1" s="1"/>
  <c r="AE114" i="1" s="1"/>
  <c r="AD104" i="1"/>
  <c r="AD107" i="1" s="1"/>
  <c r="AD112" i="1" s="1"/>
  <c r="AC104" i="1"/>
  <c r="AB104" i="1"/>
  <c r="AB107" i="1" s="1"/>
  <c r="AB112" i="1" s="1"/>
  <c r="AB114" i="1" s="1"/>
  <c r="AA104" i="1"/>
  <c r="AA107" i="1" s="1"/>
  <c r="AA112" i="1" s="1"/>
  <c r="AA114" i="1" s="1"/>
  <c r="Z104" i="1"/>
  <c r="Z107" i="1" s="1"/>
  <c r="Z112" i="1" s="1"/>
  <c r="Z114" i="1" s="1"/>
  <c r="Y104" i="1"/>
  <c r="Y107" i="1" s="1"/>
  <c r="Y112" i="1" s="1"/>
  <c r="X104" i="1"/>
  <c r="X107" i="1" s="1"/>
  <c r="X112" i="1" s="1"/>
  <c r="X114" i="1" s="1"/>
  <c r="W104" i="1"/>
  <c r="W107" i="1" s="1"/>
  <c r="W112" i="1" s="1"/>
  <c r="W114" i="1" s="1"/>
  <c r="V104" i="1"/>
  <c r="V107" i="1" s="1"/>
  <c r="V112" i="1" s="1"/>
  <c r="V114" i="1" s="1"/>
  <c r="U104" i="1"/>
  <c r="S104" i="1"/>
  <c r="R104" i="1"/>
  <c r="R107" i="1" s="1"/>
  <c r="R112" i="1" s="1"/>
  <c r="R114" i="1" s="1"/>
  <c r="Q104" i="1"/>
  <c r="Q107" i="1" s="1"/>
  <c r="Q112" i="1" s="1"/>
  <c r="Q114" i="1" s="1"/>
  <c r="P104" i="1"/>
  <c r="P107" i="1" s="1"/>
  <c r="P112" i="1" s="1"/>
  <c r="P114" i="1" s="1"/>
  <c r="N104" i="1"/>
  <c r="N107" i="1" s="1"/>
  <c r="N112" i="1" s="1"/>
  <c r="N114" i="1" s="1"/>
  <c r="M104" i="1"/>
  <c r="M107" i="1" s="1"/>
  <c r="M112" i="1" s="1"/>
  <c r="M114" i="1" s="1"/>
  <c r="L104" i="1"/>
  <c r="L107" i="1" s="1"/>
  <c r="L112" i="1" s="1"/>
  <c r="L114" i="1" s="1"/>
  <c r="K104" i="1"/>
  <c r="I104" i="1"/>
  <c r="I107" i="1" s="1"/>
  <c r="I112" i="1" s="1"/>
  <c r="I114" i="1" s="1"/>
  <c r="H104" i="1"/>
  <c r="H107" i="1" s="1"/>
  <c r="H112" i="1" s="1"/>
  <c r="H114" i="1" s="1"/>
  <c r="G104" i="1"/>
  <c r="G107" i="1" s="1"/>
  <c r="G112" i="1" s="1"/>
  <c r="G114" i="1" s="1"/>
  <c r="F104" i="1"/>
  <c r="F107" i="1" s="1"/>
  <c r="F112" i="1" s="1"/>
  <c r="F114" i="1" s="1"/>
  <c r="E104" i="1"/>
  <c r="E107" i="1" s="1"/>
  <c r="E112" i="1" s="1"/>
  <c r="E114" i="1" s="1"/>
  <c r="D104" i="1"/>
  <c r="D107" i="1" s="1"/>
  <c r="D112" i="1" s="1"/>
  <c r="D114" i="1" s="1"/>
  <c r="C104" i="1"/>
  <c r="C107" i="1" s="1"/>
  <c r="C112" i="1" s="1"/>
  <c r="C114" i="1" s="1"/>
  <c r="AN103" i="1"/>
  <c r="AN152" i="1" s="1"/>
  <c r="AI103" i="1"/>
  <c r="AD103" i="1"/>
  <c r="AD152" i="1" s="1"/>
  <c r="AD32" i="9" s="1"/>
  <c r="Y103" i="1"/>
  <c r="Y152" i="1" s="1"/>
  <c r="T103" i="1"/>
  <c r="T152" i="1" s="1"/>
  <c r="T32" i="9" s="1"/>
  <c r="O103" i="1"/>
  <c r="O152" i="1" s="1"/>
  <c r="J103" i="1"/>
  <c r="J152" i="1" s="1"/>
  <c r="AN102" i="1"/>
  <c r="AN149" i="1" s="1"/>
  <c r="AI102" i="1"/>
  <c r="AD102" i="1"/>
  <c r="Y102" i="1"/>
  <c r="T102" i="1"/>
  <c r="O102" i="1"/>
  <c r="J102" i="1"/>
  <c r="J149" i="1" s="1"/>
  <c r="F97" i="1"/>
  <c r="E97" i="1"/>
  <c r="D97" i="1"/>
  <c r="C97" i="1"/>
  <c r="AO93" i="1"/>
  <c r="AO450" i="1" s="1"/>
  <c r="AH93" i="1"/>
  <c r="AH450" i="1" s="1"/>
  <c r="AG93" i="1"/>
  <c r="AG450" i="1" s="1"/>
  <c r="AE93" i="1"/>
  <c r="AE450" i="1" s="1"/>
  <c r="X93" i="1"/>
  <c r="X450" i="1" s="1"/>
  <c r="R93" i="1"/>
  <c r="R450" i="1" s="1"/>
  <c r="BB89" i="1"/>
  <c r="BA89" i="1"/>
  <c r="AZ89" i="1"/>
  <c r="AX89" i="1"/>
  <c r="AW89" i="1"/>
  <c r="AV89" i="1"/>
  <c r="AU89" i="1"/>
  <c r="AS89" i="1"/>
  <c r="AR89" i="1"/>
  <c r="AQ88" i="1"/>
  <c r="AQ90" i="1" s="1"/>
  <c r="AP88" i="1"/>
  <c r="AP90" i="1" s="1"/>
  <c r="AA88" i="1"/>
  <c r="AA90" i="1" s="1"/>
  <c r="X88" i="1"/>
  <c r="X90" i="1" s="1"/>
  <c r="P88" i="1"/>
  <c r="P90" i="1" s="1"/>
  <c r="M88" i="1"/>
  <c r="M90" i="1" s="1"/>
  <c r="G88" i="1"/>
  <c r="G90" i="1" s="1"/>
  <c r="AQ87" i="1"/>
  <c r="AQ89" i="1" s="1"/>
  <c r="AH87" i="1"/>
  <c r="AH89" i="1" s="1"/>
  <c r="AA87" i="1"/>
  <c r="AA89" i="1" s="1"/>
  <c r="X87" i="1"/>
  <c r="X89" i="1" s="1"/>
  <c r="R87" i="1"/>
  <c r="R89" i="1" s="1"/>
  <c r="AQ79" i="1"/>
  <c r="AP79" i="1"/>
  <c r="AO79" i="1"/>
  <c r="AN79" i="1"/>
  <c r="AM79" i="1"/>
  <c r="AL79" i="1"/>
  <c r="AK79" i="1"/>
  <c r="AI79" i="1"/>
  <c r="AH79" i="1"/>
  <c r="AG79" i="1"/>
  <c r="AF79" i="1"/>
  <c r="AE79" i="1"/>
  <c r="AD79" i="1"/>
  <c r="AC79" i="1"/>
  <c r="AB79" i="1"/>
  <c r="AA79" i="1"/>
  <c r="Y79" i="1"/>
  <c r="X79" i="1"/>
  <c r="W79" i="1"/>
  <c r="V79" i="1"/>
  <c r="U79" i="1"/>
  <c r="T79" i="1"/>
  <c r="S79" i="1"/>
  <c r="R79" i="1"/>
  <c r="Q79" i="1"/>
  <c r="O79" i="1"/>
  <c r="N79" i="1"/>
  <c r="M79" i="1"/>
  <c r="L79" i="1"/>
  <c r="K79" i="1"/>
  <c r="J79" i="1"/>
  <c r="I79" i="1"/>
  <c r="H79" i="1"/>
  <c r="G79" i="1"/>
  <c r="F79" i="1"/>
  <c r="E79" i="1"/>
  <c r="D79" i="1"/>
  <c r="C79" i="1"/>
  <c r="AO74" i="1"/>
  <c r="AJ74" i="1"/>
  <c r="AJ79" i="1" s="1"/>
  <c r="AE74" i="1"/>
  <c r="Z74" i="1"/>
  <c r="Z79" i="1" s="1"/>
  <c r="U74" i="1"/>
  <c r="P74" i="1"/>
  <c r="P79" i="1" s="1"/>
  <c r="K69" i="1"/>
  <c r="I69" i="1"/>
  <c r="F69" i="1"/>
  <c r="AP68" i="1"/>
  <c r="AH68" i="1"/>
  <c r="AF68" i="1"/>
  <c r="Z68" i="1"/>
  <c r="X68" i="1"/>
  <c r="R68" i="1"/>
  <c r="P68" i="1"/>
  <c r="K68" i="1"/>
  <c r="I68" i="1"/>
  <c r="H68" i="1"/>
  <c r="G68" i="1"/>
  <c r="F68" i="1"/>
  <c r="AQ67" i="1"/>
  <c r="AP67" i="1"/>
  <c r="AP69" i="1" s="1"/>
  <c r="AO67" i="1"/>
  <c r="AM67" i="1"/>
  <c r="AL67" i="1"/>
  <c r="AK67" i="1"/>
  <c r="AJ67" i="1"/>
  <c r="AH67" i="1"/>
  <c r="AH69" i="1" s="1"/>
  <c r="AG67" i="1"/>
  <c r="AF67" i="1"/>
  <c r="AF69" i="1" s="1"/>
  <c r="AE67" i="1"/>
  <c r="AC67" i="1"/>
  <c r="AB67" i="1"/>
  <c r="AA67" i="1"/>
  <c r="Z67" i="1"/>
  <c r="Z69" i="1" s="1"/>
  <c r="X67" i="1"/>
  <c r="X69" i="1" s="1"/>
  <c r="W67" i="1"/>
  <c r="V67" i="1"/>
  <c r="U67" i="1"/>
  <c r="S67" i="1"/>
  <c r="R67" i="1"/>
  <c r="R69" i="1" s="1"/>
  <c r="Q67" i="1"/>
  <c r="P67" i="1"/>
  <c r="P69" i="1" s="1"/>
  <c r="N67" i="1"/>
  <c r="M67" i="1"/>
  <c r="L67" i="1"/>
  <c r="K67" i="1"/>
  <c r="I67" i="1"/>
  <c r="H67" i="1"/>
  <c r="H69" i="1" s="1"/>
  <c r="G67" i="1"/>
  <c r="G69" i="1" s="1"/>
  <c r="F67" i="1"/>
  <c r="AN66" i="1"/>
  <c r="AI66" i="1"/>
  <c r="AD66" i="1"/>
  <c r="Y66" i="1"/>
  <c r="T66" i="1"/>
  <c r="O66" i="1"/>
  <c r="J66" i="1"/>
  <c r="AN65" i="1"/>
  <c r="AI65" i="1"/>
  <c r="AD65" i="1"/>
  <c r="Y65" i="1"/>
  <c r="T65" i="1"/>
  <c r="O65" i="1"/>
  <c r="J65" i="1"/>
  <c r="AN64" i="1"/>
  <c r="AI64" i="1"/>
  <c r="AD64" i="1"/>
  <c r="Y64" i="1"/>
  <c r="T64" i="1"/>
  <c r="O64" i="1"/>
  <c r="J64" i="1"/>
  <c r="AN63" i="1"/>
  <c r="AI63" i="1"/>
  <c r="AD63" i="1"/>
  <c r="Y63" i="1"/>
  <c r="T63" i="1"/>
  <c r="T67" i="1" s="1"/>
  <c r="O63" i="1"/>
  <c r="J63" i="1"/>
  <c r="J67" i="1" s="1"/>
  <c r="AN62" i="1"/>
  <c r="AI62" i="1"/>
  <c r="AD62" i="1"/>
  <c r="Y62" i="1"/>
  <c r="T62" i="1"/>
  <c r="O62" i="1"/>
  <c r="J62" i="1"/>
  <c r="AN61" i="1"/>
  <c r="AN67" i="1" s="1"/>
  <c r="AI61" i="1"/>
  <c r="AI67" i="1" s="1"/>
  <c r="AD61" i="1"/>
  <c r="AD67" i="1" s="1"/>
  <c r="Y61" i="1"/>
  <c r="Y67" i="1" s="1"/>
  <c r="T61" i="1"/>
  <c r="O61" i="1"/>
  <c r="O67" i="1" s="1"/>
  <c r="J61" i="1"/>
  <c r="AO57" i="1"/>
  <c r="AN57" i="1"/>
  <c r="AM55" i="1"/>
  <c r="AL55" i="1"/>
  <c r="AK55" i="1"/>
  <c r="AK53" i="1"/>
  <c r="E53" i="1"/>
  <c r="AQ52" i="1"/>
  <c r="AP52" i="1"/>
  <c r="AP53" i="1" s="1"/>
  <c r="AO52" i="1"/>
  <c r="AM52" i="1"/>
  <c r="AM53" i="1" s="1"/>
  <c r="AL52" i="1"/>
  <c r="AK52" i="1"/>
  <c r="AJ52" i="1"/>
  <c r="AH52" i="1"/>
  <c r="AH53" i="1" s="1"/>
  <c r="AG52" i="1"/>
  <c r="AF52" i="1"/>
  <c r="AE52" i="1"/>
  <c r="AE53" i="1" s="1"/>
  <c r="AD52" i="1"/>
  <c r="AC52" i="1"/>
  <c r="AC53" i="1" s="1"/>
  <c r="AB52" i="1"/>
  <c r="AA52" i="1"/>
  <c r="Z52" i="1"/>
  <c r="Z53" i="1" s="1"/>
  <c r="Y52" i="1"/>
  <c r="X52" i="1"/>
  <c r="W52" i="1"/>
  <c r="W53" i="1" s="1"/>
  <c r="V52" i="1"/>
  <c r="U52" i="1"/>
  <c r="U53" i="1" s="1"/>
  <c r="T52" i="1"/>
  <c r="S52" i="1"/>
  <c r="R52" i="1"/>
  <c r="R53" i="1" s="1"/>
  <c r="Q52" i="1"/>
  <c r="P52" i="1"/>
  <c r="O52" i="1"/>
  <c r="O53" i="1" s="1"/>
  <c r="N52" i="1"/>
  <c r="M52" i="1"/>
  <c r="M53" i="1" s="1"/>
  <c r="L52" i="1"/>
  <c r="K52" i="1"/>
  <c r="J52" i="1"/>
  <c r="I52" i="1"/>
  <c r="H52" i="1"/>
  <c r="G52" i="1"/>
  <c r="G53" i="1" s="1"/>
  <c r="F52" i="1"/>
  <c r="E52" i="1"/>
  <c r="D52" i="1"/>
  <c r="C52" i="1"/>
  <c r="AN51" i="1"/>
  <c r="AI51" i="1"/>
  <c r="AD51" i="1"/>
  <c r="Y51" i="1"/>
  <c r="T51" i="1"/>
  <c r="O51" i="1"/>
  <c r="J51" i="1"/>
  <c r="C51" i="1"/>
  <c r="AQ50" i="1"/>
  <c r="AQ28" i="9" s="1"/>
  <c r="AP50" i="1"/>
  <c r="AP28" i="9" s="1"/>
  <c r="AO50" i="1"/>
  <c r="AO28" i="9" s="1"/>
  <c r="AM50" i="1"/>
  <c r="AM28" i="9" s="1"/>
  <c r="AL50" i="1"/>
  <c r="AL28" i="9" s="1"/>
  <c r="AK50" i="1"/>
  <c r="AK28" i="9" s="1"/>
  <c r="AJ50" i="1"/>
  <c r="AJ28" i="9" s="1"/>
  <c r="AH50" i="1"/>
  <c r="AH28" i="9" s="1"/>
  <c r="AG50" i="1"/>
  <c r="AG28" i="9" s="1"/>
  <c r="AF50" i="1"/>
  <c r="AF28" i="9" s="1"/>
  <c r="AE50" i="1"/>
  <c r="AE28" i="9" s="1"/>
  <c r="AC50" i="1"/>
  <c r="AC28" i="9" s="1"/>
  <c r="AB50" i="1"/>
  <c r="AB28" i="9" s="1"/>
  <c r="AA50" i="1"/>
  <c r="AA28" i="9" s="1"/>
  <c r="Z50" i="1"/>
  <c r="Z28" i="9" s="1"/>
  <c r="Y50" i="1"/>
  <c r="Y28" i="9" s="1"/>
  <c r="X50" i="1"/>
  <c r="X28" i="9" s="1"/>
  <c r="W50" i="1"/>
  <c r="W28" i="9" s="1"/>
  <c r="V50" i="1"/>
  <c r="V28" i="9" s="1"/>
  <c r="U50" i="1"/>
  <c r="U28" i="9" s="1"/>
  <c r="S50" i="1"/>
  <c r="S28" i="9" s="1"/>
  <c r="R50" i="1"/>
  <c r="R28" i="9" s="1"/>
  <c r="Q50" i="1"/>
  <c r="Q28" i="9" s="1"/>
  <c r="P50" i="1"/>
  <c r="P28" i="9" s="1"/>
  <c r="O50" i="1"/>
  <c r="O28" i="9" s="1"/>
  <c r="N50" i="1"/>
  <c r="N28" i="9" s="1"/>
  <c r="M50" i="1"/>
  <c r="M28" i="9" s="1"/>
  <c r="L50" i="1"/>
  <c r="L28" i="9" s="1"/>
  <c r="K50" i="1"/>
  <c r="K28" i="9" s="1"/>
  <c r="I50" i="1"/>
  <c r="I28" i="9" s="1"/>
  <c r="H50" i="1"/>
  <c r="H28" i="9" s="1"/>
  <c r="G50" i="1"/>
  <c r="G28" i="9" s="1"/>
  <c r="F50" i="1"/>
  <c r="F28" i="9" s="1"/>
  <c r="E50" i="1"/>
  <c r="E28" i="9" s="1"/>
  <c r="D50" i="1"/>
  <c r="D28" i="9" s="1"/>
  <c r="C50" i="1"/>
  <c r="C28" i="9" s="1"/>
  <c r="AN49" i="1"/>
  <c r="AN27" i="9" s="1"/>
  <c r="AI49" i="1"/>
  <c r="AI27" i="9" s="1"/>
  <c r="AD49" i="1"/>
  <c r="AD27" i="9" s="1"/>
  <c r="Y49" i="1"/>
  <c r="Y27" i="9" s="1"/>
  <c r="T49" i="1"/>
  <c r="T27" i="9" s="1"/>
  <c r="O49" i="1"/>
  <c r="O27" i="9" s="1"/>
  <c r="J49" i="1"/>
  <c r="J27" i="9" s="1"/>
  <c r="AN48" i="1"/>
  <c r="AN26" i="9" s="1"/>
  <c r="AI48" i="1"/>
  <c r="AI26" i="9" s="1"/>
  <c r="AD48" i="1"/>
  <c r="AD26" i="9" s="1"/>
  <c r="Y48" i="1"/>
  <c r="Y26" i="9" s="1"/>
  <c r="T48" i="1"/>
  <c r="T26" i="9" s="1"/>
  <c r="O48" i="1"/>
  <c r="O26" i="9" s="1"/>
  <c r="J48" i="1"/>
  <c r="J26" i="9" s="1"/>
  <c r="AL41" i="1"/>
  <c r="AP39" i="1"/>
  <c r="AP19" i="9" s="1"/>
  <c r="AN39" i="1"/>
  <c r="AN19" i="9" s="1"/>
  <c r="AP38" i="1"/>
  <c r="AH38" i="1"/>
  <c r="AH41" i="1" s="1"/>
  <c r="AF38" i="1"/>
  <c r="X38" i="1"/>
  <c r="X41" i="1" s="1"/>
  <c r="U38" i="1"/>
  <c r="P38" i="1"/>
  <c r="K38" i="1"/>
  <c r="F38" i="1"/>
  <c r="AY37" i="1"/>
  <c r="N37" i="1"/>
  <c r="N44" i="1" s="1"/>
  <c r="N23" i="9" s="1"/>
  <c r="AR36" i="1"/>
  <c r="AQ36" i="1"/>
  <c r="AN36" i="1"/>
  <c r="AM36" i="1"/>
  <c r="AL36" i="1"/>
  <c r="AL37" i="1" s="1"/>
  <c r="AL44" i="1" s="1"/>
  <c r="AL23" i="9" s="1"/>
  <c r="AI36" i="1"/>
  <c r="AH36" i="1"/>
  <c r="AH37" i="1" s="1"/>
  <c r="AH44" i="1" s="1"/>
  <c r="AH23" i="9" s="1"/>
  <c r="AG36" i="1"/>
  <c r="AD36" i="1"/>
  <c r="AD37" i="1" s="1"/>
  <c r="AD44" i="1" s="1"/>
  <c r="AD23" i="9" s="1"/>
  <c r="AC36" i="1"/>
  <c r="AB36" i="1"/>
  <c r="Y36" i="1"/>
  <c r="X36" i="1"/>
  <c r="X37" i="1" s="1"/>
  <c r="X44" i="1" s="1"/>
  <c r="X23" i="9" s="1"/>
  <c r="W36" i="1"/>
  <c r="T36" i="1"/>
  <c r="T41" i="1" s="1"/>
  <c r="S36" i="1"/>
  <c r="S41" i="1" s="1"/>
  <c r="R36" i="1"/>
  <c r="R41" i="1" s="1"/>
  <c r="O36" i="1"/>
  <c r="O41" i="1" s="1"/>
  <c r="N36" i="1"/>
  <c r="N41" i="1" s="1"/>
  <c r="M36" i="1"/>
  <c r="M41" i="1" s="1"/>
  <c r="K36" i="1"/>
  <c r="K41" i="1" s="1"/>
  <c r="J36" i="1"/>
  <c r="J41" i="1" s="1"/>
  <c r="I36" i="1"/>
  <c r="I41" i="1" s="1"/>
  <c r="H36" i="1"/>
  <c r="H41" i="1" s="1"/>
  <c r="G36" i="1"/>
  <c r="G41" i="1" s="1"/>
  <c r="F36" i="1"/>
  <c r="S34" i="1"/>
  <c r="N34" i="1"/>
  <c r="H34" i="1"/>
  <c r="AG31" i="1"/>
  <c r="AG34" i="1" s="1"/>
  <c r="U31" i="1"/>
  <c r="P31" i="1"/>
  <c r="K31" i="1"/>
  <c r="K34" i="1" s="1"/>
  <c r="F31" i="1"/>
  <c r="AY30" i="1"/>
  <c r="AR29" i="1"/>
  <c r="AQ29" i="1"/>
  <c r="AN29" i="1"/>
  <c r="AM29" i="1"/>
  <c r="AL29" i="1"/>
  <c r="AI29" i="1"/>
  <c r="AH29" i="1"/>
  <c r="AG29" i="1"/>
  <c r="AG30" i="1" s="1"/>
  <c r="AD29" i="1"/>
  <c r="AC29" i="1"/>
  <c r="AB29" i="1"/>
  <c r="Y29" i="1"/>
  <c r="X29" i="1"/>
  <c r="W29" i="1"/>
  <c r="T29" i="1"/>
  <c r="T34" i="1" s="1"/>
  <c r="S29" i="1"/>
  <c r="S30" i="1" s="1"/>
  <c r="R29" i="1"/>
  <c r="R34" i="1" s="1"/>
  <c r="O29" i="1"/>
  <c r="O30" i="1" s="1"/>
  <c r="N29" i="1"/>
  <c r="N30" i="1" s="1"/>
  <c r="M29" i="1"/>
  <c r="M34" i="1" s="1"/>
  <c r="K29" i="1"/>
  <c r="J29" i="1"/>
  <c r="J34" i="1" s="1"/>
  <c r="I29" i="1"/>
  <c r="I30" i="1" s="1"/>
  <c r="H29" i="1"/>
  <c r="H30" i="1" s="1"/>
  <c r="G29" i="1"/>
  <c r="G30" i="1" s="1"/>
  <c r="F29" i="1"/>
  <c r="AQ26" i="1"/>
  <c r="AP26" i="1"/>
  <c r="AK26" i="1"/>
  <c r="AH26" i="1"/>
  <c r="AF26" i="1"/>
  <c r="AC26" i="1"/>
  <c r="AA26" i="1"/>
  <c r="Z26" i="1"/>
  <c r="X26" i="1"/>
  <c r="U26" i="1"/>
  <c r="S26" i="1"/>
  <c r="R26" i="1"/>
  <c r="P26" i="1"/>
  <c r="M26" i="1"/>
  <c r="H26" i="1"/>
  <c r="F26" i="1"/>
  <c r="E26" i="1"/>
  <c r="D26" i="1"/>
  <c r="C26" i="1"/>
  <c r="AQ25" i="1"/>
  <c r="AQ68" i="1" s="1"/>
  <c r="AQ69" i="1" s="1"/>
  <c r="AP25" i="1"/>
  <c r="AO25" i="1"/>
  <c r="AM25" i="1"/>
  <c r="AL25" i="1"/>
  <c r="AL38" i="1" s="1"/>
  <c r="AK25" i="1"/>
  <c r="AK38" i="1" s="1"/>
  <c r="AJ25" i="1"/>
  <c r="AJ68" i="1" s="1"/>
  <c r="AJ69" i="1" s="1"/>
  <c r="AH25" i="1"/>
  <c r="AG25" i="1"/>
  <c r="AF25" i="1"/>
  <c r="AE25" i="1"/>
  <c r="AD25" i="1"/>
  <c r="AD38" i="1" s="1"/>
  <c r="AD41" i="1" s="1"/>
  <c r="AC25" i="1"/>
  <c r="AC38" i="1" s="1"/>
  <c r="AC41" i="1" s="1"/>
  <c r="AB25" i="1"/>
  <c r="AB38" i="1" s="1"/>
  <c r="AB41" i="1" s="1"/>
  <c r="AA25" i="1"/>
  <c r="AA68" i="1" s="1"/>
  <c r="AA69" i="1" s="1"/>
  <c r="Z25" i="1"/>
  <c r="X25" i="1"/>
  <c r="W25" i="1"/>
  <c r="V25" i="1"/>
  <c r="V38" i="1" s="1"/>
  <c r="U25" i="1"/>
  <c r="U68" i="1" s="1"/>
  <c r="S25" i="1"/>
  <c r="S68" i="1" s="1"/>
  <c r="S69" i="1" s="1"/>
  <c r="R25" i="1"/>
  <c r="Q25" i="1"/>
  <c r="Q68" i="1" s="1"/>
  <c r="Q69" i="1" s="1"/>
  <c r="P25" i="1"/>
  <c r="N25" i="1"/>
  <c r="N68" i="1" s="1"/>
  <c r="N69" i="1" s="1"/>
  <c r="M25" i="1"/>
  <c r="M68" i="1" s="1"/>
  <c r="L25" i="1"/>
  <c r="L68" i="1" s="1"/>
  <c r="L69" i="1" s="1"/>
  <c r="J25" i="1"/>
  <c r="J68" i="1" s="1"/>
  <c r="AN24" i="1"/>
  <c r="AI24" i="1"/>
  <c r="AI13" i="1" s="1"/>
  <c r="AD24" i="1"/>
  <c r="Y24" i="1"/>
  <c r="Y13" i="1" s="1"/>
  <c r="T24" i="1"/>
  <c r="T25" i="1" s="1"/>
  <c r="T68" i="1" s="1"/>
  <c r="O24" i="1"/>
  <c r="O13" i="1" s="1"/>
  <c r="AN23" i="1"/>
  <c r="AN25" i="1" s="1"/>
  <c r="AI23" i="1"/>
  <c r="AD23" i="1"/>
  <c r="Y23" i="1"/>
  <c r="Y12" i="1" s="1"/>
  <c r="T23" i="1"/>
  <c r="O23" i="1"/>
  <c r="O12" i="1" s="1"/>
  <c r="AQ22" i="1"/>
  <c r="AQ444" i="1" s="1"/>
  <c r="AP22" i="1"/>
  <c r="AO22" i="1"/>
  <c r="AM22" i="1"/>
  <c r="AL22" i="1"/>
  <c r="AL444" i="1" s="1"/>
  <c r="AK22" i="1"/>
  <c r="AK444" i="1" s="1"/>
  <c r="AJ22" i="1"/>
  <c r="AH22" i="1"/>
  <c r="AH444" i="1" s="1"/>
  <c r="AG22" i="1"/>
  <c r="AF22" i="1"/>
  <c r="AE22" i="1"/>
  <c r="AC22" i="1"/>
  <c r="AB22" i="1"/>
  <c r="AB444" i="1" s="1"/>
  <c r="AA22" i="1"/>
  <c r="AA444" i="1" s="1"/>
  <c r="Z22" i="1"/>
  <c r="Y22" i="1"/>
  <c r="X22" i="1"/>
  <c r="X444" i="1" s="1"/>
  <c r="W22" i="1"/>
  <c r="V22" i="1"/>
  <c r="U22" i="1"/>
  <c r="U444" i="1" s="1"/>
  <c r="S22" i="1"/>
  <c r="R22" i="1"/>
  <c r="R444" i="1" s="1"/>
  <c r="Q22" i="1"/>
  <c r="P22" i="1"/>
  <c r="N22" i="1"/>
  <c r="N444" i="1" s="1"/>
  <c r="M22" i="1"/>
  <c r="M444" i="1" s="1"/>
  <c r="L22" i="1"/>
  <c r="K22" i="1"/>
  <c r="I22" i="1"/>
  <c r="H22" i="1"/>
  <c r="H444" i="1" s="1"/>
  <c r="G22" i="1"/>
  <c r="AN21" i="1"/>
  <c r="AN10" i="1" s="1"/>
  <c r="AI21" i="1"/>
  <c r="AD21" i="1"/>
  <c r="Y21" i="1"/>
  <c r="T21" i="1"/>
  <c r="O21" i="1"/>
  <c r="O10" i="1" s="1"/>
  <c r="J21" i="1"/>
  <c r="AN20" i="1"/>
  <c r="AN9" i="1" s="1"/>
  <c r="AI20" i="1"/>
  <c r="AD20" i="1"/>
  <c r="AD9" i="1" s="1"/>
  <c r="Y20" i="1"/>
  <c r="T20" i="1"/>
  <c r="O20" i="1"/>
  <c r="J20" i="1"/>
  <c r="O9" i="1" s="1"/>
  <c r="AN19" i="1"/>
  <c r="AI19" i="1"/>
  <c r="AD19" i="1"/>
  <c r="AD8" i="1" s="1"/>
  <c r="Y19" i="1"/>
  <c r="T19" i="1"/>
  <c r="O19" i="1"/>
  <c r="O22" i="1" s="1"/>
  <c r="J19" i="1"/>
  <c r="AN18" i="1"/>
  <c r="AI18" i="1"/>
  <c r="AD18" i="1"/>
  <c r="Y18" i="1"/>
  <c r="T18" i="1"/>
  <c r="O18" i="1"/>
  <c r="J18" i="1"/>
  <c r="AQ15" i="1"/>
  <c r="AQ16" i="9" s="1"/>
  <c r="AL15" i="1"/>
  <c r="AL16" i="9" s="1"/>
  <c r="AG15" i="1"/>
  <c r="AG16" i="9" s="1"/>
  <c r="AE15" i="1"/>
  <c r="AE16" i="9" s="1"/>
  <c r="AB15" i="1"/>
  <c r="AB16" i="9" s="1"/>
  <c r="Z15" i="1"/>
  <c r="Z16" i="9" s="1"/>
  <c r="W15" i="1"/>
  <c r="W16" i="9" s="1"/>
  <c r="R15" i="1"/>
  <c r="R16" i="9" s="1"/>
  <c r="M15" i="1"/>
  <c r="M16" i="9" s="1"/>
  <c r="AP14" i="1"/>
  <c r="AP15" i="9" s="1"/>
  <c r="AL14" i="1"/>
  <c r="AL15" i="9" s="1"/>
  <c r="AJ14" i="1"/>
  <c r="AJ15" i="9" s="1"/>
  <c r="AH14" i="1"/>
  <c r="AH15" i="9" s="1"/>
  <c r="AF14" i="1"/>
  <c r="AF15" i="9" s="1"/>
  <c r="AB14" i="1"/>
  <c r="AB15" i="9" s="1"/>
  <c r="Z14" i="1"/>
  <c r="Z15" i="9" s="1"/>
  <c r="X14" i="1"/>
  <c r="X15" i="9" s="1"/>
  <c r="V14" i="1"/>
  <c r="V15" i="9" s="1"/>
  <c r="R14" i="1"/>
  <c r="R15" i="9" s="1"/>
  <c r="Q14" i="1"/>
  <c r="Q15" i="9" s="1"/>
  <c r="P14" i="1"/>
  <c r="P15" i="9" s="1"/>
  <c r="N14" i="1"/>
  <c r="N15" i="9" s="1"/>
  <c r="L14" i="1"/>
  <c r="L15" i="9" s="1"/>
  <c r="K14" i="1"/>
  <c r="K15" i="9" s="1"/>
  <c r="F14" i="1"/>
  <c r="F15" i="9" s="1"/>
  <c r="E14" i="1"/>
  <c r="E15" i="9" s="1"/>
  <c r="D14" i="1"/>
  <c r="D15" i="9" s="1"/>
  <c r="AQ13" i="1"/>
  <c r="AP13" i="1"/>
  <c r="AO13" i="1"/>
  <c r="AN13" i="1"/>
  <c r="AM13" i="1"/>
  <c r="AL13" i="1"/>
  <c r="AK13" i="1"/>
  <c r="AJ13" i="1"/>
  <c r="AH13" i="1"/>
  <c r="AG13" i="1"/>
  <c r="AF13" i="1"/>
  <c r="AE13" i="1"/>
  <c r="AC13" i="1"/>
  <c r="AB13" i="1"/>
  <c r="AA13" i="1"/>
  <c r="Z13" i="1"/>
  <c r="X13" i="1"/>
  <c r="W13" i="1"/>
  <c r="V13" i="1"/>
  <c r="U13" i="1"/>
  <c r="T13" i="1"/>
  <c r="S13" i="1"/>
  <c r="R13" i="1"/>
  <c r="Q13" i="1"/>
  <c r="P13" i="1"/>
  <c r="N13" i="1"/>
  <c r="M13" i="1"/>
  <c r="L13" i="1"/>
  <c r="AQ12" i="1"/>
  <c r="AP12" i="1"/>
  <c r="AO12" i="1"/>
  <c r="AN12" i="1"/>
  <c r="AM12" i="1"/>
  <c r="AL12" i="1"/>
  <c r="AK12" i="1"/>
  <c r="AJ12" i="1"/>
  <c r="AI12" i="1"/>
  <c r="AH12" i="1"/>
  <c r="AG12" i="1"/>
  <c r="AF12" i="1"/>
  <c r="AE12" i="1"/>
  <c r="AD12" i="1"/>
  <c r="AC12" i="1"/>
  <c r="AB12" i="1"/>
  <c r="AA12" i="1"/>
  <c r="Z12" i="1"/>
  <c r="X12" i="1"/>
  <c r="W12" i="1"/>
  <c r="V12" i="1"/>
  <c r="U12" i="1"/>
  <c r="S12" i="1"/>
  <c r="R12" i="1"/>
  <c r="Q12" i="1"/>
  <c r="P12" i="1"/>
  <c r="N12" i="1"/>
  <c r="M12" i="1"/>
  <c r="L12" i="1"/>
  <c r="AQ11" i="1"/>
  <c r="AQ14" i="9" s="1"/>
  <c r="AO11" i="1"/>
  <c r="AO14" i="9" s="1"/>
  <c r="AM11" i="1"/>
  <c r="AM14" i="9" s="1"/>
  <c r="AL11" i="1"/>
  <c r="AL14" i="9" s="1"/>
  <c r="AK11" i="1"/>
  <c r="AK14" i="9" s="1"/>
  <c r="AG11" i="1"/>
  <c r="AG14" i="9" s="1"/>
  <c r="AF11" i="1"/>
  <c r="AF14" i="9" s="1"/>
  <c r="AE11" i="1"/>
  <c r="AE14" i="9" s="1"/>
  <c r="AC11" i="1"/>
  <c r="AC14" i="9" s="1"/>
  <c r="AA11" i="1"/>
  <c r="AA14" i="9" s="1"/>
  <c r="X11" i="1"/>
  <c r="X14" i="9" s="1"/>
  <c r="W11" i="1"/>
  <c r="W14" i="9" s="1"/>
  <c r="V11" i="1"/>
  <c r="V14" i="9" s="1"/>
  <c r="U11" i="1"/>
  <c r="U14" i="9" s="1"/>
  <c r="S11" i="1"/>
  <c r="S14" i="9" s="1"/>
  <c r="M11" i="1"/>
  <c r="M14" i="9" s="1"/>
  <c r="K11" i="1"/>
  <c r="K14" i="9" s="1"/>
  <c r="F11" i="1"/>
  <c r="F14" i="9" s="1"/>
  <c r="E11" i="1"/>
  <c r="E14" i="9" s="1"/>
  <c r="D11" i="1"/>
  <c r="D14" i="9" s="1"/>
  <c r="AQ10" i="1"/>
  <c r="AP10" i="1"/>
  <c r="AO10" i="1"/>
  <c r="AM10" i="1"/>
  <c r="AL10" i="1"/>
  <c r="AK10" i="1"/>
  <c r="AJ10" i="1"/>
  <c r="AI10" i="1"/>
  <c r="AH10" i="1"/>
  <c r="AG10" i="1"/>
  <c r="AF10" i="1"/>
  <c r="AE10" i="1"/>
  <c r="AC10" i="1"/>
  <c r="AB10" i="1"/>
  <c r="AA10" i="1"/>
  <c r="Z10" i="1"/>
  <c r="Y10" i="1"/>
  <c r="X10" i="1"/>
  <c r="W10" i="1"/>
  <c r="V10" i="1"/>
  <c r="U10" i="1"/>
  <c r="S10" i="1"/>
  <c r="R10" i="1"/>
  <c r="Q10" i="1"/>
  <c r="P10" i="1"/>
  <c r="N10" i="1"/>
  <c r="M10" i="1"/>
  <c r="L10" i="1"/>
  <c r="AQ9" i="1"/>
  <c r="AP9" i="1"/>
  <c r="AO9" i="1"/>
  <c r="AM9" i="1"/>
  <c r="AL9" i="1"/>
  <c r="AK9" i="1"/>
  <c r="AJ9" i="1"/>
  <c r="AI9" i="1"/>
  <c r="AH9" i="1"/>
  <c r="AG9" i="1"/>
  <c r="AF9" i="1"/>
  <c r="AE9" i="1"/>
  <c r="AC9" i="1"/>
  <c r="AB9" i="1"/>
  <c r="AA9" i="1"/>
  <c r="Z9" i="1"/>
  <c r="Y9" i="1"/>
  <c r="X9" i="1"/>
  <c r="W9" i="1"/>
  <c r="V9" i="1"/>
  <c r="U9" i="1"/>
  <c r="T9" i="1"/>
  <c r="S9" i="1"/>
  <c r="R9" i="1"/>
  <c r="Q9" i="1"/>
  <c r="P9" i="1"/>
  <c r="N9" i="1"/>
  <c r="M9" i="1"/>
  <c r="L9" i="1"/>
  <c r="AQ8" i="1"/>
  <c r="AP8" i="1"/>
  <c r="AO8" i="1"/>
  <c r="AM8" i="1"/>
  <c r="AL8" i="1"/>
  <c r="AK8" i="1"/>
  <c r="AJ8" i="1"/>
  <c r="AI8" i="1"/>
  <c r="AH8" i="1"/>
  <c r="AG8" i="1"/>
  <c r="AF8" i="1"/>
  <c r="AE8" i="1"/>
  <c r="AC8" i="1"/>
  <c r="AB8" i="1"/>
  <c r="AA8" i="1"/>
  <c r="Z8" i="1"/>
  <c r="Y8" i="1"/>
  <c r="X8" i="1"/>
  <c r="W8" i="1"/>
  <c r="V8" i="1"/>
  <c r="U8" i="1"/>
  <c r="T8" i="1"/>
  <c r="S8" i="1"/>
  <c r="R8" i="1"/>
  <c r="Q8" i="1"/>
  <c r="P8" i="1"/>
  <c r="O8" i="1"/>
  <c r="N8" i="1"/>
  <c r="M8" i="1"/>
  <c r="L8" i="1"/>
  <c r="AQ7" i="1"/>
  <c r="AP7" i="1"/>
  <c r="AO7" i="1"/>
  <c r="AM7" i="1"/>
  <c r="AL7" i="1"/>
  <c r="AK7" i="1"/>
  <c r="AJ7" i="1"/>
  <c r="AH7" i="1"/>
  <c r="AG7" i="1"/>
  <c r="AF7" i="1"/>
  <c r="AE7" i="1"/>
  <c r="AC7" i="1"/>
  <c r="AB7" i="1"/>
  <c r="AA7" i="1"/>
  <c r="Z7" i="1"/>
  <c r="Y7" i="1"/>
  <c r="X7" i="1"/>
  <c r="W7" i="1"/>
  <c r="V7" i="1"/>
  <c r="U7" i="1"/>
  <c r="T7" i="1"/>
  <c r="S7" i="1"/>
  <c r="R7" i="1"/>
  <c r="Q7" i="1"/>
  <c r="P7" i="1"/>
  <c r="O7" i="1"/>
  <c r="N7" i="1"/>
  <c r="M7" i="1"/>
  <c r="L7" i="1"/>
  <c r="BB5" i="1"/>
  <c r="A5" i="1"/>
  <c r="D4" i="1"/>
  <c r="A4" i="1"/>
  <c r="D3" i="1"/>
  <c r="C3" i="1"/>
  <c r="C496" i="1" s="1"/>
  <c r="C2" i="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CN213" i="12"/>
  <c r="CQ212" i="12"/>
  <c r="CR212" i="12" s="1"/>
  <c r="CS212" i="12" s="1"/>
  <c r="CT212" i="12" s="1"/>
  <c r="CU212" i="12" s="1"/>
  <c r="CV212" i="12" s="1"/>
  <c r="CW212" i="12" s="1"/>
  <c r="CX212" i="12" s="1"/>
  <c r="CY212" i="12" s="1"/>
  <c r="CZ212" i="12" s="1"/>
  <c r="DA212" i="12" s="1"/>
  <c r="DB212" i="12" s="1"/>
  <c r="CP212" i="12"/>
  <c r="S200" i="12"/>
  <c r="W200" i="12" s="1"/>
  <c r="AA200" i="12" s="1"/>
  <c r="AE200" i="12" s="1"/>
  <c r="AI200" i="12" s="1"/>
  <c r="AM200" i="12" s="1"/>
  <c r="AQ200" i="12" s="1"/>
  <c r="AU200" i="12" s="1"/>
  <c r="AY200" i="12" s="1"/>
  <c r="BC200" i="12" s="1"/>
  <c r="BG200" i="12" s="1"/>
  <c r="BK200" i="12" s="1"/>
  <c r="BO200" i="12" s="1"/>
  <c r="K200" i="12"/>
  <c r="O200" i="12" s="1"/>
  <c r="J200" i="12"/>
  <c r="N200" i="12" s="1"/>
  <c r="R200" i="12" s="1"/>
  <c r="V200" i="12" s="1"/>
  <c r="Z200" i="12" s="1"/>
  <c r="AD200" i="12" s="1"/>
  <c r="AH200" i="12" s="1"/>
  <c r="AL200" i="12" s="1"/>
  <c r="AP200" i="12" s="1"/>
  <c r="AT200" i="12" s="1"/>
  <c r="AX200" i="12" s="1"/>
  <c r="BB200" i="12" s="1"/>
  <c r="BF200" i="12" s="1"/>
  <c r="BJ200" i="12" s="1"/>
  <c r="BN200" i="12" s="1"/>
  <c r="BR200" i="12" s="1"/>
  <c r="BV200" i="12" s="1"/>
  <c r="BZ200" i="12" s="1"/>
  <c r="CD200" i="12" s="1"/>
  <c r="CH200" i="12" s="1"/>
  <c r="CL200" i="12" s="1"/>
  <c r="CP200" i="12" s="1"/>
  <c r="CT200" i="12" s="1"/>
  <c r="CX200" i="12" s="1"/>
  <c r="DB200" i="12" s="1"/>
  <c r="I200" i="12"/>
  <c r="M200" i="12" s="1"/>
  <c r="Q200" i="12" s="1"/>
  <c r="U200" i="12" s="1"/>
  <c r="Y200" i="12" s="1"/>
  <c r="AC200" i="12" s="1"/>
  <c r="AG200" i="12" s="1"/>
  <c r="AK200" i="12" s="1"/>
  <c r="AO200" i="12" s="1"/>
  <c r="AS200" i="12" s="1"/>
  <c r="AW200" i="12" s="1"/>
  <c r="BA200" i="12" s="1"/>
  <c r="BE200" i="12" s="1"/>
  <c r="BI200" i="12" s="1"/>
  <c r="BM200" i="12" s="1"/>
  <c r="BQ200" i="12" s="1"/>
  <c r="BU200" i="12" s="1"/>
  <c r="BY200" i="12" s="1"/>
  <c r="CC200" i="12" s="1"/>
  <c r="CG200" i="12" s="1"/>
  <c r="CK200" i="12" s="1"/>
  <c r="CO200" i="12" s="1"/>
  <c r="CS200" i="12" s="1"/>
  <c r="CW200" i="12" s="1"/>
  <c r="DA200" i="12" s="1"/>
  <c r="H200" i="12"/>
  <c r="L200" i="12" s="1"/>
  <c r="P200" i="12" s="1"/>
  <c r="T200" i="12" s="1"/>
  <c r="X200" i="12" s="1"/>
  <c r="AB200" i="12" s="1"/>
  <c r="AF200" i="12" s="1"/>
  <c r="AJ200" i="12" s="1"/>
  <c r="AN200" i="12" s="1"/>
  <c r="AR200" i="12" s="1"/>
  <c r="AV200" i="12" s="1"/>
  <c r="AZ200" i="12" s="1"/>
  <c r="BD200" i="12" s="1"/>
  <c r="BH200" i="12" s="1"/>
  <c r="BL200" i="12" s="1"/>
  <c r="O199" i="12"/>
  <c r="S199" i="12" s="1"/>
  <c r="W199" i="12" s="1"/>
  <c r="AA199" i="12" s="1"/>
  <c r="AE199" i="12" s="1"/>
  <c r="AI199" i="12" s="1"/>
  <c r="AM199" i="12" s="1"/>
  <c r="AQ199" i="12" s="1"/>
  <c r="AU199" i="12" s="1"/>
  <c r="AY199" i="12" s="1"/>
  <c r="BC199" i="12" s="1"/>
  <c r="BG199" i="12" s="1"/>
  <c r="BK199" i="12" s="1"/>
  <c r="BO199" i="12" s="1"/>
  <c r="N199" i="12"/>
  <c r="R199" i="12" s="1"/>
  <c r="V199" i="12" s="1"/>
  <c r="Z199" i="12" s="1"/>
  <c r="AD199" i="12" s="1"/>
  <c r="AH199" i="12" s="1"/>
  <c r="AL199" i="12" s="1"/>
  <c r="AP199" i="12" s="1"/>
  <c r="AT199" i="12" s="1"/>
  <c r="AX199" i="12" s="1"/>
  <c r="BB199" i="12" s="1"/>
  <c r="BF199" i="12" s="1"/>
  <c r="BJ199" i="12" s="1"/>
  <c r="BN199" i="12" s="1"/>
  <c r="BR199" i="12" s="1"/>
  <c r="BV199" i="12" s="1"/>
  <c r="BZ199" i="12" s="1"/>
  <c r="CD199" i="12" s="1"/>
  <c r="CH199" i="12" s="1"/>
  <c r="CL199" i="12" s="1"/>
  <c r="CP199" i="12" s="1"/>
  <c r="CT199" i="12" s="1"/>
  <c r="CX199" i="12" s="1"/>
  <c r="DB199" i="12" s="1"/>
  <c r="M199" i="12"/>
  <c r="Q199" i="12" s="1"/>
  <c r="U199" i="12" s="1"/>
  <c r="Y199" i="12" s="1"/>
  <c r="AC199" i="12" s="1"/>
  <c r="AG199" i="12" s="1"/>
  <c r="AK199" i="12" s="1"/>
  <c r="AO199" i="12" s="1"/>
  <c r="AS199" i="12" s="1"/>
  <c r="AW199" i="12" s="1"/>
  <c r="BA199" i="12" s="1"/>
  <c r="BE199" i="12" s="1"/>
  <c r="BI199" i="12" s="1"/>
  <c r="BM199" i="12" s="1"/>
  <c r="BQ199" i="12" s="1"/>
  <c r="BU199" i="12" s="1"/>
  <c r="BY199" i="12" s="1"/>
  <c r="CC199" i="12" s="1"/>
  <c r="CG199" i="12" s="1"/>
  <c r="CK199" i="12" s="1"/>
  <c r="CO199" i="12" s="1"/>
  <c r="CS199" i="12" s="1"/>
  <c r="CW199" i="12" s="1"/>
  <c r="DA199" i="12" s="1"/>
  <c r="K199" i="12"/>
  <c r="J199" i="12"/>
  <c r="I199" i="12"/>
  <c r="H199" i="12"/>
  <c r="L199" i="12" s="1"/>
  <c r="P199" i="12" s="1"/>
  <c r="T199" i="12" s="1"/>
  <c r="X199" i="12" s="1"/>
  <c r="AB199" i="12" s="1"/>
  <c r="AF199" i="12" s="1"/>
  <c r="AJ199" i="12" s="1"/>
  <c r="AN199" i="12" s="1"/>
  <c r="AR199" i="12" s="1"/>
  <c r="AV199" i="12" s="1"/>
  <c r="AZ199" i="12" s="1"/>
  <c r="BD199" i="12" s="1"/>
  <c r="BH199" i="12" s="1"/>
  <c r="BL199" i="12" s="1"/>
  <c r="L198" i="12"/>
  <c r="P198" i="12" s="1"/>
  <c r="T198" i="12" s="1"/>
  <c r="X198" i="12" s="1"/>
  <c r="AB198" i="12" s="1"/>
  <c r="AF198" i="12" s="1"/>
  <c r="AJ198" i="12" s="1"/>
  <c r="AN198" i="12" s="1"/>
  <c r="AR198" i="12" s="1"/>
  <c r="AV198" i="12" s="1"/>
  <c r="AZ198" i="12" s="1"/>
  <c r="BD198" i="12" s="1"/>
  <c r="BH198" i="12" s="1"/>
  <c r="BL198" i="12" s="1"/>
  <c r="K198" i="12"/>
  <c r="O198" i="12" s="1"/>
  <c r="S198" i="12" s="1"/>
  <c r="W198" i="12" s="1"/>
  <c r="AA198" i="12" s="1"/>
  <c r="AE198" i="12" s="1"/>
  <c r="AI198" i="12" s="1"/>
  <c r="AM198" i="12" s="1"/>
  <c r="AQ198" i="12" s="1"/>
  <c r="AU198" i="12" s="1"/>
  <c r="AY198" i="12" s="1"/>
  <c r="BC198" i="12" s="1"/>
  <c r="BG198" i="12" s="1"/>
  <c r="BK198" i="12" s="1"/>
  <c r="BO198" i="12" s="1"/>
  <c r="J198" i="12"/>
  <c r="N198" i="12" s="1"/>
  <c r="R198" i="12" s="1"/>
  <c r="V198" i="12" s="1"/>
  <c r="Z198" i="12" s="1"/>
  <c r="AD198" i="12" s="1"/>
  <c r="AH198" i="12" s="1"/>
  <c r="AL198" i="12" s="1"/>
  <c r="AP198" i="12" s="1"/>
  <c r="AT198" i="12" s="1"/>
  <c r="AX198" i="12" s="1"/>
  <c r="BB198" i="12" s="1"/>
  <c r="BF198" i="12" s="1"/>
  <c r="BJ198" i="12" s="1"/>
  <c r="BN198" i="12" s="1"/>
  <c r="BR198" i="12" s="1"/>
  <c r="BV198" i="12" s="1"/>
  <c r="BZ198" i="12" s="1"/>
  <c r="CD198" i="12" s="1"/>
  <c r="CH198" i="12" s="1"/>
  <c r="CL198" i="12" s="1"/>
  <c r="CP198" i="12" s="1"/>
  <c r="CT198" i="12" s="1"/>
  <c r="CX198" i="12" s="1"/>
  <c r="DB198" i="12" s="1"/>
  <c r="I198" i="12"/>
  <c r="M198" i="12" s="1"/>
  <c r="Q198" i="12" s="1"/>
  <c r="U198" i="12" s="1"/>
  <c r="Y198" i="12" s="1"/>
  <c r="AC198" i="12" s="1"/>
  <c r="AG198" i="12" s="1"/>
  <c r="AK198" i="12" s="1"/>
  <c r="AO198" i="12" s="1"/>
  <c r="AS198" i="12" s="1"/>
  <c r="AW198" i="12" s="1"/>
  <c r="BA198" i="12" s="1"/>
  <c r="BE198" i="12" s="1"/>
  <c r="BI198" i="12" s="1"/>
  <c r="BM198" i="12" s="1"/>
  <c r="BQ198" i="12" s="1"/>
  <c r="BU198" i="12" s="1"/>
  <c r="BY198" i="12" s="1"/>
  <c r="CC198" i="12" s="1"/>
  <c r="CG198" i="12" s="1"/>
  <c r="CK198" i="12" s="1"/>
  <c r="CO198" i="12" s="1"/>
  <c r="CS198" i="12" s="1"/>
  <c r="CW198" i="12" s="1"/>
  <c r="DA198" i="12" s="1"/>
  <c r="H198" i="12"/>
  <c r="O197" i="12"/>
  <c r="S197" i="12" s="1"/>
  <c r="W197" i="12" s="1"/>
  <c r="AA197" i="12" s="1"/>
  <c r="AE197" i="12" s="1"/>
  <c r="AI197" i="12" s="1"/>
  <c r="AM197" i="12" s="1"/>
  <c r="AQ197" i="12" s="1"/>
  <c r="AU197" i="12" s="1"/>
  <c r="AY197" i="12" s="1"/>
  <c r="BC197" i="12" s="1"/>
  <c r="BG197" i="12" s="1"/>
  <c r="BK197" i="12" s="1"/>
  <c r="BO197" i="12" s="1"/>
  <c r="N197" i="12"/>
  <c r="R197" i="12" s="1"/>
  <c r="V197" i="12" s="1"/>
  <c r="Z197" i="12" s="1"/>
  <c r="AD197" i="12" s="1"/>
  <c r="AH197" i="12" s="1"/>
  <c r="AL197" i="12" s="1"/>
  <c r="AP197" i="12" s="1"/>
  <c r="AT197" i="12" s="1"/>
  <c r="AX197" i="12" s="1"/>
  <c r="BB197" i="12" s="1"/>
  <c r="BF197" i="12" s="1"/>
  <c r="BJ197" i="12" s="1"/>
  <c r="BN197" i="12" s="1"/>
  <c r="BR197" i="12" s="1"/>
  <c r="BV197" i="12" s="1"/>
  <c r="BZ197" i="12" s="1"/>
  <c r="CD197" i="12" s="1"/>
  <c r="CH197" i="12" s="1"/>
  <c r="CL197" i="12" s="1"/>
  <c r="CP197" i="12" s="1"/>
  <c r="CT197" i="12" s="1"/>
  <c r="CX197" i="12" s="1"/>
  <c r="DB197" i="12" s="1"/>
  <c r="M197" i="12"/>
  <c r="Q197" i="12" s="1"/>
  <c r="U197" i="12" s="1"/>
  <c r="Y197" i="12" s="1"/>
  <c r="AC197" i="12" s="1"/>
  <c r="AG197" i="12" s="1"/>
  <c r="AK197" i="12" s="1"/>
  <c r="AO197" i="12" s="1"/>
  <c r="AS197" i="12" s="1"/>
  <c r="AW197" i="12" s="1"/>
  <c r="BA197" i="12" s="1"/>
  <c r="BE197" i="12" s="1"/>
  <c r="BI197" i="12" s="1"/>
  <c r="BM197" i="12" s="1"/>
  <c r="BQ197" i="12" s="1"/>
  <c r="BU197" i="12" s="1"/>
  <c r="BY197" i="12" s="1"/>
  <c r="CC197" i="12" s="1"/>
  <c r="CG197" i="12" s="1"/>
  <c r="CK197" i="12" s="1"/>
  <c r="CO197" i="12" s="1"/>
  <c r="CS197" i="12" s="1"/>
  <c r="CW197" i="12" s="1"/>
  <c r="DA197" i="12" s="1"/>
  <c r="K197" i="12"/>
  <c r="J197" i="12"/>
  <c r="I197" i="12"/>
  <c r="H197" i="12"/>
  <c r="L197" i="12" s="1"/>
  <c r="P197" i="12" s="1"/>
  <c r="T197" i="12" s="1"/>
  <c r="X197" i="12" s="1"/>
  <c r="AB197" i="12" s="1"/>
  <c r="AF197" i="12" s="1"/>
  <c r="AJ197" i="12" s="1"/>
  <c r="AN197" i="12" s="1"/>
  <c r="AR197" i="12" s="1"/>
  <c r="AV197" i="12" s="1"/>
  <c r="AZ197" i="12" s="1"/>
  <c r="BD197" i="12" s="1"/>
  <c r="BH197" i="12" s="1"/>
  <c r="BL197" i="12" s="1"/>
  <c r="L196" i="12"/>
  <c r="P196" i="12" s="1"/>
  <c r="T196" i="12" s="1"/>
  <c r="X196" i="12" s="1"/>
  <c r="AB196" i="12" s="1"/>
  <c r="AF196" i="12" s="1"/>
  <c r="AJ196" i="12" s="1"/>
  <c r="AN196" i="12" s="1"/>
  <c r="AR196" i="12" s="1"/>
  <c r="AV196" i="12" s="1"/>
  <c r="AZ196" i="12" s="1"/>
  <c r="BD196" i="12" s="1"/>
  <c r="BH196" i="12" s="1"/>
  <c r="BL196" i="12" s="1"/>
  <c r="K196" i="12"/>
  <c r="O196" i="12" s="1"/>
  <c r="S196" i="12" s="1"/>
  <c r="W196" i="12" s="1"/>
  <c r="AA196" i="12" s="1"/>
  <c r="AE196" i="12" s="1"/>
  <c r="AI196" i="12" s="1"/>
  <c r="AM196" i="12" s="1"/>
  <c r="AQ196" i="12" s="1"/>
  <c r="AU196" i="12" s="1"/>
  <c r="AY196" i="12" s="1"/>
  <c r="BC196" i="12" s="1"/>
  <c r="BG196" i="12" s="1"/>
  <c r="BK196" i="12" s="1"/>
  <c r="BO196" i="12" s="1"/>
  <c r="J196" i="12"/>
  <c r="N196" i="12" s="1"/>
  <c r="R196" i="12" s="1"/>
  <c r="V196" i="12" s="1"/>
  <c r="Z196" i="12" s="1"/>
  <c r="AD196" i="12" s="1"/>
  <c r="AH196" i="12" s="1"/>
  <c r="AL196" i="12" s="1"/>
  <c r="AP196" i="12" s="1"/>
  <c r="AT196" i="12" s="1"/>
  <c r="AX196" i="12" s="1"/>
  <c r="BB196" i="12" s="1"/>
  <c r="BF196" i="12" s="1"/>
  <c r="BJ196" i="12" s="1"/>
  <c r="BN196" i="12" s="1"/>
  <c r="BR196" i="12" s="1"/>
  <c r="BV196" i="12" s="1"/>
  <c r="BZ196" i="12" s="1"/>
  <c r="CD196" i="12" s="1"/>
  <c r="CH196" i="12" s="1"/>
  <c r="CL196" i="12" s="1"/>
  <c r="CP196" i="12" s="1"/>
  <c r="CT196" i="12" s="1"/>
  <c r="CX196" i="12" s="1"/>
  <c r="DB196" i="12" s="1"/>
  <c r="I196" i="12"/>
  <c r="M196" i="12" s="1"/>
  <c r="Q196" i="12" s="1"/>
  <c r="U196" i="12" s="1"/>
  <c r="Y196" i="12" s="1"/>
  <c r="AC196" i="12" s="1"/>
  <c r="AG196" i="12" s="1"/>
  <c r="AK196" i="12" s="1"/>
  <c r="AO196" i="12" s="1"/>
  <c r="AS196" i="12" s="1"/>
  <c r="AW196" i="12" s="1"/>
  <c r="BA196" i="12" s="1"/>
  <c r="BE196" i="12" s="1"/>
  <c r="BI196" i="12" s="1"/>
  <c r="BM196" i="12" s="1"/>
  <c r="BQ196" i="12" s="1"/>
  <c r="BU196" i="12" s="1"/>
  <c r="BY196" i="12" s="1"/>
  <c r="CC196" i="12" s="1"/>
  <c r="CG196" i="12" s="1"/>
  <c r="CK196" i="12" s="1"/>
  <c r="CO196" i="12" s="1"/>
  <c r="CS196" i="12" s="1"/>
  <c r="CW196" i="12" s="1"/>
  <c r="DA196" i="12" s="1"/>
  <c r="H196" i="12"/>
  <c r="O195" i="12"/>
  <c r="S195" i="12" s="1"/>
  <c r="W195" i="12" s="1"/>
  <c r="AA195" i="12" s="1"/>
  <c r="AE195" i="12" s="1"/>
  <c r="AI195" i="12" s="1"/>
  <c r="AM195" i="12" s="1"/>
  <c r="AQ195" i="12" s="1"/>
  <c r="AU195" i="12" s="1"/>
  <c r="AY195" i="12" s="1"/>
  <c r="BC195" i="12" s="1"/>
  <c r="BG195" i="12" s="1"/>
  <c r="BK195" i="12" s="1"/>
  <c r="BO195" i="12" s="1"/>
  <c r="N195" i="12"/>
  <c r="R195" i="12" s="1"/>
  <c r="V195" i="12" s="1"/>
  <c r="Z195" i="12" s="1"/>
  <c r="AD195" i="12" s="1"/>
  <c r="AH195" i="12" s="1"/>
  <c r="AL195" i="12" s="1"/>
  <c r="AP195" i="12" s="1"/>
  <c r="AT195" i="12" s="1"/>
  <c r="AX195" i="12" s="1"/>
  <c r="BB195" i="12" s="1"/>
  <c r="BF195" i="12" s="1"/>
  <c r="BJ195" i="12" s="1"/>
  <c r="BN195" i="12" s="1"/>
  <c r="BR195" i="12" s="1"/>
  <c r="BV195" i="12" s="1"/>
  <c r="BZ195" i="12" s="1"/>
  <c r="CD195" i="12" s="1"/>
  <c r="CH195" i="12" s="1"/>
  <c r="CL195" i="12" s="1"/>
  <c r="CP195" i="12" s="1"/>
  <c r="CT195" i="12" s="1"/>
  <c r="CX195" i="12" s="1"/>
  <c r="DB195" i="12" s="1"/>
  <c r="M195" i="12"/>
  <c r="Q195" i="12" s="1"/>
  <c r="U195" i="12" s="1"/>
  <c r="Y195" i="12" s="1"/>
  <c r="AC195" i="12" s="1"/>
  <c r="AG195" i="12" s="1"/>
  <c r="AK195" i="12" s="1"/>
  <c r="AO195" i="12" s="1"/>
  <c r="AS195" i="12" s="1"/>
  <c r="AW195" i="12" s="1"/>
  <c r="BA195" i="12" s="1"/>
  <c r="BE195" i="12" s="1"/>
  <c r="BI195" i="12" s="1"/>
  <c r="BM195" i="12" s="1"/>
  <c r="BQ195" i="12" s="1"/>
  <c r="BU195" i="12" s="1"/>
  <c r="BY195" i="12" s="1"/>
  <c r="CC195" i="12" s="1"/>
  <c r="CG195" i="12" s="1"/>
  <c r="CK195" i="12" s="1"/>
  <c r="CO195" i="12" s="1"/>
  <c r="CS195" i="12" s="1"/>
  <c r="CW195" i="12" s="1"/>
  <c r="DA195" i="12" s="1"/>
  <c r="K195" i="12"/>
  <c r="J195" i="12"/>
  <c r="I195" i="12"/>
  <c r="H195" i="12"/>
  <c r="L195" i="12" s="1"/>
  <c r="P195" i="12" s="1"/>
  <c r="T195" i="12" s="1"/>
  <c r="X195" i="12" s="1"/>
  <c r="AB195" i="12" s="1"/>
  <c r="AF195" i="12" s="1"/>
  <c r="AJ195" i="12" s="1"/>
  <c r="AN195" i="12" s="1"/>
  <c r="AR195" i="12" s="1"/>
  <c r="AV195" i="12" s="1"/>
  <c r="AZ195" i="12" s="1"/>
  <c r="BD195" i="12" s="1"/>
  <c r="BH195" i="12" s="1"/>
  <c r="BL195" i="12" s="1"/>
  <c r="O135" i="12"/>
  <c r="P132" i="12"/>
  <c r="M131" i="12"/>
  <c r="O131" i="12" s="1"/>
  <c r="O130" i="12"/>
  <c r="M126" i="12"/>
  <c r="L126" i="12"/>
  <c r="K126" i="12"/>
  <c r="J126" i="12"/>
  <c r="Q120" i="12"/>
  <c r="P120" i="12"/>
  <c r="I120" i="12"/>
  <c r="H120" i="12"/>
  <c r="R118" i="12"/>
  <c r="R123" i="12" s="1"/>
  <c r="J118" i="12"/>
  <c r="T117" i="12"/>
  <c r="S117" i="12"/>
  <c r="R117" i="12"/>
  <c r="Q117" i="12"/>
  <c r="Q118" i="12" s="1"/>
  <c r="P117" i="12"/>
  <c r="O117" i="12"/>
  <c r="N117" i="12"/>
  <c r="M117" i="12"/>
  <c r="L117" i="12"/>
  <c r="K117" i="12"/>
  <c r="J117" i="12"/>
  <c r="I117" i="12"/>
  <c r="I118" i="12" s="1"/>
  <c r="H117" i="12"/>
  <c r="G117" i="12"/>
  <c r="F117" i="12"/>
  <c r="E117" i="12"/>
  <c r="D117" i="12"/>
  <c r="T116" i="12"/>
  <c r="S116" i="12"/>
  <c r="R116" i="12"/>
  <c r="Q116" i="12"/>
  <c r="P116" i="12"/>
  <c r="O116" i="12"/>
  <c r="N116" i="12"/>
  <c r="M116" i="12"/>
  <c r="L116" i="12"/>
  <c r="K116" i="12"/>
  <c r="J116" i="12"/>
  <c r="I116" i="12"/>
  <c r="H116" i="12"/>
  <c r="G116" i="12"/>
  <c r="F116" i="12"/>
  <c r="E116" i="12"/>
  <c r="D116" i="12"/>
  <c r="T115" i="12"/>
  <c r="S115" i="12"/>
  <c r="R115" i="12"/>
  <c r="Q115" i="12"/>
  <c r="P115" i="12"/>
  <c r="O115" i="12"/>
  <c r="N115" i="12"/>
  <c r="M115" i="12"/>
  <c r="L115" i="12"/>
  <c r="K115" i="12"/>
  <c r="J115" i="12"/>
  <c r="I115" i="12"/>
  <c r="H115" i="12"/>
  <c r="G115" i="12"/>
  <c r="F115" i="12"/>
  <c r="E115" i="12"/>
  <c r="D115" i="12"/>
  <c r="T114" i="12"/>
  <c r="T118" i="12" s="1"/>
  <c r="S114" i="12"/>
  <c r="R114" i="12"/>
  <c r="Q114" i="12"/>
  <c r="P114" i="12"/>
  <c r="O114" i="12"/>
  <c r="N114" i="12"/>
  <c r="M114" i="12"/>
  <c r="L114" i="12"/>
  <c r="L118" i="12" s="1"/>
  <c r="K114" i="12"/>
  <c r="J114" i="12"/>
  <c r="I114" i="12"/>
  <c r="H114" i="12"/>
  <c r="G114" i="12"/>
  <c r="F114" i="12"/>
  <c r="E114" i="12"/>
  <c r="D114" i="12"/>
  <c r="D118" i="12" s="1"/>
  <c r="T113" i="12"/>
  <c r="S113" i="12"/>
  <c r="R113" i="12"/>
  <c r="Q113" i="12"/>
  <c r="P113" i="12"/>
  <c r="O113" i="12"/>
  <c r="N113" i="12"/>
  <c r="M113" i="12"/>
  <c r="L113" i="12"/>
  <c r="K113" i="12"/>
  <c r="J113" i="12"/>
  <c r="I113" i="12"/>
  <c r="H113" i="12"/>
  <c r="G113" i="12"/>
  <c r="F113" i="12"/>
  <c r="E113" i="12"/>
  <c r="D113" i="12"/>
  <c r="T112" i="12"/>
  <c r="S112" i="12"/>
  <c r="S118" i="12" s="1"/>
  <c r="R112" i="12"/>
  <c r="Q112" i="12"/>
  <c r="P112" i="12"/>
  <c r="P118" i="12" s="1"/>
  <c r="P123" i="12" s="1"/>
  <c r="O112" i="12"/>
  <c r="O118" i="12" s="1"/>
  <c r="N112" i="12"/>
  <c r="N118" i="12" s="1"/>
  <c r="M112" i="12"/>
  <c r="M118" i="12" s="1"/>
  <c r="L112" i="12"/>
  <c r="K112" i="12"/>
  <c r="K118" i="12" s="1"/>
  <c r="J112" i="12"/>
  <c r="I112" i="12"/>
  <c r="H112" i="12"/>
  <c r="H118" i="12" s="1"/>
  <c r="H123" i="12" s="1"/>
  <c r="G112" i="12"/>
  <c r="G118" i="12" s="1"/>
  <c r="F112" i="12"/>
  <c r="F118" i="12" s="1"/>
  <c r="E112" i="12"/>
  <c r="E118" i="12" s="1"/>
  <c r="D112" i="12"/>
  <c r="T111" i="12"/>
  <c r="S111" i="12"/>
  <c r="D111" i="12"/>
  <c r="J109" i="12"/>
  <c r="J106" i="12"/>
  <c r="I106" i="12"/>
  <c r="I103" i="12"/>
  <c r="I99" i="12"/>
  <c r="O97" i="12"/>
  <c r="N97" i="12"/>
  <c r="N99" i="12" s="1"/>
  <c r="M97" i="12"/>
  <c r="M99" i="12" s="1"/>
  <c r="L97" i="12"/>
  <c r="K97" i="12"/>
  <c r="J97" i="12"/>
  <c r="J99" i="12" s="1"/>
  <c r="I97" i="12"/>
  <c r="O92" i="12"/>
  <c r="O99" i="12" s="1"/>
  <c r="N92" i="12"/>
  <c r="M92" i="12"/>
  <c r="L92" i="12"/>
  <c r="K92" i="12"/>
  <c r="J92" i="12"/>
  <c r="I92" i="12"/>
  <c r="O87" i="12"/>
  <c r="N87" i="12"/>
  <c r="M87" i="12"/>
  <c r="L87" i="12"/>
  <c r="L99" i="12" s="1"/>
  <c r="K87" i="12"/>
  <c r="J87" i="12"/>
  <c r="I87" i="12"/>
  <c r="O84" i="12"/>
  <c r="N84" i="12"/>
  <c r="M84" i="12"/>
  <c r="L84" i="12"/>
  <c r="K84" i="12"/>
  <c r="K99" i="12" s="1"/>
  <c r="J84" i="12"/>
  <c r="I84" i="12"/>
  <c r="O77" i="12"/>
  <c r="N77" i="12"/>
  <c r="M77" i="12"/>
  <c r="L77" i="12"/>
  <c r="K77" i="12"/>
  <c r="J77" i="12"/>
  <c r="I77" i="12"/>
  <c r="F69" i="12"/>
  <c r="G69" i="12" s="1"/>
  <c r="H69" i="12" s="1"/>
  <c r="I69" i="12" s="1"/>
  <c r="J69" i="12" s="1"/>
  <c r="K69" i="12" s="1"/>
  <c r="L69" i="12" s="1"/>
  <c r="M69" i="12" s="1"/>
  <c r="N69" i="12" s="1"/>
  <c r="O69" i="12" s="1"/>
  <c r="P69" i="12" s="1"/>
  <c r="Q69" i="12" s="1"/>
  <c r="R69" i="12" s="1"/>
  <c r="E69" i="12"/>
  <c r="R67" i="12"/>
  <c r="Q67" i="12"/>
  <c r="P67" i="12"/>
  <c r="O67" i="12"/>
  <c r="M67" i="12"/>
  <c r="L67" i="12"/>
  <c r="K67" i="12"/>
  <c r="J67" i="12"/>
  <c r="I67" i="12"/>
  <c r="H67" i="12"/>
  <c r="G67" i="12"/>
  <c r="F67" i="12"/>
  <c r="E67" i="12"/>
  <c r="D67" i="12"/>
  <c r="R66" i="12"/>
  <c r="Q66" i="12"/>
  <c r="P66" i="12"/>
  <c r="O66" i="12"/>
  <c r="N66" i="12"/>
  <c r="M66" i="12"/>
  <c r="L66" i="12"/>
  <c r="K66" i="12"/>
  <c r="J66" i="12"/>
  <c r="I66" i="12"/>
  <c r="H66" i="12"/>
  <c r="G66" i="12"/>
  <c r="F66" i="12"/>
  <c r="E66" i="12"/>
  <c r="D66" i="12"/>
  <c r="R64" i="12"/>
  <c r="Q64" i="12"/>
  <c r="J64" i="12"/>
  <c r="I64" i="12"/>
  <c r="Q63" i="12"/>
  <c r="P63" i="12"/>
  <c r="I63" i="12"/>
  <c r="H63" i="12"/>
  <c r="R61" i="12"/>
  <c r="Q61" i="12"/>
  <c r="P61" i="12"/>
  <c r="P64" i="12" s="1"/>
  <c r="O61" i="12"/>
  <c r="N61" i="12"/>
  <c r="M61" i="12"/>
  <c r="L61" i="12"/>
  <c r="K61" i="12"/>
  <c r="J61" i="12"/>
  <c r="I61" i="12"/>
  <c r="H61" i="12"/>
  <c r="H64" i="12" s="1"/>
  <c r="G61" i="12"/>
  <c r="F61" i="12"/>
  <c r="E61" i="12"/>
  <c r="D61" i="12"/>
  <c r="R60" i="12"/>
  <c r="Q60" i="12"/>
  <c r="P60" i="12"/>
  <c r="O60" i="12"/>
  <c r="O63" i="12" s="1"/>
  <c r="M60" i="12"/>
  <c r="L60" i="12"/>
  <c r="K60" i="12"/>
  <c r="J60" i="12"/>
  <c r="I60" i="12"/>
  <c r="H60" i="12"/>
  <c r="G60" i="12"/>
  <c r="G63" i="12" s="1"/>
  <c r="F60" i="12"/>
  <c r="E60" i="12"/>
  <c r="D60" i="12"/>
  <c r="P58" i="12"/>
  <c r="N58" i="12"/>
  <c r="X58" i="12" s="1"/>
  <c r="H58" i="12"/>
  <c r="F58" i="12"/>
  <c r="Q57" i="12"/>
  <c r="R56" i="12" s="1"/>
  <c r="R57" i="12" s="1"/>
  <c r="P57" i="12"/>
  <c r="O57" i="12"/>
  <c r="N57" i="12"/>
  <c r="M57" i="12"/>
  <c r="L57" i="12"/>
  <c r="K57" i="12"/>
  <c r="L56" i="12" s="1"/>
  <c r="L58" i="12" s="1"/>
  <c r="J57" i="12"/>
  <c r="K56" i="12" s="1"/>
  <c r="K58" i="12" s="1"/>
  <c r="I57" i="12"/>
  <c r="J56" i="12" s="1"/>
  <c r="J58" i="12" s="1"/>
  <c r="H57" i="12"/>
  <c r="G57" i="12"/>
  <c r="F57" i="12"/>
  <c r="E57" i="12"/>
  <c r="D57" i="12"/>
  <c r="C57" i="12"/>
  <c r="D56" i="12" s="1"/>
  <c r="D58" i="12" s="1"/>
  <c r="V58" i="12" s="1"/>
  <c r="W56" i="12"/>
  <c r="Q56" i="12"/>
  <c r="Q58" i="12" s="1"/>
  <c r="P56" i="12"/>
  <c r="O56" i="12"/>
  <c r="O58" i="12" s="1"/>
  <c r="N56" i="12"/>
  <c r="M56" i="12"/>
  <c r="M58" i="12" s="1"/>
  <c r="I56" i="12"/>
  <c r="I58" i="12" s="1"/>
  <c r="H56" i="12"/>
  <c r="G56" i="12"/>
  <c r="G58" i="12" s="1"/>
  <c r="F56" i="12"/>
  <c r="E56" i="12"/>
  <c r="E58" i="12" s="1"/>
  <c r="W54" i="12"/>
  <c r="O50" i="12"/>
  <c r="N50" i="12"/>
  <c r="M50" i="12"/>
  <c r="G50" i="12"/>
  <c r="F50" i="12"/>
  <c r="E50" i="12"/>
  <c r="R49" i="12"/>
  <c r="R53" i="12" s="1"/>
  <c r="R121" i="12" s="1"/>
  <c r="P49" i="12"/>
  <c r="P53" i="12" s="1"/>
  <c r="P121" i="12" s="1"/>
  <c r="J49" i="12"/>
  <c r="J53" i="12" s="1"/>
  <c r="J121" i="12" s="1"/>
  <c r="H49" i="12"/>
  <c r="H53" i="12" s="1"/>
  <c r="H121" i="12" s="1"/>
  <c r="X47" i="12"/>
  <c r="V47" i="12"/>
  <c r="S47" i="12"/>
  <c r="S120" i="12" s="1"/>
  <c r="R47" i="12"/>
  <c r="R120" i="12" s="1"/>
  <c r="Q47" i="12"/>
  <c r="P47" i="12"/>
  <c r="O47" i="12"/>
  <c r="O120" i="12" s="1"/>
  <c r="N47" i="12"/>
  <c r="N64" i="12" s="1"/>
  <c r="M47" i="12"/>
  <c r="M120" i="12" s="1"/>
  <c r="L47" i="12"/>
  <c r="L120" i="12" s="1"/>
  <c r="K47" i="12"/>
  <c r="K120" i="12" s="1"/>
  <c r="J47" i="12"/>
  <c r="J120" i="12" s="1"/>
  <c r="I47" i="12"/>
  <c r="H47" i="12"/>
  <c r="G47" i="12"/>
  <c r="G120" i="12" s="1"/>
  <c r="F47" i="12"/>
  <c r="F64" i="12" s="1"/>
  <c r="E47" i="12"/>
  <c r="E120" i="12" s="1"/>
  <c r="D47" i="12"/>
  <c r="D120" i="12" s="1"/>
  <c r="X46" i="12"/>
  <c r="W46" i="12"/>
  <c r="X44" i="12"/>
  <c r="W44" i="12"/>
  <c r="V44" i="12"/>
  <c r="U44" i="12"/>
  <c r="X43" i="12"/>
  <c r="W43" i="12"/>
  <c r="V43" i="12"/>
  <c r="X42" i="12"/>
  <c r="W42" i="12"/>
  <c r="X41" i="12"/>
  <c r="U41" i="12"/>
  <c r="U48" i="12" s="1"/>
  <c r="W40" i="12"/>
  <c r="V40" i="12"/>
  <c r="U40" i="12"/>
  <c r="U47" i="12" s="1"/>
  <c r="S38" i="12"/>
  <c r="R38" i="12"/>
  <c r="R63" i="12" s="1"/>
  <c r="Q38" i="12"/>
  <c r="Q49" i="12" s="1"/>
  <c r="P38" i="12"/>
  <c r="O38" i="12"/>
  <c r="M38" i="12"/>
  <c r="M63" i="12" s="1"/>
  <c r="L38" i="12"/>
  <c r="L63" i="12" s="1"/>
  <c r="K38" i="12"/>
  <c r="K63" i="12" s="1"/>
  <c r="J38" i="12"/>
  <c r="J63" i="12" s="1"/>
  <c r="I38" i="12"/>
  <c r="I49" i="12" s="1"/>
  <c r="H38" i="12"/>
  <c r="G38" i="12"/>
  <c r="F38" i="12"/>
  <c r="F63" i="12" s="1"/>
  <c r="E38" i="12"/>
  <c r="E63" i="12" s="1"/>
  <c r="D38" i="12"/>
  <c r="D63" i="12" s="1"/>
  <c r="X37" i="12"/>
  <c r="W37" i="12"/>
  <c r="V37" i="12"/>
  <c r="X36" i="12"/>
  <c r="W36" i="12"/>
  <c r="X35" i="12"/>
  <c r="U35" i="12"/>
  <c r="X34" i="12"/>
  <c r="W34" i="12"/>
  <c r="V34" i="12"/>
  <c r="V33" i="12"/>
  <c r="U32" i="12"/>
  <c r="N32" i="12"/>
  <c r="X32" i="12" s="1"/>
  <c r="V31" i="12"/>
  <c r="U31" i="12"/>
  <c r="U38" i="12" s="1"/>
  <c r="N31" i="12"/>
  <c r="N38" i="12" s="1"/>
  <c r="X30" i="12"/>
  <c r="U30" i="12"/>
  <c r="S28" i="12"/>
  <c r="S50" i="12" s="1"/>
  <c r="R28" i="12"/>
  <c r="R50" i="12" s="1"/>
  <c r="Q28" i="12"/>
  <c r="Q50" i="12" s="1"/>
  <c r="P28" i="12"/>
  <c r="P50" i="12" s="1"/>
  <c r="O28" i="12"/>
  <c r="N28" i="12"/>
  <c r="M28" i="12"/>
  <c r="L28" i="12"/>
  <c r="L50" i="12" s="1"/>
  <c r="K28" i="12"/>
  <c r="K50" i="12" s="1"/>
  <c r="J28" i="12"/>
  <c r="J50" i="12" s="1"/>
  <c r="I28" i="12"/>
  <c r="I50" i="12" s="1"/>
  <c r="H28" i="12"/>
  <c r="H50" i="12" s="1"/>
  <c r="G28" i="12"/>
  <c r="F28" i="12"/>
  <c r="E28" i="12"/>
  <c r="D28" i="12"/>
  <c r="D50" i="12" s="1"/>
  <c r="X27" i="12"/>
  <c r="W27" i="12"/>
  <c r="V27" i="12"/>
  <c r="S27" i="12"/>
  <c r="W26" i="12"/>
  <c r="S26" i="12"/>
  <c r="X26" i="12" s="1"/>
  <c r="X25" i="12"/>
  <c r="W25" i="12"/>
  <c r="V25" i="12"/>
  <c r="S25" i="12"/>
  <c r="W24" i="12"/>
  <c r="S24" i="12"/>
  <c r="X24" i="12" s="1"/>
  <c r="X22" i="12"/>
  <c r="W22" i="12"/>
  <c r="V22" i="12"/>
  <c r="S22" i="12"/>
  <c r="F21" i="12"/>
  <c r="G21" i="12" s="1"/>
  <c r="E21" i="12"/>
  <c r="E111" i="12" s="1"/>
  <c r="E17" i="12"/>
  <c r="F17" i="12" s="1"/>
  <c r="G17" i="12" s="1"/>
  <c r="H17" i="12" s="1"/>
  <c r="I17" i="12" s="1"/>
  <c r="J17" i="12" s="1"/>
  <c r="K17" i="12" s="1"/>
  <c r="L17" i="12" s="1"/>
  <c r="M17" i="12" s="1"/>
  <c r="N17" i="12" s="1"/>
  <c r="O17" i="12" s="1"/>
  <c r="P17" i="12" s="1"/>
  <c r="Q17" i="12" s="1"/>
  <c r="R17" i="12" s="1"/>
  <c r="S17" i="12" s="1"/>
  <c r="T17" i="12" s="1"/>
  <c r="U17" i="12" s="1"/>
  <c r="V17" i="12" s="1"/>
  <c r="W17" i="12" s="1"/>
  <c r="X17" i="12" s="1"/>
  <c r="Y17" i="12" s="1"/>
  <c r="Z17" i="12" s="1"/>
  <c r="AA17" i="12" s="1"/>
  <c r="AB17" i="12" s="1"/>
  <c r="AC17" i="12" s="1"/>
  <c r="AD17" i="12" s="1"/>
  <c r="AE17" i="12" s="1"/>
  <c r="AF17" i="12" s="1"/>
  <c r="AG17" i="12" s="1"/>
  <c r="AH17" i="12" s="1"/>
  <c r="G14" i="12"/>
  <c r="H14" i="12" s="1"/>
  <c r="I14" i="12" s="1"/>
  <c r="J14" i="12" s="1"/>
  <c r="K14" i="12" s="1"/>
  <c r="L14" i="12" s="1"/>
  <c r="M14" i="12" s="1"/>
  <c r="N14" i="12" s="1"/>
  <c r="O14" i="12" s="1"/>
  <c r="P14" i="12" s="1"/>
  <c r="Q14" i="12" s="1"/>
  <c r="R14" i="12" s="1"/>
  <c r="S14" i="12" s="1"/>
  <c r="T14" i="12" s="1"/>
  <c r="U14" i="12" s="1"/>
  <c r="V14" i="12" s="1"/>
  <c r="W14" i="12" s="1"/>
  <c r="X14" i="12" s="1"/>
  <c r="Y14" i="12" s="1"/>
  <c r="Z14" i="12" s="1"/>
  <c r="AA14" i="12" s="1"/>
  <c r="AB14" i="12" s="1"/>
  <c r="AC14" i="12" s="1"/>
  <c r="AD14" i="12" s="1"/>
  <c r="AE14" i="12" s="1"/>
  <c r="AF14" i="12" s="1"/>
  <c r="AG14" i="12" s="1"/>
  <c r="AH14" i="12" s="1"/>
  <c r="AI14" i="12" s="1"/>
  <c r="AJ14" i="12" s="1"/>
  <c r="AK14" i="12" s="1"/>
  <c r="AL14" i="12" s="1"/>
  <c r="AM14" i="12" s="1"/>
  <c r="F14" i="12"/>
  <c r="E14" i="12"/>
  <c r="D14" i="12"/>
  <c r="D9" i="12"/>
  <c r="E9" i="12" s="1"/>
  <c r="F9" i="12" s="1"/>
  <c r="G9" i="12" s="1"/>
  <c r="H9" i="12" s="1"/>
  <c r="I9" i="12" s="1"/>
  <c r="J9" i="12" s="1"/>
  <c r="K9" i="12" s="1"/>
  <c r="L9" i="12" s="1"/>
  <c r="M9" i="12" s="1"/>
  <c r="N9" i="12" s="1"/>
  <c r="O9" i="12" s="1"/>
  <c r="P9" i="12" s="1"/>
  <c r="Q9" i="12" s="1"/>
  <c r="R9" i="12" s="1"/>
  <c r="S9" i="12" s="1"/>
  <c r="T9" i="12" s="1"/>
  <c r="U9" i="12" s="1"/>
  <c r="V9" i="12" s="1"/>
  <c r="W9" i="12" s="1"/>
  <c r="X9" i="12" s="1"/>
  <c r="Y9" i="12" s="1"/>
  <c r="Z9" i="12" s="1"/>
  <c r="AA9" i="12" s="1"/>
  <c r="AB9" i="12" s="1"/>
  <c r="AC9" i="12" s="1"/>
  <c r="AD9" i="12" s="1"/>
  <c r="AE9" i="12" s="1"/>
  <c r="AF9" i="12" s="1"/>
  <c r="AG9" i="12" s="1"/>
  <c r="AH9" i="12" s="1"/>
  <c r="AI9" i="12" s="1"/>
  <c r="AJ9" i="12" s="1"/>
  <c r="AK9" i="12" s="1"/>
  <c r="AL9" i="12" s="1"/>
  <c r="AM9" i="12" s="1"/>
  <c r="W4" i="12"/>
  <c r="V4" i="12"/>
  <c r="T3" i="12"/>
  <c r="U3" i="12" s="1"/>
  <c r="V3" i="12" s="1"/>
  <c r="W3" i="12" s="1"/>
  <c r="X3" i="12" s="1"/>
  <c r="I3" i="12"/>
  <c r="J3" i="12" s="1"/>
  <c r="K3" i="12" s="1"/>
  <c r="L3" i="12" s="1"/>
  <c r="M3" i="12" s="1"/>
  <c r="N3" i="12" s="1"/>
  <c r="O3" i="12" s="1"/>
  <c r="P3" i="12" s="1"/>
  <c r="Q3" i="12" s="1"/>
  <c r="R3" i="12" s="1"/>
  <c r="H3" i="12"/>
  <c r="G3" i="12"/>
  <c r="F3" i="12"/>
  <c r="E3" i="12"/>
  <c r="H13" i="7"/>
  <c r="H11" i="7"/>
  <c r="H9" i="7"/>
  <c r="D76" i="10"/>
  <c r="M14" i="10"/>
  <c r="D45" i="10"/>
  <c r="D10" i="10"/>
  <c r="D52" i="10"/>
  <c r="M30" i="10"/>
  <c r="M77" i="10"/>
  <c r="D47" i="10"/>
  <c r="M116" i="10"/>
  <c r="D12" i="10"/>
  <c r="M17" i="10"/>
  <c r="M22" i="10"/>
  <c r="M103" i="10"/>
  <c r="D64" i="10"/>
  <c r="D23" i="10"/>
  <c r="M48" i="10"/>
  <c r="D6" i="10"/>
  <c r="M95" i="10"/>
  <c r="M91" i="10"/>
  <c r="M35" i="10"/>
  <c r="D107" i="10"/>
  <c r="D37" i="10"/>
  <c r="D86" i="10"/>
  <c r="D67" i="10"/>
  <c r="M86" i="10"/>
  <c r="D79" i="10"/>
  <c r="M96" i="10"/>
  <c r="M47" i="10"/>
  <c r="D35" i="10"/>
  <c r="D87" i="10"/>
  <c r="M81" i="10"/>
  <c r="M45" i="10"/>
  <c r="M23" i="10"/>
  <c r="M15" i="10"/>
  <c r="D48" i="10"/>
  <c r="D22" i="10"/>
  <c r="M50" i="10"/>
  <c r="M49" i="10"/>
  <c r="D83" i="10"/>
  <c r="M88" i="10"/>
  <c r="M60" i="10"/>
  <c r="M55" i="10"/>
  <c r="M67" i="10"/>
  <c r="D63" i="10"/>
  <c r="D54" i="10"/>
  <c r="M32" i="10"/>
  <c r="D40" i="10"/>
  <c r="M83" i="10"/>
  <c r="M33" i="10"/>
  <c r="M99" i="10"/>
  <c r="D71" i="10"/>
  <c r="D42" i="10"/>
  <c r="M62" i="10"/>
  <c r="D99" i="10"/>
  <c r="D88" i="10"/>
  <c r="D55" i="10"/>
  <c r="D72" i="10"/>
  <c r="D108" i="10"/>
  <c r="M52" i="10"/>
  <c r="D91" i="10"/>
  <c r="M31" i="10"/>
  <c r="D77" i="10"/>
  <c r="M40" i="10"/>
  <c r="D112" i="10"/>
  <c r="D109" i="10"/>
  <c r="D30" i="10"/>
  <c r="M109" i="10"/>
  <c r="M105" i="10"/>
  <c r="D41" i="10"/>
  <c r="M65" i="10"/>
  <c r="D60" i="10"/>
  <c r="M102" i="10"/>
  <c r="D75" i="10"/>
  <c r="M38" i="10"/>
  <c r="M64" i="10"/>
  <c r="D94" i="10"/>
  <c r="D116" i="10"/>
  <c r="M97" i="10"/>
  <c r="D49" i="10"/>
  <c r="M42" i="10"/>
  <c r="D56" i="10"/>
  <c r="D115" i="10"/>
  <c r="M63" i="10"/>
  <c r="D31" i="10"/>
  <c r="M108" i="10"/>
  <c r="D27" i="10"/>
  <c r="D80" i="10"/>
  <c r="M89" i="10"/>
  <c r="D78" i="10"/>
  <c r="D96" i="10"/>
  <c r="D62" i="10"/>
  <c r="M54" i="10"/>
  <c r="M56" i="10"/>
  <c r="D32" i="10"/>
  <c r="M104" i="10"/>
  <c r="D20" i="10"/>
  <c r="M58" i="10"/>
  <c r="D8" i="10"/>
  <c r="D105" i="10"/>
  <c r="M80" i="10"/>
  <c r="M112" i="10"/>
  <c r="D70" i="10"/>
  <c r="D25" i="10"/>
  <c r="M37" i="10"/>
  <c r="M75" i="10"/>
  <c r="D114" i="10"/>
  <c r="M107" i="10"/>
  <c r="D95" i="10"/>
  <c r="M41" i="10"/>
  <c r="M43" i="10"/>
  <c r="M79" i="10"/>
  <c r="M94" i="10"/>
  <c r="M87" i="10"/>
  <c r="D102" i="10"/>
  <c r="D19" i="10"/>
  <c r="D104" i="10"/>
  <c r="D26" i="10"/>
  <c r="AK123" i="1" l="1"/>
  <c r="AK127" i="1" s="1"/>
  <c r="AK112" i="1"/>
  <c r="AK114" i="1" s="1"/>
  <c r="AD114" i="1"/>
  <c r="P15" i="1"/>
  <c r="P16" i="9" s="1"/>
  <c r="AJ15" i="1"/>
  <c r="Z444" i="1"/>
  <c r="AJ444" i="1"/>
  <c r="AM88" i="1"/>
  <c r="AM90" i="1" s="1"/>
  <c r="U15" i="1"/>
  <c r="U16" i="9" s="1"/>
  <c r="AO15" i="1"/>
  <c r="AO16" i="9" s="1"/>
  <c r="AN52" i="1"/>
  <c r="Q88" i="1"/>
  <c r="Q90" i="1" s="1"/>
  <c r="I53" i="9"/>
  <c r="C87" i="1"/>
  <c r="C89" i="1" s="1"/>
  <c r="AK87" i="1"/>
  <c r="AK89" i="1" s="1"/>
  <c r="U88" i="1"/>
  <c r="U90" i="1" s="1"/>
  <c r="Q15" i="1"/>
  <c r="Q16" i="9" s="1"/>
  <c r="AA15" i="1"/>
  <c r="AA16" i="9" s="1"/>
  <c r="AP87" i="1"/>
  <c r="AP89" i="1" s="1"/>
  <c r="F15" i="1"/>
  <c r="F16" i="9" s="1"/>
  <c r="I87" i="1"/>
  <c r="I89" i="1" s="1"/>
  <c r="I93" i="1"/>
  <c r="I450" i="1" s="1"/>
  <c r="M103" i="9"/>
  <c r="Q87" i="1"/>
  <c r="Q89" i="1" s="1"/>
  <c r="C88" i="1"/>
  <c r="C90" i="1" s="1"/>
  <c r="Z88" i="1"/>
  <c r="Z90" i="1" s="1"/>
  <c r="P93" i="1"/>
  <c r="P450" i="1" s="1"/>
  <c r="J38" i="9"/>
  <c r="R38" i="9"/>
  <c r="Z38" i="9"/>
  <c r="AJ38" i="9"/>
  <c r="E73" i="13"/>
  <c r="N15" i="1"/>
  <c r="N16" i="9" s="1"/>
  <c r="P444" i="1"/>
  <c r="S87" i="1"/>
  <c r="S89" i="1" s="1"/>
  <c r="I88" i="1"/>
  <c r="I90" i="1" s="1"/>
  <c r="AE88" i="1"/>
  <c r="AE90" i="1" s="1"/>
  <c r="D38" i="9"/>
  <c r="L38" i="9"/>
  <c r="T38" i="9"/>
  <c r="AB38" i="9"/>
  <c r="AM123" i="1"/>
  <c r="AM127" i="1" s="1"/>
  <c r="AM112" i="1"/>
  <c r="AM114" i="1" s="1"/>
  <c r="L15" i="1"/>
  <c r="L16" i="9" s="1"/>
  <c r="AF15" i="1"/>
  <c r="AF16" i="9" s="1"/>
  <c r="AP15" i="1"/>
  <c r="AP16" i="9" s="1"/>
  <c r="AO87" i="1"/>
  <c r="AO89" i="1" s="1"/>
  <c r="Y114" i="1"/>
  <c r="E153" i="1"/>
  <c r="E156" i="1" s="1"/>
  <c r="Q23" i="14"/>
  <c r="Q28" i="14" s="1"/>
  <c r="I54" i="9"/>
  <c r="F210" i="14"/>
  <c r="F231" i="14" s="1"/>
  <c r="U87" i="1"/>
  <c r="U89" i="1" s="1"/>
  <c r="K88" i="1"/>
  <c r="K90" i="1" s="1"/>
  <c r="AC444" i="1"/>
  <c r="H87" i="1"/>
  <c r="H89" i="1" s="1"/>
  <c r="AC88" i="1"/>
  <c r="AC90" i="1" s="1"/>
  <c r="D210" i="14"/>
  <c r="R23" i="14"/>
  <c r="X15" i="1"/>
  <c r="X16" i="9" s="1"/>
  <c r="AH15" i="1"/>
  <c r="AH16" i="9" s="1"/>
  <c r="L444" i="1"/>
  <c r="V444" i="1"/>
  <c r="Z87" i="1"/>
  <c r="Z89" i="1" s="1"/>
  <c r="W93" i="1"/>
  <c r="W450" i="1" s="1"/>
  <c r="Y116" i="1"/>
  <c r="V34" i="14"/>
  <c r="J60" i="14"/>
  <c r="I153" i="1"/>
  <c r="I156" i="1" s="1"/>
  <c r="AF38" i="9"/>
  <c r="AP38" i="9"/>
  <c r="G73" i="13"/>
  <c r="G74" i="13" s="1"/>
  <c r="V15" i="1"/>
  <c r="V16" i="9" s="1"/>
  <c r="S444" i="1"/>
  <c r="AF444" i="1"/>
  <c r="AO37" i="9"/>
  <c r="B24" i="13"/>
  <c r="F55" i="13"/>
  <c r="AP444" i="1"/>
  <c r="K87" i="1"/>
  <c r="K89" i="1" s="1"/>
  <c r="AF88" i="1"/>
  <c r="AF90" i="1" s="1"/>
  <c r="D15" i="1"/>
  <c r="D16" i="9" s="1"/>
  <c r="AK15" i="1"/>
  <c r="AK16" i="9" s="1"/>
  <c r="AI52" i="1"/>
  <c r="P87" i="1"/>
  <c r="P89" i="1" s="1"/>
  <c r="AC87" i="1"/>
  <c r="AC89" i="1" s="1"/>
  <c r="E88" i="1"/>
  <c r="E90" i="1" s="1"/>
  <c r="S88" i="1"/>
  <c r="S90" i="1" s="1"/>
  <c r="AK88" i="1"/>
  <c r="AK90" i="1" s="1"/>
  <c r="Z93" i="1"/>
  <c r="Z450" i="1" s="1"/>
  <c r="AD38" i="9"/>
  <c r="G53" i="9"/>
  <c r="S153" i="1"/>
  <c r="AH38" i="9"/>
  <c r="AT165" i="1"/>
  <c r="AT38" i="9" s="1"/>
  <c r="D73" i="13"/>
  <c r="D74" i="13" s="1"/>
  <c r="E15" i="1"/>
  <c r="E16" i="9" s="1"/>
  <c r="AF87" i="1"/>
  <c r="AF89" i="1" s="1"/>
  <c r="AC15" i="1"/>
  <c r="AC16" i="9" s="1"/>
  <c r="H88" i="1"/>
  <c r="H90" i="1" s="1"/>
  <c r="AO88" i="1"/>
  <c r="AO90" i="1" s="1"/>
  <c r="H93" i="1"/>
  <c r="H450" i="1" s="1"/>
  <c r="AN166" i="1"/>
  <c r="AN38" i="9" s="1"/>
  <c r="S23" i="14"/>
  <c r="S28" i="14" s="1"/>
  <c r="E210" i="14"/>
  <c r="AE87" i="1"/>
  <c r="W23" i="14"/>
  <c r="AO153" i="1"/>
  <c r="AO156" i="1" s="1"/>
  <c r="Y23" i="14"/>
  <c r="AA226" i="1"/>
  <c r="L60" i="14"/>
  <c r="E34" i="13"/>
  <c r="E74" i="13"/>
  <c r="I40" i="13"/>
  <c r="G55" i="13"/>
  <c r="H73" i="13"/>
  <c r="H74" i="13" s="1"/>
  <c r="I72" i="13"/>
  <c r="I54" i="13"/>
  <c r="I73" i="13" s="1"/>
  <c r="J36" i="13"/>
  <c r="F73" i="13"/>
  <c r="F74" i="13" s="1"/>
  <c r="H55" i="13"/>
  <c r="D55" i="13"/>
  <c r="G120" i="13"/>
  <c r="F120" i="13"/>
  <c r="E120" i="13"/>
  <c r="D120" i="13"/>
  <c r="C120" i="13"/>
  <c r="B120" i="13"/>
  <c r="C9" i="14"/>
  <c r="D15" i="14"/>
  <c r="AA180" i="14"/>
  <c r="AB180" i="14" s="1"/>
  <c r="T197" i="14"/>
  <c r="F228" i="14"/>
  <c r="F238" i="14" s="1"/>
  <c r="F217" i="14"/>
  <c r="F226" i="14"/>
  <c r="F236" i="14" s="1"/>
  <c r="F215" i="14"/>
  <c r="C378" i="14"/>
  <c r="F229" i="14"/>
  <c r="F239" i="14" s="1"/>
  <c r="F218" i="14"/>
  <c r="AB179" i="14"/>
  <c r="AB150" i="14"/>
  <c r="AA155" i="14"/>
  <c r="F214" i="14"/>
  <c r="F225" i="14"/>
  <c r="F235" i="14" s="1"/>
  <c r="AC160" i="14"/>
  <c r="W157" i="14"/>
  <c r="X152" i="14"/>
  <c r="AD160" i="14"/>
  <c r="G250" i="14"/>
  <c r="G251" i="14" s="1"/>
  <c r="G252" i="14" s="1"/>
  <c r="G253" i="14" s="1"/>
  <c r="F248" i="14"/>
  <c r="G280" i="14"/>
  <c r="H280" i="14" s="1"/>
  <c r="I280" i="14" s="1"/>
  <c r="J280" i="14" s="1"/>
  <c r="K280" i="14" s="1"/>
  <c r="L280" i="14" s="1"/>
  <c r="M280" i="14" s="1"/>
  <c r="I276" i="14"/>
  <c r="L250" i="14"/>
  <c r="L251" i="14" s="1"/>
  <c r="L252" i="14" s="1"/>
  <c r="L253" i="14" s="1"/>
  <c r="L254" i="14" s="1"/>
  <c r="E339" i="14" s="1"/>
  <c r="E340" i="14" s="1"/>
  <c r="E341" i="14" s="1"/>
  <c r="M248" i="14"/>
  <c r="Z160" i="14"/>
  <c r="F211" i="14"/>
  <c r="F220" i="14"/>
  <c r="Y35" i="14"/>
  <c r="G208" i="14"/>
  <c r="G210" i="14"/>
  <c r="G205" i="14"/>
  <c r="G203" i="14"/>
  <c r="H202" i="14"/>
  <c r="G207" i="14"/>
  <c r="G204" i="14"/>
  <c r="G209" i="14"/>
  <c r="G206" i="14"/>
  <c r="G227" i="14" s="1"/>
  <c r="AB178" i="14"/>
  <c r="M278" i="14"/>
  <c r="F213" i="14"/>
  <c r="F224" i="14"/>
  <c r="F234" i="14" s="1"/>
  <c r="P45" i="10"/>
  <c r="O45" i="10"/>
  <c r="P23" i="10"/>
  <c r="O23" i="10"/>
  <c r="P89" i="10"/>
  <c r="O89" i="10"/>
  <c r="P52" i="10"/>
  <c r="O52" i="10"/>
  <c r="P32" i="10"/>
  <c r="O32" i="10"/>
  <c r="P38" i="10"/>
  <c r="O38" i="10"/>
  <c r="P15" i="10"/>
  <c r="O15" i="10"/>
  <c r="P40" i="10"/>
  <c r="O40" i="10"/>
  <c r="P47" i="10"/>
  <c r="O47" i="10"/>
  <c r="P54" i="10"/>
  <c r="O54" i="10"/>
  <c r="P80" i="10"/>
  <c r="O80" i="10"/>
  <c r="P99" i="10"/>
  <c r="O99" i="10"/>
  <c r="P102" i="10"/>
  <c r="O102" i="10"/>
  <c r="P22" i="10"/>
  <c r="O22" i="10"/>
  <c r="P31" i="10"/>
  <c r="O31" i="10"/>
  <c r="P58" i="10"/>
  <c r="O58" i="10"/>
  <c r="P65" i="10"/>
  <c r="O65" i="10"/>
  <c r="O79" i="10"/>
  <c r="P79" i="10"/>
  <c r="P86" i="10"/>
  <c r="O86" i="10"/>
  <c r="P112" i="10"/>
  <c r="O112" i="10"/>
  <c r="P14" i="10"/>
  <c r="O14" i="10"/>
  <c r="P30" i="10"/>
  <c r="O30" i="10"/>
  <c r="P37" i="10"/>
  <c r="O37" i="10"/>
  <c r="P96" i="10"/>
  <c r="O96" i="10"/>
  <c r="P105" i="10"/>
  <c r="O105" i="10"/>
  <c r="P35" i="10"/>
  <c r="O35" i="10"/>
  <c r="P43" i="10"/>
  <c r="O43" i="10"/>
  <c r="P50" i="10"/>
  <c r="O50" i="10"/>
  <c r="P64" i="10"/>
  <c r="O64" i="10"/>
  <c r="O75" i="10"/>
  <c r="P75" i="10"/>
  <c r="P63" i="10"/>
  <c r="O63" i="10"/>
  <c r="O67" i="10"/>
  <c r="P67" i="10"/>
  <c r="O42" i="10"/>
  <c r="P42" i="10"/>
  <c r="O49" i="10"/>
  <c r="P49" i="10"/>
  <c r="O56" i="10"/>
  <c r="P56" i="10"/>
  <c r="O62" i="10"/>
  <c r="P62" i="10"/>
  <c r="O95" i="10"/>
  <c r="P95" i="10"/>
  <c r="O17" i="10"/>
  <c r="P17" i="10"/>
  <c r="O33" i="10"/>
  <c r="P33" i="10"/>
  <c r="O41" i="10"/>
  <c r="P41" i="10"/>
  <c r="O48" i="10"/>
  <c r="P48" i="10"/>
  <c r="O55" i="10"/>
  <c r="P55" i="10"/>
  <c r="O60" i="10"/>
  <c r="P60" i="10"/>
  <c r="O77" i="10"/>
  <c r="P77" i="10"/>
  <c r="O83" i="10"/>
  <c r="P83" i="10"/>
  <c r="O87" i="10"/>
  <c r="P87" i="10"/>
  <c r="P107" i="10"/>
  <c r="O107" i="10"/>
  <c r="O109" i="10"/>
  <c r="P109" i="10"/>
  <c r="O116" i="10"/>
  <c r="P116" i="10"/>
  <c r="P81" i="10"/>
  <c r="O81" i="10"/>
  <c r="P88" i="10"/>
  <c r="O88" i="10"/>
  <c r="P94" i="10"/>
  <c r="O94" i="10"/>
  <c r="P108" i="10"/>
  <c r="O108" i="10"/>
  <c r="O91" i="10"/>
  <c r="P91" i="10"/>
  <c r="O104" i="10"/>
  <c r="P104" i="10"/>
  <c r="O97" i="10"/>
  <c r="P97" i="10"/>
  <c r="P103" i="10"/>
  <c r="O103" i="10"/>
  <c r="W38" i="12"/>
  <c r="Q130" i="12"/>
  <c r="Q132" i="12"/>
  <c r="BS200" i="12"/>
  <c r="BW200" i="12" s="1"/>
  <c r="CA200" i="12" s="1"/>
  <c r="CE200" i="12" s="1"/>
  <c r="CI200" i="12" s="1"/>
  <c r="CM200" i="12" s="1"/>
  <c r="CQ200" i="12" s="1"/>
  <c r="CU200" i="12" s="1"/>
  <c r="CY200" i="12" s="1"/>
  <c r="DC200" i="12" s="1"/>
  <c r="BP200" i="12"/>
  <c r="BT200" i="12" s="1"/>
  <c r="BX200" i="12" s="1"/>
  <c r="CB200" i="12" s="1"/>
  <c r="CF200" i="12" s="1"/>
  <c r="CJ200" i="12" s="1"/>
  <c r="I123" i="12"/>
  <c r="BS195" i="12"/>
  <c r="BW195" i="12" s="1"/>
  <c r="CA195" i="12" s="1"/>
  <c r="CE195" i="12" s="1"/>
  <c r="CI195" i="12" s="1"/>
  <c r="CM195" i="12" s="1"/>
  <c r="CQ195" i="12" s="1"/>
  <c r="CU195" i="12" s="1"/>
  <c r="CY195" i="12" s="1"/>
  <c r="DC195" i="12" s="1"/>
  <c r="BP195" i="12"/>
  <c r="BT195" i="12" s="1"/>
  <c r="BX195" i="12" s="1"/>
  <c r="CB195" i="12" s="1"/>
  <c r="CF195" i="12" s="1"/>
  <c r="CJ195" i="12" s="1"/>
  <c r="BS198" i="12"/>
  <c r="BW198" i="12" s="1"/>
  <c r="CA198" i="12" s="1"/>
  <c r="CE198" i="12" s="1"/>
  <c r="CI198" i="12" s="1"/>
  <c r="CM198" i="12" s="1"/>
  <c r="CQ198" i="12" s="1"/>
  <c r="CU198" i="12" s="1"/>
  <c r="CY198" i="12" s="1"/>
  <c r="DC198" i="12" s="1"/>
  <c r="BP198" i="12"/>
  <c r="BT198" i="12" s="1"/>
  <c r="BX198" i="12" s="1"/>
  <c r="CB198" i="12" s="1"/>
  <c r="CF198" i="12" s="1"/>
  <c r="CJ198" i="12" s="1"/>
  <c r="BS199" i="12"/>
  <c r="BW199" i="12" s="1"/>
  <c r="CA199" i="12" s="1"/>
  <c r="CE199" i="12" s="1"/>
  <c r="CI199" i="12" s="1"/>
  <c r="CM199" i="12" s="1"/>
  <c r="CQ199" i="12" s="1"/>
  <c r="CU199" i="12" s="1"/>
  <c r="CY199" i="12" s="1"/>
  <c r="DC199" i="12" s="1"/>
  <c r="BP199" i="12"/>
  <c r="BT199" i="12" s="1"/>
  <c r="BX199" i="12" s="1"/>
  <c r="CB199" i="12" s="1"/>
  <c r="CF199" i="12" s="1"/>
  <c r="CJ199" i="12" s="1"/>
  <c r="Q53" i="12"/>
  <c r="Q121" i="12" s="1"/>
  <c r="Q123" i="12" s="1"/>
  <c r="Q51" i="12"/>
  <c r="H21" i="12"/>
  <c r="G111" i="12"/>
  <c r="I53" i="12"/>
  <c r="I121" i="12" s="1"/>
  <c r="I51" i="12"/>
  <c r="X38" i="12"/>
  <c r="J123" i="12"/>
  <c r="BS196" i="12"/>
  <c r="BW196" i="12" s="1"/>
  <c r="CA196" i="12" s="1"/>
  <c r="CE196" i="12" s="1"/>
  <c r="CI196" i="12" s="1"/>
  <c r="CM196" i="12" s="1"/>
  <c r="CQ196" i="12" s="1"/>
  <c r="CU196" i="12" s="1"/>
  <c r="CY196" i="12" s="1"/>
  <c r="DC196" i="12" s="1"/>
  <c r="BP196" i="12"/>
  <c r="BT196" i="12" s="1"/>
  <c r="BX196" i="12" s="1"/>
  <c r="CB196" i="12" s="1"/>
  <c r="CF196" i="12" s="1"/>
  <c r="CJ196" i="12" s="1"/>
  <c r="BS197" i="12"/>
  <c r="BW197" i="12" s="1"/>
  <c r="CA197" i="12" s="1"/>
  <c r="CE197" i="12" s="1"/>
  <c r="CI197" i="12" s="1"/>
  <c r="CM197" i="12" s="1"/>
  <c r="CQ197" i="12" s="1"/>
  <c r="CU197" i="12" s="1"/>
  <c r="CY197" i="12" s="1"/>
  <c r="DC197" i="12" s="1"/>
  <c r="BP197" i="12"/>
  <c r="BT197" i="12" s="1"/>
  <c r="BX197" i="12" s="1"/>
  <c r="CB197" i="12" s="1"/>
  <c r="CF197" i="12" s="1"/>
  <c r="CJ197" i="12" s="1"/>
  <c r="G49" i="12"/>
  <c r="O49" i="12"/>
  <c r="G64" i="12"/>
  <c r="O64" i="12"/>
  <c r="F111" i="12"/>
  <c r="F120" i="12"/>
  <c r="N120" i="12"/>
  <c r="Q131" i="12"/>
  <c r="AG444" i="1"/>
  <c r="AG26" i="1"/>
  <c r="AG97" i="1"/>
  <c r="AN38" i="1"/>
  <c r="AN41" i="1" s="1"/>
  <c r="AN68" i="1"/>
  <c r="O43" i="1"/>
  <c r="O22" i="9" s="1"/>
  <c r="AC37" i="1"/>
  <c r="AC44" i="1" s="1"/>
  <c r="AC23" i="9" s="1"/>
  <c r="AN69" i="1"/>
  <c r="J69" i="1"/>
  <c r="U69" i="1"/>
  <c r="R116" i="1"/>
  <c r="AJ116" i="1"/>
  <c r="Y33" i="9"/>
  <c r="K116" i="1"/>
  <c r="M116" i="1"/>
  <c r="I162" i="1"/>
  <c r="I157" i="1"/>
  <c r="I94" i="1"/>
  <c r="T10" i="1"/>
  <c r="AD13" i="1"/>
  <c r="AD7" i="1"/>
  <c r="AD22" i="1"/>
  <c r="AI22" i="1"/>
  <c r="AN8" i="1"/>
  <c r="G444" i="1"/>
  <c r="G26" i="1"/>
  <c r="Y97" i="1"/>
  <c r="AM38" i="1"/>
  <c r="AM41" i="1" s="1"/>
  <c r="AM68" i="1"/>
  <c r="AM14" i="1"/>
  <c r="AM15" i="9" s="1"/>
  <c r="AC30" i="1"/>
  <c r="R30" i="1"/>
  <c r="AI152" i="1"/>
  <c r="I116" i="1"/>
  <c r="AB116" i="1"/>
  <c r="AN37" i="9"/>
  <c r="AN226" i="1"/>
  <c r="U116" i="1"/>
  <c r="E5" i="9"/>
  <c r="U5" i="9"/>
  <c r="W47" i="12"/>
  <c r="N60" i="12"/>
  <c r="N63" i="12" s="1"/>
  <c r="T12" i="1"/>
  <c r="Q444" i="1"/>
  <c r="Q26" i="1"/>
  <c r="Q97" i="1"/>
  <c r="W38" i="1"/>
  <c r="W41" i="1" s="1"/>
  <c r="W68" i="1"/>
  <c r="W14" i="1"/>
  <c r="W15" i="9" s="1"/>
  <c r="AE68" i="1"/>
  <c r="AE69" i="1" s="1"/>
  <c r="AE14" i="1"/>
  <c r="AE15" i="9" s="1"/>
  <c r="AO68" i="1"/>
  <c r="AO69" i="1" s="1"/>
  <c r="AO14" i="1"/>
  <c r="AO15" i="9" s="1"/>
  <c r="T30" i="1"/>
  <c r="Y31" i="1"/>
  <c r="Y34" i="1" s="1"/>
  <c r="T69" i="1"/>
  <c r="M69" i="1"/>
  <c r="W69" i="1"/>
  <c r="AN32" i="9"/>
  <c r="AN88" i="1"/>
  <c r="AN90" i="1" s="1"/>
  <c r="AN87" i="1"/>
  <c r="AL123" i="1"/>
  <c r="AL127" i="1" s="1"/>
  <c r="AL112" i="1"/>
  <c r="AL114" i="1" s="1"/>
  <c r="AI33" i="9"/>
  <c r="P116" i="1"/>
  <c r="AF116" i="1"/>
  <c r="W116" i="1"/>
  <c r="J40" i="9"/>
  <c r="S54" i="12"/>
  <c r="S56" i="12" s="1"/>
  <c r="AN22" i="1"/>
  <c r="AN7" i="1"/>
  <c r="I444" i="1"/>
  <c r="I26" i="1"/>
  <c r="O25" i="1"/>
  <c r="AG43" i="1"/>
  <c r="AG22" i="9" s="1"/>
  <c r="AN31" i="9"/>
  <c r="AN153" i="1"/>
  <c r="AN156" i="1" s="1"/>
  <c r="L116" i="1"/>
  <c r="V116" i="1"/>
  <c r="AN33" i="9"/>
  <c r="AN93" i="1"/>
  <c r="S116" i="1"/>
  <c r="J37" i="9"/>
  <c r="J226" i="1"/>
  <c r="AI38" i="9"/>
  <c r="AC116" i="1"/>
  <c r="O40" i="9"/>
  <c r="AH40" i="9"/>
  <c r="V28" i="12"/>
  <c r="W31" i="12"/>
  <c r="K49" i="12"/>
  <c r="S49" i="12"/>
  <c r="H51" i="12"/>
  <c r="P51" i="12"/>
  <c r="K64" i="12"/>
  <c r="N11" i="1"/>
  <c r="N14" i="9" s="1"/>
  <c r="K444" i="1"/>
  <c r="K97" i="1"/>
  <c r="Y25" i="1"/>
  <c r="AG38" i="1"/>
  <c r="AG41" i="1" s="1"/>
  <c r="AG68" i="1"/>
  <c r="AG69" i="1" s="1"/>
  <c r="K26" i="1"/>
  <c r="AR32" i="1"/>
  <c r="AR31" i="1"/>
  <c r="W37" i="1"/>
  <c r="W44" i="1" s="1"/>
  <c r="W23" i="9" s="1"/>
  <c r="J32" i="9"/>
  <c r="J88" i="1"/>
  <c r="J90" i="1" s="1"/>
  <c r="J87" i="1"/>
  <c r="D116" i="1"/>
  <c r="AO123" i="1"/>
  <c r="AO127" i="1" s="1"/>
  <c r="AO112" i="1"/>
  <c r="AO114" i="1" s="1"/>
  <c r="C116" i="1"/>
  <c r="O37" i="9"/>
  <c r="O226" i="1"/>
  <c r="AE116" i="1"/>
  <c r="T40" i="9"/>
  <c r="AE89" i="1"/>
  <c r="AO162" i="1"/>
  <c r="AO157" i="1"/>
  <c r="AO94" i="1"/>
  <c r="V24" i="12"/>
  <c r="V26" i="12"/>
  <c r="W28" i="12"/>
  <c r="X31" i="12"/>
  <c r="V38" i="12"/>
  <c r="D49" i="12"/>
  <c r="L49" i="12"/>
  <c r="W57" i="12"/>
  <c r="D64" i="12"/>
  <c r="L64" i="12"/>
  <c r="N67" i="12"/>
  <c r="B2" i="9"/>
  <c r="M110" i="10"/>
  <c r="B537" i="1"/>
  <c r="E7" i="8" s="1"/>
  <c r="AI7" i="1"/>
  <c r="J22" i="1"/>
  <c r="AM444" i="1"/>
  <c r="AM97" i="1"/>
  <c r="AM31" i="1"/>
  <c r="AM34" i="1" s="1"/>
  <c r="AM26" i="1"/>
  <c r="X30" i="1"/>
  <c r="S43" i="1"/>
  <c r="S22" i="9" s="1"/>
  <c r="AK69" i="1"/>
  <c r="O32" i="9"/>
  <c r="N116" i="1"/>
  <c r="AP136" i="1"/>
  <c r="AP146" i="1" s="1"/>
  <c r="AP157" i="1" s="1"/>
  <c r="AP116" i="1"/>
  <c r="J33" i="9"/>
  <c r="J93" i="1"/>
  <c r="AQ116" i="1"/>
  <c r="AK129" i="1"/>
  <c r="AK134" i="1" s="1"/>
  <c r="AK136" i="1"/>
  <c r="AK146" i="1" s="1"/>
  <c r="AK116" i="1"/>
  <c r="X28" i="12"/>
  <c r="E49" i="12"/>
  <c r="M49" i="12"/>
  <c r="J51" i="12"/>
  <c r="R51" i="12"/>
  <c r="W58" i="12"/>
  <c r="E64" i="12"/>
  <c r="M64" i="12"/>
  <c r="C516" i="1"/>
  <c r="C502" i="1"/>
  <c r="C500" i="1"/>
  <c r="A498" i="1" s="1"/>
  <c r="C514" i="1"/>
  <c r="A512" i="1" s="1"/>
  <c r="C509" i="1"/>
  <c r="C507" i="1"/>
  <c r="C505" i="1" s="1"/>
  <c r="C245" i="1" s="1"/>
  <c r="B541" i="1"/>
  <c r="BB2" i="9"/>
  <c r="BB484" i="1"/>
  <c r="P11" i="1"/>
  <c r="P14" i="9" s="1"/>
  <c r="AD10" i="1"/>
  <c r="AE444" i="1"/>
  <c r="AE97" i="1"/>
  <c r="AE26" i="1"/>
  <c r="AO444" i="1"/>
  <c r="AO26" i="1"/>
  <c r="AO97" i="1"/>
  <c r="Y30" i="1"/>
  <c r="AM37" i="1"/>
  <c r="AM44" i="1" s="1"/>
  <c r="AM23" i="9" s="1"/>
  <c r="AD69" i="1"/>
  <c r="F116" i="1"/>
  <c r="AG116" i="1"/>
  <c r="O33" i="9"/>
  <c r="X116" i="1"/>
  <c r="E116" i="1"/>
  <c r="AD40" i="9"/>
  <c r="E162" i="1"/>
  <c r="E157" i="1"/>
  <c r="Q24" i="14" s="1"/>
  <c r="Q25" i="14" s="1"/>
  <c r="E94" i="1"/>
  <c r="F49" i="12"/>
  <c r="N49" i="12"/>
  <c r="D1" i="9"/>
  <c r="D496" i="1"/>
  <c r="E4" i="1"/>
  <c r="Q11" i="1"/>
  <c r="Q14" i="9" s="1"/>
  <c r="AG14" i="1"/>
  <c r="AG15" i="9" s="1"/>
  <c r="T22" i="1"/>
  <c r="W444" i="1"/>
  <c r="W97" i="1"/>
  <c r="W31" i="1"/>
  <c r="W34" i="1" s="1"/>
  <c r="W26" i="1"/>
  <c r="AI25" i="1"/>
  <c r="AO38" i="1"/>
  <c r="N45" i="1"/>
  <c r="N24" i="9" s="1"/>
  <c r="N43" i="1"/>
  <c r="N22" i="9" s="1"/>
  <c r="AL30" i="1"/>
  <c r="J30" i="1"/>
  <c r="K30" i="1" s="1"/>
  <c r="AB37" i="1"/>
  <c r="AB44" i="1" s="1"/>
  <c r="AB23" i="9" s="1"/>
  <c r="AN37" i="1"/>
  <c r="AM69" i="1"/>
  <c r="Y32" i="9"/>
  <c r="Q116" i="1"/>
  <c r="Z116" i="1"/>
  <c r="H116" i="1"/>
  <c r="AA116" i="1"/>
  <c r="AD37" i="9"/>
  <c r="AD226" i="1"/>
  <c r="G116" i="1"/>
  <c r="N40" i="9"/>
  <c r="AB68" i="1"/>
  <c r="AB69" i="1" s="1"/>
  <c r="O452" i="1"/>
  <c r="J31" i="9"/>
  <c r="J34" i="9" s="1"/>
  <c r="J153" i="1"/>
  <c r="J156" i="1" s="1"/>
  <c r="R31" i="9"/>
  <c r="R153" i="1"/>
  <c r="R156" i="1" s="1"/>
  <c r="AA31" i="9"/>
  <c r="AA53" i="9" s="1"/>
  <c r="P54" i="9"/>
  <c r="AL36" i="9"/>
  <c r="AL152" i="1"/>
  <c r="Z37" i="9"/>
  <c r="Z226" i="1"/>
  <c r="Z227" i="1" s="1"/>
  <c r="AH37" i="9"/>
  <c r="AH226" i="1"/>
  <c r="F40" i="9"/>
  <c r="R40" i="9"/>
  <c r="S81" i="9"/>
  <c r="AQ81" i="9"/>
  <c r="J341" i="1"/>
  <c r="J195" i="1"/>
  <c r="Z341" i="1"/>
  <c r="Z195" i="1"/>
  <c r="L11" i="1"/>
  <c r="L14" i="9" s="1"/>
  <c r="AB11" i="1"/>
  <c r="AB14" i="9" s="1"/>
  <c r="AJ11" i="1"/>
  <c r="M14" i="1"/>
  <c r="M15" i="9" s="1"/>
  <c r="U14" i="1"/>
  <c r="U15" i="9" s="1"/>
  <c r="AC14" i="1"/>
  <c r="AC15" i="9" s="1"/>
  <c r="AK14" i="1"/>
  <c r="AK15" i="9" s="1"/>
  <c r="N26" i="1"/>
  <c r="V26" i="1"/>
  <c r="AL26" i="1"/>
  <c r="M30" i="1"/>
  <c r="AH31" i="1"/>
  <c r="AH34" i="1" s="1"/>
  <c r="AP31" i="1"/>
  <c r="G34" i="1"/>
  <c r="O34" i="1"/>
  <c r="G37" i="1"/>
  <c r="O37" i="1"/>
  <c r="O44" i="1" s="1"/>
  <c r="O23" i="9" s="1"/>
  <c r="AA38" i="1"/>
  <c r="AQ38" i="1"/>
  <c r="AQ41" i="1" s="1"/>
  <c r="J50" i="1"/>
  <c r="H53" i="1"/>
  <c r="P53" i="1"/>
  <c r="X53" i="1"/>
  <c r="AF53" i="1"/>
  <c r="AC68" i="1"/>
  <c r="AC69" i="1" s="1"/>
  <c r="AK68" i="1"/>
  <c r="G87" i="1"/>
  <c r="AM87" i="1"/>
  <c r="E93" i="1"/>
  <c r="E450" i="1" s="1"/>
  <c r="U93" i="1"/>
  <c r="U450" i="1" s="1"/>
  <c r="AK93" i="1"/>
  <c r="AK450" i="1" s="1"/>
  <c r="R97" i="1"/>
  <c r="Z97" i="1"/>
  <c r="AH97" i="1"/>
  <c r="AP97" i="1"/>
  <c r="T452" i="1"/>
  <c r="T149" i="1"/>
  <c r="W376" i="1" s="1"/>
  <c r="O104" i="1"/>
  <c r="O107" i="1" s="1"/>
  <c r="O112" i="1" s="1"/>
  <c r="O114" i="1" s="1"/>
  <c r="C31" i="9"/>
  <c r="C444" i="1"/>
  <c r="C378" i="1"/>
  <c r="C377" i="1"/>
  <c r="C376" i="1"/>
  <c r="K31" i="9"/>
  <c r="K53" i="9" s="1"/>
  <c r="K378" i="1"/>
  <c r="K377" i="1"/>
  <c r="K376" i="1"/>
  <c r="S31" i="9"/>
  <c r="AK31" i="9"/>
  <c r="AK54" i="9" s="1"/>
  <c r="C53" i="9"/>
  <c r="AA153" i="1"/>
  <c r="AK153" i="1"/>
  <c r="AK156" i="1" s="1"/>
  <c r="G155" i="1"/>
  <c r="Q155" i="1"/>
  <c r="AA155" i="1"/>
  <c r="AM155" i="1"/>
  <c r="F36" i="9"/>
  <c r="F152" i="1"/>
  <c r="N36" i="9"/>
  <c r="N152" i="1"/>
  <c r="V36" i="9"/>
  <c r="V152" i="1"/>
  <c r="D35" i="9"/>
  <c r="D155" i="1"/>
  <c r="L35" i="9"/>
  <c r="L155" i="1"/>
  <c r="AB35" i="9"/>
  <c r="AB155" i="1"/>
  <c r="AJ35" i="9"/>
  <c r="AJ155" i="1"/>
  <c r="M68" i="10" s="1"/>
  <c r="AT161" i="1"/>
  <c r="AT35" i="9" s="1"/>
  <c r="R37" i="9"/>
  <c r="R226" i="1"/>
  <c r="AJ37" i="9"/>
  <c r="AJ226" i="1"/>
  <c r="AJ227" i="1" s="1"/>
  <c r="AH452" i="1"/>
  <c r="AG452" i="1"/>
  <c r="AI190" i="1"/>
  <c r="AJ452" i="1" s="1"/>
  <c r="G5" i="9"/>
  <c r="O5" i="9"/>
  <c r="W5" i="9"/>
  <c r="AE5" i="9"/>
  <c r="AK5" i="9"/>
  <c r="F64" i="9"/>
  <c r="F454" i="1"/>
  <c r="N64" i="9"/>
  <c r="N454" i="1"/>
  <c r="V64" i="9"/>
  <c r="V454" i="1"/>
  <c r="AL64" i="9"/>
  <c r="AL454" i="1"/>
  <c r="C7" i="9"/>
  <c r="C442" i="1"/>
  <c r="C220" i="1"/>
  <c r="K7" i="9"/>
  <c r="K442" i="1"/>
  <c r="S7" i="9"/>
  <c r="S442" i="1"/>
  <c r="AA7" i="9"/>
  <c r="AA442" i="1"/>
  <c r="AI7" i="9"/>
  <c r="AI442" i="1"/>
  <c r="D81" i="9"/>
  <c r="E312" i="1"/>
  <c r="F311" i="1" s="1"/>
  <c r="F312" i="1" s="1"/>
  <c r="G311" i="1" s="1"/>
  <c r="H311" i="1" s="1"/>
  <c r="AA31" i="1"/>
  <c r="AQ31" i="1"/>
  <c r="H37" i="1"/>
  <c r="AR38" i="1"/>
  <c r="AI50" i="1"/>
  <c r="I53" i="1"/>
  <c r="Q53" i="1"/>
  <c r="Y53" i="1"/>
  <c r="AG53" i="1"/>
  <c r="AO53" i="1"/>
  <c r="V68" i="1"/>
  <c r="V69" i="1" s="1"/>
  <c r="AD68" i="1"/>
  <c r="AL68" i="1"/>
  <c r="AL69" i="1" s="1"/>
  <c r="S97" i="1"/>
  <c r="AA97" i="1"/>
  <c r="AQ97" i="1"/>
  <c r="Y452" i="1"/>
  <c r="AN104" i="1"/>
  <c r="AN107" i="1" s="1"/>
  <c r="Y37" i="9"/>
  <c r="Y226" i="1"/>
  <c r="U31" i="9"/>
  <c r="U53" i="9" s="1"/>
  <c r="U378" i="1"/>
  <c r="U377" i="1"/>
  <c r="U376" i="1"/>
  <c r="AC31" i="9"/>
  <c r="AC54" i="9" s="1"/>
  <c r="Q153" i="1"/>
  <c r="Q156" i="1" s="1"/>
  <c r="AB37" i="9"/>
  <c r="AB226" i="1"/>
  <c r="AK37" i="9"/>
  <c r="AK226" i="1"/>
  <c r="AQ38" i="9"/>
  <c r="V169" i="1"/>
  <c r="H40" i="9"/>
  <c r="P40" i="9"/>
  <c r="X40" i="9"/>
  <c r="AF40" i="9"/>
  <c r="K5" i="9"/>
  <c r="AA5" i="9"/>
  <c r="AE59" i="9"/>
  <c r="AE209" i="1"/>
  <c r="AE196" i="1"/>
  <c r="E220" i="1"/>
  <c r="U220" i="1"/>
  <c r="AC220" i="1"/>
  <c r="AB31" i="1"/>
  <c r="I34" i="1"/>
  <c r="I37" i="1"/>
  <c r="T50" i="1"/>
  <c r="I453" i="1"/>
  <c r="L97" i="1"/>
  <c r="T97" i="1"/>
  <c r="AB97" i="1"/>
  <c r="AJ97" i="1"/>
  <c r="AD149" i="1"/>
  <c r="AF377" i="1" s="1"/>
  <c r="AN119" i="1"/>
  <c r="AN121" i="1" s="1"/>
  <c r="E31" i="9"/>
  <c r="E53" i="9" s="1"/>
  <c r="E444" i="1"/>
  <c r="E376" i="1"/>
  <c r="E377" i="1"/>
  <c r="E378" i="1"/>
  <c r="M31" i="9"/>
  <c r="M378" i="1"/>
  <c r="M377" i="1"/>
  <c r="M376" i="1"/>
  <c r="AE31" i="9"/>
  <c r="AE378" i="1"/>
  <c r="AE377" i="1"/>
  <c r="AE376" i="1"/>
  <c r="AM31" i="9"/>
  <c r="AM53" i="9"/>
  <c r="G153" i="1"/>
  <c r="G156" i="1" s="1"/>
  <c r="AC153" i="1"/>
  <c r="AC156" i="1" s="1"/>
  <c r="AM153" i="1"/>
  <c r="S155" i="1"/>
  <c r="S156" i="1" s="1"/>
  <c r="F35" i="9"/>
  <c r="F155" i="1"/>
  <c r="N35" i="9"/>
  <c r="N155" i="1"/>
  <c r="V35" i="9"/>
  <c r="V155" i="1"/>
  <c r="AL35" i="9"/>
  <c r="AL155" i="1"/>
  <c r="D37" i="9"/>
  <c r="D226" i="1"/>
  <c r="D227" i="1" s="1"/>
  <c r="L37" i="9"/>
  <c r="L226" i="1"/>
  <c r="T37" i="9"/>
  <c r="T226" i="1"/>
  <c r="AC37" i="9"/>
  <c r="AC226" i="1"/>
  <c r="AL37" i="9"/>
  <c r="AL226" i="1"/>
  <c r="AT166" i="1"/>
  <c r="AL169" i="1"/>
  <c r="I5" i="9"/>
  <c r="Q5" i="9"/>
  <c r="Y5" i="9"/>
  <c r="AG5" i="9"/>
  <c r="M5" i="9"/>
  <c r="AC5" i="9"/>
  <c r="E7" i="9"/>
  <c r="E442" i="1"/>
  <c r="M7" i="9"/>
  <c r="M442" i="1"/>
  <c r="U7" i="9"/>
  <c r="U442" i="1"/>
  <c r="AC7" i="9"/>
  <c r="AC442" i="1"/>
  <c r="AK7" i="9"/>
  <c r="AK442" i="1"/>
  <c r="AC31" i="1"/>
  <c r="AC34" i="1" s="1"/>
  <c r="AK31" i="1"/>
  <c r="J37" i="1"/>
  <c r="R37" i="1"/>
  <c r="R44" i="1" s="1"/>
  <c r="R23" i="9" s="1"/>
  <c r="C53" i="1"/>
  <c r="K53" i="1"/>
  <c r="S53" i="1"/>
  <c r="AA53" i="1"/>
  <c r="AQ53" i="1"/>
  <c r="M97" i="1"/>
  <c r="U97" i="1"/>
  <c r="AC97" i="1"/>
  <c r="AK97" i="1"/>
  <c r="AI452" i="1"/>
  <c r="J104" i="1"/>
  <c r="J107" i="1" s="1"/>
  <c r="J112" i="1" s="1"/>
  <c r="J114" i="1" s="1"/>
  <c r="J116" i="1" s="1"/>
  <c r="AI37" i="9"/>
  <c r="AI226" i="1"/>
  <c r="AN40" i="9"/>
  <c r="AM116" i="1"/>
  <c r="W31" i="9"/>
  <c r="W54" i="9" s="1"/>
  <c r="AF31" i="9"/>
  <c r="AF54" i="9" s="1"/>
  <c r="AF153" i="1"/>
  <c r="AF156" i="1" s="1"/>
  <c r="AC53" i="9"/>
  <c r="AP33" i="9"/>
  <c r="AP54" i="9" s="1"/>
  <c r="E37" i="9"/>
  <c r="E226" i="1"/>
  <c r="E227" i="1" s="1"/>
  <c r="M37" i="9"/>
  <c r="M226" i="1"/>
  <c r="U37" i="9"/>
  <c r="U226" i="1"/>
  <c r="U227" i="1" s="1"/>
  <c r="AM37" i="9"/>
  <c r="AM226" i="1"/>
  <c r="Z40" i="9"/>
  <c r="AA452" i="1"/>
  <c r="AD190" i="1"/>
  <c r="AE452" i="1" s="1"/>
  <c r="J5" i="9"/>
  <c r="R5" i="9"/>
  <c r="Z5" i="9"/>
  <c r="G96" i="9"/>
  <c r="G8" i="9"/>
  <c r="G443" i="1"/>
  <c r="G220" i="1"/>
  <c r="O96" i="9"/>
  <c r="O97" i="9" s="1"/>
  <c r="O8" i="9"/>
  <c r="O443" i="1"/>
  <c r="O220" i="1"/>
  <c r="W96" i="9"/>
  <c r="W8" i="9"/>
  <c r="W443" i="1"/>
  <c r="W220" i="1"/>
  <c r="AE96" i="9"/>
  <c r="AE97" i="9" s="1"/>
  <c r="AE8" i="9"/>
  <c r="AE443" i="1"/>
  <c r="AE220" i="1"/>
  <c r="AM96" i="9"/>
  <c r="AM8" i="9"/>
  <c r="AM443" i="1"/>
  <c r="AM220" i="1"/>
  <c r="V31" i="1"/>
  <c r="AL31" i="1"/>
  <c r="AL34" i="1" s="1"/>
  <c r="S37" i="1"/>
  <c r="S44" i="1" s="1"/>
  <c r="S23" i="9" s="1"/>
  <c r="AD50" i="1"/>
  <c r="D53" i="1"/>
  <c r="L53" i="1"/>
  <c r="AB53" i="1"/>
  <c r="AJ53" i="1"/>
  <c r="E299" i="14" s="1"/>
  <c r="E302" i="14" s="1"/>
  <c r="E309" i="14" s="1"/>
  <c r="N97" i="1"/>
  <c r="V97" i="1"/>
  <c r="AD97" i="1"/>
  <c r="AL97" i="1"/>
  <c r="AN450" i="1"/>
  <c r="AN452" i="1"/>
  <c r="AI104" i="1"/>
  <c r="AI107" i="1" s="1"/>
  <c r="AI112" i="1" s="1"/>
  <c r="AI114" i="1" s="1"/>
  <c r="O149" i="1"/>
  <c r="O88" i="1" s="1"/>
  <c r="O90" i="1" s="1"/>
  <c r="X31" i="9"/>
  <c r="X53" i="9" s="1"/>
  <c r="X376" i="1"/>
  <c r="X153" i="1"/>
  <c r="X156" i="1" s="1"/>
  <c r="AG31" i="9"/>
  <c r="AG377" i="1"/>
  <c r="AO31" i="9"/>
  <c r="AO54" i="9" s="1"/>
  <c r="AO377" i="1"/>
  <c r="AO378" i="1"/>
  <c r="AO376" i="1"/>
  <c r="U153" i="1"/>
  <c r="U156" i="1" s="1"/>
  <c r="AE153" i="1"/>
  <c r="AE156" i="1" s="1"/>
  <c r="K155" i="1"/>
  <c r="AQ155" i="1"/>
  <c r="F37" i="9"/>
  <c r="F226" i="1"/>
  <c r="F227" i="1" s="1"/>
  <c r="N37" i="9"/>
  <c r="N226" i="1"/>
  <c r="V37" i="9"/>
  <c r="V226" i="1"/>
  <c r="AE37" i="9"/>
  <c r="AE226" i="1"/>
  <c r="AE227" i="1" s="1"/>
  <c r="F38" i="9"/>
  <c r="N38" i="9"/>
  <c r="V38" i="9"/>
  <c r="AL38" i="9"/>
  <c r="C169" i="1"/>
  <c r="K169" i="1"/>
  <c r="S169" i="1"/>
  <c r="AA169" i="1"/>
  <c r="AQ169" i="1"/>
  <c r="O59" i="9"/>
  <c r="O209" i="1"/>
  <c r="O210" i="1" s="1"/>
  <c r="O211" i="1" s="1"/>
  <c r="O212" i="1" s="1"/>
  <c r="O196" i="1"/>
  <c r="T37" i="1"/>
  <c r="T44" i="1" s="1"/>
  <c r="T23" i="9" s="1"/>
  <c r="O97" i="1"/>
  <c r="T104" i="1"/>
  <c r="T107" i="1" s="1"/>
  <c r="T112" i="1" s="1"/>
  <c r="T114" i="1" s="1"/>
  <c r="T116" i="1" s="1"/>
  <c r="AI119" i="1"/>
  <c r="AI121" i="1" s="1"/>
  <c r="AM129" i="1"/>
  <c r="AM134" i="1" s="1"/>
  <c r="H31" i="9"/>
  <c r="H34" i="9" s="1"/>
  <c r="H153" i="1"/>
  <c r="H156" i="1" s="1"/>
  <c r="P31" i="9"/>
  <c r="P378" i="1"/>
  <c r="P377" i="1"/>
  <c r="P381" i="1" s="1"/>
  <c r="P376" i="1"/>
  <c r="P380" i="1" s="1"/>
  <c r="P153" i="1"/>
  <c r="P156" i="1" s="1"/>
  <c r="Y149" i="1"/>
  <c r="AC376" i="1" s="1"/>
  <c r="AC380" i="1" s="1"/>
  <c r="AH31" i="9"/>
  <c r="AH376" i="1"/>
  <c r="AH153" i="1"/>
  <c r="AH156" i="1" s="1"/>
  <c r="AP31" i="9"/>
  <c r="AP378" i="1"/>
  <c r="AP377" i="1"/>
  <c r="AP376" i="1"/>
  <c r="AP153" i="1"/>
  <c r="AP156" i="1" s="1"/>
  <c r="AF53" i="9"/>
  <c r="AP32" i="9"/>
  <c r="AP53" i="9" s="1"/>
  <c r="M54" i="9"/>
  <c r="AH54" i="9"/>
  <c r="AJ36" i="9"/>
  <c r="AJ152" i="1"/>
  <c r="AT160" i="1"/>
  <c r="G37" i="9"/>
  <c r="G226" i="1"/>
  <c r="W37" i="9"/>
  <c r="W226" i="1"/>
  <c r="AF37" i="9"/>
  <c r="AF226" i="1"/>
  <c r="AP40" i="9"/>
  <c r="D5" i="9"/>
  <c r="L5" i="9"/>
  <c r="T5" i="9"/>
  <c r="AB5" i="9"/>
  <c r="C5" i="9"/>
  <c r="S5" i="9"/>
  <c r="AT64" i="9"/>
  <c r="Q81" i="9"/>
  <c r="R11" i="1"/>
  <c r="R14" i="9" s="1"/>
  <c r="Z11" i="1"/>
  <c r="Z14" i="9" s="1"/>
  <c r="AH11" i="1"/>
  <c r="AH14" i="9" s="1"/>
  <c r="AP11" i="1"/>
  <c r="AP14" i="9" s="1"/>
  <c r="S14" i="1"/>
  <c r="S15" i="9" s="1"/>
  <c r="AA14" i="1"/>
  <c r="AA15" i="9" s="1"/>
  <c r="AQ14" i="1"/>
  <c r="AQ15" i="9" s="1"/>
  <c r="L26" i="1"/>
  <c r="AB26" i="1"/>
  <c r="AJ26" i="1"/>
  <c r="X31" i="1"/>
  <c r="X34" i="1" s="1"/>
  <c r="AF31" i="1"/>
  <c r="M37" i="1"/>
  <c r="M44" i="1" s="1"/>
  <c r="M23" i="9" s="1"/>
  <c r="AN50" i="1"/>
  <c r="F53" i="1"/>
  <c r="N53" i="1"/>
  <c r="V53" i="1"/>
  <c r="AL53" i="1"/>
  <c r="E87" i="1"/>
  <c r="M87" i="1"/>
  <c r="R88" i="1"/>
  <c r="R90" i="1" s="1"/>
  <c r="AH88" i="1"/>
  <c r="AH90" i="1" s="1"/>
  <c r="P97" i="1"/>
  <c r="X97" i="1"/>
  <c r="AF97" i="1"/>
  <c r="AN97" i="1"/>
  <c r="J452" i="1"/>
  <c r="J450" i="1"/>
  <c r="I34" i="9"/>
  <c r="Q31" i="9"/>
  <c r="Q53" i="9" s="1"/>
  <c r="Z31" i="9"/>
  <c r="Z54" i="9" s="1"/>
  <c r="Z378" i="1"/>
  <c r="Z377" i="1"/>
  <c r="Z381" i="1" s="1"/>
  <c r="Z376" i="1"/>
  <c r="Z153" i="1"/>
  <c r="Z156" i="1" s="1"/>
  <c r="AI149" i="1"/>
  <c r="AI378" i="1" s="1"/>
  <c r="AQ31" i="9"/>
  <c r="AQ53" i="9" s="1"/>
  <c r="AQ378" i="1"/>
  <c r="AQ377" i="1"/>
  <c r="AQ376" i="1"/>
  <c r="A488" i="1"/>
  <c r="W152" i="1"/>
  <c r="W153" i="1" s="1"/>
  <c r="W156" i="1" s="1"/>
  <c r="AG152" i="1"/>
  <c r="AG153" i="1" s="1"/>
  <c r="AG156" i="1" s="1"/>
  <c r="C153" i="1"/>
  <c r="M153" i="1"/>
  <c r="M156" i="1" s="1"/>
  <c r="C155" i="1"/>
  <c r="D36" i="9"/>
  <c r="D152" i="1"/>
  <c r="L36" i="9"/>
  <c r="L152" i="1"/>
  <c r="AB36" i="9"/>
  <c r="AB152" i="1"/>
  <c r="H37" i="9"/>
  <c r="H226" i="1"/>
  <c r="P37" i="9"/>
  <c r="P226" i="1"/>
  <c r="P227" i="1" s="1"/>
  <c r="X37" i="9"/>
  <c r="X226" i="1"/>
  <c r="AP37" i="9"/>
  <c r="AP226" i="1"/>
  <c r="P38" i="9"/>
  <c r="X38" i="9"/>
  <c r="P57" i="10"/>
  <c r="O57" i="10"/>
  <c r="AI5" i="9"/>
  <c r="AQ5" i="9"/>
  <c r="D64" i="9"/>
  <c r="D454" i="1"/>
  <c r="L64" i="9"/>
  <c r="L454" i="1"/>
  <c r="T64" i="9"/>
  <c r="T454" i="1"/>
  <c r="AB64" i="9"/>
  <c r="AB454" i="1"/>
  <c r="AJ64" i="9"/>
  <c r="AJ461" i="1"/>
  <c r="AJ454" i="1"/>
  <c r="AB81" i="9"/>
  <c r="AO81" i="9"/>
  <c r="AD344" i="1"/>
  <c r="AD290" i="1"/>
  <c r="Y449" i="1"/>
  <c r="Y349" i="1"/>
  <c r="Y290" i="1"/>
  <c r="AE312" i="1"/>
  <c r="AF311" i="1" s="1"/>
  <c r="AG311" i="1" s="1"/>
  <c r="AH311" i="1" s="1"/>
  <c r="AI311" i="1" s="1"/>
  <c r="AJ311" i="1" s="1"/>
  <c r="X93" i="9"/>
  <c r="F31" i="9"/>
  <c r="F444" i="1"/>
  <c r="F378" i="1"/>
  <c r="F377" i="1"/>
  <c r="F381" i="1" s="1"/>
  <c r="F376" i="1"/>
  <c r="F380" i="1" s="1"/>
  <c r="N31" i="9"/>
  <c r="N378" i="1"/>
  <c r="N377" i="1"/>
  <c r="N376" i="1"/>
  <c r="V31" i="9"/>
  <c r="V378" i="1"/>
  <c r="AL31" i="9"/>
  <c r="G38" i="9"/>
  <c r="O38" i="9"/>
  <c r="W38" i="9"/>
  <c r="AE38" i="9"/>
  <c r="AM38" i="9"/>
  <c r="E169" i="1"/>
  <c r="M169" i="1"/>
  <c r="U169" i="1"/>
  <c r="AC169" i="1"/>
  <c r="AK169" i="1"/>
  <c r="D452" i="1"/>
  <c r="L452" i="1"/>
  <c r="AB452" i="1"/>
  <c r="G64" i="9"/>
  <c r="G454" i="1"/>
  <c r="O64" i="9"/>
  <c r="O454" i="1"/>
  <c r="W64" i="9"/>
  <c r="W454" i="1"/>
  <c r="AE64" i="9"/>
  <c r="AE454" i="1"/>
  <c r="AM64" i="9"/>
  <c r="AM454" i="1"/>
  <c r="C226" i="1"/>
  <c r="AO226" i="1"/>
  <c r="AO227" i="1" s="1"/>
  <c r="AF309" i="1"/>
  <c r="AF312" i="1" s="1"/>
  <c r="AY309" i="1"/>
  <c r="N330" i="1"/>
  <c r="V330" i="1"/>
  <c r="AG365" i="1"/>
  <c r="E452" i="1"/>
  <c r="M452" i="1"/>
  <c r="U452" i="1"/>
  <c r="AC452" i="1"/>
  <c r="H64" i="9"/>
  <c r="H454" i="1"/>
  <c r="P64" i="9"/>
  <c r="P461" i="1"/>
  <c r="P454" i="1"/>
  <c r="X64" i="9"/>
  <c r="X454" i="1"/>
  <c r="AF64" i="9"/>
  <c r="AF454" i="1"/>
  <c r="G7" i="9"/>
  <c r="G442" i="1"/>
  <c r="O7" i="9"/>
  <c r="O442" i="1"/>
  <c r="W7" i="9"/>
  <c r="W442" i="1"/>
  <c r="AE7" i="9"/>
  <c r="AE442" i="1"/>
  <c r="AM7" i="9"/>
  <c r="AM442" i="1"/>
  <c r="I96" i="9"/>
  <c r="I8" i="9"/>
  <c r="I443" i="1"/>
  <c r="Q96" i="9"/>
  <c r="Q8" i="9"/>
  <c r="Q443" i="1"/>
  <c r="Y96" i="9"/>
  <c r="Y8" i="9"/>
  <c r="Y443" i="1"/>
  <c r="AG96" i="9"/>
  <c r="AG8" i="9"/>
  <c r="AG443" i="1"/>
  <c r="AO96" i="9"/>
  <c r="AO8" i="9"/>
  <c r="AO443" i="1"/>
  <c r="Q226" i="1"/>
  <c r="AQ226" i="1"/>
  <c r="AN330" i="1"/>
  <c r="G309" i="1"/>
  <c r="O309" i="1"/>
  <c r="W309" i="1"/>
  <c r="W312" i="1" s="1"/>
  <c r="AZ309" i="1"/>
  <c r="AP330" i="1"/>
  <c r="H5" i="9"/>
  <c r="P5" i="9"/>
  <c r="X5" i="9"/>
  <c r="AF5" i="9"/>
  <c r="AN5" i="9"/>
  <c r="AB59" i="9"/>
  <c r="AB209" i="1"/>
  <c r="AB210" i="1" s="1"/>
  <c r="AB211" i="1" s="1"/>
  <c r="AB212" i="1" s="1"/>
  <c r="I64" i="9"/>
  <c r="I454" i="1"/>
  <c r="Q64" i="9"/>
  <c r="Q454" i="1"/>
  <c r="Y64" i="9"/>
  <c r="Y454" i="1"/>
  <c r="AG64" i="9"/>
  <c r="AG454" i="1"/>
  <c r="AO64" i="9"/>
  <c r="AO454" i="1"/>
  <c r="H7" i="9"/>
  <c r="H442" i="1"/>
  <c r="P7" i="9"/>
  <c r="P442" i="1"/>
  <c r="X7" i="9"/>
  <c r="X442" i="1"/>
  <c r="AF7" i="9"/>
  <c r="AF442" i="1"/>
  <c r="AN7" i="9"/>
  <c r="AN442" i="1"/>
  <c r="AG81" i="9"/>
  <c r="S226" i="1"/>
  <c r="AS290" i="1"/>
  <c r="AI352" i="1"/>
  <c r="AI306" i="1"/>
  <c r="AI309" i="1" s="1"/>
  <c r="AI312" i="1" s="1"/>
  <c r="AH330" i="1"/>
  <c r="G452" i="1"/>
  <c r="W452" i="1"/>
  <c r="J64" i="9"/>
  <c r="J454" i="1"/>
  <c r="R64" i="9"/>
  <c r="R454" i="1"/>
  <c r="Z64" i="9"/>
  <c r="Z454" i="1"/>
  <c r="Z461" i="1"/>
  <c r="AH64" i="9"/>
  <c r="AH454" i="1"/>
  <c r="AP64" i="9"/>
  <c r="AP454" i="1"/>
  <c r="I7" i="9"/>
  <c r="I442" i="1"/>
  <c r="Q7" i="9"/>
  <c r="Q442" i="1"/>
  <c r="Y7" i="9"/>
  <c r="Y442" i="1"/>
  <c r="AG7" i="9"/>
  <c r="AG442" i="1"/>
  <c r="AO7" i="9"/>
  <c r="AO442" i="1"/>
  <c r="C96" i="9"/>
  <c r="C97" i="9" s="1"/>
  <c r="C8" i="9"/>
  <c r="C443" i="1"/>
  <c r="K96" i="9"/>
  <c r="K8" i="9"/>
  <c r="K443" i="1"/>
  <c r="S96" i="9"/>
  <c r="S8" i="9"/>
  <c r="S443" i="1"/>
  <c r="AA96" i="9"/>
  <c r="AA8" i="9"/>
  <c r="AA443" i="1"/>
  <c r="AI96" i="9"/>
  <c r="AI8" i="9"/>
  <c r="AI443" i="1"/>
  <c r="AQ96" i="9"/>
  <c r="AQ8" i="9"/>
  <c r="AQ443" i="1"/>
  <c r="I220" i="1"/>
  <c r="AI220" i="1"/>
  <c r="AG226" i="1"/>
  <c r="AX282" i="1"/>
  <c r="AJ309" i="1"/>
  <c r="AJ312" i="1" s="1"/>
  <c r="AK311" i="1" s="1"/>
  <c r="AY317" i="1"/>
  <c r="Z459" i="1"/>
  <c r="H93" i="9"/>
  <c r="H447" i="1"/>
  <c r="AH93" i="9"/>
  <c r="AE88" i="9"/>
  <c r="AE89" i="9" s="1"/>
  <c r="AE435" i="1"/>
  <c r="H452" i="1"/>
  <c r="P452" i="1"/>
  <c r="X452" i="1"/>
  <c r="AF452" i="1"/>
  <c r="AH5" i="9"/>
  <c r="AP5" i="9"/>
  <c r="Z60" i="9"/>
  <c r="Z449" i="1"/>
  <c r="C64" i="9"/>
  <c r="C454" i="1"/>
  <c r="K64" i="9"/>
  <c r="K461" i="1"/>
  <c r="K454" i="1"/>
  <c r="S64" i="9"/>
  <c r="S454" i="1"/>
  <c r="AA64" i="9"/>
  <c r="AA454" i="1"/>
  <c r="AI64" i="9"/>
  <c r="AI454" i="1"/>
  <c r="AQ64" i="9"/>
  <c r="AQ454" i="1"/>
  <c r="D96" i="9"/>
  <c r="D97" i="9" s="1"/>
  <c r="D8" i="9"/>
  <c r="D443" i="1"/>
  <c r="L96" i="9"/>
  <c r="L8" i="9"/>
  <c r="L443" i="1"/>
  <c r="T96" i="9"/>
  <c r="T8" i="9"/>
  <c r="T443" i="1"/>
  <c r="AB96" i="9"/>
  <c r="AB97" i="9" s="1"/>
  <c r="AB8" i="9"/>
  <c r="AB443" i="1"/>
  <c r="AJ96" i="9"/>
  <c r="AJ97" i="9" s="1"/>
  <c r="AJ8" i="9"/>
  <c r="AJ443" i="1"/>
  <c r="AR218" i="1"/>
  <c r="K220" i="1"/>
  <c r="AJ220" i="1"/>
  <c r="I226" i="1"/>
  <c r="AH312" i="1"/>
  <c r="AS306" i="1"/>
  <c r="AA312" i="1"/>
  <c r="R330" i="1"/>
  <c r="K459" i="1"/>
  <c r="M449" i="1"/>
  <c r="AE449" i="1"/>
  <c r="AT347" i="1"/>
  <c r="AT201" i="1" s="1"/>
  <c r="AT65" i="9" s="1"/>
  <c r="AP349" i="1"/>
  <c r="AQ7" i="9"/>
  <c r="AQ442" i="1"/>
  <c r="AT419" i="1"/>
  <c r="E96" i="9"/>
  <c r="E97" i="9" s="1"/>
  <c r="E8" i="9"/>
  <c r="E443" i="1"/>
  <c r="M96" i="9"/>
  <c r="M8" i="9"/>
  <c r="M443" i="1"/>
  <c r="U96" i="9"/>
  <c r="U97" i="9" s="1"/>
  <c r="U8" i="9"/>
  <c r="U443" i="1"/>
  <c r="AC96" i="9"/>
  <c r="AC97" i="9" s="1"/>
  <c r="AC8" i="9"/>
  <c r="AC443" i="1"/>
  <c r="AK96" i="9"/>
  <c r="AK8" i="9"/>
  <c r="AK443" i="1"/>
  <c r="L81" i="9"/>
  <c r="AK220" i="1"/>
  <c r="K226" i="1"/>
  <c r="K227" i="1" s="1"/>
  <c r="AX309" i="1"/>
  <c r="C309" i="1"/>
  <c r="C312" i="1" s="1"/>
  <c r="K309" i="1"/>
  <c r="S309" i="1"/>
  <c r="AB309" i="1"/>
  <c r="AB312" i="1" s="1"/>
  <c r="AU309" i="1"/>
  <c r="D31" i="9"/>
  <c r="D378" i="1"/>
  <c r="D377" i="1"/>
  <c r="D376" i="1"/>
  <c r="D380" i="1" s="1"/>
  <c r="D444" i="1"/>
  <c r="L31" i="9"/>
  <c r="L378" i="1"/>
  <c r="L377" i="1"/>
  <c r="L376" i="1"/>
  <c r="AB31" i="9"/>
  <c r="AB378" i="1"/>
  <c r="AB377" i="1"/>
  <c r="AB376" i="1"/>
  <c r="AJ31" i="9"/>
  <c r="AJ378" i="1"/>
  <c r="AJ382" i="1" s="1"/>
  <c r="AJ377" i="1"/>
  <c r="AJ381" i="1" s="1"/>
  <c r="AJ376" i="1"/>
  <c r="E38" i="9"/>
  <c r="M38" i="9"/>
  <c r="U38" i="9"/>
  <c r="AC38" i="9"/>
  <c r="AK38" i="9"/>
  <c r="AY38" i="9"/>
  <c r="R452" i="1"/>
  <c r="Z452" i="1"/>
  <c r="AJ5" i="9"/>
  <c r="AB196" i="1"/>
  <c r="E64" i="9"/>
  <c r="E454" i="1"/>
  <c r="M64" i="9"/>
  <c r="M454" i="1"/>
  <c r="U64" i="9"/>
  <c r="U461" i="1"/>
  <c r="U454" i="1"/>
  <c r="AC64" i="9"/>
  <c r="AC454" i="1"/>
  <c r="AK64" i="9"/>
  <c r="AK454" i="1"/>
  <c r="AE206" i="1"/>
  <c r="AE67" i="9" s="1"/>
  <c r="M220" i="1"/>
  <c r="AA220" i="1"/>
  <c r="Y330" i="1"/>
  <c r="AI271" i="1"/>
  <c r="AI282" i="1" s="1"/>
  <c r="AS282" i="1"/>
  <c r="J282" i="1"/>
  <c r="J309" i="1" s="1"/>
  <c r="AG309" i="1"/>
  <c r="AG312" i="1" s="1"/>
  <c r="D309" i="1"/>
  <c r="D312" i="1" s="1"/>
  <c r="E311" i="1" s="1"/>
  <c r="L309" i="1"/>
  <c r="T309" i="1"/>
  <c r="AC309" i="1"/>
  <c r="AC312" i="1" s="1"/>
  <c r="AM309" i="1"/>
  <c r="AV309" i="1"/>
  <c r="L330" i="1"/>
  <c r="T330" i="1"/>
  <c r="O341" i="1"/>
  <c r="O368" i="1" s="1"/>
  <c r="AN378" i="1"/>
  <c r="AY434" i="1"/>
  <c r="AX251" i="1"/>
  <c r="AX10" i="9" s="1"/>
  <c r="F7" i="9"/>
  <c r="F442" i="1"/>
  <c r="N7" i="9"/>
  <c r="N442" i="1"/>
  <c r="AD7" i="9"/>
  <c r="AD442" i="1"/>
  <c r="AL7" i="9"/>
  <c r="AL442" i="1"/>
  <c r="J96" i="9"/>
  <c r="J8" i="9"/>
  <c r="J443" i="1"/>
  <c r="R96" i="9"/>
  <c r="R8" i="9"/>
  <c r="R443" i="1"/>
  <c r="Z96" i="9"/>
  <c r="Z8" i="9"/>
  <c r="Z443" i="1"/>
  <c r="AH96" i="9"/>
  <c r="AH8" i="9"/>
  <c r="AH443" i="1"/>
  <c r="AP96" i="9"/>
  <c r="AP8" i="9"/>
  <c r="AP443" i="1"/>
  <c r="J220" i="1"/>
  <c r="R220" i="1"/>
  <c r="Z220" i="1"/>
  <c r="AH220" i="1"/>
  <c r="AP220" i="1"/>
  <c r="AN271" i="1"/>
  <c r="AN282" i="1" s="1"/>
  <c r="AN309" i="1" s="1"/>
  <c r="AD66" i="9"/>
  <c r="AI349" i="1"/>
  <c r="AJ459" i="1" s="1"/>
  <c r="AD449" i="1"/>
  <c r="AN365" i="1"/>
  <c r="Y306" i="1"/>
  <c r="AI69" i="9"/>
  <c r="C330" i="1"/>
  <c r="K330" i="1"/>
  <c r="S330" i="1"/>
  <c r="AA330" i="1"/>
  <c r="AQ330" i="1"/>
  <c r="AT325" i="1"/>
  <c r="AT329" i="1"/>
  <c r="AQ349" i="1"/>
  <c r="H365" i="1"/>
  <c r="K460" i="1" s="1"/>
  <c r="P365" i="1"/>
  <c r="X365" i="1"/>
  <c r="AH365" i="1"/>
  <c r="AA365" i="1"/>
  <c r="AD376" i="1"/>
  <c r="AN377" i="1"/>
  <c r="E88" i="9"/>
  <c r="AN88" i="9"/>
  <c r="Y271" i="1"/>
  <c r="Y282" i="1" s="1"/>
  <c r="AI66" i="9"/>
  <c r="AI449" i="1"/>
  <c r="AI290" i="1"/>
  <c r="AN69" i="9"/>
  <c r="AY319" i="1"/>
  <c r="E66" i="9"/>
  <c r="M66" i="9"/>
  <c r="U66" i="9"/>
  <c r="AM66" i="9"/>
  <c r="G449" i="1"/>
  <c r="O449" i="1"/>
  <c r="W449" i="1"/>
  <c r="Z365" i="1"/>
  <c r="C365" i="1"/>
  <c r="K365" i="1"/>
  <c r="S365" i="1"/>
  <c r="J93" i="9"/>
  <c r="J447" i="1"/>
  <c r="R93" i="9"/>
  <c r="R447" i="1"/>
  <c r="AA93" i="9"/>
  <c r="AA437" i="1"/>
  <c r="AI416" i="1"/>
  <c r="AN66" i="9"/>
  <c r="AN449" i="1"/>
  <c r="E330" i="1"/>
  <c r="M330" i="1"/>
  <c r="U330" i="1"/>
  <c r="AC330" i="1"/>
  <c r="AK330" i="1"/>
  <c r="AI317" i="1"/>
  <c r="AI160" i="1" s="1"/>
  <c r="AI36" i="9" s="1"/>
  <c r="AS396" i="1"/>
  <c r="AR402" i="1"/>
  <c r="J365" i="1"/>
  <c r="J368" i="1" s="1"/>
  <c r="R365" i="1"/>
  <c r="AP69" i="9"/>
  <c r="AT367" i="1"/>
  <c r="AT69" i="9" s="1"/>
  <c r="AN376" i="1"/>
  <c r="C93" i="9"/>
  <c r="C94" i="9" s="1"/>
  <c r="C437" i="1"/>
  <c r="K93" i="9"/>
  <c r="K447" i="1"/>
  <c r="S93" i="9"/>
  <c r="S437" i="1"/>
  <c r="AN102" i="9"/>
  <c r="AQ103" i="9" s="1"/>
  <c r="AN425" i="1"/>
  <c r="AN435" i="1" s="1"/>
  <c r="AN437" i="1" s="1"/>
  <c r="AE102" i="9"/>
  <c r="AE103" i="9" s="1"/>
  <c r="AE425" i="1"/>
  <c r="O88" i="9"/>
  <c r="O89" i="9" s="1"/>
  <c r="AD316" i="1"/>
  <c r="AD330" i="1" s="1"/>
  <c r="G66" i="9"/>
  <c r="O66" i="9"/>
  <c r="W66" i="9"/>
  <c r="AP66" i="9"/>
  <c r="AY344" i="1"/>
  <c r="U459" i="1"/>
  <c r="AB368" i="1"/>
  <c r="J7" i="9"/>
  <c r="J442" i="1"/>
  <c r="R7" i="9"/>
  <c r="R442" i="1"/>
  <c r="Z7" i="9"/>
  <c r="Z442" i="1"/>
  <c r="AH7" i="9"/>
  <c r="AH442" i="1"/>
  <c r="AP7" i="9"/>
  <c r="AP442" i="1"/>
  <c r="F96" i="9"/>
  <c r="F97" i="9" s="1"/>
  <c r="F8" i="9"/>
  <c r="F443" i="1"/>
  <c r="N96" i="9"/>
  <c r="N8" i="9"/>
  <c r="N443" i="1"/>
  <c r="V96" i="9"/>
  <c r="V97" i="9" s="1"/>
  <c r="V8" i="9"/>
  <c r="V443" i="1"/>
  <c r="AD96" i="9"/>
  <c r="AD8" i="9"/>
  <c r="AD443" i="1"/>
  <c r="AL96" i="9"/>
  <c r="AL97" i="9" s="1"/>
  <c r="AL8" i="9"/>
  <c r="AL443" i="1"/>
  <c r="F220" i="1"/>
  <c r="N220" i="1"/>
  <c r="V220" i="1"/>
  <c r="AD220" i="1"/>
  <c r="AL220" i="1"/>
  <c r="AT321" i="1"/>
  <c r="D330" i="1"/>
  <c r="AJ330" i="1"/>
  <c r="AT334" i="1"/>
  <c r="AK349" i="1"/>
  <c r="AU449" i="1"/>
  <c r="AU349" i="1"/>
  <c r="AY459" i="1" s="1"/>
  <c r="AY346" i="1"/>
  <c r="P460" i="1"/>
  <c r="AC365" i="1"/>
  <c r="AP93" i="9"/>
  <c r="AP447" i="1"/>
  <c r="Y365" i="1"/>
  <c r="AD306" i="1"/>
  <c r="AD309" i="1" s="1"/>
  <c r="AD312" i="1" s="1"/>
  <c r="H330" i="1"/>
  <c r="P330" i="1"/>
  <c r="X330" i="1"/>
  <c r="AF330" i="1"/>
  <c r="AT319" i="1"/>
  <c r="F330" i="1"/>
  <c r="AL330" i="1"/>
  <c r="AH66" i="9"/>
  <c r="AN344" i="1"/>
  <c r="F93" i="9"/>
  <c r="F94" i="9" s="1"/>
  <c r="F447" i="1"/>
  <c r="N93" i="9"/>
  <c r="N447" i="1"/>
  <c r="N437" i="1"/>
  <c r="V93" i="9"/>
  <c r="V447" i="1"/>
  <c r="AF93" i="9"/>
  <c r="AN93" i="9"/>
  <c r="D7" i="9"/>
  <c r="D442" i="1"/>
  <c r="L7" i="9"/>
  <c r="L442" i="1"/>
  <c r="T7" i="9"/>
  <c r="T442" i="1"/>
  <c r="AB7" i="9"/>
  <c r="AB442" i="1"/>
  <c r="AJ7" i="9"/>
  <c r="AJ442" i="1"/>
  <c r="H96" i="9"/>
  <c r="H8" i="9"/>
  <c r="H443" i="1"/>
  <c r="P96" i="9"/>
  <c r="P97" i="9" s="1"/>
  <c r="P8" i="9"/>
  <c r="P443" i="1"/>
  <c r="X96" i="9"/>
  <c r="X97" i="9" s="1"/>
  <c r="X8" i="9"/>
  <c r="X443" i="1"/>
  <c r="AF96" i="9"/>
  <c r="AF8" i="9"/>
  <c r="AF443" i="1"/>
  <c r="AN96" i="9"/>
  <c r="AN8" i="9"/>
  <c r="AN443" i="1"/>
  <c r="H220" i="1"/>
  <c r="P220" i="1"/>
  <c r="X220" i="1"/>
  <c r="AF220" i="1"/>
  <c r="AN220" i="1"/>
  <c r="AD365" i="1"/>
  <c r="Y69" i="9"/>
  <c r="I330" i="1"/>
  <c r="Q330" i="1"/>
  <c r="AG330" i="1"/>
  <c r="AO330" i="1"/>
  <c r="G330" i="1"/>
  <c r="W330" i="1"/>
  <c r="AM330" i="1"/>
  <c r="J66" i="9"/>
  <c r="R66" i="9"/>
  <c r="Z66" i="9"/>
  <c r="AC349" i="1"/>
  <c r="AM449" i="1"/>
  <c r="Z460" i="1"/>
  <c r="AF365" i="1"/>
  <c r="AP365" i="1"/>
  <c r="H449" i="1"/>
  <c r="P449" i="1"/>
  <c r="X449" i="1"/>
  <c r="AF449" i="1"/>
  <c r="C69" i="9"/>
  <c r="K69" i="9"/>
  <c r="S69" i="9"/>
  <c r="AA69" i="9"/>
  <c r="AQ69" i="9"/>
  <c r="G93" i="9"/>
  <c r="G447" i="1"/>
  <c r="O93" i="9"/>
  <c r="O447" i="1"/>
  <c r="W93" i="9"/>
  <c r="W447" i="1"/>
  <c r="AG93" i="9"/>
  <c r="AG447" i="1"/>
  <c r="AO93" i="9"/>
  <c r="AO447" i="1"/>
  <c r="AQ93" i="9"/>
  <c r="AQ437" i="1"/>
  <c r="AF102" i="9"/>
  <c r="AF425" i="1"/>
  <c r="J428" i="1"/>
  <c r="J433" i="1" s="1"/>
  <c r="K433" i="1"/>
  <c r="AO88" i="9"/>
  <c r="AF88" i="9"/>
  <c r="AF89" i="9" s="1"/>
  <c r="AF435" i="1"/>
  <c r="AF437" i="1" s="1"/>
  <c r="C66" i="9"/>
  <c r="K66" i="9"/>
  <c r="S66" i="9"/>
  <c r="AA66" i="9"/>
  <c r="AQ66" i="9"/>
  <c r="I449" i="1"/>
  <c r="Q449" i="1"/>
  <c r="AG449" i="1"/>
  <c r="AO449" i="1"/>
  <c r="D69" i="9"/>
  <c r="L69" i="9"/>
  <c r="T69" i="9"/>
  <c r="AB69" i="9"/>
  <c r="AJ69" i="9"/>
  <c r="Y402" i="1"/>
  <c r="Y403" i="1" s="1"/>
  <c r="Z93" i="9"/>
  <c r="Z94" i="9" s="1"/>
  <c r="Z447" i="1"/>
  <c r="W88" i="9"/>
  <c r="D66" i="9"/>
  <c r="L66" i="9"/>
  <c r="T66" i="9"/>
  <c r="AB66" i="9"/>
  <c r="AJ66" i="9"/>
  <c r="J449" i="1"/>
  <c r="R449" i="1"/>
  <c r="AH449" i="1"/>
  <c r="AP449" i="1"/>
  <c r="AR349" i="1"/>
  <c r="E69" i="9"/>
  <c r="M69" i="9"/>
  <c r="U69" i="9"/>
  <c r="AC69" i="9"/>
  <c r="AK69" i="9"/>
  <c r="AY69" i="9"/>
  <c r="AD393" i="1"/>
  <c r="AD403" i="1" s="1"/>
  <c r="AF447" i="1" s="1"/>
  <c r="I93" i="9"/>
  <c r="Q93" i="9"/>
  <c r="Q447" i="1"/>
  <c r="AI402" i="1"/>
  <c r="AI403" i="1" s="1"/>
  <c r="W102" i="9"/>
  <c r="W425" i="1"/>
  <c r="W435" i="1" s="1"/>
  <c r="W437" i="1" s="1"/>
  <c r="T433" i="1"/>
  <c r="T81" i="9" s="1"/>
  <c r="X88" i="9"/>
  <c r="C449" i="1"/>
  <c r="K449" i="1"/>
  <c r="S449" i="1"/>
  <c r="AA449" i="1"/>
  <c r="AQ449" i="1"/>
  <c r="M349" i="1"/>
  <c r="F69" i="9"/>
  <c r="N69" i="9"/>
  <c r="V69" i="9"/>
  <c r="AL69" i="9"/>
  <c r="AJ93" i="9"/>
  <c r="AJ447" i="1"/>
  <c r="G102" i="9"/>
  <c r="G425" i="1"/>
  <c r="O102" i="9"/>
  <c r="O103" i="9" s="1"/>
  <c r="O425" i="1"/>
  <c r="O435" i="1" s="1"/>
  <c r="O437" i="1" s="1"/>
  <c r="X102" i="9"/>
  <c r="X425" i="1"/>
  <c r="X435" i="1" s="1"/>
  <c r="X437" i="1" s="1"/>
  <c r="Y433" i="1"/>
  <c r="Y81" i="9" s="1"/>
  <c r="P88" i="9"/>
  <c r="P435" i="1"/>
  <c r="F66" i="9"/>
  <c r="N66" i="9"/>
  <c r="V66" i="9"/>
  <c r="AL66" i="9"/>
  <c r="D449" i="1"/>
  <c r="L449" i="1"/>
  <c r="T449" i="1"/>
  <c r="AB449" i="1"/>
  <c r="AJ449" i="1"/>
  <c r="G69" i="9"/>
  <c r="O69" i="9"/>
  <c r="W69" i="9"/>
  <c r="AE69" i="9"/>
  <c r="AM69" i="9"/>
  <c r="AB93" i="9"/>
  <c r="AB447" i="1"/>
  <c r="AK93" i="9"/>
  <c r="AK447" i="1"/>
  <c r="T416" i="1"/>
  <c r="H102" i="9"/>
  <c r="J103" i="9" s="1"/>
  <c r="H425" i="1"/>
  <c r="P102" i="9"/>
  <c r="P103" i="9" s="1"/>
  <c r="P425" i="1"/>
  <c r="T424" i="1"/>
  <c r="G88" i="9"/>
  <c r="G435" i="1"/>
  <c r="G437" i="1" s="1"/>
  <c r="E449" i="1"/>
  <c r="U449" i="1"/>
  <c r="AC449" i="1"/>
  <c r="AK449" i="1"/>
  <c r="H69" i="9"/>
  <c r="P69" i="9"/>
  <c r="X69" i="9"/>
  <c r="AF69" i="9"/>
  <c r="D403" i="1"/>
  <c r="C447" i="1" s="1"/>
  <c r="L403" i="1"/>
  <c r="T403" i="1"/>
  <c r="AC93" i="9"/>
  <c r="AC447" i="1"/>
  <c r="AL403" i="1"/>
  <c r="P93" i="9"/>
  <c r="P94" i="9" s="1"/>
  <c r="P447" i="1"/>
  <c r="P437" i="1"/>
  <c r="Y102" i="9"/>
  <c r="AC103" i="9" s="1"/>
  <c r="Y425" i="1"/>
  <c r="AG102" i="9"/>
  <c r="AG425" i="1"/>
  <c r="AG435" i="1" s="1"/>
  <c r="AG437" i="1" s="1"/>
  <c r="AM102" i="9"/>
  <c r="AM425" i="1"/>
  <c r="AM435" i="1" s="1"/>
  <c r="C88" i="9"/>
  <c r="C89" i="9" s="1"/>
  <c r="C435" i="1"/>
  <c r="H88" i="9"/>
  <c r="H435" i="1"/>
  <c r="H437" i="1" s="1"/>
  <c r="AM88" i="9"/>
  <c r="AP89" i="9" s="1"/>
  <c r="H66" i="9"/>
  <c r="P66" i="9"/>
  <c r="X66" i="9"/>
  <c r="AF66" i="9"/>
  <c r="F449" i="1"/>
  <c r="N449" i="1"/>
  <c r="V449" i="1"/>
  <c r="AL449" i="1"/>
  <c r="AT346" i="1"/>
  <c r="AT349" i="1" s="1"/>
  <c r="I69" i="9"/>
  <c r="Q69" i="9"/>
  <c r="AG69" i="9"/>
  <c r="AO69" i="9"/>
  <c r="E93" i="9"/>
  <c r="E447" i="1"/>
  <c r="M93" i="9"/>
  <c r="M447" i="1"/>
  <c r="U93" i="9"/>
  <c r="U447" i="1"/>
  <c r="AE403" i="1"/>
  <c r="AM403" i="1"/>
  <c r="AD102" i="9"/>
  <c r="AD103" i="9" s="1"/>
  <c r="AD425" i="1"/>
  <c r="AD435" i="1" s="1"/>
  <c r="AB425" i="1"/>
  <c r="D88" i="9"/>
  <c r="D435" i="1"/>
  <c r="AI428" i="1"/>
  <c r="AI433" i="1" s="1"/>
  <c r="AJ433" i="1"/>
  <c r="E425" i="1"/>
  <c r="E435" i="1" s="1"/>
  <c r="E437" i="1" s="1"/>
  <c r="M425" i="1"/>
  <c r="M435" i="1" s="1"/>
  <c r="M437" i="1" s="1"/>
  <c r="U425" i="1"/>
  <c r="U435" i="1" s="1"/>
  <c r="U437" i="1" s="1"/>
  <c r="AC425" i="1"/>
  <c r="AC435" i="1" s="1"/>
  <c r="AC437" i="1" s="1"/>
  <c r="AK425" i="1"/>
  <c r="AK435" i="1" s="1"/>
  <c r="AK437" i="1" s="1"/>
  <c r="AG89" i="9"/>
  <c r="Z103" i="9"/>
  <c r="AP103" i="9"/>
  <c r="F425" i="1"/>
  <c r="F435" i="1" s="1"/>
  <c r="F437" i="1" s="1"/>
  <c r="N425" i="1"/>
  <c r="N435" i="1" s="1"/>
  <c r="V425" i="1"/>
  <c r="V435" i="1" s="1"/>
  <c r="V437" i="1" s="1"/>
  <c r="AL425" i="1"/>
  <c r="AL435" i="1" s="1"/>
  <c r="Z89" i="9"/>
  <c r="AH89" i="9"/>
  <c r="AQ89" i="9"/>
  <c r="K103" i="9"/>
  <c r="D103" i="9"/>
  <c r="I425" i="1"/>
  <c r="I435" i="1" s="1"/>
  <c r="I437" i="1" s="1"/>
  <c r="Q425" i="1"/>
  <c r="Q435" i="1" s="1"/>
  <c r="Q437" i="1" s="1"/>
  <c r="AO425" i="1"/>
  <c r="AO435" i="1" s="1"/>
  <c r="AO437" i="1" s="1"/>
  <c r="U89" i="9"/>
  <c r="F103" i="9"/>
  <c r="N103" i="9"/>
  <c r="J425" i="1"/>
  <c r="R425" i="1"/>
  <c r="R435" i="1" s="1"/>
  <c r="R437" i="1" s="1"/>
  <c r="Z425" i="1"/>
  <c r="Z435" i="1" s="1"/>
  <c r="Z437" i="1" s="1"/>
  <c r="AH425" i="1"/>
  <c r="AH435" i="1" s="1"/>
  <c r="AH437" i="1" s="1"/>
  <c r="AP425" i="1"/>
  <c r="AP435" i="1" s="1"/>
  <c r="AP437" i="1" s="1"/>
  <c r="F89" i="9"/>
  <c r="L435" i="1"/>
  <c r="AB435" i="1"/>
  <c r="AB437" i="1" s="1"/>
  <c r="AP20" i="9"/>
  <c r="AH20" i="9"/>
  <c r="M76" i="10"/>
  <c r="M72" i="10"/>
  <c r="M71" i="10"/>
  <c r="M115" i="10"/>
  <c r="M78" i="10"/>
  <c r="M20" i="10"/>
  <c r="M114" i="10"/>
  <c r="AE98" i="9" l="1"/>
  <c r="P78" i="10"/>
  <c r="O78" i="10"/>
  <c r="X54" i="9"/>
  <c r="AG376" i="1"/>
  <c r="AK378" i="1"/>
  <c r="U380" i="1"/>
  <c r="AA376" i="1"/>
  <c r="AA380" i="1" s="1"/>
  <c r="AH377" i="1"/>
  <c r="AF378" i="1"/>
  <c r="AJ16" i="9"/>
  <c r="U103" i="9"/>
  <c r="AE380" i="1"/>
  <c r="E382" i="1"/>
  <c r="AH103" i="9"/>
  <c r="AJ103" i="9"/>
  <c r="L103" i="9"/>
  <c r="AG378" i="1"/>
  <c r="AO453" i="1"/>
  <c r="Q378" i="1"/>
  <c r="AH378" i="1"/>
  <c r="AE382" i="1"/>
  <c r="AD93" i="1"/>
  <c r="AD450" i="1" s="1"/>
  <c r="M84" i="10"/>
  <c r="O84" i="10" s="1"/>
  <c r="Y93" i="1"/>
  <c r="Y450" i="1" s="1"/>
  <c r="D381" i="1"/>
  <c r="Q377" i="1"/>
  <c r="Q381" i="1" s="1"/>
  <c r="AO382" i="1"/>
  <c r="AF376" i="1"/>
  <c r="O444" i="1"/>
  <c r="M23" i="14"/>
  <c r="Y28" i="14"/>
  <c r="L23" i="14"/>
  <c r="Y34" i="14"/>
  <c r="AA103" i="9"/>
  <c r="D382" i="1"/>
  <c r="Q376" i="1"/>
  <c r="AK53" i="9"/>
  <c r="O87" i="1"/>
  <c r="Y444" i="1"/>
  <c r="AN53" i="9"/>
  <c r="W28" i="14"/>
  <c r="K60" i="14"/>
  <c r="M60" i="14" s="1"/>
  <c r="W34" i="14"/>
  <c r="V28" i="14"/>
  <c r="V382" i="1"/>
  <c r="T28" i="14"/>
  <c r="U28" i="14"/>
  <c r="C49" i="13"/>
  <c r="C64" i="13" s="1"/>
  <c r="D49" i="13"/>
  <c r="D64" i="13" s="1"/>
  <c r="D231" i="14"/>
  <c r="D211" i="14"/>
  <c r="E231" i="14"/>
  <c r="E241" i="14" s="1"/>
  <c r="E211" i="14"/>
  <c r="E220" i="14"/>
  <c r="U382" i="1"/>
  <c r="I74" i="13"/>
  <c r="F148" i="13"/>
  <c r="F149" i="13" s="1"/>
  <c r="F141" i="13"/>
  <c r="F126" i="13"/>
  <c r="F144" i="13"/>
  <c r="F134" i="13"/>
  <c r="F121" i="13"/>
  <c r="F138" i="13" s="1"/>
  <c r="F123" i="13"/>
  <c r="B134" i="13"/>
  <c r="B121" i="13"/>
  <c r="B138" i="13" s="1"/>
  <c r="B123" i="13"/>
  <c r="B148" i="13"/>
  <c r="B141" i="13"/>
  <c r="B126" i="13"/>
  <c r="B144" i="13"/>
  <c r="K36" i="13"/>
  <c r="K71" i="13" s="1"/>
  <c r="J54" i="13"/>
  <c r="J73" i="13" s="1"/>
  <c r="C134" i="13"/>
  <c r="C121" i="13"/>
  <c r="C138" i="13" s="1"/>
  <c r="C123" i="13"/>
  <c r="C148" i="13"/>
  <c r="C141" i="13"/>
  <c r="C126" i="13"/>
  <c r="C144" i="13"/>
  <c r="J71" i="13"/>
  <c r="F34" i="13"/>
  <c r="P34" i="13"/>
  <c r="D123" i="13"/>
  <c r="D148" i="13"/>
  <c r="D141" i="13"/>
  <c r="D126" i="13"/>
  <c r="D144" i="13"/>
  <c r="D134" i="13"/>
  <c r="D121" i="13"/>
  <c r="D138" i="13" s="1"/>
  <c r="I55" i="13"/>
  <c r="G126" i="13"/>
  <c r="G127" i="13" s="1"/>
  <c r="G144" i="13"/>
  <c r="G134" i="13"/>
  <c r="G135" i="13" s="1"/>
  <c r="G123" i="13"/>
  <c r="G124" i="13" s="1"/>
  <c r="E123" i="13"/>
  <c r="E148" i="13"/>
  <c r="E126" i="13"/>
  <c r="E144" i="13"/>
  <c r="E134" i="13"/>
  <c r="E121" i="13"/>
  <c r="E138" i="13" s="1"/>
  <c r="J39" i="13"/>
  <c r="Z21" i="14"/>
  <c r="M9" i="14"/>
  <c r="H9" i="14"/>
  <c r="H14" i="14" s="1"/>
  <c r="G213" i="14"/>
  <c r="G224" i="14"/>
  <c r="G234" i="14" s="1"/>
  <c r="AB155" i="14"/>
  <c r="AE155" i="14" s="1"/>
  <c r="AE150" i="14"/>
  <c r="G215" i="14"/>
  <c r="G226" i="14"/>
  <c r="G236" i="14" s="1"/>
  <c r="J276" i="14"/>
  <c r="Y152" i="14"/>
  <c r="X157" i="14"/>
  <c r="AD157" i="14" s="1"/>
  <c r="AB197" i="14"/>
  <c r="G211" i="14"/>
  <c r="G220" i="14"/>
  <c r="G231" i="14"/>
  <c r="G241" i="14" s="1"/>
  <c r="G229" i="14"/>
  <c r="G239" i="14" s="1"/>
  <c r="G218" i="14"/>
  <c r="G230" i="14"/>
  <c r="G240" i="14" s="1"/>
  <c r="G219" i="14"/>
  <c r="G225" i="14"/>
  <c r="G235" i="14" s="1"/>
  <c r="G214" i="14"/>
  <c r="AA160" i="14"/>
  <c r="AB160" i="14" s="1"/>
  <c r="AE160" i="14" s="1"/>
  <c r="G228" i="14"/>
  <c r="G238" i="14" s="1"/>
  <c r="G217" i="14"/>
  <c r="E248" i="14"/>
  <c r="E250" i="14" s="1"/>
  <c r="E251" i="14" s="1"/>
  <c r="E252" i="14" s="1"/>
  <c r="E253" i="14" s="1"/>
  <c r="F250" i="14"/>
  <c r="F251" i="14" s="1"/>
  <c r="F252" i="14" s="1"/>
  <c r="F253" i="14" s="1"/>
  <c r="H208" i="14"/>
  <c r="H210" i="14"/>
  <c r="H205" i="14"/>
  <c r="H203" i="14"/>
  <c r="I202" i="14"/>
  <c r="H207" i="14"/>
  <c r="H209" i="14"/>
  <c r="H204" i="14"/>
  <c r="H206" i="14"/>
  <c r="Y36" i="14"/>
  <c r="Y24" i="14"/>
  <c r="M250" i="14"/>
  <c r="M251" i="14" s="1"/>
  <c r="M252" i="14" s="1"/>
  <c r="M253" i="14" s="1"/>
  <c r="M254" i="14" s="1"/>
  <c r="F339" i="14" s="1"/>
  <c r="F340" i="14" s="1"/>
  <c r="F341" i="14" s="1"/>
  <c r="N248" i="14"/>
  <c r="G254" i="14"/>
  <c r="H254" i="14"/>
  <c r="P72" i="10"/>
  <c r="O72" i="10"/>
  <c r="P76" i="10"/>
  <c r="O76" i="10"/>
  <c r="O71" i="10"/>
  <c r="P71" i="10"/>
  <c r="P114" i="10"/>
  <c r="O114" i="10"/>
  <c r="P115" i="10"/>
  <c r="O115" i="10"/>
  <c r="P20" i="10"/>
  <c r="O20" i="10"/>
  <c r="S157" i="1"/>
  <c r="S162" i="1"/>
  <c r="S94" i="1"/>
  <c r="AG157" i="1"/>
  <c r="AG162" i="1"/>
  <c r="AG94" i="1"/>
  <c r="K32" i="1"/>
  <c r="K43" i="1"/>
  <c r="K22" i="9" s="1"/>
  <c r="Y93" i="9"/>
  <c r="Y94" i="9" s="1"/>
  <c r="Y447" i="1"/>
  <c r="X447" i="1"/>
  <c r="AA447" i="1"/>
  <c r="I311" i="1"/>
  <c r="H312" i="1"/>
  <c r="S57" i="12"/>
  <c r="X56" i="12"/>
  <c r="V56" i="12"/>
  <c r="P81" i="9"/>
  <c r="P231" i="1"/>
  <c r="K368" i="1"/>
  <c r="J97" i="9"/>
  <c r="Z457" i="1"/>
  <c r="V341" i="1"/>
  <c r="V195" i="1"/>
  <c r="N108" i="9"/>
  <c r="AQ40" i="9"/>
  <c r="Z31" i="1"/>
  <c r="O81" i="9"/>
  <c r="AF94" i="1"/>
  <c r="AF453" i="1" s="1"/>
  <c r="AF157" i="1"/>
  <c r="AF162" i="1"/>
  <c r="W108" i="9"/>
  <c r="G162" i="1"/>
  <c r="G94" i="1"/>
  <c r="G157" i="1"/>
  <c r="C81" i="9"/>
  <c r="L33" i="9"/>
  <c r="L54" i="9" s="1"/>
  <c r="L93" i="1"/>
  <c r="L450" i="1" s="1"/>
  <c r="F32" i="9"/>
  <c r="F53" i="9" s="1"/>
  <c r="F88" i="1"/>
  <c r="F90" i="1" s="1"/>
  <c r="F153" i="1"/>
  <c r="F156" i="1" s="1"/>
  <c r="F87" i="1"/>
  <c r="S108" i="9"/>
  <c r="AI68" i="1"/>
  <c r="AI69" i="1" s="1"/>
  <c r="AI14" i="1"/>
  <c r="AI15" i="9" s="1"/>
  <c r="AI38" i="1"/>
  <c r="P68" i="10"/>
  <c r="O68" i="10"/>
  <c r="L53" i="12"/>
  <c r="L121" i="12" s="1"/>
  <c r="L51" i="12"/>
  <c r="K53" i="12"/>
  <c r="K121" i="12" s="1"/>
  <c r="K123" i="12" s="1"/>
  <c r="K51" i="12"/>
  <c r="Y26" i="1"/>
  <c r="S89" i="9"/>
  <c r="AM93" i="9"/>
  <c r="AM94" i="9" s="1"/>
  <c r="AM437" i="1"/>
  <c r="AM447" i="1"/>
  <c r="AL93" i="9"/>
  <c r="AL94" i="9" s="1"/>
  <c r="AL447" i="1"/>
  <c r="AL437" i="1"/>
  <c r="AI93" i="9"/>
  <c r="AI94" i="9" s="1"/>
  <c r="AI447" i="1"/>
  <c r="AI437" i="1"/>
  <c r="AN447" i="1"/>
  <c r="W341" i="1"/>
  <c r="W368" i="1" s="1"/>
  <c r="W195" i="1"/>
  <c r="I341" i="1"/>
  <c r="I368" i="1" s="1"/>
  <c r="I195" i="1"/>
  <c r="P341" i="1"/>
  <c r="P368" i="1" s="1"/>
  <c r="P195" i="1"/>
  <c r="M341" i="1"/>
  <c r="M368" i="1" s="1"/>
  <c r="M195" i="1"/>
  <c r="AE460" i="1"/>
  <c r="AA368" i="1"/>
  <c r="J81" i="9"/>
  <c r="P457" i="1"/>
  <c r="L341" i="1"/>
  <c r="L195" i="1"/>
  <c r="AA81" i="9"/>
  <c r="AB108" i="9"/>
  <c r="L97" i="9"/>
  <c r="AI97" i="9"/>
  <c r="AI365" i="1"/>
  <c r="AI205" i="1"/>
  <c r="AI68" i="9" s="1"/>
  <c r="AB72" i="9"/>
  <c r="AB61" i="9"/>
  <c r="Y97" i="9"/>
  <c r="N341" i="1"/>
  <c r="N368" i="1" s="1"/>
  <c r="N195" i="1"/>
  <c r="V376" i="1"/>
  <c r="V380" i="1" s="1"/>
  <c r="C33" i="9"/>
  <c r="C54" i="9" s="1"/>
  <c r="C93" i="1"/>
  <c r="AI31" i="9"/>
  <c r="AI377" i="1"/>
  <c r="AI376" i="1"/>
  <c r="AI380" i="1" s="1"/>
  <c r="AI153" i="1"/>
  <c r="AI156" i="1" s="1"/>
  <c r="AI15" i="1"/>
  <c r="AI16" i="9" s="1"/>
  <c r="Q380" i="1"/>
  <c r="AH380" i="1"/>
  <c r="P382" i="1"/>
  <c r="C40" i="9"/>
  <c r="K33" i="9"/>
  <c r="K54" i="9" s="1"/>
  <c r="K93" i="1"/>
  <c r="K156" i="1"/>
  <c r="AO381" i="1"/>
  <c r="X377" i="1"/>
  <c r="AF380" i="1"/>
  <c r="F33" i="9"/>
  <c r="F54" i="9" s="1"/>
  <c r="F93" i="1"/>
  <c r="F450" i="1" s="1"/>
  <c r="AE381" i="1"/>
  <c r="E381" i="1"/>
  <c r="AD452" i="1"/>
  <c r="AB34" i="1"/>
  <c r="AB30" i="1"/>
  <c r="Z53" i="9"/>
  <c r="U381" i="1"/>
  <c r="AR44" i="1"/>
  <c r="AR23" i="9" s="1"/>
  <c r="AR25" i="1"/>
  <c r="AK376" i="1"/>
  <c r="AK380" i="1" s="1"/>
  <c r="K380" i="1"/>
  <c r="J59" i="9"/>
  <c r="J196" i="1"/>
  <c r="J209" i="1"/>
  <c r="J210" i="1" s="1"/>
  <c r="J211" i="1" s="1"/>
  <c r="J212" i="1" s="1"/>
  <c r="AA377" i="1"/>
  <c r="AF381" i="1" s="1"/>
  <c r="J157" i="1"/>
  <c r="J94" i="1"/>
  <c r="J162" i="1"/>
  <c r="Y87" i="1"/>
  <c r="E1" i="9"/>
  <c r="F4" i="1"/>
  <c r="E3" i="1"/>
  <c r="E496" i="1" s="1"/>
  <c r="B115" i="10"/>
  <c r="L110" i="10"/>
  <c r="B108" i="10"/>
  <c r="B100" i="10"/>
  <c r="B94" i="10"/>
  <c r="B88" i="10"/>
  <c r="L83" i="10"/>
  <c r="L77" i="10"/>
  <c r="L68" i="10"/>
  <c r="B116" i="10"/>
  <c r="B109" i="10"/>
  <c r="L103" i="10"/>
  <c r="L97" i="10"/>
  <c r="B95" i="10"/>
  <c r="L90" i="10"/>
  <c r="B89" i="10"/>
  <c r="L114" i="10"/>
  <c r="B111" i="10"/>
  <c r="L107" i="10"/>
  <c r="L99" i="10"/>
  <c r="L92" i="10"/>
  <c r="L87" i="10"/>
  <c r="B84" i="10"/>
  <c r="B78" i="10"/>
  <c r="B70" i="10"/>
  <c r="L115" i="10"/>
  <c r="L108" i="10"/>
  <c r="B104" i="10"/>
  <c r="B112" i="10"/>
  <c r="L102" i="10"/>
  <c r="B91" i="10"/>
  <c r="B82" i="10"/>
  <c r="L80" i="10"/>
  <c r="B79" i="10"/>
  <c r="B68" i="10"/>
  <c r="L66" i="10"/>
  <c r="B65" i="10"/>
  <c r="L59" i="10"/>
  <c r="B58" i="10"/>
  <c r="L54" i="10"/>
  <c r="B51" i="10"/>
  <c r="L47" i="10"/>
  <c r="B44" i="10"/>
  <c r="L40" i="10"/>
  <c r="B37" i="10"/>
  <c r="B30" i="10"/>
  <c r="L25" i="10"/>
  <c r="B20" i="10"/>
  <c r="L8" i="10"/>
  <c r="L109" i="10"/>
  <c r="L104" i="10"/>
  <c r="B86" i="10"/>
  <c r="B76" i="10"/>
  <c r="L73" i="10"/>
  <c r="B72" i="10"/>
  <c r="L70" i="10"/>
  <c r="L60" i="10"/>
  <c r="L55" i="10"/>
  <c r="L48" i="10"/>
  <c r="L41" i="10"/>
  <c r="B38" i="10"/>
  <c r="L33" i="10"/>
  <c r="B31" i="10"/>
  <c r="L26" i="10"/>
  <c r="B22" i="10"/>
  <c r="L17" i="10"/>
  <c r="B15" i="10"/>
  <c r="L10" i="10"/>
  <c r="B6" i="10"/>
  <c r="L116" i="10"/>
  <c r="L111" i="10"/>
  <c r="B102" i="10"/>
  <c r="B99" i="10"/>
  <c r="B97" i="10"/>
  <c r="L95" i="10"/>
  <c r="B66" i="10"/>
  <c r="L62" i="10"/>
  <c r="B59" i="10"/>
  <c r="L56" i="10"/>
  <c r="B52" i="10"/>
  <c r="L49" i="10"/>
  <c r="B45" i="10"/>
  <c r="L42" i="10"/>
  <c r="B32" i="10"/>
  <c r="L27" i="10"/>
  <c r="B23" i="10"/>
  <c r="L11" i="10"/>
  <c r="B7" i="10"/>
  <c r="B107" i="10"/>
  <c r="L88" i="10"/>
  <c r="B87" i="10"/>
  <c r="B83" i="10"/>
  <c r="L81" i="10"/>
  <c r="B80" i="10"/>
  <c r="L78" i="10"/>
  <c r="B77" i="10"/>
  <c r="B73" i="10"/>
  <c r="L67" i="10"/>
  <c r="L63" i="10"/>
  <c r="B54" i="10"/>
  <c r="B47" i="10"/>
  <c r="B40" i="10"/>
  <c r="L34" i="10"/>
  <c r="B33" i="10"/>
  <c r="B25" i="10"/>
  <c r="L18" i="10"/>
  <c r="B17" i="10"/>
  <c r="L12" i="10"/>
  <c r="B8" i="10"/>
  <c r="B114" i="10"/>
  <c r="L100" i="10"/>
  <c r="L98" i="10"/>
  <c r="B92" i="10"/>
  <c r="B90" i="10"/>
  <c r="L84" i="10"/>
  <c r="L75" i="10"/>
  <c r="L71" i="10"/>
  <c r="L64" i="10"/>
  <c r="B60" i="10"/>
  <c r="L57" i="10"/>
  <c r="B55" i="10"/>
  <c r="L50" i="10"/>
  <c r="B48" i="10"/>
  <c r="L43" i="10"/>
  <c r="B41" i="10"/>
  <c r="L35" i="10"/>
  <c r="L28" i="10"/>
  <c r="B26" i="10"/>
  <c r="L19" i="10"/>
  <c r="B10" i="10"/>
  <c r="L105" i="10"/>
  <c r="L96" i="10"/>
  <c r="B81" i="10"/>
  <c r="B67" i="10"/>
  <c r="B62" i="10"/>
  <c r="B56" i="10"/>
  <c r="B49" i="10"/>
  <c r="B42" i="10"/>
  <c r="L37" i="10"/>
  <c r="B34" i="10"/>
  <c r="L30" i="10"/>
  <c r="B27" i="10"/>
  <c r="L20" i="10"/>
  <c r="B18" i="10"/>
  <c r="L14" i="10"/>
  <c r="B11" i="10"/>
  <c r="B110" i="10"/>
  <c r="B105" i="10"/>
  <c r="B96" i="10"/>
  <c r="L89" i="10"/>
  <c r="B64" i="10"/>
  <c r="L52" i="10"/>
  <c r="L45" i="10"/>
  <c r="L38" i="10"/>
  <c r="B35" i="10"/>
  <c r="L32" i="10"/>
  <c r="L23" i="10"/>
  <c r="B19" i="10"/>
  <c r="L15" i="10"/>
  <c r="B14" i="10"/>
  <c r="L7" i="10"/>
  <c r="L65" i="10"/>
  <c r="B28" i="10"/>
  <c r="L22" i="10"/>
  <c r="L76" i="10"/>
  <c r="B71" i="10"/>
  <c r="B50" i="10"/>
  <c r="L44" i="10"/>
  <c r="L112" i="10"/>
  <c r="L91" i="10"/>
  <c r="L86" i="10"/>
  <c r="B98" i="10"/>
  <c r="L58" i="10"/>
  <c r="L79" i="10"/>
  <c r="B75" i="10"/>
  <c r="B43" i="10"/>
  <c r="L31" i="10"/>
  <c r="B12" i="10"/>
  <c r="L6" i="10"/>
  <c r="B103" i="10"/>
  <c r="B63" i="10"/>
  <c r="L72" i="10"/>
  <c r="B57" i="10"/>
  <c r="L51" i="10"/>
  <c r="L94" i="10"/>
  <c r="L82" i="10"/>
  <c r="D53" i="12"/>
  <c r="D121" i="12" s="1"/>
  <c r="D123" i="12" s="1"/>
  <c r="D51" i="12"/>
  <c r="AR22" i="1"/>
  <c r="AR45" i="1"/>
  <c r="AR24" i="9" s="1"/>
  <c r="AR43" i="1"/>
  <c r="AR22" i="9" s="1"/>
  <c r="AI116" i="1"/>
  <c r="S45" i="1"/>
  <c r="S24" i="9" s="1"/>
  <c r="R45" i="1"/>
  <c r="R24" i="9" s="1"/>
  <c r="R43" i="1"/>
  <c r="R22" i="9" s="1"/>
  <c r="O45" i="1"/>
  <c r="O24" i="9" s="1"/>
  <c r="CM206" i="12"/>
  <c r="CN200" i="12"/>
  <c r="J88" i="9"/>
  <c r="J435" i="1"/>
  <c r="J437" i="1" s="1"/>
  <c r="AM341" i="1"/>
  <c r="AM368" i="1" s="1"/>
  <c r="AM195" i="1"/>
  <c r="F81" i="9"/>
  <c r="S341" i="1"/>
  <c r="S195" i="1"/>
  <c r="T341" i="1"/>
  <c r="T368" i="1" s="1"/>
  <c r="T195" i="1"/>
  <c r="AL108" i="9"/>
  <c r="AE81" i="9"/>
  <c r="AE231" i="1"/>
  <c r="AI28" i="9"/>
  <c r="AI53" i="1"/>
  <c r="R108" i="9"/>
  <c r="R34" i="9"/>
  <c r="AN44" i="1"/>
  <c r="AN23" i="9" s="1"/>
  <c r="F53" i="12"/>
  <c r="F121" i="12" s="1"/>
  <c r="F123" i="12" s="1"/>
  <c r="F51" i="12"/>
  <c r="O89" i="1"/>
  <c r="X45" i="1"/>
  <c r="X24" i="9" s="1"/>
  <c r="X43" i="1"/>
  <c r="X22" i="9" s="1"/>
  <c r="P84" i="10"/>
  <c r="Y38" i="1"/>
  <c r="Y68" i="1"/>
  <c r="Y69" i="1" s="1"/>
  <c r="AD14" i="1"/>
  <c r="AD15" i="9" s="1"/>
  <c r="Y14" i="1"/>
  <c r="Y15" i="9" s="1"/>
  <c r="S55" i="12"/>
  <c r="X54" i="12"/>
  <c r="V54" i="12"/>
  <c r="G53" i="12"/>
  <c r="G121" i="12" s="1"/>
  <c r="G123" i="12" s="1"/>
  <c r="G51" i="12"/>
  <c r="CM201" i="12"/>
  <c r="CN195" i="12"/>
  <c r="AJ88" i="9"/>
  <c r="AJ89" i="9" s="1"/>
  <c r="AJ435" i="1"/>
  <c r="AJ437" i="1" s="1"/>
  <c r="AE93" i="9"/>
  <c r="AE94" i="9" s="1"/>
  <c r="AE437" i="1"/>
  <c r="AE447" i="1"/>
  <c r="Z104" i="9"/>
  <c r="AF103" i="9"/>
  <c r="K457" i="1"/>
  <c r="G341" i="1"/>
  <c r="G195" i="1"/>
  <c r="AL341" i="1"/>
  <c r="AL368" i="1" s="1"/>
  <c r="AL195" i="1"/>
  <c r="K94" i="9"/>
  <c r="K341" i="1"/>
  <c r="K195" i="1"/>
  <c r="Z97" i="9"/>
  <c r="Z98" i="9" s="1"/>
  <c r="M81" i="9"/>
  <c r="AJ380" i="1"/>
  <c r="D108" i="9"/>
  <c r="AI81" i="9"/>
  <c r="K97" i="9"/>
  <c r="V377" i="1"/>
  <c r="V381" i="1" s="1"/>
  <c r="W162" i="1"/>
  <c r="W94" i="1"/>
  <c r="W157" i="1"/>
  <c r="Z157" i="1"/>
  <c r="V24" i="14" s="1"/>
  <c r="Z162" i="1"/>
  <c r="Z94" i="1"/>
  <c r="Z453" i="1" s="1"/>
  <c r="Q108" i="9"/>
  <c r="AN28" i="9"/>
  <c r="AN53" i="1"/>
  <c r="P108" i="9"/>
  <c r="P34" i="9"/>
  <c r="AE162" i="1"/>
  <c r="AE94" i="1"/>
  <c r="AE453" i="1" s="1"/>
  <c r="AE157" i="1"/>
  <c r="W24" i="14" s="1"/>
  <c r="AO108" i="9"/>
  <c r="AO34" i="9"/>
  <c r="X378" i="1"/>
  <c r="E380" i="1"/>
  <c r="AC81" i="9"/>
  <c r="P53" i="9"/>
  <c r="D33" i="9"/>
  <c r="D54" i="9" s="1"/>
  <c r="D93" i="1"/>
  <c r="D450" i="1" s="1"/>
  <c r="AM33" i="9"/>
  <c r="AM54" i="9" s="1"/>
  <c r="AM93" i="1"/>
  <c r="AM450" i="1" s="1"/>
  <c r="AK377" i="1"/>
  <c r="AK381" i="1" s="1"/>
  <c r="K381" i="1"/>
  <c r="T88" i="1"/>
  <c r="T90" i="1" s="1"/>
  <c r="AA378" i="1"/>
  <c r="AA382" i="1" s="1"/>
  <c r="J55" i="9"/>
  <c r="J39" i="9"/>
  <c r="J44" i="9" s="1"/>
  <c r="Y88" i="1"/>
  <c r="Y90" i="1" s="1"/>
  <c r="D516" i="1"/>
  <c r="D502" i="1"/>
  <c r="D500" i="1"/>
  <c r="D498" i="1" s="1"/>
  <c r="D244" i="1" s="1"/>
  <c r="D514" i="1"/>
  <c r="D512" i="1" s="1"/>
  <c r="D509" i="1"/>
  <c r="D507" i="1"/>
  <c r="D505" i="1" s="1"/>
  <c r="D245" i="1" s="1"/>
  <c r="C498" i="1"/>
  <c r="C244" i="1" s="1"/>
  <c r="A505" i="1"/>
  <c r="J54" i="9"/>
  <c r="AR18" i="9"/>
  <c r="AS29" i="1"/>
  <c r="AI93" i="1"/>
  <c r="AI450" i="1" s="1"/>
  <c r="AJ460" i="1"/>
  <c r="AF368" i="1"/>
  <c r="AN349" i="1"/>
  <c r="AO459" i="1" s="1"/>
  <c r="AN200" i="1"/>
  <c r="AS402" i="1"/>
  <c r="AT396" i="1"/>
  <c r="AH341" i="1"/>
  <c r="AH195" i="1"/>
  <c r="AB32" i="9"/>
  <c r="AB53" i="9" s="1"/>
  <c r="AB87" i="1"/>
  <c r="AB153" i="1"/>
  <c r="AB156" i="1" s="1"/>
  <c r="AB88" i="1"/>
  <c r="AB90" i="1" s="1"/>
  <c r="Z380" i="1"/>
  <c r="AP94" i="1"/>
  <c r="AP453" i="1" s="1"/>
  <c r="AP162" i="1"/>
  <c r="AA40" i="9"/>
  <c r="U108" i="9"/>
  <c r="U34" i="9"/>
  <c r="AM89" i="1"/>
  <c r="AL45" i="1"/>
  <c r="AL24" i="9" s="1"/>
  <c r="AL43" i="1"/>
  <c r="AL22" i="9" s="1"/>
  <c r="M53" i="12"/>
  <c r="M121" i="12" s="1"/>
  <c r="M123" i="12" s="1"/>
  <c r="M51" i="12"/>
  <c r="AO48" i="9"/>
  <c r="AO229" i="1"/>
  <c r="AO95" i="1"/>
  <c r="J453" i="1"/>
  <c r="J89" i="1"/>
  <c r="AH30" i="1"/>
  <c r="O68" i="1"/>
  <c r="O69" i="1" s="1"/>
  <c r="O14" i="1"/>
  <c r="O15" i="9" s="1"/>
  <c r="AI32" i="9"/>
  <c r="AI87" i="1"/>
  <c r="AI88" i="1"/>
  <c r="AI90" i="1" s="1"/>
  <c r="AC45" i="1"/>
  <c r="AC24" i="9" s="1"/>
  <c r="AC43" i="1"/>
  <c r="AC22" i="9" s="1"/>
  <c r="AN14" i="1"/>
  <c r="AN15" i="9" s="1"/>
  <c r="CM203" i="12"/>
  <c r="CN197" i="12"/>
  <c r="T102" i="9"/>
  <c r="X103" i="9" s="1"/>
  <c r="T425" i="1"/>
  <c r="AP94" i="9"/>
  <c r="F341" i="1"/>
  <c r="F368" i="1" s="1"/>
  <c r="F445" i="1" s="1"/>
  <c r="F195" i="1"/>
  <c r="AO457" i="1"/>
  <c r="AK341" i="1"/>
  <c r="AK368" i="1" s="1"/>
  <c r="AK195" i="1"/>
  <c r="U98" i="9"/>
  <c r="AT217" i="1"/>
  <c r="AU217" i="1" s="1"/>
  <c r="AJ81" i="9"/>
  <c r="AO97" i="9"/>
  <c r="AG368" i="1"/>
  <c r="AK40" i="9"/>
  <c r="I55" i="9"/>
  <c r="I39" i="9"/>
  <c r="I44" i="9" s="1"/>
  <c r="O98" i="9"/>
  <c r="AL33" i="9"/>
  <c r="AL54" i="9" s="1"/>
  <c r="AL93" i="1"/>
  <c r="AL450" i="1" s="1"/>
  <c r="AE108" i="9"/>
  <c r="AE34" i="9"/>
  <c r="AK382" i="1"/>
  <c r="AA108" i="9"/>
  <c r="S103" i="9"/>
  <c r="R89" i="9"/>
  <c r="R103" i="9"/>
  <c r="Q103" i="9"/>
  <c r="I447" i="1"/>
  <c r="AN97" i="9"/>
  <c r="AN98" i="9" s="1"/>
  <c r="AN94" i="9"/>
  <c r="AL81" i="9"/>
  <c r="N97" i="9"/>
  <c r="AY349" i="1"/>
  <c r="AY200" i="1"/>
  <c r="AD341" i="1"/>
  <c r="AD195" i="1"/>
  <c r="AN103" i="9"/>
  <c r="R94" i="9"/>
  <c r="AN89" i="9"/>
  <c r="AQ341" i="1"/>
  <c r="AQ368" i="1" s="1"/>
  <c r="AQ195" i="1"/>
  <c r="C341" i="1"/>
  <c r="C368" i="1" s="1"/>
  <c r="C195" i="1"/>
  <c r="AP97" i="9"/>
  <c r="AP98" i="9" s="1"/>
  <c r="AZ434" i="1"/>
  <c r="AY251" i="1"/>
  <c r="AY10" i="9" s="1"/>
  <c r="AK81" i="9"/>
  <c r="K81" i="9"/>
  <c r="K231" i="1"/>
  <c r="AA97" i="9"/>
  <c r="AN341" i="1"/>
  <c r="AN368" i="1" s="1"/>
  <c r="AN195" i="1"/>
  <c r="Q97" i="9"/>
  <c r="AI330" i="1"/>
  <c r="AC40" i="9"/>
  <c r="V108" i="9"/>
  <c r="C156" i="1"/>
  <c r="M89" i="1"/>
  <c r="AU376" i="1"/>
  <c r="AP380" i="1"/>
  <c r="AH108" i="9"/>
  <c r="AH34" i="9"/>
  <c r="H55" i="9"/>
  <c r="H39" i="9"/>
  <c r="H44" i="9" s="1"/>
  <c r="AO53" i="9"/>
  <c r="AG381" i="1"/>
  <c r="O31" i="9"/>
  <c r="O54" i="9" s="1"/>
  <c r="O378" i="1"/>
  <c r="O377" i="1"/>
  <c r="O376" i="1"/>
  <c r="O153" i="1"/>
  <c r="O156" i="1" s="1"/>
  <c r="O15" i="1"/>
  <c r="O16" i="9" s="1"/>
  <c r="AD28" i="9"/>
  <c r="AD53" i="1"/>
  <c r="AM81" i="9"/>
  <c r="W81" i="9"/>
  <c r="U54" i="9"/>
  <c r="AF108" i="9"/>
  <c r="AF34" i="9"/>
  <c r="AE54" i="9"/>
  <c r="AM376" i="1"/>
  <c r="E108" i="9"/>
  <c r="E34" i="9"/>
  <c r="E81" i="9"/>
  <c r="E230" i="1"/>
  <c r="O116" i="1"/>
  <c r="AQ30" i="1"/>
  <c r="AQ34" i="1"/>
  <c r="AJ33" i="9"/>
  <c r="AJ54" i="9" s="1"/>
  <c r="AJ93" i="1"/>
  <c r="AJ450" i="1" s="1"/>
  <c r="V32" i="9"/>
  <c r="V53" i="9" s="1"/>
  <c r="V153" i="1"/>
  <c r="V156" i="1" s="1"/>
  <c r="V88" i="1"/>
  <c r="V90" i="1" s="1"/>
  <c r="V87" i="1"/>
  <c r="Q33" i="9"/>
  <c r="Q54" i="9" s="1"/>
  <c r="Q93" i="1"/>
  <c r="AK108" i="9"/>
  <c r="AK34" i="9"/>
  <c r="K108" i="9"/>
  <c r="K34" i="9"/>
  <c r="G89" i="1"/>
  <c r="M45" i="1"/>
  <c r="M24" i="9" s="1"/>
  <c r="M43" i="1"/>
  <c r="M22" i="9" s="1"/>
  <c r="AJ14" i="9"/>
  <c r="E54" i="9"/>
  <c r="R162" i="1"/>
  <c r="R157" i="1"/>
  <c r="R94" i="1"/>
  <c r="R453" i="1" s="1"/>
  <c r="E48" i="9"/>
  <c r="E229" i="1"/>
  <c r="E95" i="1"/>
  <c r="O93" i="1"/>
  <c r="O450" i="1" s="1"/>
  <c r="E53" i="12"/>
  <c r="E121" i="12" s="1"/>
  <c r="E123" i="12" s="1"/>
  <c r="E51" i="12"/>
  <c r="AP48" i="9"/>
  <c r="AP229" i="1"/>
  <c r="AP95" i="1"/>
  <c r="M92" i="10"/>
  <c r="AO100" i="9"/>
  <c r="AO101" i="9" s="1"/>
  <c r="AO167" i="1"/>
  <c r="AO99" i="1"/>
  <c r="W30" i="1"/>
  <c r="AN15" i="1"/>
  <c r="AN16" i="9" s="1"/>
  <c r="AL129" i="1"/>
  <c r="AL134" i="1" s="1"/>
  <c r="AL116" i="1"/>
  <c r="I21" i="12"/>
  <c r="H111" i="12"/>
  <c r="CN199" i="12"/>
  <c r="CM205" i="12"/>
  <c r="AT449" i="1"/>
  <c r="AT198" i="1"/>
  <c r="AI88" i="9"/>
  <c r="AI435" i="1"/>
  <c r="AO341" i="1"/>
  <c r="AO368" i="1" s="1"/>
  <c r="AO195" i="1"/>
  <c r="H341" i="1"/>
  <c r="H368" i="1" s="1"/>
  <c r="H195" i="1"/>
  <c r="AO460" i="1"/>
  <c r="G312" i="1"/>
  <c r="K382" i="1"/>
  <c r="D89" i="9"/>
  <c r="U94" i="9"/>
  <c r="Y103" i="9"/>
  <c r="T93" i="9"/>
  <c r="T94" i="9" s="1"/>
  <c r="T447" i="1"/>
  <c r="T437" i="1"/>
  <c r="AQ94" i="9"/>
  <c r="AG341" i="1"/>
  <c r="AG195" i="1"/>
  <c r="AN81" i="9"/>
  <c r="N94" i="9"/>
  <c r="AJ457" i="1"/>
  <c r="AF341" i="1"/>
  <c r="AF195" i="1"/>
  <c r="AJ341" i="1"/>
  <c r="AJ368" i="1" s="1"/>
  <c r="AJ445" i="1" s="1"/>
  <c r="AJ195" i="1"/>
  <c r="AD81" i="9"/>
  <c r="P459" i="1"/>
  <c r="C104" i="9"/>
  <c r="AC341" i="1"/>
  <c r="AC368" i="1" s="1"/>
  <c r="AC195" i="1"/>
  <c r="Z368" i="1"/>
  <c r="AH368" i="1"/>
  <c r="AP81" i="9"/>
  <c r="R97" i="9"/>
  <c r="AN382" i="1"/>
  <c r="AS378" i="1"/>
  <c r="AX378" i="1" s="1"/>
  <c r="Y341" i="1"/>
  <c r="Y195" i="1"/>
  <c r="AJ108" i="9"/>
  <c r="L108" i="9"/>
  <c r="AK97" i="9"/>
  <c r="AR96" i="9"/>
  <c r="AR97" i="9" s="1"/>
  <c r="AR8" i="9"/>
  <c r="AR443" i="1"/>
  <c r="AS218" i="1"/>
  <c r="AR216" i="1"/>
  <c r="AR406" i="1" s="1"/>
  <c r="C98" i="9"/>
  <c r="U40" i="9"/>
  <c r="AL376" i="1"/>
  <c r="AL380" i="1" s="1"/>
  <c r="F108" i="9"/>
  <c r="F34" i="9"/>
  <c r="L32" i="9"/>
  <c r="L53" i="9" s="1"/>
  <c r="L153" i="1"/>
  <c r="L156" i="1" s="1"/>
  <c r="L87" i="1"/>
  <c r="L88" i="1"/>
  <c r="L90" i="1" s="1"/>
  <c r="AV376" i="1"/>
  <c r="Z382" i="1"/>
  <c r="E453" i="1"/>
  <c r="E89" i="1"/>
  <c r="AU377" i="1"/>
  <c r="AP381" i="1"/>
  <c r="Y31" i="9"/>
  <c r="Y376" i="1"/>
  <c r="AD380" i="1" s="1"/>
  <c r="Y377" i="1"/>
  <c r="Y378" i="1"/>
  <c r="Y15" i="1"/>
  <c r="Y16" i="9" s="1"/>
  <c r="Y153" i="1"/>
  <c r="Y156" i="1" s="1"/>
  <c r="S40" i="9"/>
  <c r="AE53" i="9"/>
  <c r="AG380" i="1"/>
  <c r="V33" i="9"/>
  <c r="V54" i="9" s="1"/>
  <c r="V93" i="1"/>
  <c r="V450" i="1" s="1"/>
  <c r="S33" i="9"/>
  <c r="S54" i="9" s="1"/>
  <c r="S93" i="1"/>
  <c r="AM377" i="1"/>
  <c r="R54" i="9"/>
  <c r="AC377" i="1"/>
  <c r="AC381" i="1" s="1"/>
  <c r="AE31" i="1"/>
  <c r="G33" i="9"/>
  <c r="G93" i="1"/>
  <c r="G450" i="1" s="1"/>
  <c r="S376" i="1"/>
  <c r="S380" i="1" s="1"/>
  <c r="AE38" i="1"/>
  <c r="AH53" i="9"/>
  <c r="R376" i="1"/>
  <c r="R380" i="1" s="1"/>
  <c r="T444" i="1"/>
  <c r="T26" i="1"/>
  <c r="T11" i="1"/>
  <c r="T14" i="9" s="1"/>
  <c r="E100" i="9"/>
  <c r="E101" i="9" s="1"/>
  <c r="E167" i="1"/>
  <c r="E182" i="1" s="1"/>
  <c r="E99" i="1"/>
  <c r="Y43" i="1"/>
  <c r="Y22" i="9" s="1"/>
  <c r="C512" i="1"/>
  <c r="J444" i="1"/>
  <c r="J26" i="1"/>
  <c r="J53" i="9"/>
  <c r="AN94" i="1"/>
  <c r="AN453" i="1" s="1"/>
  <c r="AN162" i="1"/>
  <c r="AN157" i="1"/>
  <c r="AG37" i="1"/>
  <c r="AI444" i="1"/>
  <c r="AI97" i="1"/>
  <c r="AI31" i="1"/>
  <c r="AI11" i="1"/>
  <c r="AI26" i="1"/>
  <c r="I48" i="9"/>
  <c r="I229" i="1"/>
  <c r="I95" i="1"/>
  <c r="AQ37" i="1"/>
  <c r="AQ44" i="1" s="1"/>
  <c r="AQ23" i="9" s="1"/>
  <c r="CN196" i="12"/>
  <c r="CM202" i="12"/>
  <c r="Z38" i="1"/>
  <c r="P104" i="9"/>
  <c r="W89" i="9"/>
  <c r="F104" i="9"/>
  <c r="AJ98" i="9"/>
  <c r="AJ32" i="9"/>
  <c r="AJ53" i="9" s="1"/>
  <c r="AJ87" i="1"/>
  <c r="AJ88" i="1"/>
  <c r="AJ90" i="1" s="1"/>
  <c r="AJ153" i="1"/>
  <c r="E94" i="9"/>
  <c r="AK94" i="9"/>
  <c r="Q94" i="9"/>
  <c r="F382" i="1"/>
  <c r="M162" i="1"/>
  <c r="M157" i="1"/>
  <c r="M94" i="1"/>
  <c r="M453" i="1" s="1"/>
  <c r="H94" i="1"/>
  <c r="H453" i="1" s="1"/>
  <c r="H162" i="1"/>
  <c r="H157" i="1"/>
  <c r="AG382" i="1"/>
  <c r="AF382" i="1"/>
  <c r="U81" i="9"/>
  <c r="AA33" i="9"/>
  <c r="AA54" i="9" s="1"/>
  <c r="AA93" i="1"/>
  <c r="T31" i="9"/>
  <c r="T378" i="1"/>
  <c r="T377" i="1"/>
  <c r="T381" i="1" s="1"/>
  <c r="T376" i="1"/>
  <c r="T15" i="1"/>
  <c r="T16" i="9" s="1"/>
  <c r="T87" i="1"/>
  <c r="T153" i="1"/>
  <c r="T156" i="1" s="1"/>
  <c r="T93" i="1"/>
  <c r="T450" i="1" s="1"/>
  <c r="J28" i="9"/>
  <c r="J53" i="1"/>
  <c r="Q89" i="9"/>
  <c r="L93" i="9"/>
  <c r="L94" i="9" s="1"/>
  <c r="L447" i="1"/>
  <c r="L437" i="1"/>
  <c r="AB103" i="9"/>
  <c r="T88" i="9"/>
  <c r="T435" i="1"/>
  <c r="AD93" i="9"/>
  <c r="AD94" i="9" s="1"/>
  <c r="AD437" i="1"/>
  <c r="AD447" i="1"/>
  <c r="AO89" i="9"/>
  <c r="AF81" i="9"/>
  <c r="Y368" i="1"/>
  <c r="D341" i="1"/>
  <c r="D368" i="1" s="1"/>
  <c r="D195" i="1"/>
  <c r="V81" i="9"/>
  <c r="AD97" i="9"/>
  <c r="AD98" i="9" s="1"/>
  <c r="S447" i="1"/>
  <c r="AS376" i="1"/>
  <c r="AX376" i="1" s="1"/>
  <c r="AN380" i="1"/>
  <c r="U341" i="1"/>
  <c r="U368" i="1" s="1"/>
  <c r="U195" i="1"/>
  <c r="AI102" i="9"/>
  <c r="AI425" i="1"/>
  <c r="J94" i="9"/>
  <c r="J104" i="9" s="1"/>
  <c r="E89" i="9"/>
  <c r="E98" i="9" s="1"/>
  <c r="X368" i="1"/>
  <c r="AE457" i="1"/>
  <c r="AA341" i="1"/>
  <c r="AA195" i="1"/>
  <c r="AH81" i="9"/>
  <c r="AB380" i="1"/>
  <c r="M97" i="9"/>
  <c r="AT459" i="1"/>
  <c r="AS309" i="1"/>
  <c r="T97" i="9"/>
  <c r="AH447" i="1"/>
  <c r="AL311" i="1"/>
  <c r="AK312" i="1"/>
  <c r="AQ97" i="9"/>
  <c r="AQ98" i="9" s="1"/>
  <c r="AG97" i="9"/>
  <c r="AG98" i="9" s="1"/>
  <c r="M40" i="9"/>
  <c r="AL377" i="1"/>
  <c r="AL381" i="1" s="1"/>
  <c r="AD349" i="1"/>
  <c r="AE459" i="1" s="1"/>
  <c r="AD200" i="1"/>
  <c r="AG32" i="9"/>
  <c r="AG53" i="9" s="1"/>
  <c r="AG88" i="1"/>
  <c r="AG90" i="1" s="1"/>
  <c r="AG87" i="1"/>
  <c r="AV377" i="1"/>
  <c r="Z108" i="9"/>
  <c r="Z34" i="9"/>
  <c r="AU378" i="1"/>
  <c r="AP382" i="1"/>
  <c r="P157" i="1"/>
  <c r="P94" i="1"/>
  <c r="P453" i="1" s="1"/>
  <c r="P162" i="1"/>
  <c r="O111" i="9"/>
  <c r="O72" i="9"/>
  <c r="O61" i="9"/>
  <c r="AQ33" i="9"/>
  <c r="AQ54" i="9" s="1"/>
  <c r="AQ93" i="1"/>
  <c r="AQ156" i="1"/>
  <c r="S53" i="9"/>
  <c r="AG108" i="9"/>
  <c r="R53" i="9"/>
  <c r="W377" i="1"/>
  <c r="AL40" i="9"/>
  <c r="AM156" i="1"/>
  <c r="AM378" i="1"/>
  <c r="AD31" i="9"/>
  <c r="AD378" i="1"/>
  <c r="AI382" i="1" s="1"/>
  <c r="AD377" i="1"/>
  <c r="AD153" i="1"/>
  <c r="AD156" i="1" s="1"/>
  <c r="AD88" i="1"/>
  <c r="AD90" i="1" s="1"/>
  <c r="AD15" i="1"/>
  <c r="AD16" i="9" s="1"/>
  <c r="AD87" i="1"/>
  <c r="T28" i="9"/>
  <c r="T53" i="1"/>
  <c r="AE210" i="1"/>
  <c r="AE211" i="1" s="1"/>
  <c r="AE212" i="1" s="1"/>
  <c r="V40" i="9"/>
  <c r="H54" i="9"/>
  <c r="AC378" i="1"/>
  <c r="AB33" i="9"/>
  <c r="AB54" i="9" s="1"/>
  <c r="AB93" i="1"/>
  <c r="AB450" i="1" s="1"/>
  <c r="N32" i="9"/>
  <c r="N53" i="9" s="1"/>
  <c r="N88" i="1"/>
  <c r="N90" i="1" s="1"/>
  <c r="N153" i="1"/>
  <c r="N156" i="1" s="1"/>
  <c r="N87" i="1"/>
  <c r="AK162" i="1"/>
  <c r="AK157" i="1"/>
  <c r="AK94" i="1"/>
  <c r="AK453" i="1" s="1"/>
  <c r="S377" i="1"/>
  <c r="S381" i="1" s="1"/>
  <c r="R377" i="1"/>
  <c r="R381" i="1" s="1"/>
  <c r="Y11" i="1"/>
  <c r="Y14" i="9" s="1"/>
  <c r="P110" i="10"/>
  <c r="O110" i="10"/>
  <c r="M100" i="10"/>
  <c r="AN34" i="9"/>
  <c r="AN89" i="1"/>
  <c r="AD444" i="1"/>
  <c r="AD31" i="1"/>
  <c r="AD26" i="1"/>
  <c r="AD11" i="1"/>
  <c r="AD14" i="9" s="1"/>
  <c r="I100" i="9"/>
  <c r="I167" i="1"/>
  <c r="I99" i="1"/>
  <c r="CN198" i="12"/>
  <c r="CM204" i="12"/>
  <c r="O11" i="1"/>
  <c r="O14" i="9" s="1"/>
  <c r="W103" i="9"/>
  <c r="R81" i="9"/>
  <c r="AQ108" i="9"/>
  <c r="AQ34" i="9"/>
  <c r="AH157" i="1"/>
  <c r="AH162" i="1"/>
  <c r="AH94" i="1"/>
  <c r="AH453" i="1" s="1"/>
  <c r="AG103" i="9"/>
  <c r="E341" i="1"/>
  <c r="E368" i="1" s="1"/>
  <c r="E195" i="1"/>
  <c r="E231" i="1" s="1"/>
  <c r="R341" i="1"/>
  <c r="R368" i="1" s="1"/>
  <c r="R195" i="1"/>
  <c r="U162" i="1"/>
  <c r="U157" i="1"/>
  <c r="U24" i="14" s="1"/>
  <c r="U25" i="14" s="1"/>
  <c r="U94" i="1"/>
  <c r="X108" i="9"/>
  <c r="X34" i="9"/>
  <c r="D93" i="9"/>
  <c r="D94" i="9" s="1"/>
  <c r="D447" i="1"/>
  <c r="D437" i="1"/>
  <c r="Y88" i="9"/>
  <c r="Y435" i="1"/>
  <c r="Y437" i="1" s="1"/>
  <c r="K88" i="9"/>
  <c r="K89" i="9" s="1"/>
  <c r="K435" i="1"/>
  <c r="K437" i="1" s="1"/>
  <c r="AO94" i="9"/>
  <c r="O94" i="9"/>
  <c r="AP368" i="1"/>
  <c r="U457" i="1"/>
  <c r="Q341" i="1"/>
  <c r="Q195" i="1"/>
  <c r="X81" i="9"/>
  <c r="AF97" i="9"/>
  <c r="AF98" i="9" s="1"/>
  <c r="AF94" i="9"/>
  <c r="X341" i="1"/>
  <c r="X195" i="1"/>
  <c r="AY449" i="1"/>
  <c r="AY198" i="1"/>
  <c r="AY60" i="9" s="1"/>
  <c r="N81" i="9"/>
  <c r="F98" i="9"/>
  <c r="S94" i="9"/>
  <c r="S368" i="1"/>
  <c r="U460" i="1"/>
  <c r="AS377" i="1"/>
  <c r="AX377" i="1" s="1"/>
  <c r="Y309" i="1"/>
  <c r="Y312" i="1" s="1"/>
  <c r="Z81" i="9"/>
  <c r="Z231" i="1"/>
  <c r="AH97" i="9"/>
  <c r="AH98" i="9" s="1"/>
  <c r="AH94" i="9"/>
  <c r="S97" i="9"/>
  <c r="S98" i="9" s="1"/>
  <c r="AP341" i="1"/>
  <c r="AP195" i="1"/>
  <c r="E40" i="9"/>
  <c r="AL378" i="1"/>
  <c r="AL382" i="1" s="1"/>
  <c r="AO230" i="1"/>
  <c r="D32" i="9"/>
  <c r="D53" i="9" s="1"/>
  <c r="D87" i="1"/>
  <c r="D88" i="1"/>
  <c r="D90" i="1" s="1"/>
  <c r="D153" i="1"/>
  <c r="W32" i="9"/>
  <c r="W53" i="9" s="1"/>
  <c r="W88" i="1"/>
  <c r="W90" i="1" s="1"/>
  <c r="W87" i="1"/>
  <c r="AV378" i="1"/>
  <c r="Q382" i="1"/>
  <c r="AT36" i="9"/>
  <c r="AP108" i="9"/>
  <c r="AP34" i="9"/>
  <c r="K40" i="9"/>
  <c r="AG54" i="9"/>
  <c r="AO380" i="1"/>
  <c r="X94" i="1"/>
  <c r="X453" i="1" s="1"/>
  <c r="X157" i="1"/>
  <c r="X162" i="1"/>
  <c r="AM97" i="9"/>
  <c r="W97" i="9"/>
  <c r="H53" i="9"/>
  <c r="W378" i="1"/>
  <c r="N33" i="9"/>
  <c r="N54" i="9" s="1"/>
  <c r="N93" i="1"/>
  <c r="N450" i="1" s="1"/>
  <c r="AC162" i="1"/>
  <c r="AC157" i="1"/>
  <c r="AC94" i="1"/>
  <c r="AC453" i="1" s="1"/>
  <c r="AM108" i="9"/>
  <c r="AM34" i="9"/>
  <c r="M108" i="9"/>
  <c r="M34" i="9"/>
  <c r="AD116" i="1"/>
  <c r="AE111" i="9"/>
  <c r="AE83" i="9"/>
  <c r="AE80" i="9" s="1"/>
  <c r="AE72" i="9"/>
  <c r="AE61" i="9"/>
  <c r="Q162" i="1"/>
  <c r="Q157" i="1"/>
  <c r="Q94" i="1"/>
  <c r="AC108" i="9"/>
  <c r="AC34" i="9"/>
  <c r="AN123" i="1"/>
  <c r="AN127" i="1" s="1"/>
  <c r="AN112" i="1"/>
  <c r="AN114" i="1" s="1"/>
  <c r="AA156" i="1"/>
  <c r="S378" i="1"/>
  <c r="S382" i="1" s="1"/>
  <c r="K37" i="1"/>
  <c r="Z59" i="9"/>
  <c r="Z196" i="1"/>
  <c r="Z209" i="1"/>
  <c r="AL32" i="9"/>
  <c r="AL53" i="9" s="1"/>
  <c r="AL88" i="1"/>
  <c r="AL90" i="1" s="1"/>
  <c r="AL153" i="1"/>
  <c r="AL156" i="1" s="1"/>
  <c r="AL87" i="1"/>
  <c r="M53" i="9"/>
  <c r="R378" i="1"/>
  <c r="R382" i="1" s="1"/>
  <c r="T14" i="1"/>
  <c r="T15" i="9" s="1"/>
  <c r="W49" i="12"/>
  <c r="N53" i="12"/>
  <c r="N51" i="12"/>
  <c r="B532" i="1"/>
  <c r="E523" i="1" s="1"/>
  <c r="B531" i="1"/>
  <c r="B4" i="1" s="1"/>
  <c r="B3" i="1" s="1"/>
  <c r="AS486" i="1"/>
  <c r="AS492" i="1" s="1"/>
  <c r="AV485" i="1"/>
  <c r="BB485" i="1"/>
  <c r="BB486" i="1" s="1"/>
  <c r="AT485" i="1"/>
  <c r="AX486" i="1"/>
  <c r="AX490" i="1" s="1"/>
  <c r="BA485" i="1"/>
  <c r="BA486" i="1" s="1"/>
  <c r="AS485" i="1"/>
  <c r="AY485" i="1"/>
  <c r="AY486" i="1" s="1"/>
  <c r="AU486" i="1"/>
  <c r="AU488" i="1" s="1"/>
  <c r="AU150" i="1" s="1"/>
  <c r="AX485" i="1"/>
  <c r="AR485" i="1"/>
  <c r="AT486" i="1"/>
  <c r="AT492" i="1" s="1"/>
  <c r="AR486" i="1"/>
  <c r="AR487" i="1" s="1"/>
  <c r="AR91" i="1" s="1"/>
  <c r="AZ485" i="1"/>
  <c r="AZ486" i="1" s="1"/>
  <c r="AU485" i="1"/>
  <c r="AV486" i="1" s="1"/>
  <c r="AW485" i="1"/>
  <c r="AW486" i="1" s="1"/>
  <c r="A2" i="1"/>
  <c r="AO129" i="1"/>
  <c r="AO134" i="1" s="1"/>
  <c r="AO116" i="1"/>
  <c r="S53" i="12"/>
  <c r="S51" i="12"/>
  <c r="X49" i="12"/>
  <c r="V49" i="12"/>
  <c r="AN54" i="9"/>
  <c r="AN444" i="1"/>
  <c r="AN31" i="1"/>
  <c r="AO31" i="1" s="1"/>
  <c r="AN26" i="1"/>
  <c r="AN11" i="1"/>
  <c r="AN14" i="9" s="1"/>
  <c r="T45" i="1"/>
  <c r="T24" i="9" s="1"/>
  <c r="T43" i="1"/>
  <c r="T22" i="9" s="1"/>
  <c r="AR39" i="1"/>
  <c r="AM30" i="1"/>
  <c r="O53" i="12"/>
  <c r="O121" i="12" s="1"/>
  <c r="O123" i="12" s="1"/>
  <c r="O51" i="12"/>
  <c r="O26" i="1"/>
  <c r="M8" i="10"/>
  <c r="M19" i="10"/>
  <c r="M12" i="10"/>
  <c r="M70" i="10"/>
  <c r="R98" i="9" l="1"/>
  <c r="AD381" i="1"/>
  <c r="T382" i="1"/>
  <c r="AJ34" i="9"/>
  <c r="C34" i="9"/>
  <c r="T380" i="1"/>
  <c r="AH381" i="1"/>
  <c r="W382" i="1"/>
  <c r="S34" i="9"/>
  <c r="E127" i="13"/>
  <c r="C127" i="13"/>
  <c r="F124" i="13"/>
  <c r="F241" i="14"/>
  <c r="W381" i="1"/>
  <c r="D149" i="13"/>
  <c r="R28" i="14"/>
  <c r="C365" i="14"/>
  <c r="O39" i="14"/>
  <c r="V35" i="14"/>
  <c r="V40" i="14"/>
  <c r="J64" i="14"/>
  <c r="V25" i="14"/>
  <c r="V38" i="14"/>
  <c r="C149" i="13"/>
  <c r="AQ381" i="1"/>
  <c r="B149" i="13"/>
  <c r="D156" i="1"/>
  <c r="P28" i="14"/>
  <c r="AB381" i="1"/>
  <c r="P230" i="1"/>
  <c r="T24" i="14"/>
  <c r="T25" i="14" s="1"/>
  <c r="AJ156" i="1"/>
  <c r="AJ157" i="1" s="1"/>
  <c r="X28" i="14"/>
  <c r="AI381" i="1"/>
  <c r="B124" i="13"/>
  <c r="U453" i="1"/>
  <c r="B18" i="13"/>
  <c r="E129" i="13"/>
  <c r="E131" i="13" s="1"/>
  <c r="C129" i="13"/>
  <c r="C131" i="13" s="1"/>
  <c r="W40" i="14"/>
  <c r="W35" i="14"/>
  <c r="W36" i="14" s="1"/>
  <c r="W37" i="14" s="1"/>
  <c r="K64" i="14"/>
  <c r="W25" i="14"/>
  <c r="D127" i="13"/>
  <c r="AS491" i="1"/>
  <c r="K54" i="13"/>
  <c r="L36" i="13"/>
  <c r="H138" i="13" a="1"/>
  <c r="H138" i="13" s="1"/>
  <c r="K72" i="13"/>
  <c r="J40" i="13"/>
  <c r="K39" i="13"/>
  <c r="J55" i="13"/>
  <c r="J72" i="13"/>
  <c r="J74" i="13" s="1"/>
  <c r="C124" i="13"/>
  <c r="B129" i="13"/>
  <c r="B131" i="13" s="1"/>
  <c r="B135" i="13"/>
  <c r="F135" i="13"/>
  <c r="D124" i="13"/>
  <c r="E124" i="13"/>
  <c r="D135" i="13"/>
  <c r="B127" i="13"/>
  <c r="H127" i="13" s="1" a="1"/>
  <c r="H127" i="13" s="1"/>
  <c r="B26" i="13" s="1"/>
  <c r="F129" i="13"/>
  <c r="F131" i="13" s="1"/>
  <c r="E135" i="13"/>
  <c r="C135" i="13"/>
  <c r="D129" i="13"/>
  <c r="D131" i="13" s="1"/>
  <c r="Q34" i="13"/>
  <c r="G34" i="13"/>
  <c r="F127" i="13"/>
  <c r="K73" i="13"/>
  <c r="AT487" i="1"/>
  <c r="AT91" i="1" s="1"/>
  <c r="AT490" i="1"/>
  <c r="AT491" i="1"/>
  <c r="H227" i="14"/>
  <c r="H237" i="14" s="1"/>
  <c r="H216" i="14"/>
  <c r="H229" i="14"/>
  <c r="H239" i="14" s="1"/>
  <c r="H218" i="14"/>
  <c r="H225" i="14"/>
  <c r="H235" i="14" s="1"/>
  <c r="H214" i="14"/>
  <c r="F254" i="14"/>
  <c r="L199" i="14"/>
  <c r="AI197" i="14"/>
  <c r="N250" i="14"/>
  <c r="N251" i="14" s="1"/>
  <c r="N252" i="14" s="1"/>
  <c r="N253" i="14" s="1"/>
  <c r="N254" i="14" s="1"/>
  <c r="G339" i="14" s="1"/>
  <c r="G340" i="14" s="1"/>
  <c r="G341" i="14" s="1"/>
  <c r="O248" i="14"/>
  <c r="H230" i="14"/>
  <c r="H240" i="14" s="1"/>
  <c r="H219" i="14"/>
  <c r="H228" i="14"/>
  <c r="H238" i="14" s="1"/>
  <c r="H217" i="14"/>
  <c r="Y157" i="14"/>
  <c r="Y162" i="14" s="1"/>
  <c r="Z152" i="14"/>
  <c r="I208" i="14"/>
  <c r="I210" i="14"/>
  <c r="I205" i="14"/>
  <c r="I203" i="14"/>
  <c r="J202" i="14"/>
  <c r="I207" i="14"/>
  <c r="I209" i="14"/>
  <c r="I206" i="14"/>
  <c r="I204" i="14"/>
  <c r="AR488" i="1"/>
  <c r="AR150" i="1" s="1"/>
  <c r="P231" i="14"/>
  <c r="Y25" i="14"/>
  <c r="Y38" i="14"/>
  <c r="M24" i="14"/>
  <c r="H224" i="14"/>
  <c r="H234" i="14" s="1"/>
  <c r="H213" i="14"/>
  <c r="K276" i="14"/>
  <c r="AT488" i="1"/>
  <c r="AT150" i="1" s="1"/>
  <c r="H226" i="14"/>
  <c r="H236" i="14" s="1"/>
  <c r="H215" i="14"/>
  <c r="H231" i="14"/>
  <c r="H241" i="14" s="1"/>
  <c r="H220" i="14"/>
  <c r="H211" i="14"/>
  <c r="AU490" i="1"/>
  <c r="AT489" i="1"/>
  <c r="AR489" i="1"/>
  <c r="AR490" i="1"/>
  <c r="AR491" i="1"/>
  <c r="AU491" i="1"/>
  <c r="O70" i="10"/>
  <c r="P70" i="10"/>
  <c r="P12" i="10"/>
  <c r="O12" i="10"/>
  <c r="P19" i="10"/>
  <c r="O19" i="10"/>
  <c r="P8" i="10"/>
  <c r="O8" i="10"/>
  <c r="E516" i="1"/>
  <c r="E514" i="1"/>
  <c r="E512" i="1" s="1"/>
  <c r="E509" i="1"/>
  <c r="E507" i="1"/>
  <c r="E505" i="1" s="1"/>
  <c r="E245" i="1" s="1"/>
  <c r="E502" i="1"/>
  <c r="E500" i="1"/>
  <c r="E498" i="1" s="1"/>
  <c r="E244" i="1" s="1"/>
  <c r="AY488" i="1"/>
  <c r="AY150" i="1" s="1"/>
  <c r="AY487" i="1"/>
  <c r="AY91" i="1" s="1"/>
  <c r="AY491" i="1"/>
  <c r="AY492" i="1"/>
  <c r="AY489" i="1"/>
  <c r="AY490" i="1"/>
  <c r="AN445" i="1"/>
  <c r="P445" i="1"/>
  <c r="O445" i="1"/>
  <c r="AW487" i="1"/>
  <c r="AW91" i="1" s="1"/>
  <c r="AW490" i="1"/>
  <c r="AW491" i="1"/>
  <c r="AW488" i="1"/>
  <c r="AW150" i="1" s="1"/>
  <c r="AW489" i="1"/>
  <c r="AW492" i="1"/>
  <c r="C445" i="1"/>
  <c r="C371" i="1"/>
  <c r="AV492" i="1"/>
  <c r="AV491" i="1"/>
  <c r="AV490" i="1"/>
  <c r="AV488" i="1"/>
  <c r="AV150" i="1" s="1"/>
  <c r="AV489" i="1"/>
  <c r="AV487" i="1"/>
  <c r="AV91" i="1" s="1"/>
  <c r="BB489" i="1"/>
  <c r="BB491" i="1"/>
  <c r="BB490" i="1"/>
  <c r="BB492" i="1"/>
  <c r="BB487" i="1"/>
  <c r="BB91" i="1" s="1"/>
  <c r="BB488" i="1"/>
  <c r="BB150" i="1" s="1"/>
  <c r="AC445" i="1"/>
  <c r="AB445" i="1"/>
  <c r="AZ487" i="1"/>
  <c r="AZ91" i="1" s="1"/>
  <c r="AZ489" i="1"/>
  <c r="AZ488" i="1"/>
  <c r="AZ150" i="1" s="1"/>
  <c r="AZ490" i="1"/>
  <c r="AZ491" i="1"/>
  <c r="AZ492" i="1"/>
  <c r="BA492" i="1"/>
  <c r="BA488" i="1"/>
  <c r="BA150" i="1" s="1"/>
  <c r="BA491" i="1"/>
  <c r="BA490" i="1"/>
  <c r="BA487" i="1"/>
  <c r="BA91" i="1" s="1"/>
  <c r="BA489" i="1"/>
  <c r="M445" i="1"/>
  <c r="Q100" i="9"/>
  <c r="Q167" i="1"/>
  <c r="Q99" i="1"/>
  <c r="S445" i="1"/>
  <c r="AI103" i="9"/>
  <c r="AL103" i="9"/>
  <c r="AK103" i="9"/>
  <c r="AK104" i="9" s="1"/>
  <c r="M48" i="9"/>
  <c r="M229" i="1"/>
  <c r="M95" i="1"/>
  <c r="AN104" i="9"/>
  <c r="F59" i="9"/>
  <c r="F209" i="1"/>
  <c r="F196" i="1"/>
  <c r="Z48" i="9"/>
  <c r="Z229" i="1"/>
  <c r="Z95" i="1"/>
  <c r="AM59" i="9"/>
  <c r="AM196" i="1"/>
  <c r="AM209" i="1"/>
  <c r="AM210" i="1" s="1"/>
  <c r="AM211" i="1" s="1"/>
  <c r="AM212" i="1" s="1"/>
  <c r="Y89" i="1"/>
  <c r="AA59" i="9"/>
  <c r="AA209" i="1"/>
  <c r="AA210" i="1" s="1"/>
  <c r="AA211" i="1" s="1"/>
  <c r="AA212" i="1" s="1"/>
  <c r="AA196" i="1"/>
  <c r="U59" i="9"/>
  <c r="U209" i="1"/>
  <c r="U196" i="1"/>
  <c r="P89" i="9"/>
  <c r="M100" i="9"/>
  <c r="M167" i="1"/>
  <c r="M99" i="1"/>
  <c r="AI14" i="9"/>
  <c r="Z445" i="1"/>
  <c r="AE445" i="1"/>
  <c r="J21" i="12"/>
  <c r="I111" i="12"/>
  <c r="E55" i="9"/>
  <c r="E39" i="9"/>
  <c r="E44" i="9" s="1"/>
  <c r="O108" i="9"/>
  <c r="O34" i="9"/>
  <c r="AQ59" i="9"/>
  <c r="AQ209" i="1"/>
  <c r="AQ210" i="1" s="1"/>
  <c r="AQ211" i="1" s="1"/>
  <c r="AQ212" i="1" s="1"/>
  <c r="AQ196" i="1"/>
  <c r="AG445" i="1"/>
  <c r="O53" i="9"/>
  <c r="AE104" i="9"/>
  <c r="AM445" i="1"/>
  <c r="J100" i="9"/>
  <c r="J167" i="1"/>
  <c r="J99" i="1"/>
  <c r="AI108" i="9"/>
  <c r="AI34" i="9"/>
  <c r="L59" i="9"/>
  <c r="L209" i="1"/>
  <c r="L210" i="1" s="1"/>
  <c r="L211" i="1" s="1"/>
  <c r="L212" i="1" s="1"/>
  <c r="L196" i="1"/>
  <c r="AX489" i="1"/>
  <c r="AR19" i="9"/>
  <c r="AS36" i="1"/>
  <c r="AS487" i="1"/>
  <c r="AS91" i="1" s="1"/>
  <c r="AU489" i="1"/>
  <c r="AS488" i="1"/>
  <c r="AS150" i="1" s="1"/>
  <c r="AU248" i="1"/>
  <c r="BB248" i="1"/>
  <c r="AT248" i="1"/>
  <c r="BA248" i="1"/>
  <c r="AS248" i="1"/>
  <c r="AZ248" i="1"/>
  <c r="AR248" i="1"/>
  <c r="AY248" i="1"/>
  <c r="AX248" i="1"/>
  <c r="AW248" i="1"/>
  <c r="AV248" i="1"/>
  <c r="K44" i="1"/>
  <c r="K23" i="9" s="1"/>
  <c r="K39" i="1"/>
  <c r="Q48" i="9"/>
  <c r="Q229" i="1"/>
  <c r="Q95" i="1"/>
  <c r="AQ382" i="1"/>
  <c r="AO104" i="9"/>
  <c r="AO105" i="9" s="1"/>
  <c r="R59" i="9"/>
  <c r="R196" i="1"/>
  <c r="R209" i="1"/>
  <c r="R210" i="1" s="1"/>
  <c r="R211" i="1" s="1"/>
  <c r="R212" i="1" s="1"/>
  <c r="AQ55" i="9"/>
  <c r="AQ39" i="9"/>
  <c r="AQ44" i="9" s="1"/>
  <c r="AK48" i="9"/>
  <c r="AK229" i="1"/>
  <c r="AK95" i="1"/>
  <c r="AC382" i="1"/>
  <c r="AM382" i="1"/>
  <c r="AR378" i="1"/>
  <c r="AW378" i="1" s="1"/>
  <c r="P100" i="9"/>
  <c r="P101" i="9" s="1"/>
  <c r="P105" i="9" s="1"/>
  <c r="P167" i="1"/>
  <c r="P99" i="1"/>
  <c r="T89" i="9"/>
  <c r="V89" i="9"/>
  <c r="I122" i="9"/>
  <c r="I56" i="9"/>
  <c r="AG44" i="1"/>
  <c r="AG23" i="9" s="1"/>
  <c r="AG45" i="1"/>
  <c r="AG24" i="9" s="1"/>
  <c r="G54" i="9"/>
  <c r="G34" i="9"/>
  <c r="Y108" i="9"/>
  <c r="Y34" i="9"/>
  <c r="U104" i="9"/>
  <c r="AT60" i="9"/>
  <c r="P92" i="10"/>
  <c r="O92" i="10"/>
  <c r="C59" i="9"/>
  <c r="C209" i="1"/>
  <c r="C196" i="1"/>
  <c r="AD59" i="9"/>
  <c r="AD209" i="1"/>
  <c r="AD210" i="1" s="1"/>
  <c r="AD211" i="1" s="1"/>
  <c r="AD212" i="1" s="1"/>
  <c r="AD196" i="1"/>
  <c r="AC94" i="9"/>
  <c r="AO122" i="9"/>
  <c r="AO82" i="9"/>
  <c r="AO79" i="9" s="1"/>
  <c r="AO56" i="9"/>
  <c r="AB162" i="1"/>
  <c r="AB94" i="1"/>
  <c r="AB453" i="1" s="1"/>
  <c r="AB157" i="1"/>
  <c r="AS32" i="1"/>
  <c r="AS18" i="9" s="1"/>
  <c r="AS31" i="1"/>
  <c r="D246" i="1"/>
  <c r="D248" i="1" s="1"/>
  <c r="P55" i="9"/>
  <c r="P39" i="9"/>
  <c r="P44" i="9" s="1"/>
  <c r="Z100" i="9"/>
  <c r="Z101" i="9" s="1"/>
  <c r="Z105" i="9" s="1"/>
  <c r="Z167" i="1"/>
  <c r="Z99" i="1"/>
  <c r="S59" i="9"/>
  <c r="S209" i="1"/>
  <c r="S210" i="1" s="1"/>
  <c r="S211" i="1" s="1"/>
  <c r="S212" i="1" s="1"/>
  <c r="S196" i="1"/>
  <c r="J72" i="9"/>
  <c r="J61" i="9"/>
  <c r="N445" i="1"/>
  <c r="P59" i="9"/>
  <c r="P196" i="1"/>
  <c r="P209" i="1"/>
  <c r="AL104" i="9"/>
  <c r="G48" i="9"/>
  <c r="G229" i="1"/>
  <c r="G95" i="1"/>
  <c r="K18" i="9"/>
  <c r="P29" i="1"/>
  <c r="L29" i="1"/>
  <c r="S121" i="12"/>
  <c r="S123" i="12" s="1"/>
  <c r="X53" i="12"/>
  <c r="V53" i="12"/>
  <c r="AS489" i="1"/>
  <c r="AR492" i="1"/>
  <c r="AU492" i="1"/>
  <c r="AS490" i="1"/>
  <c r="W53" i="12"/>
  <c r="N121" i="12"/>
  <c r="N123" i="12" s="1"/>
  <c r="N127" i="12" s="1"/>
  <c r="AN129" i="1"/>
  <c r="AN134" i="1" s="1"/>
  <c r="AN116" i="1"/>
  <c r="W98" i="9"/>
  <c r="U458" i="1"/>
  <c r="Q368" i="1"/>
  <c r="E445" i="1"/>
  <c r="I171" i="1"/>
  <c r="I183" i="1"/>
  <c r="I182" i="1"/>
  <c r="AN55" i="9"/>
  <c r="AN39" i="9"/>
  <c r="AN44" i="9" s="1"/>
  <c r="N157" i="1"/>
  <c r="N94" i="1"/>
  <c r="N162" i="1"/>
  <c r="AE458" i="1"/>
  <c r="U445" i="1"/>
  <c r="AB94" i="9"/>
  <c r="AA450" i="1"/>
  <c r="AI34" i="1"/>
  <c r="AI30" i="1"/>
  <c r="Y157" i="1"/>
  <c r="Y162" i="1"/>
  <c r="Y94" i="1"/>
  <c r="Y453" i="1" s="1"/>
  <c r="L157" i="1"/>
  <c r="L94" i="1"/>
  <c r="L162" i="1"/>
  <c r="L34" i="9"/>
  <c r="AC59" i="9"/>
  <c r="AC209" i="1"/>
  <c r="AC210" i="1" s="1"/>
  <c r="AC211" i="1" s="1"/>
  <c r="AC212" i="1" s="1"/>
  <c r="AC196" i="1"/>
  <c r="X89" i="9"/>
  <c r="AO59" i="9"/>
  <c r="AO196" i="1"/>
  <c r="AO209" i="1"/>
  <c r="AO231" i="1"/>
  <c r="V89" i="1"/>
  <c r="AI341" i="1"/>
  <c r="AI195" i="1"/>
  <c r="AD368" i="1"/>
  <c r="AD445" i="1" s="1"/>
  <c r="AO98" i="9"/>
  <c r="AU419" i="1"/>
  <c r="AV217" i="1"/>
  <c r="AB382" i="1"/>
  <c r="AN64" i="9"/>
  <c r="AN454" i="1"/>
  <c r="AO461" i="1"/>
  <c r="AL34" i="9"/>
  <c r="AR444" i="1"/>
  <c r="AR26" i="1"/>
  <c r="AR149" i="1" s="1"/>
  <c r="AR11" i="1"/>
  <c r="AR14" i="9" s="1"/>
  <c r="F1" i="9"/>
  <c r="F496" i="1"/>
  <c r="F522" i="1"/>
  <c r="G4" i="1"/>
  <c r="F3" i="1"/>
  <c r="X381" i="1"/>
  <c r="C450" i="1"/>
  <c r="P458" i="1"/>
  <c r="L368" i="1"/>
  <c r="L445" i="1" s="1"/>
  <c r="I59" i="9"/>
  <c r="I196" i="1"/>
  <c r="I209" i="1"/>
  <c r="I210" i="1" s="1"/>
  <c r="I211" i="1" s="1"/>
  <c r="I212" i="1" s="1"/>
  <c r="AI104" i="9"/>
  <c r="C231" i="1"/>
  <c r="W34" i="9"/>
  <c r="N34" i="9"/>
  <c r="AG100" i="9"/>
  <c r="AG167" i="1"/>
  <c r="AG99" i="1"/>
  <c r="S48" i="9"/>
  <c r="S229" i="1"/>
  <c r="S95" i="1"/>
  <c r="C522" i="1"/>
  <c r="C523" i="1"/>
  <c r="C521" i="1"/>
  <c r="A519" i="1" s="1"/>
  <c r="A247" i="1"/>
  <c r="A248" i="1"/>
  <c r="A245" i="1"/>
  <c r="A244" i="1"/>
  <c r="A246" i="1"/>
  <c r="A3" i="1"/>
  <c r="B535" i="1"/>
  <c r="AV4" i="9" s="1"/>
  <c r="D522" i="1"/>
  <c r="D521" i="1"/>
  <c r="D519" i="1" s="1"/>
  <c r="D523" i="1"/>
  <c r="AD89" i="1"/>
  <c r="AQ157" i="1"/>
  <c r="AQ94" i="1"/>
  <c r="AQ453" i="1" s="1"/>
  <c r="AQ162" i="1"/>
  <c r="AN48" i="9"/>
  <c r="AN229" i="1"/>
  <c r="AN95" i="1"/>
  <c r="AE55" i="9"/>
  <c r="AE39" i="9"/>
  <c r="AE44" i="9" s="1"/>
  <c r="AB89" i="1"/>
  <c r="AR20" i="9"/>
  <c r="G59" i="9"/>
  <c r="G196" i="1"/>
  <c r="G209" i="1"/>
  <c r="G210" i="1" s="1"/>
  <c r="G211" i="1" s="1"/>
  <c r="G212" i="1" s="1"/>
  <c r="C55" i="9"/>
  <c r="C39" i="9"/>
  <c r="C44" i="9" s="1"/>
  <c r="AA157" i="1"/>
  <c r="AA162" i="1"/>
  <c r="AA94" i="1"/>
  <c r="AA453" i="1" s="1"/>
  <c r="AH104" i="9"/>
  <c r="AQ450" i="1"/>
  <c r="AN100" i="9"/>
  <c r="AN167" i="1"/>
  <c r="AN99" i="1"/>
  <c r="AY64" i="9"/>
  <c r="W48" i="9"/>
  <c r="W229" i="1"/>
  <c r="W95" i="1"/>
  <c r="L98" i="9"/>
  <c r="Y104" i="9"/>
  <c r="AX488" i="1"/>
  <c r="AX150" i="1" s="1"/>
  <c r="AC48" i="9"/>
  <c r="AC229" i="1"/>
  <c r="AC95" i="1"/>
  <c r="AP39" i="9"/>
  <c r="AP44" i="9" s="1"/>
  <c r="AP55" i="9"/>
  <c r="AF104" i="9"/>
  <c r="Y89" i="9"/>
  <c r="AA89" i="9"/>
  <c r="AC89" i="9"/>
  <c r="AB89" i="9"/>
  <c r="AN108" i="9"/>
  <c r="AD162" i="1"/>
  <c r="AD94" i="1"/>
  <c r="AD453" i="1" s="1"/>
  <c r="AD157" i="1"/>
  <c r="O112" i="9"/>
  <c r="O73" i="9"/>
  <c r="O75" i="9" s="1"/>
  <c r="O63" i="9"/>
  <c r="O70" i="9" s="1"/>
  <c r="O125" i="9" s="1"/>
  <c r="D59" i="9"/>
  <c r="D209" i="1"/>
  <c r="D196" i="1"/>
  <c r="D231" i="1"/>
  <c r="T94" i="1"/>
  <c r="T157" i="1"/>
  <c r="T162" i="1"/>
  <c r="CQ202" i="12"/>
  <c r="CR196" i="12"/>
  <c r="E171" i="1"/>
  <c r="E183" i="1"/>
  <c r="AJ59" i="9"/>
  <c r="AJ209" i="1"/>
  <c r="AJ196" i="1"/>
  <c r="AO445" i="1"/>
  <c r="W45" i="1"/>
  <c r="W24" i="9" s="1"/>
  <c r="W43" i="1"/>
  <c r="W22" i="9" s="1"/>
  <c r="AP109" i="9"/>
  <c r="AP122" i="9"/>
  <c r="AP56" i="9"/>
  <c r="G453" i="1"/>
  <c r="AR376" i="1"/>
  <c r="AW376" i="1" s="1"/>
  <c r="AM380" i="1"/>
  <c r="AJ31" i="1"/>
  <c r="Q98" i="9"/>
  <c r="W94" i="9"/>
  <c r="AP104" i="9"/>
  <c r="AP100" i="9"/>
  <c r="AP167" i="1"/>
  <c r="AP99" i="1"/>
  <c r="AE48" i="9"/>
  <c r="AE229" i="1"/>
  <c r="AE95" i="1"/>
  <c r="W100" i="9"/>
  <c r="W167" i="1"/>
  <c r="W99" i="1"/>
  <c r="Y41" i="1"/>
  <c r="Y37" i="1"/>
  <c r="J89" i="9"/>
  <c r="J98" i="9" s="1"/>
  <c r="N89" i="9"/>
  <c r="M89" i="9"/>
  <c r="M98" i="9" s="1"/>
  <c r="L89" i="9"/>
  <c r="J48" i="9"/>
  <c r="J229" i="1"/>
  <c r="J95" i="1"/>
  <c r="AB34" i="9"/>
  <c r="AA94" i="9"/>
  <c r="I445" i="1"/>
  <c r="AJ94" i="9"/>
  <c r="L123" i="12"/>
  <c r="M127" i="12" s="1"/>
  <c r="F453" i="1"/>
  <c r="F89" i="1"/>
  <c r="X57" i="12"/>
  <c r="V57" i="12"/>
  <c r="J445" i="1"/>
  <c r="AG48" i="9"/>
  <c r="AG229" i="1"/>
  <c r="AG95" i="1"/>
  <c r="AM55" i="9"/>
  <c r="AM39" i="9"/>
  <c r="AM44" i="9" s="1"/>
  <c r="AK100" i="9"/>
  <c r="AK167" i="1"/>
  <c r="AK99" i="1"/>
  <c r="AM162" i="1"/>
  <c r="AM94" i="1"/>
  <c r="AM453" i="1" s="1"/>
  <c r="AM157" i="1"/>
  <c r="Q450" i="1"/>
  <c r="Q453" i="1"/>
  <c r="AE63" i="9"/>
  <c r="AE70" i="9" s="1"/>
  <c r="AE125" i="9" s="1"/>
  <c r="AE73" i="9"/>
  <c r="AE75" i="9" s="1"/>
  <c r="Q59" i="9"/>
  <c r="Q196" i="1"/>
  <c r="Q209" i="1"/>
  <c r="Q210" i="1" s="1"/>
  <c r="Q211" i="1" s="1"/>
  <c r="Q212" i="1" s="1"/>
  <c r="D98" i="9"/>
  <c r="AH45" i="1"/>
  <c r="AH24" i="9" s="1"/>
  <c r="AH43" i="1"/>
  <c r="AH22" i="9" s="1"/>
  <c r="K458" i="1"/>
  <c r="G368" i="1"/>
  <c r="G445" i="1" s="1"/>
  <c r="CQ201" i="12"/>
  <c r="CR195" i="12"/>
  <c r="S55" i="9"/>
  <c r="S39" i="9"/>
  <c r="S44" i="9" s="1"/>
  <c r="G100" i="9"/>
  <c r="G167" i="1"/>
  <c r="G99" i="1"/>
  <c r="AN43" i="1"/>
  <c r="AN22" i="9" s="1"/>
  <c r="AN34" i="1"/>
  <c r="AN32" i="1"/>
  <c r="AN18" i="9" s="1"/>
  <c r="AN20" i="9" s="1"/>
  <c r="Z210" i="1"/>
  <c r="Z211" i="1" s="1"/>
  <c r="Z212" i="1" s="1"/>
  <c r="AC55" i="9"/>
  <c r="AC39" i="9"/>
  <c r="AC44" i="9" s="1"/>
  <c r="AC100" i="9"/>
  <c r="AC167" i="1"/>
  <c r="AC99" i="1"/>
  <c r="X100" i="9"/>
  <c r="X167" i="1"/>
  <c r="X99" i="1"/>
  <c r="D157" i="1"/>
  <c r="P24" i="14" s="1"/>
  <c r="P25" i="14" s="1"/>
  <c r="D162" i="1"/>
  <c r="D94" i="1"/>
  <c r="AP445" i="1"/>
  <c r="U48" i="9"/>
  <c r="U229" i="1"/>
  <c r="U95" i="1"/>
  <c r="AD64" i="9"/>
  <c r="AD454" i="1"/>
  <c r="AE461" i="1"/>
  <c r="AM311" i="1"/>
  <c r="AL312" i="1"/>
  <c r="X445" i="1"/>
  <c r="D371" i="1"/>
  <c r="D445" i="1"/>
  <c r="T453" i="1"/>
  <c r="T89" i="1"/>
  <c r="U230" i="1"/>
  <c r="H48" i="9"/>
  <c r="H229" i="1"/>
  <c r="H95" i="1"/>
  <c r="AJ89" i="1"/>
  <c r="Y382" i="1"/>
  <c r="AJ55" i="9"/>
  <c r="AJ39" i="9"/>
  <c r="AJ44" i="9" s="1"/>
  <c r="R48" i="9"/>
  <c r="R229" i="1"/>
  <c r="R95" i="1"/>
  <c r="K55" i="9"/>
  <c r="K39" i="9"/>
  <c r="K44" i="9" s="1"/>
  <c r="V94" i="1"/>
  <c r="V453" i="1" s="1"/>
  <c r="V157" i="1"/>
  <c r="V162" i="1"/>
  <c r="H91" i="9"/>
  <c r="H45" i="9"/>
  <c r="AN59" i="9"/>
  <c r="AN196" i="1"/>
  <c r="AN209" i="1"/>
  <c r="AN210" i="1" s="1"/>
  <c r="AN211" i="1" s="1"/>
  <c r="AN212" i="1" s="1"/>
  <c r="R104" i="9"/>
  <c r="Y53" i="9"/>
  <c r="AI89" i="1"/>
  <c r="AH59" i="9"/>
  <c r="AH196" i="1"/>
  <c r="AH209" i="1"/>
  <c r="AH210" i="1" s="1"/>
  <c r="AH211" i="1" s="1"/>
  <c r="AH212" i="1" s="1"/>
  <c r="AF445" i="1"/>
  <c r="J91" i="9"/>
  <c r="J45" i="9"/>
  <c r="Q34" i="9"/>
  <c r="D34" i="9"/>
  <c r="AL59" i="9"/>
  <c r="AL209" i="1"/>
  <c r="AL210" i="1" s="1"/>
  <c r="AL211" i="1" s="1"/>
  <c r="AL212" i="1" s="1"/>
  <c r="AL196" i="1"/>
  <c r="F231" i="1"/>
  <c r="CR200" i="12"/>
  <c r="CQ206" i="12"/>
  <c r="AA381" i="1"/>
  <c r="AR14" i="1"/>
  <c r="AR15" i="9" s="1"/>
  <c r="K157" i="1"/>
  <c r="S24" i="14" s="1"/>
  <c r="S25" i="14" s="1"/>
  <c r="K94" i="1"/>
  <c r="K162" i="1"/>
  <c r="M59" i="9"/>
  <c r="M209" i="1"/>
  <c r="M210" i="1" s="1"/>
  <c r="M211" i="1" s="1"/>
  <c r="M212" i="1" s="1"/>
  <c r="M196" i="1"/>
  <c r="W59" i="9"/>
  <c r="W209" i="1"/>
  <c r="W210" i="1" s="1"/>
  <c r="W211" i="1" s="1"/>
  <c r="W212" i="1" s="1"/>
  <c r="W196" i="1"/>
  <c r="F157" i="1"/>
  <c r="R24" i="14" s="1"/>
  <c r="R25" i="14" s="1"/>
  <c r="F162" i="1"/>
  <c r="F94" i="1"/>
  <c r="AF100" i="9"/>
  <c r="AF167" i="1"/>
  <c r="AF99" i="1"/>
  <c r="V59" i="9"/>
  <c r="V209" i="1"/>
  <c r="V210" i="1" s="1"/>
  <c r="V211" i="1" s="1"/>
  <c r="V212" i="1" s="1"/>
  <c r="V196" i="1"/>
  <c r="X382" i="1"/>
  <c r="K104" i="9"/>
  <c r="W380" i="1"/>
  <c r="AX491" i="1"/>
  <c r="S104" i="9"/>
  <c r="X59" i="9"/>
  <c r="X196" i="1"/>
  <c r="X209" i="1"/>
  <c r="X210" i="1" s="1"/>
  <c r="X211" i="1" s="1"/>
  <c r="X212" i="1" s="1"/>
  <c r="E59" i="9"/>
  <c r="E209" i="1"/>
  <c r="E196" i="1"/>
  <c r="P48" i="9"/>
  <c r="P229" i="1"/>
  <c r="P95" i="1"/>
  <c r="AG453" i="1"/>
  <c r="AG89" i="1"/>
  <c r="T108" i="9"/>
  <c r="T34" i="9"/>
  <c r="T54" i="9"/>
  <c r="T53" i="9"/>
  <c r="L453" i="1"/>
  <c r="L89" i="1"/>
  <c r="E122" i="9"/>
  <c r="E82" i="9"/>
  <c r="E79" i="9" s="1"/>
  <c r="E56" i="9"/>
  <c r="K445" i="1"/>
  <c r="S100" i="9"/>
  <c r="S99" i="1"/>
  <c r="S167" i="1"/>
  <c r="AU487" i="1"/>
  <c r="AU91" i="1" s="1"/>
  <c r="X48" i="9"/>
  <c r="X229" i="1"/>
  <c r="X95" i="1"/>
  <c r="AP59" i="9"/>
  <c r="AP196" i="1"/>
  <c r="AP209" i="1"/>
  <c r="AP210" i="1" s="1"/>
  <c r="AP211" i="1" s="1"/>
  <c r="AP212" i="1" s="1"/>
  <c r="U100" i="9"/>
  <c r="U101" i="9" s="1"/>
  <c r="U167" i="1"/>
  <c r="U99" i="1"/>
  <c r="AH100" i="9"/>
  <c r="AH99" i="1"/>
  <c r="AH167" i="1"/>
  <c r="AD382" i="1"/>
  <c r="AG34" i="9"/>
  <c r="Z39" i="9"/>
  <c r="Z44" i="9" s="1"/>
  <c r="Z55" i="9"/>
  <c r="Y445" i="1"/>
  <c r="AD104" i="9"/>
  <c r="L104" i="9"/>
  <c r="U231" i="1"/>
  <c r="H100" i="9"/>
  <c r="H167" i="1"/>
  <c r="H99" i="1"/>
  <c r="AM381" i="1"/>
  <c r="AR377" i="1"/>
  <c r="AW377" i="1" s="1"/>
  <c r="Y381" i="1"/>
  <c r="F55" i="9"/>
  <c r="F39" i="9"/>
  <c r="F44" i="9" s="1"/>
  <c r="AS96" i="9"/>
  <c r="AS97" i="9" s="1"/>
  <c r="AS8" i="9"/>
  <c r="AS443" i="1"/>
  <c r="AS216" i="1"/>
  <c r="AS406" i="1" s="1"/>
  <c r="AF59" i="9"/>
  <c r="AF209" i="1"/>
  <c r="AF210" i="1" s="1"/>
  <c r="AF211" i="1" s="1"/>
  <c r="AF212" i="1" s="1"/>
  <c r="AF196" i="1"/>
  <c r="AI89" i="9"/>
  <c r="AI98" i="9" s="1"/>
  <c r="AL89" i="9"/>
  <c r="AK89" i="9"/>
  <c r="CQ205" i="12"/>
  <c r="CR199" i="12"/>
  <c r="AO171" i="1"/>
  <c r="AO183" i="1"/>
  <c r="AO182" i="1"/>
  <c r="R100" i="9"/>
  <c r="R167" i="1"/>
  <c r="R99" i="1"/>
  <c r="O162" i="1"/>
  <c r="O157" i="1"/>
  <c r="O94" i="1"/>
  <c r="O453" i="1" s="1"/>
  <c r="C157" i="1"/>
  <c r="C162" i="1"/>
  <c r="C94" i="1"/>
  <c r="C453" i="1" s="1"/>
  <c r="BA434" i="1"/>
  <c r="AZ251" i="1"/>
  <c r="AZ10" i="9" s="1"/>
  <c r="AA34" i="9"/>
  <c r="I91" i="9"/>
  <c r="I45" i="9"/>
  <c r="AK59" i="9"/>
  <c r="AK209" i="1"/>
  <c r="AK210" i="1" s="1"/>
  <c r="AK211" i="1" s="1"/>
  <c r="AK212" i="1" s="1"/>
  <c r="AK196" i="1"/>
  <c r="T103" i="9"/>
  <c r="T104" i="9" s="1"/>
  <c r="V103" i="9"/>
  <c r="AI53" i="9"/>
  <c r="AE100" i="9"/>
  <c r="AE101" i="9" s="1"/>
  <c r="AE167" i="1"/>
  <c r="AE99" i="1"/>
  <c r="K59" i="9"/>
  <c r="K209" i="1"/>
  <c r="K196" i="1"/>
  <c r="AL445" i="1"/>
  <c r="AN45" i="1"/>
  <c r="AN24" i="9" s="1"/>
  <c r="AE230" i="1"/>
  <c r="T59" i="9"/>
  <c r="T209" i="1"/>
  <c r="T210" i="1" s="1"/>
  <c r="T211" i="1" s="1"/>
  <c r="T212" i="1" s="1"/>
  <c r="T196" i="1"/>
  <c r="E522" i="1"/>
  <c r="K450" i="1"/>
  <c r="K453" i="1"/>
  <c r="AF48" i="9"/>
  <c r="AF229" i="1"/>
  <c r="AF95" i="1"/>
  <c r="X380" i="1"/>
  <c r="Z458" i="1"/>
  <c r="V368" i="1"/>
  <c r="V445" i="1" s="1"/>
  <c r="J311" i="1"/>
  <c r="I312" i="1"/>
  <c r="AL89" i="1"/>
  <c r="E104" i="9"/>
  <c r="E105" i="9" s="1"/>
  <c r="N104" i="9"/>
  <c r="H59" i="9"/>
  <c r="H196" i="1"/>
  <c r="H209" i="1"/>
  <c r="H210" i="1" s="1"/>
  <c r="H211" i="1" s="1"/>
  <c r="H212" i="1" s="1"/>
  <c r="AU396" i="1"/>
  <c r="AT402" i="1"/>
  <c r="AB45" i="1"/>
  <c r="AB24" i="9" s="1"/>
  <c r="AB43" i="1"/>
  <c r="AB22" i="9" s="1"/>
  <c r="AM103" i="9"/>
  <c r="AM104" i="9" s="1"/>
  <c r="AX492" i="1"/>
  <c r="AL157" i="1"/>
  <c r="AL162" i="1"/>
  <c r="AL94" i="1"/>
  <c r="AL453" i="1" s="1"/>
  <c r="W453" i="1"/>
  <c r="W89" i="1"/>
  <c r="X55" i="9"/>
  <c r="X39" i="9"/>
  <c r="X44" i="9" s="1"/>
  <c r="N453" i="1"/>
  <c r="N89" i="1"/>
  <c r="AK98" i="9"/>
  <c r="AQ104" i="9"/>
  <c r="AQ45" i="1"/>
  <c r="AQ24" i="9" s="1"/>
  <c r="AQ43" i="1"/>
  <c r="AQ22" i="9" s="1"/>
  <c r="AO55" i="9"/>
  <c r="AO39" i="9"/>
  <c r="AO44" i="9" s="1"/>
  <c r="AB73" i="9"/>
  <c r="AB75" i="9" s="1"/>
  <c r="AB63" i="9"/>
  <c r="AB70" i="9" s="1"/>
  <c r="AB125" i="9" s="1"/>
  <c r="AM45" i="1"/>
  <c r="AM24" i="9" s="1"/>
  <c r="AM43" i="1"/>
  <c r="AM22" i="9" s="1"/>
  <c r="AX487" i="1"/>
  <c r="AX91" i="1" s="1"/>
  <c r="Z111" i="9"/>
  <c r="Z72" i="9"/>
  <c r="Z61" i="9"/>
  <c r="AE112" i="9" s="1"/>
  <c r="Z83" i="9"/>
  <c r="Z80" i="9" s="1"/>
  <c r="M55" i="9"/>
  <c r="M39" i="9"/>
  <c r="M44" i="9" s="1"/>
  <c r="D453" i="1"/>
  <c r="D89" i="1"/>
  <c r="Z230" i="1"/>
  <c r="AN381" i="1"/>
  <c r="O104" i="9"/>
  <c r="D104" i="9"/>
  <c r="AH382" i="1"/>
  <c r="AH48" i="9"/>
  <c r="AH229" i="1"/>
  <c r="AH95" i="1"/>
  <c r="CQ204" i="12"/>
  <c r="CR198" i="12"/>
  <c r="AD34" i="1"/>
  <c r="AD30" i="1"/>
  <c r="O100" i="10"/>
  <c r="P100" i="10"/>
  <c r="AD108" i="9"/>
  <c r="AD34" i="9"/>
  <c r="AD54" i="9"/>
  <c r="AD53" i="9"/>
  <c r="T98" i="9"/>
  <c r="Q104" i="9"/>
  <c r="C246" i="1"/>
  <c r="C248" i="1" s="1"/>
  <c r="S450" i="1"/>
  <c r="S453" i="1"/>
  <c r="Y380" i="1"/>
  <c r="AQ380" i="1"/>
  <c r="Y59" i="9"/>
  <c r="Y209" i="1"/>
  <c r="Y210" i="1" s="1"/>
  <c r="Y211" i="1" s="1"/>
  <c r="Y212" i="1" s="1"/>
  <c r="Y196" i="1"/>
  <c r="AJ458" i="1"/>
  <c r="AG59" i="9"/>
  <c r="AG209" i="1"/>
  <c r="AG210" i="1" s="1"/>
  <c r="AG211" i="1" s="1"/>
  <c r="AG212" i="1" s="1"/>
  <c r="AG196" i="1"/>
  <c r="X94" i="9"/>
  <c r="Y54" i="9"/>
  <c r="AK55" i="9"/>
  <c r="AK39" i="9"/>
  <c r="AK44" i="9" s="1"/>
  <c r="AF55" i="9"/>
  <c r="AF39" i="9"/>
  <c r="AF44" i="9" s="1"/>
  <c r="AH39" i="9"/>
  <c r="AH44" i="9" s="1"/>
  <c r="AH55" i="9"/>
  <c r="V34" i="9"/>
  <c r="AJ231" i="1"/>
  <c r="AO458" i="1"/>
  <c r="CQ203" i="12"/>
  <c r="CR197" i="12"/>
  <c r="AI54" i="9"/>
  <c r="U55" i="9"/>
  <c r="U39" i="9"/>
  <c r="U44" i="9" s="1"/>
  <c r="M94" i="9"/>
  <c r="K98" i="9"/>
  <c r="V94" i="9"/>
  <c r="AM89" i="9"/>
  <c r="AM98" i="9" s="1"/>
  <c r="R39" i="9"/>
  <c r="R44" i="9" s="1"/>
  <c r="R55" i="9"/>
  <c r="T445" i="1"/>
  <c r="E521" i="1"/>
  <c r="E519" i="1" s="1"/>
  <c r="E247" i="1" s="1"/>
  <c r="AI157" i="1"/>
  <c r="AI162" i="1"/>
  <c r="AI94" i="1"/>
  <c r="AI453" i="1" s="1"/>
  <c r="N59" i="9"/>
  <c r="N209" i="1"/>
  <c r="N210" i="1" s="1"/>
  <c r="N211" i="1" s="1"/>
  <c r="N212" i="1" s="1"/>
  <c r="N196" i="1"/>
  <c r="AI368" i="1"/>
  <c r="AI445" i="1" s="1"/>
  <c r="AG94" i="9"/>
  <c r="AI41" i="1"/>
  <c r="AI37" i="1"/>
  <c r="AI44" i="1" s="1"/>
  <c r="AI23" i="9" s="1"/>
  <c r="AJ38" i="1"/>
  <c r="K45" i="1"/>
  <c r="K24" i="9" s="1"/>
  <c r="AJ94" i="1" l="1"/>
  <c r="AJ453" i="1" s="1"/>
  <c r="AJ162" i="1"/>
  <c r="E149" i="13" s="1"/>
  <c r="H124" i="13" a="1"/>
  <c r="H124" i="13" s="1"/>
  <c r="B22" i="13" s="1"/>
  <c r="F43" i="13" s="1"/>
  <c r="W38" i="14"/>
  <c r="K74" i="13"/>
  <c r="V36" i="14"/>
  <c r="V37" i="14" s="1"/>
  <c r="O40" i="14"/>
  <c r="H135" i="13" a="1"/>
  <c r="H135" i="13" s="1"/>
  <c r="B23" i="13" s="1"/>
  <c r="D44" i="13" s="1"/>
  <c r="D46" i="13" s="1"/>
  <c r="L24" i="14"/>
  <c r="X24" i="14"/>
  <c r="E141" i="13"/>
  <c r="C367" i="14"/>
  <c r="D365" i="14"/>
  <c r="E43" i="13"/>
  <c r="H43" i="13"/>
  <c r="L39" i="13"/>
  <c r="L72" i="13" s="1"/>
  <c r="K55" i="13"/>
  <c r="K40" i="13"/>
  <c r="R34" i="13"/>
  <c r="H34" i="13"/>
  <c r="D66" i="13"/>
  <c r="F66" i="13"/>
  <c r="E66" i="13"/>
  <c r="H66" i="13"/>
  <c r="G66" i="13"/>
  <c r="C66" i="13"/>
  <c r="L54" i="13"/>
  <c r="M36" i="13"/>
  <c r="M54" i="13" s="1"/>
  <c r="L71" i="13"/>
  <c r="L25" i="14"/>
  <c r="M25" i="14"/>
  <c r="I228" i="14"/>
  <c r="I238" i="14" s="1"/>
  <c r="I217" i="14"/>
  <c r="AA152" i="14"/>
  <c r="Z157" i="14"/>
  <c r="Y37" i="14"/>
  <c r="L276" i="14"/>
  <c r="J210" i="14"/>
  <c r="J205" i="14"/>
  <c r="J203" i="14"/>
  <c r="K202" i="14"/>
  <c r="J207" i="14"/>
  <c r="J209" i="14"/>
  <c r="J206" i="14"/>
  <c r="J204" i="14"/>
  <c r="J208" i="14"/>
  <c r="Z162" i="14"/>
  <c r="L200" i="14"/>
  <c r="S199" i="14"/>
  <c r="S200" i="14" s="1"/>
  <c r="I224" i="14"/>
  <c r="I234" i="14" s="1"/>
  <c r="I213" i="14"/>
  <c r="I226" i="14"/>
  <c r="I236" i="14" s="1"/>
  <c r="I215" i="14"/>
  <c r="I220" i="14"/>
  <c r="I231" i="14"/>
  <c r="I241" i="14" s="1"/>
  <c r="I211" i="14"/>
  <c r="I225" i="14"/>
  <c r="I235" i="14" s="1"/>
  <c r="I214" i="14"/>
  <c r="I229" i="14"/>
  <c r="I239" i="14" s="1"/>
  <c r="I218" i="14"/>
  <c r="I227" i="14"/>
  <c r="I237" i="14" s="1"/>
  <c r="I216" i="14"/>
  <c r="P248" i="14"/>
  <c r="O250" i="14"/>
  <c r="O251" i="14" s="1"/>
  <c r="O252" i="14" s="1"/>
  <c r="O253" i="14" s="1"/>
  <c r="O254" i="14" s="1"/>
  <c r="H339" i="14" s="1"/>
  <c r="H340" i="14" s="1"/>
  <c r="H341" i="14" s="1"/>
  <c r="I230" i="14"/>
  <c r="I240" i="14" s="1"/>
  <c r="I219" i="14"/>
  <c r="AW4" i="9"/>
  <c r="AY4" i="9"/>
  <c r="D247" i="1"/>
  <c r="D234" i="1" s="1"/>
  <c r="P21" i="14" s="1"/>
  <c r="D4" i="9"/>
  <c r="AI48" i="9"/>
  <c r="AI229" i="1"/>
  <c r="AI95" i="1"/>
  <c r="D55" i="9"/>
  <c r="D39" i="9"/>
  <c r="D44" i="9" s="1"/>
  <c r="AA48" i="9"/>
  <c r="AF109" i="9" s="1"/>
  <c r="AA229" i="1"/>
  <c r="AA95" i="1"/>
  <c r="X98" i="9"/>
  <c r="AI100" i="9"/>
  <c r="AI101" i="9" s="1"/>
  <c r="AI99" i="1"/>
  <c r="AI167" i="1"/>
  <c r="V104" i="9"/>
  <c r="CU203" i="12"/>
  <c r="CV197" i="12"/>
  <c r="AF91" i="9"/>
  <c r="AF45" i="9"/>
  <c r="M51" i="10"/>
  <c r="M34" i="10"/>
  <c r="M44" i="10"/>
  <c r="M59" i="10"/>
  <c r="X111" i="9"/>
  <c r="X83" i="9"/>
  <c r="X80" i="9" s="1"/>
  <c r="X72" i="9"/>
  <c r="X61" i="9"/>
  <c r="AF171" i="1"/>
  <c r="AF182" i="1"/>
  <c r="AF183" i="1"/>
  <c r="W111" i="9"/>
  <c r="W83" i="9"/>
  <c r="W80" i="9" s="1"/>
  <c r="W72" i="9"/>
  <c r="W61" i="9"/>
  <c r="AB111" i="9"/>
  <c r="R109" i="9"/>
  <c r="R122" i="9"/>
  <c r="R56" i="9"/>
  <c r="U109" i="9"/>
  <c r="U122" i="9"/>
  <c r="U82" i="9"/>
  <c r="U79" i="9" s="1"/>
  <c r="U56" i="9"/>
  <c r="X171" i="1"/>
  <c r="X183" i="1"/>
  <c r="X182" i="1"/>
  <c r="AM91" i="9"/>
  <c r="AM45" i="9"/>
  <c r="AA104" i="9"/>
  <c r="CV196" i="12"/>
  <c r="CU202" i="12"/>
  <c r="D210" i="1"/>
  <c r="D211" i="1" s="1"/>
  <c r="D212" i="1" s="1"/>
  <c r="AP91" i="9"/>
  <c r="AP45" i="9"/>
  <c r="AA100" i="9"/>
  <c r="AA167" i="1"/>
  <c r="AA99" i="1"/>
  <c r="G72" i="9"/>
  <c r="G61" i="9"/>
  <c r="N39" i="9"/>
  <c r="N44" i="9" s="1"/>
  <c r="N55" i="9"/>
  <c r="G1" i="9"/>
  <c r="G522" i="1"/>
  <c r="H4" i="1"/>
  <c r="G3" i="1"/>
  <c r="G496" i="1" s="1"/>
  <c r="AR31" i="9"/>
  <c r="AR407" i="1"/>
  <c r="AR388" i="1"/>
  <c r="AR387" i="1"/>
  <c r="AR155" i="1"/>
  <c r="AR152" i="1"/>
  <c r="AR15" i="1"/>
  <c r="AR16" i="9" s="1"/>
  <c r="AR153" i="1"/>
  <c r="AR156" i="1" s="1"/>
  <c r="AO111" i="9"/>
  <c r="AO72" i="9"/>
  <c r="AO83" i="9"/>
  <c r="AO80" i="9" s="1"/>
  <c r="AO61" i="9"/>
  <c r="L34" i="1"/>
  <c r="L30" i="1"/>
  <c r="P210" i="1"/>
  <c r="P211" i="1" s="1"/>
  <c r="P212" i="1" s="1"/>
  <c r="AR4" i="9"/>
  <c r="AQ111" i="9"/>
  <c r="AQ83" i="9"/>
  <c r="AQ80" i="9" s="1"/>
  <c r="AQ72" i="9"/>
  <c r="AQ61" i="9"/>
  <c r="U111" i="9"/>
  <c r="U83" i="9"/>
  <c r="U80" i="9" s="1"/>
  <c r="U72" i="9"/>
  <c r="U61" i="9"/>
  <c r="H445" i="1"/>
  <c r="V100" i="9"/>
  <c r="V99" i="1"/>
  <c r="V167" i="1"/>
  <c r="AB98" i="9"/>
  <c r="AK91" i="9"/>
  <c r="AK45" i="9"/>
  <c r="H171" i="1"/>
  <c r="H183" i="1"/>
  <c r="H182" i="1"/>
  <c r="P82" i="9"/>
  <c r="P79" i="9" s="1"/>
  <c r="P122" i="9"/>
  <c r="P56" i="9"/>
  <c r="Q55" i="9"/>
  <c r="Q39" i="9"/>
  <c r="Q44" i="9" s="1"/>
  <c r="H122" i="9"/>
  <c r="H56" i="9"/>
  <c r="AN311" i="1"/>
  <c r="AM312" i="1"/>
  <c r="Y44" i="1"/>
  <c r="Y23" i="9" s="1"/>
  <c r="Y45" i="1"/>
  <c r="Y24" i="9" s="1"/>
  <c r="AE122" i="9"/>
  <c r="AE109" i="9"/>
  <c r="AE82" i="9"/>
  <c r="AE79" i="9" s="1"/>
  <c r="AE56" i="9"/>
  <c r="W104" i="9"/>
  <c r="AC98" i="9"/>
  <c r="F516" i="1"/>
  <c r="F514" i="1"/>
  <c r="F512" i="1" s="1"/>
  <c r="F509" i="1"/>
  <c r="F507" i="1"/>
  <c r="F505" i="1" s="1"/>
  <c r="F245" i="1" s="1"/>
  <c r="F502" i="1"/>
  <c r="F500" i="1"/>
  <c r="F498" i="1" s="1"/>
  <c r="F244" i="1" s="1"/>
  <c r="AL55" i="9"/>
  <c r="AL39" i="9"/>
  <c r="AL44" i="9" s="1"/>
  <c r="P111" i="9"/>
  <c r="P83" i="9"/>
  <c r="P80" i="9" s="1"/>
  <c r="P72" i="9"/>
  <c r="P61" i="9"/>
  <c r="V98" i="9"/>
  <c r="K19" i="9"/>
  <c r="K20" i="9" s="1"/>
  <c r="L36" i="1"/>
  <c r="P36" i="1"/>
  <c r="L111" i="9"/>
  <c r="L72" i="9"/>
  <c r="L61" i="9"/>
  <c r="L83" i="9"/>
  <c r="L80" i="9" s="1"/>
  <c r="AE105" i="9"/>
  <c r="AM111" i="9"/>
  <c r="AM72" i="9"/>
  <c r="AM83" i="9"/>
  <c r="AM80" i="9" s="1"/>
  <c r="AM61" i="9"/>
  <c r="F210" i="1"/>
  <c r="F211" i="1" s="1"/>
  <c r="F212" i="1" s="1"/>
  <c r="AK445" i="1"/>
  <c r="AH171" i="1"/>
  <c r="AH182" i="1"/>
  <c r="AH183" i="1"/>
  <c r="AB39" i="9"/>
  <c r="AB44" i="9" s="1"/>
  <c r="AB55" i="9"/>
  <c r="AL100" i="9"/>
  <c r="AL101" i="9" s="1"/>
  <c r="AL105" i="9" s="1"/>
  <c r="AL99" i="1"/>
  <c r="AL167" i="1"/>
  <c r="AV396" i="1"/>
  <c r="AU402" i="1"/>
  <c r="V48" i="9"/>
  <c r="V229" i="1"/>
  <c r="V95" i="1"/>
  <c r="AD45" i="1"/>
  <c r="AD24" i="9" s="1"/>
  <c r="AD43" i="1"/>
  <c r="AD22" i="9" s="1"/>
  <c r="AL48" i="9"/>
  <c r="AL229" i="1"/>
  <c r="AL95" i="1"/>
  <c r="T111" i="9"/>
  <c r="T83" i="9"/>
  <c r="T80" i="9" s="1"/>
  <c r="T72" i="9"/>
  <c r="T61" i="9"/>
  <c r="AA55" i="9"/>
  <c r="AA39" i="9"/>
  <c r="AA44" i="9" s="1"/>
  <c r="O48" i="9"/>
  <c r="S82" i="9" s="1"/>
  <c r="S79" i="9" s="1"/>
  <c r="O229" i="1"/>
  <c r="O95" i="1"/>
  <c r="CU205" i="12"/>
  <c r="CV199" i="12"/>
  <c r="F91" i="9"/>
  <c r="F92" i="9" s="1"/>
  <c r="F45" i="9"/>
  <c r="F100" i="9"/>
  <c r="F101" i="9" s="1"/>
  <c r="F105" i="9" s="1"/>
  <c r="F99" i="1"/>
  <c r="F167" i="1"/>
  <c r="M111" i="9"/>
  <c r="M83" i="9"/>
  <c r="M80" i="9" s="1"/>
  <c r="M72" i="9"/>
  <c r="M61" i="9"/>
  <c r="CU206" i="12"/>
  <c r="CV200" i="12"/>
  <c r="AH111" i="9"/>
  <c r="AH83" i="9"/>
  <c r="AH80" i="9" s="1"/>
  <c r="AH72" i="9"/>
  <c r="AH61" i="9"/>
  <c r="AC171" i="1"/>
  <c r="AC183" i="1"/>
  <c r="AC182" i="1"/>
  <c r="AM100" i="9"/>
  <c r="AN101" i="9" s="1"/>
  <c r="AN105" i="9" s="1"/>
  <c r="AM167" i="1"/>
  <c r="AM99" i="1"/>
  <c r="N98" i="9"/>
  <c r="AJ210" i="1"/>
  <c r="AJ211" i="1" s="1"/>
  <c r="AJ212" i="1" s="1"/>
  <c r="T100" i="9"/>
  <c r="T101" i="9" s="1"/>
  <c r="T105" i="9" s="1"/>
  <c r="T99" i="1"/>
  <c r="T167" i="1"/>
  <c r="AN109" i="9"/>
  <c r="AN122" i="9"/>
  <c r="AN56" i="9"/>
  <c r="C519" i="1"/>
  <c r="Y100" i="9"/>
  <c r="Y101" i="9" s="1"/>
  <c r="Y105" i="9" s="1"/>
  <c r="Y167" i="1"/>
  <c r="Y99" i="1"/>
  <c r="AJ100" i="9"/>
  <c r="AJ101" i="9" s="1"/>
  <c r="AJ99" i="1"/>
  <c r="AJ167" i="1"/>
  <c r="I175" i="1"/>
  <c r="I441" i="1"/>
  <c r="I440" i="1"/>
  <c r="S111" i="9"/>
  <c r="S83" i="9"/>
  <c r="S80" i="9" s="1"/>
  <c r="S72" i="9"/>
  <c r="S61" i="9"/>
  <c r="AS22" i="1"/>
  <c r="AS43" i="1"/>
  <c r="AS22" i="9" s="1"/>
  <c r="AT31" i="1"/>
  <c r="C210" i="1"/>
  <c r="C211" i="1" s="1"/>
  <c r="C212" i="1" s="1"/>
  <c r="R111" i="9"/>
  <c r="R72" i="9"/>
  <c r="R83" i="9"/>
  <c r="R80" i="9" s="1"/>
  <c r="R61" i="9"/>
  <c r="AU4" i="9"/>
  <c r="AI55" i="9"/>
  <c r="AI39" i="9"/>
  <c r="AI44" i="9" s="1"/>
  <c r="E91" i="9"/>
  <c r="E92" i="9" s="1"/>
  <c r="E45" i="9"/>
  <c r="M171" i="1"/>
  <c r="M183" i="1"/>
  <c r="M182" i="1"/>
  <c r="AA111" i="9"/>
  <c r="AA83" i="9"/>
  <c r="AA80" i="9" s="1"/>
  <c r="AA72" i="9"/>
  <c r="AA61" i="9"/>
  <c r="AB83" i="9"/>
  <c r="AB80" i="9" s="1"/>
  <c r="F111" i="9"/>
  <c r="F83" i="9"/>
  <c r="F80" i="9" s="1"/>
  <c r="F61" i="9"/>
  <c r="F72" i="9"/>
  <c r="AO91" i="9"/>
  <c r="AO92" i="9" s="1"/>
  <c r="AO95" i="9" s="1"/>
  <c r="AO45" i="9"/>
  <c r="AJ91" i="9"/>
  <c r="AJ92" i="9" s="1"/>
  <c r="AJ99" i="9" s="1"/>
  <c r="AJ45" i="9"/>
  <c r="I72" i="9"/>
  <c r="I61" i="9"/>
  <c r="AV419" i="1"/>
  <c r="AW217" i="1"/>
  <c r="L48" i="9"/>
  <c r="Q109" i="9" s="1"/>
  <c r="L229" i="1"/>
  <c r="L95" i="1"/>
  <c r="P34" i="1"/>
  <c r="AB100" i="9"/>
  <c r="AB167" i="1"/>
  <c r="AB99" i="1"/>
  <c r="M109" i="9"/>
  <c r="M122" i="9"/>
  <c r="M56" i="9"/>
  <c r="AG104" i="9"/>
  <c r="M104" i="9"/>
  <c r="M91" i="9"/>
  <c r="M45" i="9"/>
  <c r="AF122" i="9"/>
  <c r="AF56" i="9"/>
  <c r="K210" i="1"/>
  <c r="K211" i="1" s="1"/>
  <c r="K212" i="1" s="1"/>
  <c r="O100" i="9"/>
  <c r="O167" i="1"/>
  <c r="O99" i="1"/>
  <c r="AF111" i="9"/>
  <c r="AF83" i="9"/>
  <c r="AF80" i="9" s="1"/>
  <c r="AF72" i="9"/>
  <c r="AF61" i="9"/>
  <c r="Z91" i="9"/>
  <c r="Z92" i="9" s="1"/>
  <c r="Z45" i="9"/>
  <c r="X109" i="9"/>
  <c r="X122" i="9"/>
  <c r="X56" i="9"/>
  <c r="T39" i="9"/>
  <c r="T44" i="9" s="1"/>
  <c r="T55" i="9"/>
  <c r="E210" i="1"/>
  <c r="E211" i="1" s="1"/>
  <c r="E212" i="1" s="1"/>
  <c r="F48" i="9"/>
  <c r="F229" i="1"/>
  <c r="F95" i="1"/>
  <c r="F230" i="1"/>
  <c r="K100" i="9"/>
  <c r="K101" i="9" s="1"/>
  <c r="K105" i="9" s="1"/>
  <c r="K167" i="1"/>
  <c r="K99" i="1"/>
  <c r="K91" i="9"/>
  <c r="K92" i="9" s="1"/>
  <c r="K95" i="9" s="1"/>
  <c r="K45" i="9"/>
  <c r="AC101" i="9"/>
  <c r="CU201" i="12"/>
  <c r="CV195" i="12"/>
  <c r="AG122" i="9"/>
  <c r="AG56" i="9"/>
  <c r="J122" i="9"/>
  <c r="J82" i="9"/>
  <c r="J79" i="9" s="1"/>
  <c r="J56" i="9"/>
  <c r="AJ111" i="9"/>
  <c r="AJ83" i="9"/>
  <c r="AJ80" i="9" s="1"/>
  <c r="AJ72" i="9"/>
  <c r="AJ61" i="9"/>
  <c r="T48" i="9"/>
  <c r="T229" i="1"/>
  <c r="T95" i="1"/>
  <c r="AC109" i="9"/>
  <c r="AC122" i="9"/>
  <c r="AC56" i="9"/>
  <c r="W122" i="9"/>
  <c r="W109" i="9"/>
  <c r="W82" i="9"/>
  <c r="W79" i="9" s="1"/>
  <c r="W56" i="9"/>
  <c r="C45" i="9"/>
  <c r="C91" i="9"/>
  <c r="C92" i="9" s="1"/>
  <c r="AQ100" i="9"/>
  <c r="AQ101" i="9" s="1"/>
  <c r="AQ105" i="9" s="1"/>
  <c r="AQ167" i="1"/>
  <c r="AQ99" i="1"/>
  <c r="S122" i="9"/>
  <c r="S56" i="9"/>
  <c r="F521" i="1"/>
  <c r="F519" i="1" s="1"/>
  <c r="F247" i="1" s="1"/>
  <c r="AC111" i="9"/>
  <c r="AC83" i="9"/>
  <c r="AC80" i="9" s="1"/>
  <c r="AC72" i="9"/>
  <c r="AC61" i="9"/>
  <c r="Y48" i="9"/>
  <c r="Y229" i="1"/>
  <c r="Y95" i="1"/>
  <c r="AJ48" i="9"/>
  <c r="AJ229" i="1"/>
  <c r="AJ95" i="1"/>
  <c r="AJ230" i="1"/>
  <c r="N100" i="9"/>
  <c r="N99" i="1"/>
  <c r="N167" i="1"/>
  <c r="C83" i="9"/>
  <c r="C80" i="9" s="1"/>
  <c r="C72" i="9"/>
  <c r="C61" i="9"/>
  <c r="U105" i="9"/>
  <c r="AK109" i="9"/>
  <c r="AK122" i="9"/>
  <c r="AK82" i="9"/>
  <c r="AK79" i="9" s="1"/>
  <c r="AK56" i="9"/>
  <c r="AZ4" i="9"/>
  <c r="BB4" i="9"/>
  <c r="E246" i="1"/>
  <c r="E248" i="1" s="1"/>
  <c r="E234" i="1" s="1"/>
  <c r="Q21" i="14" s="1"/>
  <c r="E4" i="9"/>
  <c r="AH109" i="9"/>
  <c r="AH122" i="9"/>
  <c r="AH56" i="9"/>
  <c r="C48" i="9"/>
  <c r="C229" i="1"/>
  <c r="C95" i="1"/>
  <c r="C230" i="1"/>
  <c r="S91" i="9"/>
  <c r="S45" i="9"/>
  <c r="AG111" i="9"/>
  <c r="AG72" i="9"/>
  <c r="AG83" i="9"/>
  <c r="AG80" i="9" s="1"/>
  <c r="AG61" i="9"/>
  <c r="U91" i="9"/>
  <c r="U92" i="9" s="1"/>
  <c r="U45" i="9"/>
  <c r="V55" i="9"/>
  <c r="V39" i="9"/>
  <c r="V44" i="9" s="1"/>
  <c r="CU204" i="12"/>
  <c r="CV198" i="12"/>
  <c r="X91" i="9"/>
  <c r="X45" i="9"/>
  <c r="H72" i="9"/>
  <c r="H61" i="9"/>
  <c r="W445" i="1"/>
  <c r="K111" i="9"/>
  <c r="K83" i="9"/>
  <c r="K80" i="9" s="1"/>
  <c r="K61" i="9"/>
  <c r="K72" i="9"/>
  <c r="BB434" i="1"/>
  <c r="BB251" i="1" s="1"/>
  <c r="BB10" i="9" s="1"/>
  <c r="BA251" i="1"/>
  <c r="BA10" i="9" s="1"/>
  <c r="AG55" i="9"/>
  <c r="AG39" i="9"/>
  <c r="AG44" i="9" s="1"/>
  <c r="U171" i="1"/>
  <c r="U183" i="1"/>
  <c r="U182" i="1"/>
  <c r="E111" i="9"/>
  <c r="E83" i="9"/>
  <c r="E80" i="9" s="1"/>
  <c r="E72" i="9"/>
  <c r="V111" i="9"/>
  <c r="V83" i="9"/>
  <c r="V80" i="9" s="1"/>
  <c r="V72" i="9"/>
  <c r="V61" i="9"/>
  <c r="AN83" i="9"/>
  <c r="AN80" i="9" s="1"/>
  <c r="AN72" i="9"/>
  <c r="AN61" i="9"/>
  <c r="D100" i="9"/>
  <c r="D101" i="9" s="1"/>
  <c r="D105" i="9" s="1"/>
  <c r="D167" i="1"/>
  <c r="D99" i="1"/>
  <c r="AC91" i="9"/>
  <c r="AC45" i="9"/>
  <c r="AK171" i="1"/>
  <c r="AK183" i="1"/>
  <c r="AK182" i="1"/>
  <c r="AD48" i="9"/>
  <c r="AH82" i="9" s="1"/>
  <c r="AH79" i="9" s="1"/>
  <c r="AD229" i="1"/>
  <c r="AD95" i="1"/>
  <c r="F523" i="1"/>
  <c r="L55" i="9"/>
  <c r="L39" i="9"/>
  <c r="L44" i="9" s="1"/>
  <c r="G122" i="9"/>
  <c r="G56" i="9"/>
  <c r="J73" i="9"/>
  <c r="J75" i="9" s="1"/>
  <c r="J63" i="9"/>
  <c r="J70" i="9" s="1"/>
  <c r="J125" i="9" s="1"/>
  <c r="Z171" i="1"/>
  <c r="Z182" i="1"/>
  <c r="Z183" i="1"/>
  <c r="AA98" i="9"/>
  <c r="Y55" i="9"/>
  <c r="Y39" i="9"/>
  <c r="Y44" i="9" s="1"/>
  <c r="P171" i="1"/>
  <c r="P183" i="1"/>
  <c r="P182" i="1"/>
  <c r="AS4" i="9"/>
  <c r="BA4" i="9"/>
  <c r="AS39" i="1"/>
  <c r="AS19" i="9" s="1"/>
  <c r="AS20" i="9" s="1"/>
  <c r="AS38" i="1"/>
  <c r="P98" i="9"/>
  <c r="Z109" i="9"/>
  <c r="Z122" i="9"/>
  <c r="Z56" i="9"/>
  <c r="Z82" i="9"/>
  <c r="Z79" i="9" s="1"/>
  <c r="AM48" i="9"/>
  <c r="AN82" i="9" s="1"/>
  <c r="AN79" i="9" s="1"/>
  <c r="AM229" i="1"/>
  <c r="AM95" i="1"/>
  <c r="D111" i="9"/>
  <c r="D72" i="9"/>
  <c r="D83" i="9"/>
  <c r="D80" i="9" s="1"/>
  <c r="D61" i="9"/>
  <c r="AN171" i="1"/>
  <c r="AN183" i="1"/>
  <c r="AN182" i="1"/>
  <c r="AO175" i="1"/>
  <c r="AO440" i="1"/>
  <c r="AO441" i="1"/>
  <c r="N111" i="9"/>
  <c r="N83" i="9"/>
  <c r="N80" i="9" s="1"/>
  <c r="N72" i="9"/>
  <c r="N61" i="9"/>
  <c r="O83" i="9"/>
  <c r="O80" i="9" s="1"/>
  <c r="R91" i="9"/>
  <c r="R45" i="9"/>
  <c r="Y111" i="9"/>
  <c r="Y83" i="9"/>
  <c r="Y80" i="9" s="1"/>
  <c r="Y72" i="9"/>
  <c r="Y61" i="9"/>
  <c r="AA445" i="1"/>
  <c r="K311" i="1"/>
  <c r="K312" i="1" s="1"/>
  <c r="L311" i="1" s="1"/>
  <c r="J312" i="1"/>
  <c r="R171" i="1"/>
  <c r="R182" i="1"/>
  <c r="R183" i="1"/>
  <c r="AL98" i="9"/>
  <c r="S171" i="1"/>
  <c r="S183" i="1"/>
  <c r="S182" i="1"/>
  <c r="Y98" i="9"/>
  <c r="K48" i="9"/>
  <c r="P109" i="9" s="1"/>
  <c r="K229" i="1"/>
  <c r="K95" i="1"/>
  <c r="K230" i="1"/>
  <c r="D48" i="9"/>
  <c r="D229" i="1"/>
  <c r="D95" i="1"/>
  <c r="D230" i="1"/>
  <c r="Q111" i="9"/>
  <c r="Q83" i="9"/>
  <c r="Q80" i="9" s="1"/>
  <c r="Q72" i="9"/>
  <c r="Q61" i="9"/>
  <c r="AK101" i="9"/>
  <c r="AK105" i="9" s="1"/>
  <c r="AJ104" i="9"/>
  <c r="W171" i="1"/>
  <c r="W182" i="1"/>
  <c r="W183" i="1"/>
  <c r="AP171" i="1"/>
  <c r="AP182" i="1"/>
  <c r="AP183" i="1"/>
  <c r="AQ48" i="9"/>
  <c r="AQ229" i="1"/>
  <c r="AQ95" i="1"/>
  <c r="AG171" i="1"/>
  <c r="AG182" i="1"/>
  <c r="AG183" i="1"/>
  <c r="AI105" i="9"/>
  <c r="AO210" i="1"/>
  <c r="AO211" i="1" s="1"/>
  <c r="AO212" i="1" s="1"/>
  <c r="AI45" i="1"/>
  <c r="AI24" i="9" s="1"/>
  <c r="AI43" i="1"/>
  <c r="AI22" i="9" s="1"/>
  <c r="N48" i="9"/>
  <c r="Q82" i="9" s="1"/>
  <c r="Q79" i="9" s="1"/>
  <c r="N229" i="1"/>
  <c r="N95" i="1"/>
  <c r="Q445" i="1"/>
  <c r="AC104" i="9"/>
  <c r="AX4" i="9"/>
  <c r="AT4" i="9"/>
  <c r="J171" i="1"/>
  <c r="J183" i="1"/>
  <c r="J182" i="1"/>
  <c r="J111" i="12"/>
  <c r="K21" i="12"/>
  <c r="R445" i="1"/>
  <c r="AP111" i="9"/>
  <c r="AP72" i="9"/>
  <c r="AP83" i="9"/>
  <c r="AP80" i="9" s="1"/>
  <c r="AP61" i="9"/>
  <c r="W55" i="9"/>
  <c r="W39" i="9"/>
  <c r="W44" i="9" s="1"/>
  <c r="AD111" i="9"/>
  <c r="AD83" i="9"/>
  <c r="AD80" i="9" s="1"/>
  <c r="AD72" i="9"/>
  <c r="AD61" i="9"/>
  <c r="Q122" i="9"/>
  <c r="Q56" i="9"/>
  <c r="O55" i="9"/>
  <c r="O39" i="9"/>
  <c r="O44" i="9" s="1"/>
  <c r="AH91" i="9"/>
  <c r="AH45" i="9"/>
  <c r="X104" i="9"/>
  <c r="AD39" i="9"/>
  <c r="AD44" i="9" s="1"/>
  <c r="AD55" i="9"/>
  <c r="Z112" i="9"/>
  <c r="Z73" i="9"/>
  <c r="Z75" i="9" s="1"/>
  <c r="Z63" i="9"/>
  <c r="Z70" i="9" s="1"/>
  <c r="Z125" i="9" s="1"/>
  <c r="AE182" i="1"/>
  <c r="AE171" i="1"/>
  <c r="AE183" i="1"/>
  <c r="AK111" i="9"/>
  <c r="AK72" i="9"/>
  <c r="AK61" i="9"/>
  <c r="C100" i="9"/>
  <c r="C101" i="9" s="1"/>
  <c r="C105" i="9" s="1"/>
  <c r="C167" i="1"/>
  <c r="C99" i="1"/>
  <c r="AT406" i="1"/>
  <c r="AL111" i="9"/>
  <c r="AL72" i="9"/>
  <c r="AL61" i="9"/>
  <c r="D448" i="1"/>
  <c r="D373" i="1"/>
  <c r="E370" i="1"/>
  <c r="E371" i="1" s="1"/>
  <c r="G171" i="1"/>
  <c r="G182" i="1"/>
  <c r="G183" i="1"/>
  <c r="AH445" i="1"/>
  <c r="W101" i="9"/>
  <c r="AP101" i="9"/>
  <c r="AP105" i="9" s="1"/>
  <c r="E175" i="1"/>
  <c r="E440" i="1"/>
  <c r="E441" i="1"/>
  <c r="AD100" i="9"/>
  <c r="AD167" i="1"/>
  <c r="AD99" i="1"/>
  <c r="AE91" i="9"/>
  <c r="AE92" i="9" s="1"/>
  <c r="AE45" i="9"/>
  <c r="AI59" i="9"/>
  <c r="AI209" i="1"/>
  <c r="AI210" i="1" s="1"/>
  <c r="AI211" i="1" s="1"/>
  <c r="AI212" i="1" s="1"/>
  <c r="AI196" i="1"/>
  <c r="L100" i="9"/>
  <c r="L101" i="9" s="1"/>
  <c r="L105" i="9" s="1"/>
  <c r="L167" i="1"/>
  <c r="L99" i="1"/>
  <c r="AB104" i="9"/>
  <c r="AN91" i="9"/>
  <c r="AN45" i="9"/>
  <c r="J83" i="9"/>
  <c r="J80" i="9" s="1"/>
  <c r="P91" i="9"/>
  <c r="P92" i="9" s="1"/>
  <c r="P95" i="9" s="1"/>
  <c r="P45" i="9"/>
  <c r="AB48" i="9"/>
  <c r="AB229" i="1"/>
  <c r="AB95" i="1"/>
  <c r="G39" i="9"/>
  <c r="G44" i="9" s="1"/>
  <c r="G55" i="9"/>
  <c r="AQ91" i="9"/>
  <c r="AQ45" i="9"/>
  <c r="J101" i="9"/>
  <c r="J105" i="9" s="1"/>
  <c r="U210" i="1"/>
  <c r="U211" i="1" s="1"/>
  <c r="U212" i="1" s="1"/>
  <c r="Q171" i="1"/>
  <c r="Q182" i="1"/>
  <c r="Q183" i="1"/>
  <c r="C448" i="1"/>
  <c r="C373" i="1"/>
  <c r="AJ105" i="9" l="1"/>
  <c r="C43" i="13"/>
  <c r="M71" i="13"/>
  <c r="E44" i="13"/>
  <c r="E46" i="13" s="1"/>
  <c r="G43" i="13"/>
  <c r="AO99" i="9"/>
  <c r="D43" i="13"/>
  <c r="F44" i="13"/>
  <c r="F46" i="13" s="1"/>
  <c r="AJ95" i="9"/>
  <c r="AD101" i="9"/>
  <c r="AD105" i="9" s="1"/>
  <c r="X82" i="9"/>
  <c r="X79" i="9" s="1"/>
  <c r="H44" i="13"/>
  <c r="H46" i="13" s="1"/>
  <c r="E365" i="14"/>
  <c r="D367" i="14"/>
  <c r="G44" i="13"/>
  <c r="G46" i="13" s="1"/>
  <c r="G47" i="13" s="1"/>
  <c r="AQ92" i="9"/>
  <c r="AQ99" i="9" s="1"/>
  <c r="AF101" i="9"/>
  <c r="AF105" i="9" s="1"/>
  <c r="B44" i="13"/>
  <c r="B46" i="13" s="1"/>
  <c r="B47" i="13" s="1"/>
  <c r="AC105" i="9"/>
  <c r="C44" i="13"/>
  <c r="C46" i="13" s="1"/>
  <c r="C50" i="13" s="1"/>
  <c r="N101" i="9"/>
  <c r="N105" i="9" s="1"/>
  <c r="AM101" i="9"/>
  <c r="AM105" i="9" s="1"/>
  <c r="X40" i="14"/>
  <c r="X35" i="14"/>
  <c r="X36" i="14" s="1"/>
  <c r="X37" i="14" s="1"/>
  <c r="X25" i="14"/>
  <c r="L64" i="14"/>
  <c r="M64" i="14" s="1"/>
  <c r="M73" i="13"/>
  <c r="C47" i="13"/>
  <c r="L40" i="13"/>
  <c r="L55" i="13"/>
  <c r="M39" i="13"/>
  <c r="M72" i="13" s="1"/>
  <c r="E47" i="13"/>
  <c r="D47" i="13"/>
  <c r="D50" i="13"/>
  <c r="I34" i="13"/>
  <c r="S34" i="13"/>
  <c r="L73" i="13"/>
  <c r="L74" i="13" s="1"/>
  <c r="F47" i="13"/>
  <c r="H47" i="13"/>
  <c r="K207" i="14"/>
  <c r="K209" i="14"/>
  <c r="K206" i="14"/>
  <c r="K204" i="14"/>
  <c r="K210" i="14"/>
  <c r="K208" i="14"/>
  <c r="K205" i="14"/>
  <c r="K203" i="14"/>
  <c r="J224" i="14"/>
  <c r="J213" i="14"/>
  <c r="AA157" i="14"/>
  <c r="AA162" i="14" s="1"/>
  <c r="AB162" i="14" s="1"/>
  <c r="AE162" i="14" s="1"/>
  <c r="AB152" i="14"/>
  <c r="AB157" i="14" s="1"/>
  <c r="AE157" i="14" s="1"/>
  <c r="E281" i="14"/>
  <c r="J226" i="14"/>
  <c r="J236" i="14" s="1"/>
  <c r="J215" i="14"/>
  <c r="J229" i="14"/>
  <c r="J239" i="14" s="1"/>
  <c r="J218" i="14"/>
  <c r="J220" i="14"/>
  <c r="J231" i="14"/>
  <c r="J241" i="14" s="1"/>
  <c r="J211" i="14"/>
  <c r="J225" i="14"/>
  <c r="J214" i="14"/>
  <c r="M276" i="14"/>
  <c r="E282" i="14"/>
  <c r="J227" i="14"/>
  <c r="J237" i="14" s="1"/>
  <c r="J216" i="14"/>
  <c r="J219" i="14"/>
  <c r="J230" i="14"/>
  <c r="E283" i="14" s="1"/>
  <c r="P250" i="14"/>
  <c r="P251" i="14" s="1"/>
  <c r="P252" i="14" s="1"/>
  <c r="P253" i="14" s="1"/>
  <c r="P254" i="14" s="1"/>
  <c r="I339" i="14" s="1"/>
  <c r="I340" i="14" s="1"/>
  <c r="I341" i="14" s="1"/>
  <c r="Q248" i="14"/>
  <c r="J217" i="14"/>
  <c r="J228" i="14"/>
  <c r="J238" i="14" s="1"/>
  <c r="G516" i="1"/>
  <c r="G514" i="1"/>
  <c r="G512" i="1" s="1"/>
  <c r="G509" i="1"/>
  <c r="G507" i="1"/>
  <c r="G505" i="1" s="1"/>
  <c r="G245" i="1" s="1"/>
  <c r="G502" i="1"/>
  <c r="G500" i="1"/>
  <c r="G498" i="1" s="1"/>
  <c r="G244" i="1" s="1"/>
  <c r="G523" i="1"/>
  <c r="G521" i="1"/>
  <c r="G519" i="1" s="1"/>
  <c r="G247" i="1" s="1"/>
  <c r="O101" i="9"/>
  <c r="O105" i="9" s="1"/>
  <c r="G91" i="9"/>
  <c r="J92" i="9" s="1"/>
  <c r="J99" i="9" s="1"/>
  <c r="G45" i="9"/>
  <c r="R101" i="9"/>
  <c r="R105" i="9" s="1"/>
  <c r="AQ109" i="9"/>
  <c r="AQ122" i="9"/>
  <c r="AQ82" i="9"/>
  <c r="AQ79" i="9" s="1"/>
  <c r="AQ56" i="9"/>
  <c r="AP175" i="1"/>
  <c r="AP440" i="1"/>
  <c r="AP441" i="1"/>
  <c r="Q112" i="9"/>
  <c r="Q63" i="9"/>
  <c r="Q70" i="9" s="1"/>
  <c r="Q125" i="9" s="1"/>
  <c r="Q73" i="9"/>
  <c r="Q75" i="9" s="1"/>
  <c r="AG91" i="9"/>
  <c r="AG45" i="9"/>
  <c r="K112" i="9"/>
  <c r="K73" i="9"/>
  <c r="K75" i="9" s="1"/>
  <c r="K63" i="9"/>
  <c r="K70" i="9" s="1"/>
  <c r="K125" i="9" s="1"/>
  <c r="AG63" i="9"/>
  <c r="AG70" i="9" s="1"/>
  <c r="AG125" i="9" s="1"/>
  <c r="AG112" i="9"/>
  <c r="AG73" i="9"/>
  <c r="AG75" i="9" s="1"/>
  <c r="E240" i="1"/>
  <c r="E235" i="1"/>
  <c r="Y122" i="9"/>
  <c r="Y109" i="9"/>
  <c r="Y82" i="9"/>
  <c r="Y79" i="9" s="1"/>
  <c r="Y56" i="9"/>
  <c r="O171" i="1"/>
  <c r="O182" i="1"/>
  <c r="O183" i="1"/>
  <c r="AF82" i="9"/>
  <c r="AF79" i="9" s="1"/>
  <c r="F112" i="9"/>
  <c r="F73" i="9"/>
  <c r="F75" i="9" s="1"/>
  <c r="F63" i="9"/>
  <c r="F70" i="9" s="1"/>
  <c r="F125" i="9" s="1"/>
  <c r="CY205" i="12"/>
  <c r="CZ199" i="12"/>
  <c r="DC205" i="12" s="1"/>
  <c r="AM112" i="9"/>
  <c r="AM73" i="9"/>
  <c r="AM75" i="9" s="1"/>
  <c r="AM63" i="9"/>
  <c r="AM70" i="9" s="1"/>
  <c r="AM125" i="9" s="1"/>
  <c r="AO311" i="1"/>
  <c r="AO312" i="1" s="1"/>
  <c r="AP311" i="1" s="1"/>
  <c r="AN312" i="1"/>
  <c r="V101" i="9"/>
  <c r="AQ112" i="9"/>
  <c r="AQ73" i="9"/>
  <c r="AQ75" i="9" s="1"/>
  <c r="AQ63" i="9"/>
  <c r="AQ70" i="9" s="1"/>
  <c r="AQ125" i="9" s="1"/>
  <c r="AR333" i="1"/>
  <c r="AR416" i="1"/>
  <c r="CY202" i="12"/>
  <c r="CZ196" i="12"/>
  <c r="DC202" i="12" s="1"/>
  <c r="P59" i="10"/>
  <c r="O59" i="10"/>
  <c r="AI171" i="1"/>
  <c r="AI182" i="1"/>
  <c r="AI183" i="1"/>
  <c r="AA109" i="9"/>
  <c r="AA122" i="9"/>
  <c r="AA82" i="9"/>
  <c r="AA79" i="9" s="1"/>
  <c r="AA56" i="9"/>
  <c r="AI109" i="9"/>
  <c r="AI122" i="9"/>
  <c r="AI82" i="9"/>
  <c r="AI79" i="9" s="1"/>
  <c r="AI56" i="9"/>
  <c r="AD171" i="1"/>
  <c r="AD183" i="1"/>
  <c r="AD182" i="1"/>
  <c r="AL112" i="9"/>
  <c r="AL73" i="9"/>
  <c r="AL75" i="9" s="1"/>
  <c r="AL63" i="9"/>
  <c r="AL70" i="9" s="1"/>
  <c r="AL125" i="9" s="1"/>
  <c r="AL91" i="9"/>
  <c r="AL45" i="9"/>
  <c r="X175" i="1"/>
  <c r="X441" i="1"/>
  <c r="X440" i="1"/>
  <c r="AF175" i="1"/>
  <c r="AF441" i="1"/>
  <c r="AF440" i="1"/>
  <c r="AN92" i="9"/>
  <c r="C171" i="1"/>
  <c r="H446" i="1" s="1"/>
  <c r="C183" i="1"/>
  <c r="C182" i="1"/>
  <c r="P99" i="9"/>
  <c r="Z446" i="1"/>
  <c r="Z175" i="1"/>
  <c r="Z441" i="1"/>
  <c r="Z440" i="1"/>
  <c r="E112" i="9"/>
  <c r="E63" i="9"/>
  <c r="E70" i="9" s="1"/>
  <c r="E125" i="9" s="1"/>
  <c r="E73" i="9"/>
  <c r="E75" i="9" s="1"/>
  <c r="C122" i="9"/>
  <c r="C82" i="9"/>
  <c r="C79" i="9" s="1"/>
  <c r="C56" i="9"/>
  <c r="M101" i="9"/>
  <c r="M105" i="9" s="1"/>
  <c r="M175" i="1"/>
  <c r="M440" i="1"/>
  <c r="M441" i="1"/>
  <c r="R112" i="9"/>
  <c r="R73" i="9"/>
  <c r="R75" i="9" s="1"/>
  <c r="R63" i="9"/>
  <c r="R70" i="9" s="1"/>
  <c r="R125" i="9" s="1"/>
  <c r="Y171" i="1"/>
  <c r="Y183" i="1"/>
  <c r="Y182" i="1"/>
  <c r="AM171" i="1"/>
  <c r="AM182" i="1"/>
  <c r="AM183" i="1"/>
  <c r="T112" i="9"/>
  <c r="T73" i="9"/>
  <c r="T75" i="9" s="1"/>
  <c r="T63" i="9"/>
  <c r="T70" i="9" s="1"/>
  <c r="T125" i="9" s="1"/>
  <c r="AL171" i="1"/>
  <c r="AK446" i="1" s="1"/>
  <c r="AL183" i="1"/>
  <c r="AL182" i="1"/>
  <c r="AH441" i="1"/>
  <c r="AH175" i="1"/>
  <c r="AH440" i="1"/>
  <c r="D240" i="1"/>
  <c r="D235" i="1"/>
  <c r="P30" i="1"/>
  <c r="L43" i="1"/>
  <c r="L22" i="9" s="1"/>
  <c r="AR157" i="1"/>
  <c r="AR94" i="1"/>
  <c r="AR453" i="1" s="1"/>
  <c r="AR162" i="1"/>
  <c r="N91" i="9"/>
  <c r="N45" i="9"/>
  <c r="AP92" i="9"/>
  <c r="X112" i="9"/>
  <c r="X73" i="9"/>
  <c r="X75" i="9" s="1"/>
  <c r="X63" i="9"/>
  <c r="X70" i="9" s="1"/>
  <c r="X125" i="9" s="1"/>
  <c r="P34" i="10"/>
  <c r="O34" i="10"/>
  <c r="AK175" i="1"/>
  <c r="AK441" i="1"/>
  <c r="AK440" i="1"/>
  <c r="AC112" i="9"/>
  <c r="AC73" i="9"/>
  <c r="AC75" i="9" s="1"/>
  <c r="AC63" i="9"/>
  <c r="AC70" i="9" s="1"/>
  <c r="AC125" i="9" s="1"/>
  <c r="CY201" i="12"/>
  <c r="CZ195" i="12"/>
  <c r="DC201" i="12" s="1"/>
  <c r="T183" i="1"/>
  <c r="T171" i="1"/>
  <c r="T182" i="1"/>
  <c r="F171" i="1"/>
  <c r="F183" i="1"/>
  <c r="F182" i="1"/>
  <c r="AL122" i="9"/>
  <c r="AL109" i="9"/>
  <c r="AL82" i="9"/>
  <c r="AL79" i="9" s="1"/>
  <c r="AL56" i="9"/>
  <c r="P44" i="10"/>
  <c r="O44" i="10"/>
  <c r="AB109" i="9"/>
  <c r="AB122" i="9"/>
  <c r="AB82" i="9"/>
  <c r="AB79" i="9" s="1"/>
  <c r="AB56" i="9"/>
  <c r="AI111" i="9"/>
  <c r="AI83" i="9"/>
  <c r="AI80" i="9" s="1"/>
  <c r="AI72" i="9"/>
  <c r="AI61" i="9"/>
  <c r="AL83" i="9"/>
  <c r="AL80" i="9" s="1"/>
  <c r="AE446" i="1"/>
  <c r="AE175" i="1"/>
  <c r="AE441" i="1"/>
  <c r="AE440" i="1"/>
  <c r="K111" i="12"/>
  <c r="L21" i="12"/>
  <c r="N122" i="9"/>
  <c r="N109" i="9"/>
  <c r="N82" i="9"/>
  <c r="N79" i="9" s="1"/>
  <c r="N56" i="9"/>
  <c r="W175" i="1"/>
  <c r="W441" i="1"/>
  <c r="W440" i="1"/>
  <c r="K109" i="9"/>
  <c r="K82" i="9"/>
  <c r="K79" i="9" s="1"/>
  <c r="K122" i="9"/>
  <c r="K56" i="9"/>
  <c r="M311" i="1"/>
  <c r="L312" i="1"/>
  <c r="AM122" i="9"/>
  <c r="AM109" i="9"/>
  <c r="AM82" i="9"/>
  <c r="AM79" i="9" s="1"/>
  <c r="AM56" i="9"/>
  <c r="AP82" i="9"/>
  <c r="AP79" i="9" s="1"/>
  <c r="V91" i="9"/>
  <c r="V45" i="9"/>
  <c r="C73" i="9"/>
  <c r="C75" i="9" s="1"/>
  <c r="C63" i="9"/>
  <c r="C70" i="9" s="1"/>
  <c r="C125" i="9" s="1"/>
  <c r="S109" i="9"/>
  <c r="T91" i="9"/>
  <c r="T45" i="9"/>
  <c r="AF112" i="9"/>
  <c r="AF73" i="9"/>
  <c r="AF75" i="9" s="1"/>
  <c r="AF63" i="9"/>
  <c r="AF70" i="9" s="1"/>
  <c r="AF125" i="9" s="1"/>
  <c r="L109" i="9"/>
  <c r="L122" i="9"/>
  <c r="L82" i="9"/>
  <c r="L79" i="9" s="1"/>
  <c r="L56" i="9"/>
  <c r="CY206" i="12"/>
  <c r="CZ200" i="12"/>
  <c r="DC206" i="12" s="1"/>
  <c r="K99" i="9"/>
  <c r="P112" i="9"/>
  <c r="P73" i="9"/>
  <c r="P75" i="9" s="1"/>
  <c r="P63" i="9"/>
  <c r="P70" i="9" s="1"/>
  <c r="P125" i="9" s="1"/>
  <c r="Q101" i="9"/>
  <c r="Q105" i="9" s="1"/>
  <c r="H1" i="9"/>
  <c r="H521" i="1"/>
  <c r="H519" i="1" s="1"/>
  <c r="H247" i="1" s="1"/>
  <c r="H522" i="1"/>
  <c r="H496" i="1"/>
  <c r="H3" i="1"/>
  <c r="I4" i="1"/>
  <c r="G63" i="9"/>
  <c r="G70" i="9" s="1"/>
  <c r="G125" i="9" s="1"/>
  <c r="G73" i="9"/>
  <c r="G75" i="9" s="1"/>
  <c r="W112" i="9"/>
  <c r="W63" i="9"/>
  <c r="W70" i="9" s="1"/>
  <c r="W125" i="9" s="1"/>
  <c r="W73" i="9"/>
  <c r="W75" i="9" s="1"/>
  <c r="AB112" i="9"/>
  <c r="P51" i="10"/>
  <c r="O51" i="10"/>
  <c r="D91" i="9"/>
  <c r="D92" i="9" s="1"/>
  <c r="D45" i="9"/>
  <c r="CY204" i="12"/>
  <c r="CZ198" i="12"/>
  <c r="DC204" i="12" s="1"/>
  <c r="AG101" i="9"/>
  <c r="AG105" i="9" s="1"/>
  <c r="AK112" i="9"/>
  <c r="AK73" i="9"/>
  <c r="AK75" i="9" s="1"/>
  <c r="AK63" i="9"/>
  <c r="AK70" i="9" s="1"/>
  <c r="AK125" i="9" s="1"/>
  <c r="M111" i="10"/>
  <c r="X101" i="9"/>
  <c r="X105" i="9" s="1"/>
  <c r="AG175" i="1"/>
  <c r="AG441" i="1"/>
  <c r="AG440" i="1"/>
  <c r="AN175" i="1"/>
  <c r="AN440" i="1"/>
  <c r="AN441" i="1"/>
  <c r="AS44" i="1"/>
  <c r="AS23" i="9" s="1"/>
  <c r="AS25" i="1"/>
  <c r="AT38" i="1"/>
  <c r="P175" i="1"/>
  <c r="P440" i="1"/>
  <c r="P441" i="1"/>
  <c r="AN111" i="9"/>
  <c r="H73" i="9"/>
  <c r="H75" i="9" s="1"/>
  <c r="H63" i="9"/>
  <c r="H70" i="9" s="1"/>
  <c r="H125" i="9" s="1"/>
  <c r="AB171" i="1"/>
  <c r="AB182" i="1"/>
  <c r="AB183" i="1"/>
  <c r="AW419" i="1"/>
  <c r="AX217" i="1"/>
  <c r="AX419" i="1" s="1"/>
  <c r="AA112" i="9"/>
  <c r="AA73" i="9"/>
  <c r="AA75" i="9" s="1"/>
  <c r="AA63" i="9"/>
  <c r="AA70" i="9" s="1"/>
  <c r="AA125" i="9" s="1"/>
  <c r="E95" i="9"/>
  <c r="E99" i="9"/>
  <c r="AS45" i="1"/>
  <c r="AS24" i="9" s="1"/>
  <c r="I177" i="1"/>
  <c r="I186" i="1" s="1"/>
  <c r="I180" i="1"/>
  <c r="I185" i="1"/>
  <c r="I124" i="9"/>
  <c r="AH101" i="9"/>
  <c r="AH105" i="9" s="1"/>
  <c r="O122" i="9"/>
  <c r="O109" i="9"/>
  <c r="O82" i="9"/>
  <c r="O79" i="9" s="1"/>
  <c r="O56" i="9"/>
  <c r="Q91" i="9"/>
  <c r="Q45" i="9"/>
  <c r="U112" i="9"/>
  <c r="U73" i="9"/>
  <c r="U75" i="9" s="1"/>
  <c r="U63" i="9"/>
  <c r="U70" i="9" s="1"/>
  <c r="U125" i="9" s="1"/>
  <c r="AR32" i="9"/>
  <c r="AR53" i="9" s="1"/>
  <c r="AR88" i="1"/>
  <c r="AR90" i="1" s="1"/>
  <c r="CY203" i="12"/>
  <c r="CZ197" i="12"/>
  <c r="DC203" i="12" s="1"/>
  <c r="K171" i="1"/>
  <c r="K183" i="1"/>
  <c r="K182" i="1"/>
  <c r="AV402" i="1"/>
  <c r="AW396" i="1"/>
  <c r="Q175" i="1"/>
  <c r="Q124" i="9" s="1"/>
  <c r="Q440" i="1"/>
  <c r="Q441" i="1"/>
  <c r="E177" i="1"/>
  <c r="E186" i="1" s="1"/>
  <c r="E180" i="1"/>
  <c r="E185" i="1"/>
  <c r="G446" i="1"/>
  <c r="G175" i="1"/>
  <c r="G441" i="1"/>
  <c r="G440" i="1"/>
  <c r="AT218" i="1"/>
  <c r="AT216" i="1"/>
  <c r="AD112" i="9"/>
  <c r="AD73" i="9"/>
  <c r="AD75" i="9" s="1"/>
  <c r="AD63" i="9"/>
  <c r="AD70" i="9" s="1"/>
  <c r="AD125" i="9" s="1"/>
  <c r="AP112" i="9"/>
  <c r="AP63" i="9"/>
  <c r="AP70" i="9" s="1"/>
  <c r="AP125" i="9" s="1"/>
  <c r="AP73" i="9"/>
  <c r="AP75" i="9" s="1"/>
  <c r="R446" i="1"/>
  <c r="R175" i="1"/>
  <c r="R440" i="1"/>
  <c r="R441" i="1"/>
  <c r="AO177" i="1"/>
  <c r="AO186" i="1" s="1"/>
  <c r="AO180" i="1"/>
  <c r="AO185" i="1"/>
  <c r="D112" i="9"/>
  <c r="D75" i="9"/>
  <c r="D63" i="9"/>
  <c r="D70" i="9" s="1"/>
  <c r="D125" i="9" s="1"/>
  <c r="Y91" i="9"/>
  <c r="Y45" i="9"/>
  <c r="AD122" i="9"/>
  <c r="AD109" i="9"/>
  <c r="AD82" i="9"/>
  <c r="AD79" i="9" s="1"/>
  <c r="AD56" i="9"/>
  <c r="V112" i="9"/>
  <c r="V73" i="9"/>
  <c r="V75" i="9" s="1"/>
  <c r="V63" i="9"/>
  <c r="V70" i="9" s="1"/>
  <c r="V125" i="9" s="1"/>
  <c r="AJ109" i="9"/>
  <c r="AJ122" i="9"/>
  <c r="AJ82" i="9"/>
  <c r="AJ79" i="9" s="1"/>
  <c r="AJ56" i="9"/>
  <c r="AO109" i="9"/>
  <c r="AQ171" i="1"/>
  <c r="AP446" i="1" s="1"/>
  <c r="AQ183" i="1"/>
  <c r="AQ182" i="1"/>
  <c r="T109" i="9"/>
  <c r="T122" i="9"/>
  <c r="T82" i="9"/>
  <c r="T79" i="9" s="1"/>
  <c r="T56" i="9"/>
  <c r="AB101" i="9"/>
  <c r="AB105" i="9" s="1"/>
  <c r="E124" i="9"/>
  <c r="AS11" i="1"/>
  <c r="AS14" i="9" s="1"/>
  <c r="AT22" i="1"/>
  <c r="M112" i="9"/>
  <c r="M73" i="9"/>
  <c r="M75" i="9" s="1"/>
  <c r="M63" i="9"/>
  <c r="M70" i="9" s="1"/>
  <c r="M125" i="9" s="1"/>
  <c r="AA91" i="9"/>
  <c r="AA45" i="9"/>
  <c r="P41" i="1"/>
  <c r="H175" i="1"/>
  <c r="H441" i="1"/>
  <c r="H440" i="1"/>
  <c r="AO112" i="9"/>
  <c r="AO73" i="9"/>
  <c r="AO75" i="9" s="1"/>
  <c r="AO63" i="9"/>
  <c r="AO70" i="9" s="1"/>
  <c r="AO125" i="9" s="1"/>
  <c r="AR33" i="9"/>
  <c r="AR54" i="9" s="1"/>
  <c r="AE99" i="9"/>
  <c r="AE95" i="9"/>
  <c r="E448" i="1"/>
  <c r="E373" i="1"/>
  <c r="F370" i="1"/>
  <c r="F371" i="1" s="1"/>
  <c r="AK83" i="9"/>
  <c r="AK80" i="9" s="1"/>
  <c r="Y112" i="9"/>
  <c r="Y63" i="9"/>
  <c r="Y70" i="9" s="1"/>
  <c r="Y125" i="9" s="1"/>
  <c r="Y73" i="9"/>
  <c r="Y75" i="9" s="1"/>
  <c r="U99" i="9"/>
  <c r="U95" i="9"/>
  <c r="AJ73" i="9"/>
  <c r="AJ75" i="9" s="1"/>
  <c r="AJ112" i="9"/>
  <c r="AJ63" i="9"/>
  <c r="AJ70" i="9" s="1"/>
  <c r="AJ125" i="9" s="1"/>
  <c r="AG82" i="9"/>
  <c r="AG79" i="9" s="1"/>
  <c r="F122" i="9"/>
  <c r="F109" i="9"/>
  <c r="F82" i="9"/>
  <c r="F79" i="9" s="1"/>
  <c r="F56" i="9"/>
  <c r="I63" i="9"/>
  <c r="I70" i="9" s="1"/>
  <c r="I125" i="9" s="1"/>
  <c r="I73" i="9"/>
  <c r="I75" i="9" s="1"/>
  <c r="AO124" i="9"/>
  <c r="AI91" i="9"/>
  <c r="AI45" i="9"/>
  <c r="S112" i="9"/>
  <c r="S73" i="9"/>
  <c r="S75" i="9" s="1"/>
  <c r="S63" i="9"/>
  <c r="S70" i="9" s="1"/>
  <c r="S125" i="9" s="1"/>
  <c r="AJ183" i="1"/>
  <c r="AJ171" i="1"/>
  <c r="AJ182" i="1"/>
  <c r="AC175" i="1"/>
  <c r="AC440" i="1"/>
  <c r="AC441" i="1"/>
  <c r="F95" i="9"/>
  <c r="F99" i="9"/>
  <c r="V122" i="9"/>
  <c r="V109" i="9"/>
  <c r="V82" i="9"/>
  <c r="V79" i="9" s="1"/>
  <c r="V56" i="9"/>
  <c r="AB91" i="9"/>
  <c r="AB45" i="9"/>
  <c r="L112" i="9"/>
  <c r="L73" i="9"/>
  <c r="L75" i="9" s="1"/>
  <c r="L63" i="9"/>
  <c r="L70" i="9" s="1"/>
  <c r="L125" i="9" s="1"/>
  <c r="L41" i="1"/>
  <c r="L37" i="1"/>
  <c r="V171" i="1"/>
  <c r="V183" i="1"/>
  <c r="V182" i="1"/>
  <c r="AR331" i="1"/>
  <c r="AA171" i="1"/>
  <c r="AF446" i="1" s="1"/>
  <c r="AA183" i="1"/>
  <c r="AA182" i="1"/>
  <c r="S101" i="9"/>
  <c r="S105" i="9" s="1"/>
  <c r="D117" i="9"/>
  <c r="D6" i="9"/>
  <c r="D11" i="9" s="1"/>
  <c r="D116" i="9" s="1"/>
  <c r="W124" i="9"/>
  <c r="W91" i="9"/>
  <c r="W45" i="9"/>
  <c r="AN112" i="9"/>
  <c r="AN73" i="9"/>
  <c r="AN75" i="9" s="1"/>
  <c r="AN63" i="9"/>
  <c r="AN70" i="9" s="1"/>
  <c r="AN125" i="9" s="1"/>
  <c r="Z95" i="9"/>
  <c r="Z99" i="9"/>
  <c r="L171" i="1"/>
  <c r="L183" i="1"/>
  <c r="L182" i="1"/>
  <c r="AD91" i="9"/>
  <c r="AF92" i="9" s="1"/>
  <c r="AD45" i="9"/>
  <c r="O91" i="9"/>
  <c r="O45" i="9"/>
  <c r="J175" i="1"/>
  <c r="J441" i="1"/>
  <c r="J440" i="1"/>
  <c r="D122" i="9"/>
  <c r="D109" i="9"/>
  <c r="D82" i="9"/>
  <c r="D79" i="9" s="1"/>
  <c r="D56" i="9"/>
  <c r="E109" i="9"/>
  <c r="S175" i="1"/>
  <c r="S441" i="1"/>
  <c r="S440" i="1"/>
  <c r="N112" i="9"/>
  <c r="N73" i="9"/>
  <c r="N75" i="9" s="1"/>
  <c r="N63" i="9"/>
  <c r="N70" i="9" s="1"/>
  <c r="N125" i="9" s="1"/>
  <c r="L91" i="9"/>
  <c r="L92" i="9" s="1"/>
  <c r="L45" i="9"/>
  <c r="D183" i="1"/>
  <c r="D171" i="1"/>
  <c r="D182" i="1"/>
  <c r="U446" i="1"/>
  <c r="U455" i="1"/>
  <c r="U175" i="1"/>
  <c r="U440" i="1"/>
  <c r="U441" i="1"/>
  <c r="E117" i="9"/>
  <c r="E6" i="9"/>
  <c r="E11" i="9" s="1"/>
  <c r="E116" i="9" s="1"/>
  <c r="N171" i="1"/>
  <c r="N183" i="1"/>
  <c r="N182" i="1"/>
  <c r="C95" i="9"/>
  <c r="C99" i="9"/>
  <c r="AC82" i="9"/>
  <c r="AC79" i="9" s="1"/>
  <c r="AG109" i="9"/>
  <c r="M82" i="9"/>
  <c r="M79" i="9" s="1"/>
  <c r="C247" i="1"/>
  <c r="C234" i="1" s="1"/>
  <c r="C4" i="9"/>
  <c r="AH112" i="9"/>
  <c r="AH73" i="9"/>
  <c r="AH75" i="9" s="1"/>
  <c r="AH63" i="9"/>
  <c r="AH70" i="9" s="1"/>
  <c r="AH125" i="9" s="1"/>
  <c r="F246" i="1"/>
  <c r="F248" i="1" s="1"/>
  <c r="F234" i="1" s="1"/>
  <c r="R21" i="14" s="1"/>
  <c r="F4" i="9"/>
  <c r="W105" i="9"/>
  <c r="AR332" i="1"/>
  <c r="AA101" i="9"/>
  <c r="AA105" i="9" s="1"/>
  <c r="R82" i="9"/>
  <c r="R79" i="9" s="1"/>
  <c r="V105" i="9"/>
  <c r="M25" i="10"/>
  <c r="AA92" i="9" l="1"/>
  <c r="AA95" i="9" s="1"/>
  <c r="AQ95" i="9"/>
  <c r="AN446" i="1"/>
  <c r="W92" i="9"/>
  <c r="P455" i="1"/>
  <c r="AC446" i="1"/>
  <c r="X92" i="9"/>
  <c r="X95" i="9" s="1"/>
  <c r="X38" i="14"/>
  <c r="AI92" i="9"/>
  <c r="M446" i="1"/>
  <c r="M74" i="13"/>
  <c r="Q92" i="9"/>
  <c r="S446" i="1"/>
  <c r="AM92" i="9"/>
  <c r="AM95" i="9" s="1"/>
  <c r="Y92" i="9"/>
  <c r="Y95" i="9" s="1"/>
  <c r="AR34" i="9"/>
  <c r="E367" i="14"/>
  <c r="F365" i="14"/>
  <c r="O92" i="9"/>
  <c r="T34" i="13"/>
  <c r="J34" i="13"/>
  <c r="K34" i="13" s="1"/>
  <c r="L34" i="13" s="1"/>
  <c r="M34" i="13" s="1"/>
  <c r="M55" i="13"/>
  <c r="M40" i="13"/>
  <c r="F281" i="14"/>
  <c r="K226" i="14"/>
  <c r="K215" i="14"/>
  <c r="N205" i="14"/>
  <c r="M205" i="14"/>
  <c r="L205" i="14"/>
  <c r="K220" i="14"/>
  <c r="K231" i="14"/>
  <c r="K211" i="14"/>
  <c r="N210" i="14"/>
  <c r="M210" i="14"/>
  <c r="L210" i="14"/>
  <c r="K225" i="14"/>
  <c r="N204" i="14"/>
  <c r="M204" i="14"/>
  <c r="L204" i="14"/>
  <c r="K214" i="14"/>
  <c r="Q250" i="14"/>
  <c r="Q251" i="14" s="1"/>
  <c r="Q252" i="14" s="1"/>
  <c r="Q253" i="14" s="1"/>
  <c r="Q254" i="14" s="1"/>
  <c r="J339" i="14" s="1"/>
  <c r="J340" i="14" s="1"/>
  <c r="J341" i="14" s="1"/>
  <c r="R248" i="14"/>
  <c r="F282" i="14"/>
  <c r="N206" i="14"/>
  <c r="K227" i="14"/>
  <c r="K237" i="14" s="1"/>
  <c r="L237" i="14" s="1"/>
  <c r="K216" i="14"/>
  <c r="K219" i="14"/>
  <c r="M209" i="14"/>
  <c r="K230" i="14"/>
  <c r="L209" i="14"/>
  <c r="N209" i="14"/>
  <c r="K229" i="14"/>
  <c r="K239" i="14" s="1"/>
  <c r="L239" i="14" s="1"/>
  <c r="K218" i="14"/>
  <c r="N208" i="14"/>
  <c r="M208" i="14"/>
  <c r="L208" i="14"/>
  <c r="E279" i="14"/>
  <c r="E287" i="14" s="1"/>
  <c r="J234" i="14"/>
  <c r="K228" i="14"/>
  <c r="K238" i="14" s="1"/>
  <c r="L238" i="14" s="1"/>
  <c r="K217" i="14"/>
  <c r="M207" i="14"/>
  <c r="N207" i="14"/>
  <c r="E277" i="14"/>
  <c r="E285" i="14" s="1"/>
  <c r="J235" i="14"/>
  <c r="K224" i="14"/>
  <c r="K213" i="14"/>
  <c r="N203" i="14"/>
  <c r="L203" i="14"/>
  <c r="M203" i="14"/>
  <c r="P25" i="10"/>
  <c r="O25" i="10"/>
  <c r="D446" i="1"/>
  <c r="D175" i="1"/>
  <c r="D440" i="1"/>
  <c r="D441" i="1"/>
  <c r="E446" i="1"/>
  <c r="I446" i="1"/>
  <c r="AD92" i="9"/>
  <c r="AB92" i="9"/>
  <c r="G185" i="1"/>
  <c r="G180" i="1"/>
  <c r="G177" i="1"/>
  <c r="G186" i="1" s="1"/>
  <c r="K455" i="1"/>
  <c r="K446" i="1"/>
  <c r="K175" i="1"/>
  <c r="K440" i="1"/>
  <c r="K441" i="1"/>
  <c r="AG446" i="1"/>
  <c r="AE185" i="1"/>
  <c r="AE177" i="1"/>
  <c r="AE186" i="1" s="1"/>
  <c r="AE180" i="1"/>
  <c r="AE124" i="9"/>
  <c r="AK177" i="1"/>
  <c r="AK186" i="1" s="1"/>
  <c r="AK180" i="1"/>
  <c r="AK185" i="1"/>
  <c r="AK124" i="9"/>
  <c r="Y175" i="1"/>
  <c r="Y446" i="1"/>
  <c r="Y440" i="1"/>
  <c r="Y441" i="1"/>
  <c r="E118" i="9"/>
  <c r="E236" i="1"/>
  <c r="Q27" i="14" s="1"/>
  <c r="E241" i="1"/>
  <c r="AR55" i="9"/>
  <c r="AO455" i="1"/>
  <c r="J185" i="1"/>
  <c r="J180" i="1"/>
  <c r="J177" i="1"/>
  <c r="J186" i="1" s="1"/>
  <c r="J124" i="9"/>
  <c r="V446" i="1"/>
  <c r="V175" i="1"/>
  <c r="V440" i="1"/>
  <c r="V441" i="1"/>
  <c r="D118" i="9"/>
  <c r="R185" i="1"/>
  <c r="R180" i="1"/>
  <c r="R177" i="1"/>
  <c r="R186" i="1" s="1"/>
  <c r="R124" i="9"/>
  <c r="X99" i="9"/>
  <c r="P185" i="1"/>
  <c r="P177" i="1"/>
  <c r="P186" i="1" s="1"/>
  <c r="P180" i="1"/>
  <c r="P124" i="9"/>
  <c r="I522" i="1"/>
  <c r="I1" i="9"/>
  <c r="I496" i="1"/>
  <c r="I521" i="1"/>
  <c r="I519" i="1" s="1"/>
  <c r="I247" i="1" s="1"/>
  <c r="J4" i="1"/>
  <c r="I3" i="1"/>
  <c r="W185" i="1"/>
  <c r="W180" i="1"/>
  <c r="W177" i="1"/>
  <c r="W186" i="1" s="1"/>
  <c r="L111" i="12"/>
  <c r="M21" i="12"/>
  <c r="AR48" i="9"/>
  <c r="AR95" i="1"/>
  <c r="E119" i="9"/>
  <c r="AF185" i="1"/>
  <c r="AF177" i="1"/>
  <c r="AF186" i="1" s="1"/>
  <c r="AF180" i="1"/>
  <c r="AF124" i="9"/>
  <c r="G124" i="9"/>
  <c r="S177" i="1"/>
  <c r="S186" i="1" s="1"/>
  <c r="S180" i="1"/>
  <c r="S185" i="1"/>
  <c r="S124" i="9"/>
  <c r="AR100" i="9"/>
  <c r="AR101" i="9" s="1"/>
  <c r="AR99" i="1"/>
  <c r="AL446" i="1"/>
  <c r="AL175" i="1"/>
  <c r="AL440" i="1"/>
  <c r="AL441" i="1"/>
  <c r="M177" i="1"/>
  <c r="M186" i="1" s="1"/>
  <c r="M185" i="1"/>
  <c r="M180" i="1"/>
  <c r="M124" i="9"/>
  <c r="AI175" i="1"/>
  <c r="AI446" i="1"/>
  <c r="AI440" i="1"/>
  <c r="AI441" i="1"/>
  <c r="L44" i="1"/>
  <c r="L23" i="9" s="1"/>
  <c r="P37" i="1"/>
  <c r="AC177" i="1"/>
  <c r="AC186" i="1" s="1"/>
  <c r="AC185" i="1"/>
  <c r="AC180" i="1"/>
  <c r="AC124" i="9"/>
  <c r="H185" i="1"/>
  <c r="H177" i="1"/>
  <c r="H186" i="1" s="1"/>
  <c r="H180" i="1"/>
  <c r="H124" i="9"/>
  <c r="D119" i="9"/>
  <c r="Q177" i="1"/>
  <c r="Q186" i="1" s="1"/>
  <c r="Q180" i="1"/>
  <c r="Q185" i="1"/>
  <c r="P446" i="1"/>
  <c r="AN185" i="1"/>
  <c r="AN177" i="1"/>
  <c r="AN186" i="1" s="1"/>
  <c r="AN180" i="1"/>
  <c r="AN124" i="9"/>
  <c r="T92" i="9"/>
  <c r="V92" i="9"/>
  <c r="N311" i="1"/>
  <c r="M312" i="1"/>
  <c r="W446" i="1"/>
  <c r="AE455" i="1"/>
  <c r="AP99" i="9"/>
  <c r="AP95" i="9"/>
  <c r="AH185" i="1"/>
  <c r="AH180" i="1"/>
  <c r="AH177" i="1"/>
  <c r="AH186" i="1" s="1"/>
  <c r="AH124" i="9"/>
  <c r="AL92" i="9"/>
  <c r="L95" i="9"/>
  <c r="L99" i="9"/>
  <c r="W95" i="9"/>
  <c r="W99" i="9"/>
  <c r="AA446" i="1"/>
  <c r="AA175" i="1"/>
  <c r="AA440" i="1"/>
  <c r="AA441" i="1"/>
  <c r="AI95" i="9"/>
  <c r="AI99" i="9"/>
  <c r="F448" i="1"/>
  <c r="F373" i="1"/>
  <c r="G370" i="1"/>
  <c r="G371" i="1" s="1"/>
  <c r="K370" i="1"/>
  <c r="K371" i="1" s="1"/>
  <c r="AQ175" i="1"/>
  <c r="AQ440" i="1"/>
  <c r="AQ441" i="1"/>
  <c r="E49" i="9"/>
  <c r="E187" i="1"/>
  <c r="Q446" i="1"/>
  <c r="I49" i="9"/>
  <c r="I187" i="1"/>
  <c r="I50" i="9" s="1"/>
  <c r="I76" i="9" s="1"/>
  <c r="AY419" i="1"/>
  <c r="R92" i="9"/>
  <c r="H516" i="1"/>
  <c r="H514" i="1"/>
  <c r="H512" i="1" s="1"/>
  <c r="H502" i="1"/>
  <c r="H500" i="1"/>
  <c r="H498" i="1" s="1"/>
  <c r="H244" i="1" s="1"/>
  <c r="H507" i="1"/>
  <c r="H505" i="1" s="1"/>
  <c r="H245" i="1" s="1"/>
  <c r="H509" i="1"/>
  <c r="L45" i="1"/>
  <c r="L24" i="9" s="1"/>
  <c r="AH446" i="1"/>
  <c r="AQ311" i="1"/>
  <c r="AQ312" i="1" s="1"/>
  <c r="AP312" i="1"/>
  <c r="O175" i="1"/>
  <c r="O446" i="1"/>
  <c r="O440" i="1"/>
  <c r="O441" i="1"/>
  <c r="AG177" i="1"/>
  <c r="AG186" i="1" s="1"/>
  <c r="AG180" i="1"/>
  <c r="AG185" i="1"/>
  <c r="F117" i="9"/>
  <c r="F6" i="9"/>
  <c r="C117" i="9"/>
  <c r="C6" i="9"/>
  <c r="U177" i="1"/>
  <c r="U186" i="1" s="1"/>
  <c r="U180" i="1"/>
  <c r="U185" i="1"/>
  <c r="U124" i="9"/>
  <c r="L446" i="1"/>
  <c r="L175" i="1"/>
  <c r="L440" i="1"/>
  <c r="L441" i="1"/>
  <c r="M82" i="10"/>
  <c r="M90" i="10"/>
  <c r="M98" i="10"/>
  <c r="M66" i="10"/>
  <c r="AT11" i="1"/>
  <c r="AT14" i="9" s="1"/>
  <c r="M92" i="9"/>
  <c r="S92" i="9"/>
  <c r="AT96" i="9"/>
  <c r="AT97" i="9" s="1"/>
  <c r="AT8" i="9"/>
  <c r="AT443" i="1"/>
  <c r="AU218" i="1"/>
  <c r="AX396" i="1"/>
  <c r="AW402" i="1"/>
  <c r="AI112" i="9"/>
  <c r="AI73" i="9"/>
  <c r="AI75" i="9" s="1"/>
  <c r="AI63" i="9"/>
  <c r="AI70" i="9" s="1"/>
  <c r="AI125" i="9" s="1"/>
  <c r="F446" i="1"/>
  <c r="F175" i="1"/>
  <c r="F440" i="1"/>
  <c r="F441" i="1"/>
  <c r="N92" i="9"/>
  <c r="P45" i="1"/>
  <c r="P24" i="9" s="1"/>
  <c r="P43" i="1"/>
  <c r="P22" i="9" s="1"/>
  <c r="P32" i="1"/>
  <c r="Z185" i="1"/>
  <c r="Z180" i="1"/>
  <c r="Z177" i="1"/>
  <c r="Z186" i="1" s="1"/>
  <c r="Z124" i="9"/>
  <c r="AD175" i="1"/>
  <c r="AD441" i="1"/>
  <c r="AD446" i="1"/>
  <c r="AD440" i="1"/>
  <c r="AR102" i="9"/>
  <c r="AR103" i="9" s="1"/>
  <c r="AG92" i="9"/>
  <c r="F240" i="1"/>
  <c r="F235" i="1"/>
  <c r="C240" i="1"/>
  <c r="C235" i="1"/>
  <c r="N446" i="1"/>
  <c r="N175" i="1"/>
  <c r="N441" i="1"/>
  <c r="N440" i="1"/>
  <c r="AA99" i="9"/>
  <c r="O99" i="9"/>
  <c r="O95" i="9"/>
  <c r="AR66" i="9"/>
  <c r="AJ455" i="1"/>
  <c r="AJ446" i="1"/>
  <c r="AJ175" i="1"/>
  <c r="AJ441" i="1"/>
  <c r="AJ440" i="1"/>
  <c r="AO446" i="1"/>
  <c r="AO49" i="9"/>
  <c r="AO187" i="1"/>
  <c r="AO50" i="9" s="1"/>
  <c r="AO76" i="9" s="1"/>
  <c r="AS14" i="1"/>
  <c r="AS15" i="9" s="1"/>
  <c r="AT25" i="1"/>
  <c r="O111" i="10"/>
  <c r="P111" i="10"/>
  <c r="D95" i="9"/>
  <c r="D99" i="9"/>
  <c r="AH92" i="9"/>
  <c r="AK92" i="9"/>
  <c r="AM446" i="1"/>
  <c r="AM175" i="1"/>
  <c r="AM441" i="1"/>
  <c r="AM440" i="1"/>
  <c r="C446" i="1"/>
  <c r="C175" i="1"/>
  <c r="C441" i="1"/>
  <c r="C440" i="1"/>
  <c r="X185" i="1"/>
  <c r="X177" i="1"/>
  <c r="X186" i="1" s="1"/>
  <c r="X180" i="1"/>
  <c r="X124" i="9"/>
  <c r="AG124" i="9"/>
  <c r="G246" i="1"/>
  <c r="G248" i="1" s="1"/>
  <c r="G234" i="1" s="1"/>
  <c r="G235" i="1" s="1"/>
  <c r="G236" i="1" s="1"/>
  <c r="G4" i="9"/>
  <c r="G6" i="9" s="1"/>
  <c r="G11" i="9" s="1"/>
  <c r="Q95" i="9"/>
  <c r="Q99" i="9"/>
  <c r="AB446" i="1"/>
  <c r="AB175" i="1"/>
  <c r="AB440" i="1"/>
  <c r="AB441" i="1"/>
  <c r="AF95" i="9"/>
  <c r="AF99" i="9"/>
  <c r="J446" i="1"/>
  <c r="AS26" i="1"/>
  <c r="AS149" i="1" s="1"/>
  <c r="AC92" i="9"/>
  <c r="H523" i="1"/>
  <c r="T175" i="1"/>
  <c r="T446" i="1"/>
  <c r="T440" i="1"/>
  <c r="T441" i="1"/>
  <c r="D236" i="1"/>
  <c r="P27" i="14" s="1"/>
  <c r="D241" i="1"/>
  <c r="Z455" i="1"/>
  <c r="AN95" i="9"/>
  <c r="AN99" i="9"/>
  <c r="X446" i="1"/>
  <c r="M73" i="10"/>
  <c r="AP185" i="1"/>
  <c r="AP180" i="1"/>
  <c r="AP177" i="1"/>
  <c r="AP186" i="1" s="1"/>
  <c r="AP124" i="9"/>
  <c r="M26" i="10"/>
  <c r="Y99" i="9" l="1"/>
  <c r="AM99" i="9"/>
  <c r="F367" i="14"/>
  <c r="G365" i="14"/>
  <c r="K256" i="14"/>
  <c r="K235" i="14"/>
  <c r="L235" i="14" s="1"/>
  <c r="F277" i="14"/>
  <c r="G282" i="14"/>
  <c r="H282" i="14" s="1"/>
  <c r="I282" i="14" s="1"/>
  <c r="J282" i="14" s="1"/>
  <c r="K282" i="14" s="1"/>
  <c r="L282" i="14" s="1"/>
  <c r="M282" i="14" s="1"/>
  <c r="S248" i="14"/>
  <c r="R250" i="14"/>
  <c r="R251" i="14" s="1"/>
  <c r="R252" i="14" s="1"/>
  <c r="R253" i="14" s="1"/>
  <c r="R254" i="14" s="1"/>
  <c r="K234" i="14"/>
  <c r="L234" i="14" s="1"/>
  <c r="F279" i="14"/>
  <c r="K258" i="14"/>
  <c r="K240" i="14"/>
  <c r="L240" i="14" s="1"/>
  <c r="F283" i="14"/>
  <c r="K257" i="14"/>
  <c r="K236" i="14"/>
  <c r="L236" i="14" s="1"/>
  <c r="G281" i="14"/>
  <c r="H281" i="14" s="1"/>
  <c r="I281" i="14" s="1"/>
  <c r="J281" i="14" s="1"/>
  <c r="K281" i="14" s="1"/>
  <c r="L281" i="14" s="1"/>
  <c r="M281" i="14" s="1"/>
  <c r="F303" i="14"/>
  <c r="E303" i="14"/>
  <c r="E310" i="14"/>
  <c r="K259" i="14"/>
  <c r="K241" i="14"/>
  <c r="L241" i="14" s="1"/>
  <c r="O26" i="10"/>
  <c r="P26" i="10"/>
  <c r="AP49" i="9"/>
  <c r="AP187" i="1"/>
  <c r="AP50" i="9" s="1"/>
  <c r="AP76" i="9" s="1"/>
  <c r="F236" i="1"/>
  <c r="R27" i="14" s="1"/>
  <c r="F241" i="1"/>
  <c r="U49" i="9"/>
  <c r="U187" i="1"/>
  <c r="U50" i="9" s="1"/>
  <c r="U76" i="9" s="1"/>
  <c r="AC49" i="9"/>
  <c r="AC187" i="1"/>
  <c r="AC50" i="9" s="1"/>
  <c r="AC76" i="9" s="1"/>
  <c r="AS31" i="9"/>
  <c r="AS407" i="1"/>
  <c r="AS388" i="1"/>
  <c r="AS387" i="1"/>
  <c r="AS153" i="1"/>
  <c r="AS155" i="1"/>
  <c r="AS152" i="1"/>
  <c r="AS15" i="1"/>
  <c r="AS16" i="9" s="1"/>
  <c r="AT149" i="1"/>
  <c r="AS444" i="1"/>
  <c r="AM185" i="1"/>
  <c r="AM180" i="1"/>
  <c r="AM177" i="1"/>
  <c r="AM186" i="1" s="1"/>
  <c r="AM124" i="9"/>
  <c r="AG99" i="9"/>
  <c r="AG95" i="9"/>
  <c r="P98" i="10"/>
  <c r="O98" i="10"/>
  <c r="E123" i="9"/>
  <c r="E86" i="9"/>
  <c r="E87" i="9" s="1"/>
  <c r="E90" i="9" s="1"/>
  <c r="T95" i="9"/>
  <c r="T99" i="9"/>
  <c r="J522" i="1"/>
  <c r="J1" i="9"/>
  <c r="J496" i="1"/>
  <c r="J521" i="1" s="1"/>
  <c r="J519" i="1" s="1"/>
  <c r="J247" i="1" s="1"/>
  <c r="K4" i="1"/>
  <c r="J3" i="1"/>
  <c r="Y177" i="1"/>
  <c r="Y186" i="1" s="1"/>
  <c r="Y180" i="1"/>
  <c r="Y185" i="1"/>
  <c r="Y124" i="9"/>
  <c r="P90" i="10"/>
  <c r="O90" i="10"/>
  <c r="R99" i="9"/>
  <c r="R95" i="9"/>
  <c r="Q49" i="9"/>
  <c r="Q187" i="1"/>
  <c r="Q50" i="9" s="1"/>
  <c r="Q76" i="9" s="1"/>
  <c r="H246" i="1"/>
  <c r="H248" i="1" s="1"/>
  <c r="H234" i="1" s="1"/>
  <c r="H235" i="1" s="1"/>
  <c r="H236" i="1" s="1"/>
  <c r="H4" i="9"/>
  <c r="H6" i="9" s="1"/>
  <c r="H11" i="9" s="1"/>
  <c r="AL180" i="1"/>
  <c r="AL185" i="1"/>
  <c r="AL177" i="1"/>
  <c r="AL186" i="1" s="1"/>
  <c r="AL124" i="9"/>
  <c r="AF49" i="9"/>
  <c r="AF187" i="1"/>
  <c r="AF50" i="9" s="1"/>
  <c r="AF76" i="9" s="1"/>
  <c r="M111" i="12"/>
  <c r="N21" i="12"/>
  <c r="I516" i="1"/>
  <c r="I514" i="1"/>
  <c r="I512" i="1" s="1"/>
  <c r="I502" i="1"/>
  <c r="I500" i="1"/>
  <c r="I498" i="1" s="1"/>
  <c r="I244" i="1" s="1"/>
  <c r="I509" i="1"/>
  <c r="I507" i="1"/>
  <c r="I505" i="1" s="1"/>
  <c r="I245" i="1" s="1"/>
  <c r="O73" i="10"/>
  <c r="P73" i="10"/>
  <c r="AH95" i="9"/>
  <c r="AH99" i="9"/>
  <c r="AT14" i="1"/>
  <c r="AT15" i="9" s="1"/>
  <c r="P18" i="9"/>
  <c r="Q29" i="1"/>
  <c r="U29" i="1"/>
  <c r="M99" i="9"/>
  <c r="M95" i="9"/>
  <c r="C11" i="9"/>
  <c r="C118" i="9"/>
  <c r="AY217" i="1"/>
  <c r="AZ217" i="1" s="1"/>
  <c r="AQ177" i="1"/>
  <c r="AQ186" i="1" s="1"/>
  <c r="AQ185" i="1"/>
  <c r="AQ180" i="1"/>
  <c r="AQ124" i="9"/>
  <c r="AL95" i="9"/>
  <c r="AL99" i="9"/>
  <c r="AI177" i="1"/>
  <c r="AI186" i="1" s="1"/>
  <c r="AI180" i="1"/>
  <c r="AI185" i="1"/>
  <c r="AI124" i="9"/>
  <c r="I523" i="1"/>
  <c r="P49" i="9"/>
  <c r="P187" i="1"/>
  <c r="P50" i="9" s="1"/>
  <c r="P76" i="9" s="1"/>
  <c r="E239" i="1"/>
  <c r="Q26" i="14" s="1"/>
  <c r="E242" i="1"/>
  <c r="AK49" i="9"/>
  <c r="AO456" i="1"/>
  <c r="AK187" i="1"/>
  <c r="AK50" i="9" s="1"/>
  <c r="AK76" i="9" s="1"/>
  <c r="R49" i="9"/>
  <c r="R187" i="1"/>
  <c r="R50" i="9" s="1"/>
  <c r="R76" i="9" s="1"/>
  <c r="AK95" i="9"/>
  <c r="AK99" i="9"/>
  <c r="C177" i="1"/>
  <c r="C186" i="1" s="1"/>
  <c r="C180" i="1"/>
  <c r="C185" i="1"/>
  <c r="C124" i="9"/>
  <c r="N180" i="1"/>
  <c r="N185" i="1"/>
  <c r="N177" i="1"/>
  <c r="N186" i="1" s="1"/>
  <c r="N124" i="9"/>
  <c r="AX402" i="1"/>
  <c r="AY396" i="1"/>
  <c r="AN49" i="9"/>
  <c r="AN187" i="1"/>
  <c r="AN50" i="9" s="1"/>
  <c r="AN76" i="9" s="1"/>
  <c r="P44" i="1"/>
  <c r="P23" i="9" s="1"/>
  <c r="P39" i="1"/>
  <c r="D180" i="1"/>
  <c r="D185" i="1"/>
  <c r="D177" i="1"/>
  <c r="D186" i="1" s="1"/>
  <c r="D124" i="9"/>
  <c r="Z49" i="9"/>
  <c r="Z187" i="1"/>
  <c r="Z50" i="9" s="1"/>
  <c r="Z76" i="9" s="1"/>
  <c r="F180" i="1"/>
  <c r="F185" i="1"/>
  <c r="F177" i="1"/>
  <c r="F186" i="1" s="1"/>
  <c r="F124" i="9"/>
  <c r="AR122" i="9"/>
  <c r="AR82" i="9"/>
  <c r="AR56" i="9"/>
  <c r="AJ180" i="1"/>
  <c r="AJ456" i="1" s="1"/>
  <c r="AJ185" i="1"/>
  <c r="AJ177" i="1"/>
  <c r="AJ186" i="1" s="1"/>
  <c r="AJ124" i="9"/>
  <c r="P82" i="10"/>
  <c r="O82" i="10"/>
  <c r="AG49" i="9"/>
  <c r="AG187" i="1"/>
  <c r="AG50" i="9" s="1"/>
  <c r="AG76" i="9" s="1"/>
  <c r="J49" i="9"/>
  <c r="J187" i="1"/>
  <c r="J50" i="9" s="1"/>
  <c r="J76" i="9" s="1"/>
  <c r="G49" i="9"/>
  <c r="G187" i="1"/>
  <c r="G50" i="9" s="1"/>
  <c r="G76" i="9" s="1"/>
  <c r="T180" i="1"/>
  <c r="U456" i="1" s="1"/>
  <c r="T185" i="1"/>
  <c r="T177" i="1"/>
  <c r="T186" i="1" s="1"/>
  <c r="T124" i="9"/>
  <c r="AU96" i="9"/>
  <c r="AU97" i="9" s="1"/>
  <c r="AU8" i="9"/>
  <c r="AU443" i="1"/>
  <c r="AV218" i="1"/>
  <c r="AU216" i="1"/>
  <c r="AU406" i="1" s="1"/>
  <c r="L180" i="1"/>
  <c r="L185" i="1"/>
  <c r="L177" i="1"/>
  <c r="L186" i="1" s="1"/>
  <c r="L124" i="9"/>
  <c r="I123" i="9"/>
  <c r="I86" i="9"/>
  <c r="K448" i="1"/>
  <c r="P370" i="1"/>
  <c r="P371" i="1" s="1"/>
  <c r="K373" i="1"/>
  <c r="L370" i="1"/>
  <c r="L371" i="1" s="1"/>
  <c r="AA177" i="1"/>
  <c r="AA186" i="1" s="1"/>
  <c r="AA185" i="1"/>
  <c r="AA180" i="1"/>
  <c r="AA124" i="9"/>
  <c r="H49" i="9"/>
  <c r="H187" i="1"/>
  <c r="H50" i="9" s="1"/>
  <c r="H76" i="9" s="1"/>
  <c r="M49" i="9"/>
  <c r="M187" i="1"/>
  <c r="M50" i="9" s="1"/>
  <c r="M76" i="9" s="1"/>
  <c r="W49" i="9"/>
  <c r="W187" i="1"/>
  <c r="W50" i="9" s="1"/>
  <c r="W76" i="9" s="1"/>
  <c r="D239" i="1"/>
  <c r="P26" i="14" s="1"/>
  <c r="D242" i="1"/>
  <c r="S99" i="9"/>
  <c r="S95" i="9"/>
  <c r="AB180" i="1"/>
  <c r="AB185" i="1"/>
  <c r="AB177" i="1"/>
  <c r="AB186" i="1" s="1"/>
  <c r="AB124" i="9"/>
  <c r="AO123" i="9"/>
  <c r="AO86" i="9"/>
  <c r="AO87" i="9" s="1"/>
  <c r="AO90" i="9" s="1"/>
  <c r="C236" i="1"/>
  <c r="C241" i="1"/>
  <c r="AD180" i="1"/>
  <c r="AD185" i="1"/>
  <c r="AD177" i="1"/>
  <c r="AD186" i="1" s="1"/>
  <c r="AD124" i="9"/>
  <c r="N95" i="9"/>
  <c r="N99" i="9"/>
  <c r="AT444" i="1"/>
  <c r="F11" i="9"/>
  <c r="F118" i="9"/>
  <c r="G448" i="1"/>
  <c r="G373" i="1"/>
  <c r="H370" i="1"/>
  <c r="H371" i="1" s="1"/>
  <c r="AH49" i="9"/>
  <c r="AH187" i="1"/>
  <c r="AH50" i="9" s="1"/>
  <c r="AH76" i="9" s="1"/>
  <c r="O311" i="1"/>
  <c r="N312" i="1"/>
  <c r="S49" i="9"/>
  <c r="S187" i="1"/>
  <c r="S50" i="9" s="1"/>
  <c r="S76" i="9" s="1"/>
  <c r="V180" i="1"/>
  <c r="V185" i="1"/>
  <c r="V177" i="1"/>
  <c r="V186" i="1" s="1"/>
  <c r="V124" i="9"/>
  <c r="AE49" i="9"/>
  <c r="AE187" i="1"/>
  <c r="AE50" i="9" s="1"/>
  <c r="AE76" i="9" s="1"/>
  <c r="K177" i="1"/>
  <c r="K186" i="1" s="1"/>
  <c r="K185" i="1"/>
  <c r="K180" i="1"/>
  <c r="K456" i="1" s="1"/>
  <c r="K124" i="9"/>
  <c r="AB95" i="9"/>
  <c r="AB99" i="9"/>
  <c r="AC95" i="9"/>
  <c r="AC99" i="9"/>
  <c r="X49" i="9"/>
  <c r="X187" i="1"/>
  <c r="X50" i="9" s="1"/>
  <c r="X76" i="9" s="1"/>
  <c r="O66" i="10"/>
  <c r="P66" i="10"/>
  <c r="O185" i="1"/>
  <c r="O177" i="1"/>
  <c r="O186" i="1" s="1"/>
  <c r="O180" i="1"/>
  <c r="O124" i="9"/>
  <c r="E50" i="9"/>
  <c r="E238" i="1"/>
  <c r="V95" i="9"/>
  <c r="V99" i="9"/>
  <c r="AD95" i="9"/>
  <c r="AD99" i="9"/>
  <c r="M6" i="10"/>
  <c r="M27" i="10"/>
  <c r="G367" i="14" l="1"/>
  <c r="H365" i="14"/>
  <c r="S250" i="14"/>
  <c r="S251" i="14" s="1"/>
  <c r="S252" i="14" s="1"/>
  <c r="S253" i="14" s="1"/>
  <c r="S254" i="14" s="1"/>
  <c r="T248" i="14"/>
  <c r="F284" i="14"/>
  <c r="N283" i="14"/>
  <c r="G283" i="14"/>
  <c r="H283" i="14" s="1"/>
  <c r="I283" i="14" s="1"/>
  <c r="J283" i="14" s="1"/>
  <c r="K283" i="14" s="1"/>
  <c r="L283" i="14" s="1"/>
  <c r="G277" i="14"/>
  <c r="N277" i="14"/>
  <c r="F285" i="14"/>
  <c r="G279" i="14"/>
  <c r="H279" i="14" s="1"/>
  <c r="I279" i="14" s="1"/>
  <c r="J279" i="14" s="1"/>
  <c r="K279" i="14" s="1"/>
  <c r="L279" i="14" s="1"/>
  <c r="L260" i="14"/>
  <c r="O27" i="10"/>
  <c r="P27" i="10"/>
  <c r="P6" i="10"/>
  <c r="O6" i="10"/>
  <c r="F116" i="9"/>
  <c r="F119" i="9"/>
  <c r="AB49" i="9"/>
  <c r="AB187" i="1"/>
  <c r="AB50" i="9" s="1"/>
  <c r="AB76" i="9" s="1"/>
  <c r="H123" i="9"/>
  <c r="H86" i="9"/>
  <c r="AG123" i="9"/>
  <c r="AG110" i="9"/>
  <c r="AG86" i="9"/>
  <c r="F49" i="9"/>
  <c r="F187" i="1"/>
  <c r="P123" i="9"/>
  <c r="P86" i="9"/>
  <c r="P87" i="9" s="1"/>
  <c r="P90" i="9" s="1"/>
  <c r="C116" i="9"/>
  <c r="C119" i="9"/>
  <c r="J523" i="1"/>
  <c r="AS156" i="1"/>
  <c r="AE123" i="9"/>
  <c r="AE110" i="9"/>
  <c r="AE86" i="9"/>
  <c r="AE87" i="9" s="1"/>
  <c r="AE90" i="9" s="1"/>
  <c r="P311" i="1"/>
  <c r="P312" i="1" s="1"/>
  <c r="Q311" i="1" s="1"/>
  <c r="O312" i="1"/>
  <c r="C239" i="1"/>
  <c r="C242" i="1"/>
  <c r="R123" i="9"/>
  <c r="R110" i="9"/>
  <c r="R86" i="9"/>
  <c r="AF123" i="9"/>
  <c r="AF86" i="9"/>
  <c r="Y49" i="9"/>
  <c r="Y187" i="1"/>
  <c r="Y50" i="9" s="1"/>
  <c r="Y76" i="9" s="1"/>
  <c r="AM49" i="9"/>
  <c r="AM187" i="1"/>
  <c r="AM50" i="9" s="1"/>
  <c r="AM76" i="9" s="1"/>
  <c r="AT387" i="1"/>
  <c r="G129" i="13" s="1"/>
  <c r="G131" i="13" s="1"/>
  <c r="H131" i="13" s="1" a="1"/>
  <c r="H131" i="13" s="1"/>
  <c r="B25" i="13" s="1"/>
  <c r="AS331" i="1"/>
  <c r="F239" i="1"/>
  <c r="R26" i="14" s="1"/>
  <c r="F242" i="1"/>
  <c r="E76" i="9"/>
  <c r="E115" i="9"/>
  <c r="X123" i="9"/>
  <c r="X110" i="9"/>
  <c r="X86" i="9"/>
  <c r="AA49" i="9"/>
  <c r="AE456" i="1"/>
  <c r="AA187" i="1"/>
  <c r="AA50" i="9" s="1"/>
  <c r="AA76" i="9" s="1"/>
  <c r="AV96" i="9"/>
  <c r="AV97" i="9" s="1"/>
  <c r="AV8" i="9"/>
  <c r="AV443" i="1"/>
  <c r="AV216" i="1"/>
  <c r="AV406" i="1" s="1"/>
  <c r="AW218" i="1"/>
  <c r="G123" i="9"/>
  <c r="G86" i="9"/>
  <c r="Z123" i="9"/>
  <c r="Z110" i="9"/>
  <c r="Z86" i="9"/>
  <c r="Z87" i="9" s="1"/>
  <c r="Z90" i="9" s="1"/>
  <c r="AY402" i="1"/>
  <c r="AZ396" i="1"/>
  <c r="C49" i="9"/>
  <c r="C187" i="1"/>
  <c r="AQ49" i="9"/>
  <c r="AQ187" i="1"/>
  <c r="AQ50" i="9" s="1"/>
  <c r="AQ76" i="9" s="1"/>
  <c r="Q123" i="9"/>
  <c r="Q86" i="9"/>
  <c r="AT388" i="1"/>
  <c r="AS332" i="1"/>
  <c r="AT332" i="1" s="1"/>
  <c r="AN123" i="9"/>
  <c r="AN86" i="9"/>
  <c r="AH123" i="9"/>
  <c r="AH86" i="9"/>
  <c r="AH110" i="9"/>
  <c r="D49" i="9"/>
  <c r="D187" i="1"/>
  <c r="U34" i="1"/>
  <c r="I246" i="1"/>
  <c r="I248" i="1" s="1"/>
  <c r="I234" i="1" s="1"/>
  <c r="I235" i="1" s="1"/>
  <c r="I236" i="1" s="1"/>
  <c r="I4" i="9"/>
  <c r="I6" i="9" s="1"/>
  <c r="I11" i="9" s="1"/>
  <c r="AT407" i="1"/>
  <c r="AS333" i="1"/>
  <c r="AT333" i="1" s="1"/>
  <c r="AS416" i="1"/>
  <c r="S123" i="9"/>
  <c r="S86" i="9"/>
  <c r="N49" i="9"/>
  <c r="S110" i="9" s="1"/>
  <c r="N187" i="1"/>
  <c r="N50" i="9" s="1"/>
  <c r="N76" i="9" s="1"/>
  <c r="J514" i="1"/>
  <c r="J512" i="1" s="1"/>
  <c r="J502" i="1"/>
  <c r="J500" i="1"/>
  <c r="J498" i="1" s="1"/>
  <c r="J244" i="1" s="1"/>
  <c r="J509" i="1"/>
  <c r="J507" i="1"/>
  <c r="J505" i="1" s="1"/>
  <c r="J245" i="1" s="1"/>
  <c r="J516" i="1"/>
  <c r="AS33" i="9"/>
  <c r="AS54" i="9" s="1"/>
  <c r="AT155" i="1"/>
  <c r="O49" i="9"/>
  <c r="O187" i="1"/>
  <c r="O50" i="9" s="1"/>
  <c r="O76" i="9" s="1"/>
  <c r="H448" i="1"/>
  <c r="H373" i="1"/>
  <c r="I370" i="1"/>
  <c r="I371" i="1" s="1"/>
  <c r="W110" i="9"/>
  <c r="W123" i="9"/>
  <c r="W86" i="9"/>
  <c r="J123" i="9"/>
  <c r="J86" i="9"/>
  <c r="J87" i="9" s="1"/>
  <c r="P19" i="9"/>
  <c r="P20" i="9" s="1"/>
  <c r="U36" i="1"/>
  <c r="Q36" i="1"/>
  <c r="AK110" i="9"/>
  <c r="AK123" i="9"/>
  <c r="AK86" i="9"/>
  <c r="Q30" i="1"/>
  <c r="Q34" i="1"/>
  <c r="AT31" i="9"/>
  <c r="AT15" i="1"/>
  <c r="AC110" i="9"/>
  <c r="AC123" i="9"/>
  <c r="AC86" i="9"/>
  <c r="AP123" i="9"/>
  <c r="AP110" i="9"/>
  <c r="AP86" i="9"/>
  <c r="P448" i="1"/>
  <c r="P373" i="1"/>
  <c r="Q370" i="1"/>
  <c r="Q371" i="1" s="1"/>
  <c r="U370" i="1"/>
  <c r="U371" i="1" s="1"/>
  <c r="T49" i="9"/>
  <c r="T187" i="1"/>
  <c r="T50" i="9" s="1"/>
  <c r="T76" i="9" s="1"/>
  <c r="K49" i="9"/>
  <c r="K187" i="1"/>
  <c r="K50" i="9" s="1"/>
  <c r="K76" i="9" s="1"/>
  <c r="V49" i="9"/>
  <c r="Z456" i="1"/>
  <c r="V187" i="1"/>
  <c r="V50" i="9" s="1"/>
  <c r="V76" i="9" s="1"/>
  <c r="L448" i="1"/>
  <c r="L373" i="1"/>
  <c r="M370" i="1"/>
  <c r="M371" i="1" s="1"/>
  <c r="AI49" i="9"/>
  <c r="AI187" i="1"/>
  <c r="AI50" i="9" s="1"/>
  <c r="AI76" i="9" s="1"/>
  <c r="AZ419" i="1"/>
  <c r="BA217" i="1"/>
  <c r="O21" i="12"/>
  <c r="N111" i="12"/>
  <c r="AL49" i="9"/>
  <c r="AL187" i="1"/>
  <c r="AL50" i="9" s="1"/>
  <c r="AL76" i="9" s="1"/>
  <c r="AD49" i="9"/>
  <c r="AD187" i="1"/>
  <c r="AD50" i="9" s="1"/>
  <c r="AD76" i="9" s="1"/>
  <c r="M110" i="9"/>
  <c r="M123" i="9"/>
  <c r="M86" i="9"/>
  <c r="L49" i="9"/>
  <c r="P456" i="1"/>
  <c r="L187" i="1"/>
  <c r="L50" i="9" s="1"/>
  <c r="L76" i="9" s="1"/>
  <c r="AJ49" i="9"/>
  <c r="AJ187" i="1"/>
  <c r="AJ50" i="9" s="1"/>
  <c r="AJ76" i="9" s="1"/>
  <c r="K1" i="9"/>
  <c r="K522" i="1"/>
  <c r="K523" i="1"/>
  <c r="K521" i="1"/>
  <c r="K519" i="1" s="1"/>
  <c r="K247" i="1" s="1"/>
  <c r="K496" i="1"/>
  <c r="L4" i="1"/>
  <c r="K3" i="1"/>
  <c r="AS32" i="9"/>
  <c r="AS53" i="9" s="1"/>
  <c r="AS88" i="1"/>
  <c r="AS90" i="1" s="1"/>
  <c r="AT152" i="1"/>
  <c r="AT153" i="1" s="1"/>
  <c r="U110" i="9"/>
  <c r="U123" i="9"/>
  <c r="U86" i="9"/>
  <c r="U87" i="9" s="1"/>
  <c r="U90" i="9" s="1"/>
  <c r="M10" i="10"/>
  <c r="AT156" i="1" l="1"/>
  <c r="G141" i="13" s="1"/>
  <c r="H65" i="13"/>
  <c r="L80" i="13"/>
  <c r="D65" i="13"/>
  <c r="C65" i="13"/>
  <c r="F65" i="13"/>
  <c r="M80" i="13"/>
  <c r="G65" i="13"/>
  <c r="I80" i="13"/>
  <c r="J80" i="13"/>
  <c r="E65" i="13"/>
  <c r="K80" i="13"/>
  <c r="H367" i="14"/>
  <c r="I365" i="14"/>
  <c r="I367" i="14" s="1"/>
  <c r="F286" i="14"/>
  <c r="F287" i="14" s="1"/>
  <c r="F289" i="14"/>
  <c r="N285" i="14"/>
  <c r="N276" i="14"/>
  <c r="N278" i="14"/>
  <c r="N280" i="14"/>
  <c r="F310" i="14"/>
  <c r="N281" i="14"/>
  <c r="N282" i="14"/>
  <c r="H277" i="14"/>
  <c r="G285" i="14"/>
  <c r="O283" i="14"/>
  <c r="M283" i="14"/>
  <c r="G284" i="14"/>
  <c r="H284" i="14" s="1"/>
  <c r="I284" i="14" s="1"/>
  <c r="J284" i="14" s="1"/>
  <c r="K284" i="14" s="1"/>
  <c r="L284" i="14" s="1"/>
  <c r="M284" i="14" s="1"/>
  <c r="N284" i="14"/>
  <c r="N279" i="14"/>
  <c r="T250" i="14"/>
  <c r="T251" i="14" s="1"/>
  <c r="T252" i="14" s="1"/>
  <c r="T253" i="14" s="1"/>
  <c r="T254" i="14" s="1"/>
  <c r="U248" i="14"/>
  <c r="M279" i="14"/>
  <c r="O278" i="14"/>
  <c r="O10" i="10"/>
  <c r="P10" i="10"/>
  <c r="K516" i="1"/>
  <c r="K502" i="1"/>
  <c r="K500" i="1"/>
  <c r="K498" i="1" s="1"/>
  <c r="K244" i="1" s="1"/>
  <c r="K509" i="1"/>
  <c r="K507" i="1"/>
  <c r="K505" i="1" s="1"/>
  <c r="K245" i="1" s="1"/>
  <c r="K514" i="1"/>
  <c r="K512" i="1" s="1"/>
  <c r="AJ110" i="9"/>
  <c r="AJ123" i="9"/>
  <c r="AJ86" i="9"/>
  <c r="AJ87" i="9" s="1"/>
  <c r="AJ90" i="9" s="1"/>
  <c r="AO110" i="9"/>
  <c r="AD110" i="9"/>
  <c r="AD123" i="9"/>
  <c r="AD86" i="9"/>
  <c r="AF87" i="9" s="1"/>
  <c r="AF90" i="9" s="1"/>
  <c r="V110" i="9"/>
  <c r="V123" i="9"/>
  <c r="V86" i="9"/>
  <c r="I448" i="1"/>
  <c r="I373" i="1"/>
  <c r="J370" i="1"/>
  <c r="J371" i="1" s="1"/>
  <c r="AT376" i="1"/>
  <c r="AT380" i="1" s="1"/>
  <c r="R311" i="1"/>
  <c r="Q312" i="1"/>
  <c r="AB110" i="9"/>
  <c r="AB123" i="9"/>
  <c r="AB86" i="9"/>
  <c r="K123" i="9"/>
  <c r="K110" i="9"/>
  <c r="K86" i="9"/>
  <c r="K87" i="9" s="1"/>
  <c r="K90" i="9" s="1"/>
  <c r="AT16" i="9"/>
  <c r="AQ123" i="9"/>
  <c r="AQ110" i="9"/>
  <c r="AQ86" i="9"/>
  <c r="AT32" i="9"/>
  <c r="AT53" i="9" s="1"/>
  <c r="AT87" i="1"/>
  <c r="AT88" i="1"/>
  <c r="AT90" i="1" s="1"/>
  <c r="L110" i="9"/>
  <c r="L123" i="9"/>
  <c r="L86" i="9"/>
  <c r="L87" i="9" s="1"/>
  <c r="L90" i="9" s="1"/>
  <c r="M448" i="1"/>
  <c r="M373" i="1"/>
  <c r="N370" i="1"/>
  <c r="N371" i="1" s="1"/>
  <c r="AS102" i="9"/>
  <c r="AS103" i="9" s="1"/>
  <c r="Q43" i="1"/>
  <c r="Q22" i="9" s="1"/>
  <c r="U30" i="1"/>
  <c r="M87" i="9"/>
  <c r="M90" i="9" s="1"/>
  <c r="P21" i="12"/>
  <c r="O111" i="12"/>
  <c r="T110" i="9"/>
  <c r="T123" i="9"/>
  <c r="T86" i="9"/>
  <c r="T87" i="9" s="1"/>
  <c r="T90" i="9" s="1"/>
  <c r="O123" i="9"/>
  <c r="O110" i="9"/>
  <c r="O86" i="9"/>
  <c r="S87" i="9" s="1"/>
  <c r="S90" i="9" s="1"/>
  <c r="J246" i="1"/>
  <c r="J248" i="1" s="1"/>
  <c r="J234" i="1" s="1"/>
  <c r="J235" i="1" s="1"/>
  <c r="J236" i="1" s="1"/>
  <c r="J4" i="9"/>
  <c r="J6" i="9" s="1"/>
  <c r="J11" i="9" s="1"/>
  <c r="C50" i="9"/>
  <c r="C238" i="1"/>
  <c r="Y123" i="9"/>
  <c r="Y110" i="9"/>
  <c r="Y86" i="9"/>
  <c r="Y87" i="9" s="1"/>
  <c r="Y90" i="9" s="1"/>
  <c r="P110" i="9"/>
  <c r="AI123" i="9"/>
  <c r="AI110" i="9"/>
  <c r="AI86" i="9"/>
  <c r="AI87" i="9" s="1"/>
  <c r="AI90" i="9" s="1"/>
  <c r="AT94" i="1"/>
  <c r="AT162" i="1"/>
  <c r="AL110" i="9"/>
  <c r="AL123" i="9"/>
  <c r="AL86" i="9"/>
  <c r="U373" i="1"/>
  <c r="V370" i="1"/>
  <c r="V371" i="1" s="1"/>
  <c r="Z370" i="1"/>
  <c r="Z371" i="1" s="1"/>
  <c r="AT33" i="9"/>
  <c r="AT54" i="9" s="1"/>
  <c r="AT93" i="1"/>
  <c r="AT378" i="1"/>
  <c r="AT382" i="1" s="1"/>
  <c r="AT416" i="1"/>
  <c r="D50" i="9"/>
  <c r="D238" i="1"/>
  <c r="AT377" i="1"/>
  <c r="AT381" i="1" s="1"/>
  <c r="C123" i="9"/>
  <c r="C86" i="9"/>
  <c r="C87" i="9" s="1"/>
  <c r="C90" i="9" s="1"/>
  <c r="AW96" i="9"/>
  <c r="AW97" i="9" s="1"/>
  <c r="AW8" i="9"/>
  <c r="AW443" i="1"/>
  <c r="AX218" i="1"/>
  <c r="AW216" i="1"/>
  <c r="AW406" i="1" s="1"/>
  <c r="AA123" i="9"/>
  <c r="AA110" i="9"/>
  <c r="AA86" i="9"/>
  <c r="AM123" i="9"/>
  <c r="AM86" i="9"/>
  <c r="AM110" i="9"/>
  <c r="J227" i="1"/>
  <c r="H227" i="1"/>
  <c r="I227" i="1"/>
  <c r="G227" i="1"/>
  <c r="BA419" i="1"/>
  <c r="BB217" i="1"/>
  <c r="BB419" i="1" s="1"/>
  <c r="Q448" i="1"/>
  <c r="Q373" i="1"/>
  <c r="R370" i="1"/>
  <c r="R371" i="1" s="1"/>
  <c r="Q41" i="1"/>
  <c r="Q37" i="1"/>
  <c r="N110" i="9"/>
  <c r="N123" i="9"/>
  <c r="N86" i="9"/>
  <c r="N87" i="9" s="1"/>
  <c r="N90" i="9" s="1"/>
  <c r="D110" i="9"/>
  <c r="D123" i="9"/>
  <c r="D86" i="9"/>
  <c r="D87" i="9" s="1"/>
  <c r="D90" i="9" s="1"/>
  <c r="E110" i="9"/>
  <c r="BA396" i="1"/>
  <c r="AZ402" i="1"/>
  <c r="AF110" i="9"/>
  <c r="F50" i="9"/>
  <c r="F238" i="1"/>
  <c r="AN110" i="9"/>
  <c r="L1" i="9"/>
  <c r="L522" i="1"/>
  <c r="L523" i="1"/>
  <c r="L496" i="1"/>
  <c r="L521" i="1" s="1"/>
  <c r="L519" i="1" s="1"/>
  <c r="L247" i="1" s="1"/>
  <c r="M4" i="1"/>
  <c r="L3" i="1"/>
  <c r="AS34" i="9"/>
  <c r="U41" i="1"/>
  <c r="AH87" i="9"/>
  <c r="AH90" i="9" s="1"/>
  <c r="Q110" i="9"/>
  <c r="AS66" i="9"/>
  <c r="AT331" i="1"/>
  <c r="AT66" i="9" s="1"/>
  <c r="AS162" i="1"/>
  <c r="AS157" i="1"/>
  <c r="AS94" i="1"/>
  <c r="AS453" i="1" s="1"/>
  <c r="F123" i="9"/>
  <c r="F110" i="9"/>
  <c r="F86" i="9"/>
  <c r="F87" i="9" s="1"/>
  <c r="F90" i="9" s="1"/>
  <c r="AN87" i="9" l="1"/>
  <c r="AN90" i="9" s="1"/>
  <c r="R87" i="9"/>
  <c r="R90" i="9" s="1"/>
  <c r="Q87" i="9"/>
  <c r="Q90" i="9" s="1"/>
  <c r="AA87" i="9"/>
  <c r="AA90" i="9" s="1"/>
  <c r="AB87" i="9"/>
  <c r="AB90" i="9" s="1"/>
  <c r="AQ87" i="9"/>
  <c r="AQ90" i="9" s="1"/>
  <c r="G286" i="14"/>
  <c r="G287" i="14" s="1"/>
  <c r="V248" i="14"/>
  <c r="U250" i="14"/>
  <c r="U251" i="14" s="1"/>
  <c r="U252" i="14" s="1"/>
  <c r="U253" i="14" s="1"/>
  <c r="U254" i="14" s="1"/>
  <c r="I277" i="14"/>
  <c r="H285" i="14"/>
  <c r="G305" i="14"/>
  <c r="H305" i="14" s="1"/>
  <c r="G306" i="14"/>
  <c r="H306" i="14" s="1"/>
  <c r="F293" i="14"/>
  <c r="F291" i="14"/>
  <c r="C76" i="9"/>
  <c r="C115" i="9"/>
  <c r="AT453" i="1"/>
  <c r="AT89" i="1"/>
  <c r="AD87" i="9"/>
  <c r="AD90" i="9" s="1"/>
  <c r="N448" i="1"/>
  <c r="N373" i="1"/>
  <c r="O370" i="1"/>
  <c r="O371" i="1" s="1"/>
  <c r="AS48" i="9"/>
  <c r="AS95" i="1"/>
  <c r="AT157" i="1"/>
  <c r="H18" i="14" s="1"/>
  <c r="I18" i="14" s="1"/>
  <c r="D76" i="9"/>
  <c r="D115" i="9"/>
  <c r="J373" i="1"/>
  <c r="J448" i="1"/>
  <c r="AS100" i="9"/>
  <c r="AS101" i="9" s="1"/>
  <c r="AS99" i="1"/>
  <c r="AS55" i="9"/>
  <c r="X87" i="9"/>
  <c r="X90" i="9" s="1"/>
  <c r="AT102" i="9"/>
  <c r="AT103" i="9" s="1"/>
  <c r="AL87" i="9"/>
  <c r="AL90" i="9" s="1"/>
  <c r="O87" i="9"/>
  <c r="O90" i="9" s="1"/>
  <c r="Q21" i="12"/>
  <c r="P111" i="12"/>
  <c r="AG87" i="9"/>
  <c r="AG90" i="9" s="1"/>
  <c r="V373" i="1"/>
  <c r="W370" i="1"/>
  <c r="W371" i="1" s="1"/>
  <c r="AM87" i="9"/>
  <c r="AM90" i="9" s="1"/>
  <c r="U43" i="1"/>
  <c r="U22" i="9" s="1"/>
  <c r="U32" i="1"/>
  <c r="W87" i="9"/>
  <c r="W90" i="9" s="1"/>
  <c r="V87" i="9"/>
  <c r="V90" i="9" s="1"/>
  <c r="AP87" i="9"/>
  <c r="AP90" i="9" s="1"/>
  <c r="R448" i="1"/>
  <c r="R373" i="1"/>
  <c r="S370" i="1"/>
  <c r="S371" i="1" s="1"/>
  <c r="M1" i="9"/>
  <c r="M522" i="1"/>
  <c r="N4" i="1"/>
  <c r="M3" i="1"/>
  <c r="M496" i="1" s="1"/>
  <c r="F76" i="9"/>
  <c r="F115" i="9"/>
  <c r="BA402" i="1"/>
  <c r="BB396" i="1"/>
  <c r="BB402" i="1" s="1"/>
  <c r="AT100" i="9"/>
  <c r="AT101" i="9" s="1"/>
  <c r="AT99" i="1"/>
  <c r="AC87" i="9"/>
  <c r="AC90" i="9" s="1"/>
  <c r="AK87" i="9"/>
  <c r="AK90" i="9" s="1"/>
  <c r="S311" i="1"/>
  <c r="R312" i="1"/>
  <c r="AX96" i="9"/>
  <c r="AX97" i="9" s="1"/>
  <c r="AX8" i="9"/>
  <c r="AX443" i="1"/>
  <c r="AX216" i="1"/>
  <c r="AX406" i="1" s="1"/>
  <c r="L516" i="1"/>
  <c r="L502" i="1"/>
  <c r="L500" i="1"/>
  <c r="L498" i="1" s="1"/>
  <c r="L244" i="1" s="1"/>
  <c r="L509" i="1"/>
  <c r="L507" i="1"/>
  <c r="L505" i="1" s="1"/>
  <c r="L245" i="1" s="1"/>
  <c r="L514" i="1"/>
  <c r="L512" i="1" s="1"/>
  <c r="U37" i="1"/>
  <c r="Q44" i="1"/>
  <c r="Q23" i="9" s="1"/>
  <c r="Z448" i="1"/>
  <c r="AE370" i="1"/>
  <c r="AE371" i="1" s="1"/>
  <c r="Z373" i="1"/>
  <c r="AA370" i="1"/>
  <c r="AA371" i="1" s="1"/>
  <c r="Q45" i="1"/>
  <c r="Q24" i="9" s="1"/>
  <c r="AT34" i="9"/>
  <c r="K246" i="1"/>
  <c r="K248" i="1" s="1"/>
  <c r="K234" i="1" s="1"/>
  <c r="S21" i="14" s="1"/>
  <c r="K4" i="9"/>
  <c r="H286" i="14" l="1"/>
  <c r="H287" i="14" s="1"/>
  <c r="J277" i="14"/>
  <c r="I285" i="14"/>
  <c r="V250" i="14"/>
  <c r="V251" i="14" s="1"/>
  <c r="V252" i="14" s="1"/>
  <c r="V253" i="14" s="1"/>
  <c r="V254" i="14" s="1"/>
  <c r="W248" i="14"/>
  <c r="G291" i="14"/>
  <c r="H291" i="14" s="1"/>
  <c r="I291" i="14" s="1"/>
  <c r="F292" i="14"/>
  <c r="I305" i="14"/>
  <c r="G293" i="14"/>
  <c r="F295" i="14"/>
  <c r="M516" i="1"/>
  <c r="M509" i="1"/>
  <c r="M507" i="1"/>
  <c r="M505" i="1" s="1"/>
  <c r="M245" i="1" s="1"/>
  <c r="M514" i="1"/>
  <c r="M512" i="1" s="1"/>
  <c r="M502" i="1"/>
  <c r="M500" i="1"/>
  <c r="M498" i="1" s="1"/>
  <c r="M244" i="1" s="1"/>
  <c r="M523" i="1"/>
  <c r="M521" i="1"/>
  <c r="M519" i="1" s="1"/>
  <c r="M247" i="1" s="1"/>
  <c r="O373" i="1"/>
  <c r="O448" i="1"/>
  <c r="L246" i="1"/>
  <c r="L248" i="1" s="1"/>
  <c r="L234" i="1" s="1"/>
  <c r="L235" i="1" s="1"/>
  <c r="L236" i="1" s="1"/>
  <c r="L4" i="9"/>
  <c r="L6" i="9" s="1"/>
  <c r="L11" i="9" s="1"/>
  <c r="N1" i="9"/>
  <c r="N496" i="1"/>
  <c r="N522" i="1"/>
  <c r="O4" i="1"/>
  <c r="N3" i="1"/>
  <c r="R21" i="12"/>
  <c r="R111" i="12" s="1"/>
  <c r="Q111" i="12"/>
  <c r="K117" i="9"/>
  <c r="K115" i="9"/>
  <c r="K6" i="9"/>
  <c r="W448" i="1"/>
  <c r="W373" i="1"/>
  <c r="X370" i="1"/>
  <c r="X371" i="1" s="1"/>
  <c r="K238" i="1"/>
  <c r="K240" i="1"/>
  <c r="K235" i="1"/>
  <c r="AE373" i="1"/>
  <c r="AF370" i="1"/>
  <c r="AF371" i="1" s="1"/>
  <c r="AE448" i="1"/>
  <c r="AJ370" i="1"/>
  <c r="AJ371" i="1" s="1"/>
  <c r="AT55" i="9"/>
  <c r="AT48" i="9"/>
  <c r="AT95" i="1"/>
  <c r="T311" i="1"/>
  <c r="S312" i="1"/>
  <c r="U18" i="9"/>
  <c r="V29" i="1"/>
  <c r="Z29" i="1"/>
  <c r="AA448" i="1"/>
  <c r="AA373" i="1"/>
  <c r="AB370" i="1"/>
  <c r="AB371" i="1" s="1"/>
  <c r="U44" i="1"/>
  <c r="U23" i="9" s="1"/>
  <c r="U39" i="1"/>
  <c r="Z23" i="14"/>
  <c r="AY406" i="1"/>
  <c r="S448" i="1"/>
  <c r="S373" i="1"/>
  <c r="T370" i="1"/>
  <c r="T371" i="1" s="1"/>
  <c r="U45" i="1"/>
  <c r="U24" i="9" s="1"/>
  <c r="AS109" i="9"/>
  <c r="AS122" i="9"/>
  <c r="AS82" i="9"/>
  <c r="AS56" i="9"/>
  <c r="M11" i="10"/>
  <c r="M7" i="10"/>
  <c r="Z34" i="14" l="1"/>
  <c r="P39" i="14" s="1"/>
  <c r="H16" i="14"/>
  <c r="W250" i="14"/>
  <c r="W251" i="14" s="1"/>
  <c r="W252" i="14" s="1"/>
  <c r="W253" i="14" s="1"/>
  <c r="W254" i="14" s="1"/>
  <c r="X248" i="14"/>
  <c r="I286" i="14"/>
  <c r="I287" i="14" s="1"/>
  <c r="K277" i="14"/>
  <c r="J285" i="14"/>
  <c r="J291" i="14"/>
  <c r="H293" i="14"/>
  <c r="G295" i="14"/>
  <c r="G292" i="14"/>
  <c r="F296" i="14"/>
  <c r="F297" i="14" s="1"/>
  <c r="I306" i="14"/>
  <c r="J306" i="14" s="1"/>
  <c r="O11" i="10"/>
  <c r="P11" i="10"/>
  <c r="P7" i="10"/>
  <c r="O7" i="10"/>
  <c r="AY216" i="1"/>
  <c r="AY218" i="1"/>
  <c r="AB448" i="1"/>
  <c r="AB373" i="1"/>
  <c r="AC370" i="1"/>
  <c r="AC371" i="1" s="1"/>
  <c r="N516" i="1"/>
  <c r="N514" i="1"/>
  <c r="N512" i="1" s="1"/>
  <c r="N509" i="1"/>
  <c r="N507" i="1"/>
  <c r="N505" i="1" s="1"/>
  <c r="N245" i="1" s="1"/>
  <c r="N502" i="1"/>
  <c r="N500" i="1"/>
  <c r="N498" i="1" s="1"/>
  <c r="N244" i="1" s="1"/>
  <c r="AT122" i="9"/>
  <c r="AT82" i="9"/>
  <c r="AT56" i="9"/>
  <c r="N523" i="1"/>
  <c r="Z34" i="1"/>
  <c r="X448" i="1"/>
  <c r="X373" i="1"/>
  <c r="Y370" i="1"/>
  <c r="Y371" i="1" s="1"/>
  <c r="M246" i="1"/>
  <c r="M248" i="1" s="1"/>
  <c r="M234" i="1" s="1"/>
  <c r="M235" i="1" s="1"/>
  <c r="M236" i="1" s="1"/>
  <c r="M4" i="9"/>
  <c r="M6" i="9" s="1"/>
  <c r="M11" i="9" s="1"/>
  <c r="N521" i="1"/>
  <c r="N519" i="1" s="1"/>
  <c r="N247" i="1" s="1"/>
  <c r="V30" i="1"/>
  <c r="V34" i="1"/>
  <c r="K236" i="1"/>
  <c r="S27" i="14" s="1"/>
  <c r="K241" i="1"/>
  <c r="U19" i="9"/>
  <c r="U20" i="9" s="1"/>
  <c r="Z36" i="1"/>
  <c r="V36" i="1"/>
  <c r="O1" i="9"/>
  <c r="O522" i="1"/>
  <c r="O496" i="1"/>
  <c r="O521" i="1" s="1"/>
  <c r="O519" i="1" s="1"/>
  <c r="O247" i="1" s="1"/>
  <c r="P4" i="1"/>
  <c r="O3" i="1"/>
  <c r="T373" i="1"/>
  <c r="T448" i="1"/>
  <c r="AJ448" i="1"/>
  <c r="AO370" i="1"/>
  <c r="AO371" i="1" s="1"/>
  <c r="AJ373" i="1"/>
  <c r="AK370" i="1"/>
  <c r="AK371" i="1" s="1"/>
  <c r="U311" i="1"/>
  <c r="U312" i="1" s="1"/>
  <c r="T312" i="1"/>
  <c r="AF448" i="1"/>
  <c r="AF373" i="1"/>
  <c r="AG370" i="1"/>
  <c r="AG371" i="1" s="1"/>
  <c r="K11" i="9"/>
  <c r="K118" i="9"/>
  <c r="I293" i="14" l="1"/>
  <c r="H295" i="14"/>
  <c r="J286" i="14"/>
  <c r="J287" i="14" s="1"/>
  <c r="AA23" i="14"/>
  <c r="L277" i="14"/>
  <c r="K285" i="14"/>
  <c r="K291" i="14" s="1"/>
  <c r="G289" i="14"/>
  <c r="H292" i="14"/>
  <c r="G296" i="14"/>
  <c r="J305" i="14"/>
  <c r="X250" i="14"/>
  <c r="X251" i="14" s="1"/>
  <c r="X252" i="14" s="1"/>
  <c r="X253" i="14" s="1"/>
  <c r="X254" i="14" s="1"/>
  <c r="Y248" i="14"/>
  <c r="AK448" i="1"/>
  <c r="AK373" i="1"/>
  <c r="AL370" i="1"/>
  <c r="AL371" i="1" s="1"/>
  <c r="Z41" i="1"/>
  <c r="AY96" i="9"/>
  <c r="AY97" i="9" s="1"/>
  <c r="AY8" i="9"/>
  <c r="AY443" i="1"/>
  <c r="AZ218" i="1"/>
  <c r="V311" i="1"/>
  <c r="V312" i="1" s="1"/>
  <c r="V448" i="1" s="1"/>
  <c r="U448" i="1"/>
  <c r="V37" i="1"/>
  <c r="V41" i="1"/>
  <c r="P1" i="9"/>
  <c r="P522" i="1"/>
  <c r="P3" i="1"/>
  <c r="Q4" i="1"/>
  <c r="AB23" i="14"/>
  <c r="N246" i="1"/>
  <c r="N248" i="1" s="1"/>
  <c r="N234" i="1" s="1"/>
  <c r="N235" i="1" s="1"/>
  <c r="N236" i="1" s="1"/>
  <c r="N4" i="9"/>
  <c r="N6" i="9" s="1"/>
  <c r="N11" i="9" s="1"/>
  <c r="Y373" i="1"/>
  <c r="Y448" i="1"/>
  <c r="K116" i="9"/>
  <c r="K119" i="9"/>
  <c r="AO448" i="1"/>
  <c r="AT370" i="1"/>
  <c r="AP370" i="1"/>
  <c r="AP371" i="1" s="1"/>
  <c r="AO373" i="1"/>
  <c r="O516" i="1"/>
  <c r="O514" i="1"/>
  <c r="O512" i="1" s="1"/>
  <c r="O509" i="1"/>
  <c r="O507" i="1"/>
  <c r="O505" i="1" s="1"/>
  <c r="O245" i="1" s="1"/>
  <c r="O502" i="1"/>
  <c r="O500" i="1"/>
  <c r="O498" i="1" s="1"/>
  <c r="O244" i="1" s="1"/>
  <c r="AG448" i="1"/>
  <c r="AH370" i="1"/>
  <c r="AH371" i="1" s="1"/>
  <c r="AG373" i="1"/>
  <c r="K239" i="1"/>
  <c r="S26" i="14" s="1"/>
  <c r="K242" i="1"/>
  <c r="O523" i="1"/>
  <c r="AC448" i="1"/>
  <c r="AC373" i="1"/>
  <c r="AD370" i="1"/>
  <c r="AD371" i="1" s="1"/>
  <c r="Z30" i="1"/>
  <c r="V45" i="1"/>
  <c r="V24" i="9" s="1"/>
  <c r="V43" i="1"/>
  <c r="V22" i="9" s="1"/>
  <c r="K306" i="14" l="1"/>
  <c r="Y250" i="14"/>
  <c r="Y251" i="14" s="1"/>
  <c r="Y252" i="14" s="1"/>
  <c r="Y253" i="14" s="1"/>
  <c r="Y254" i="14" s="1"/>
  <c r="Z248" i="14"/>
  <c r="M277" i="14"/>
  <c r="L285" i="14"/>
  <c r="O276" i="14"/>
  <c r="K305" i="14"/>
  <c r="L305" i="14" s="1"/>
  <c r="AA34" i="14"/>
  <c r="Q39" i="14" s="1"/>
  <c r="N23" i="14"/>
  <c r="G297" i="14"/>
  <c r="G302" i="14"/>
  <c r="I292" i="14"/>
  <c r="H289" i="14"/>
  <c r="H296" i="14"/>
  <c r="K286" i="14"/>
  <c r="K287" i="14" s="1"/>
  <c r="J293" i="14"/>
  <c r="I295" i="14"/>
  <c r="Z43" i="1"/>
  <c r="Z22" i="9" s="1"/>
  <c r="Z32" i="1"/>
  <c r="AD373" i="1"/>
  <c r="AD448" i="1"/>
  <c r="AZ96" i="9"/>
  <c r="AZ97" i="9" s="1"/>
  <c r="AZ8" i="9"/>
  <c r="AZ443" i="1"/>
  <c r="BA222" i="1"/>
  <c r="BA218" i="1"/>
  <c r="AZ216" i="1"/>
  <c r="AZ406" i="1" s="1"/>
  <c r="AP448" i="1"/>
  <c r="AP373" i="1"/>
  <c r="AQ370" i="1"/>
  <c r="AQ371" i="1" s="1"/>
  <c r="N227" i="1"/>
  <c r="M227" i="1"/>
  <c r="O227" i="1"/>
  <c r="L227" i="1"/>
  <c r="AZ222" i="1"/>
  <c r="AL448" i="1"/>
  <c r="AL373" i="1"/>
  <c r="AM370" i="1"/>
  <c r="AM371" i="1" s="1"/>
  <c r="AH448" i="1"/>
  <c r="AH373" i="1"/>
  <c r="AI370" i="1"/>
  <c r="AI371" i="1" s="1"/>
  <c r="O246" i="1"/>
  <c r="O248" i="1" s="1"/>
  <c r="O234" i="1" s="1"/>
  <c r="O235" i="1" s="1"/>
  <c r="O236" i="1" s="1"/>
  <c r="O4" i="9"/>
  <c r="O6" i="9" s="1"/>
  <c r="O11" i="9" s="1"/>
  <c r="P496" i="1"/>
  <c r="Q1" i="9"/>
  <c r="Q522" i="1"/>
  <c r="R4" i="1"/>
  <c r="Q3" i="1"/>
  <c r="Q496" i="1" s="1"/>
  <c r="V44" i="1"/>
  <c r="V23" i="9" s="1"/>
  <c r="Z37" i="1"/>
  <c r="H302" i="14" l="1"/>
  <c r="H297" i="14"/>
  <c r="M285" i="14"/>
  <c r="L286" i="14"/>
  <c r="L287" i="14" s="1"/>
  <c r="AC23" i="14"/>
  <c r="G303" i="14"/>
  <c r="G309" i="14"/>
  <c r="Z250" i="14"/>
  <c r="Z251" i="14" s="1"/>
  <c r="Z252" i="14" s="1"/>
  <c r="Z253" i="14" s="1"/>
  <c r="Z254" i="14" s="1"/>
  <c r="AA248" i="14"/>
  <c r="J295" i="14"/>
  <c r="K293" i="14"/>
  <c r="L306" i="14"/>
  <c r="I289" i="14"/>
  <c r="J292" i="14"/>
  <c r="I296" i="14"/>
  <c r="L291" i="14"/>
  <c r="Q502" i="1"/>
  <c r="Q500" i="1"/>
  <c r="Q498" i="1" s="1"/>
  <c r="Q244" i="1" s="1"/>
  <c r="Q514" i="1"/>
  <c r="Q512" i="1" s="1"/>
  <c r="Q516" i="1"/>
  <c r="Q509" i="1"/>
  <c r="Q507" i="1"/>
  <c r="Q505" i="1" s="1"/>
  <c r="Q245" i="1" s="1"/>
  <c r="Q523" i="1"/>
  <c r="Q521" i="1"/>
  <c r="Q519" i="1" s="1"/>
  <c r="Q247" i="1" s="1"/>
  <c r="BA96" i="9"/>
  <c r="BA97" i="9" s="1"/>
  <c r="BA8" i="9"/>
  <c r="BA443" i="1"/>
  <c r="BB218" i="1"/>
  <c r="BB222" i="1"/>
  <c r="BA216" i="1"/>
  <c r="BA406" i="1" s="1"/>
  <c r="R522" i="1"/>
  <c r="R1" i="9"/>
  <c r="R521" i="1"/>
  <c r="R519" i="1" s="1"/>
  <c r="R247" i="1" s="1"/>
  <c r="R496" i="1"/>
  <c r="S4" i="1"/>
  <c r="R3" i="1"/>
  <c r="AI373" i="1"/>
  <c r="AI448" i="1"/>
  <c r="AQ448" i="1"/>
  <c r="AQ373" i="1"/>
  <c r="AR370" i="1"/>
  <c r="Z44" i="1"/>
  <c r="Z23" i="9" s="1"/>
  <c r="Z39" i="1"/>
  <c r="Z18" i="9"/>
  <c r="AA29" i="1"/>
  <c r="AE29" i="1"/>
  <c r="AM448" i="1"/>
  <c r="AM373" i="1"/>
  <c r="AN370" i="1"/>
  <c r="AN371" i="1" s="1"/>
  <c r="P516" i="1"/>
  <c r="P514" i="1"/>
  <c r="P512" i="1" s="1"/>
  <c r="P502" i="1"/>
  <c r="P500" i="1"/>
  <c r="P498" i="1" s="1"/>
  <c r="P244" i="1" s="1"/>
  <c r="P507" i="1"/>
  <c r="P505" i="1" s="1"/>
  <c r="P245" i="1" s="1"/>
  <c r="P509" i="1"/>
  <c r="P521" i="1"/>
  <c r="P519" i="1" s="1"/>
  <c r="P247" i="1" s="1"/>
  <c r="P523" i="1"/>
  <c r="AD23" i="14"/>
  <c r="Z45" i="1"/>
  <c r="Z24" i="9" s="1"/>
  <c r="J289" i="14" l="1"/>
  <c r="K292" i="14"/>
  <c r="J296" i="14"/>
  <c r="L293" i="14"/>
  <c r="L295" i="14" s="1"/>
  <c r="K295" i="14"/>
  <c r="AA250" i="14"/>
  <c r="AA251" i="14" s="1"/>
  <c r="AA252" i="14" s="1"/>
  <c r="AA253" i="14" s="1"/>
  <c r="AA254" i="14" s="1"/>
  <c r="AB248" i="14"/>
  <c r="I302" i="14"/>
  <c r="I297" i="14"/>
  <c r="G310" i="14"/>
  <c r="D378" i="14"/>
  <c r="H309" i="14"/>
  <c r="H303" i="14"/>
  <c r="AA30" i="1"/>
  <c r="AA34" i="1"/>
  <c r="S1" i="9"/>
  <c r="S522" i="1"/>
  <c r="S521" i="1"/>
  <c r="S519" i="1" s="1"/>
  <c r="S247" i="1" s="1"/>
  <c r="S496" i="1"/>
  <c r="T4" i="1"/>
  <c r="S3" i="1"/>
  <c r="AE23" i="14"/>
  <c r="R502" i="1"/>
  <c r="R500" i="1"/>
  <c r="R498" i="1" s="1"/>
  <c r="R244" i="1" s="1"/>
  <c r="R514" i="1"/>
  <c r="R512" i="1" s="1"/>
  <c r="R516" i="1"/>
  <c r="R509" i="1"/>
  <c r="R507" i="1"/>
  <c r="R505" i="1" s="1"/>
  <c r="R245" i="1" s="1"/>
  <c r="P246" i="1"/>
  <c r="P248" i="1" s="1"/>
  <c r="P234" i="1" s="1"/>
  <c r="T21" i="14" s="1"/>
  <c r="P4" i="9"/>
  <c r="AN373" i="1"/>
  <c r="AN448" i="1"/>
  <c r="R523" i="1"/>
  <c r="BB96" i="9"/>
  <c r="BB97" i="9" s="1"/>
  <c r="BB8" i="9"/>
  <c r="BB443" i="1"/>
  <c r="BB216" i="1"/>
  <c r="BB406" i="1" s="1"/>
  <c r="Z19" i="9"/>
  <c r="Z20" i="9" s="1"/>
  <c r="AA36" i="1"/>
  <c r="AE36" i="1"/>
  <c r="Q246" i="1"/>
  <c r="Q248" i="1" s="1"/>
  <c r="Q234" i="1" s="1"/>
  <c r="Q235" i="1" s="1"/>
  <c r="Q236" i="1" s="1"/>
  <c r="Q4" i="9"/>
  <c r="Q6" i="9" s="1"/>
  <c r="Q11" i="9" s="1"/>
  <c r="AE34" i="1"/>
  <c r="I309" i="14" l="1"/>
  <c r="I310" i="14" s="1"/>
  <c r="J310" i="14" s="1"/>
  <c r="K310" i="14" s="1"/>
  <c r="L310" i="14" s="1"/>
  <c r="I303" i="14"/>
  <c r="AB250" i="14"/>
  <c r="AB251" i="14" s="1"/>
  <c r="AB252" i="14" s="1"/>
  <c r="AB253" i="14" s="1"/>
  <c r="AB254" i="14" s="1"/>
  <c r="AC248" i="14"/>
  <c r="AC250" i="14" s="1"/>
  <c r="AC251" i="14" s="1"/>
  <c r="AC252" i="14" s="1"/>
  <c r="AC253" i="14" s="1"/>
  <c r="AC254" i="14" s="1"/>
  <c r="H310" i="14"/>
  <c r="E378" i="14"/>
  <c r="J297" i="14"/>
  <c r="J302" i="14"/>
  <c r="K289" i="14"/>
  <c r="L292" i="14"/>
  <c r="K296" i="14"/>
  <c r="AE41" i="1"/>
  <c r="T1" i="9"/>
  <c r="T522" i="1"/>
  <c r="T523" i="1"/>
  <c r="T521" i="1"/>
  <c r="T519" i="1" s="1"/>
  <c r="T247" i="1" s="1"/>
  <c r="T496" i="1"/>
  <c r="U4" i="1"/>
  <c r="T3" i="1"/>
  <c r="AA37" i="1"/>
  <c r="AA41" i="1"/>
  <c r="S516" i="1"/>
  <c r="S514" i="1"/>
  <c r="S512" i="1" s="1"/>
  <c r="S502" i="1"/>
  <c r="S500" i="1"/>
  <c r="S498" i="1" s="1"/>
  <c r="S244" i="1" s="1"/>
  <c r="S509" i="1"/>
  <c r="S507" i="1"/>
  <c r="S505" i="1" s="1"/>
  <c r="S245" i="1" s="1"/>
  <c r="S523" i="1"/>
  <c r="Z24" i="14"/>
  <c r="H17" i="14" s="1"/>
  <c r="R246" i="1"/>
  <c r="R248" i="1" s="1"/>
  <c r="R234" i="1" s="1"/>
  <c r="R235" i="1" s="1"/>
  <c r="R236" i="1" s="1"/>
  <c r="R4" i="9"/>
  <c r="R6" i="9" s="1"/>
  <c r="R11" i="9" s="1"/>
  <c r="P117" i="9"/>
  <c r="P115" i="9"/>
  <c r="P6" i="9"/>
  <c r="P238" i="1"/>
  <c r="P240" i="1"/>
  <c r="P235" i="1"/>
  <c r="AE30" i="1"/>
  <c r="AA45" i="1"/>
  <c r="AA24" i="9" s="1"/>
  <c r="AA43" i="1"/>
  <c r="AA22" i="9" s="1"/>
  <c r="I13" i="14" l="1"/>
  <c r="I17" i="14"/>
  <c r="J309" i="14"/>
  <c r="J303" i="14"/>
  <c r="AF23" i="14"/>
  <c r="Z25" i="14"/>
  <c r="Z35" i="14"/>
  <c r="K302" i="14"/>
  <c r="K297" i="14"/>
  <c r="L289" i="14"/>
  <c r="L296" i="14"/>
  <c r="P11" i="9"/>
  <c r="P118" i="9"/>
  <c r="AA44" i="1"/>
  <c r="AA23" i="9" s="1"/>
  <c r="AE37" i="1"/>
  <c r="AA24" i="14"/>
  <c r="AE45" i="1"/>
  <c r="AE24" i="9" s="1"/>
  <c r="AE43" i="1"/>
  <c r="AE22" i="9" s="1"/>
  <c r="AE32" i="1"/>
  <c r="U523" i="1"/>
  <c r="U522" i="1"/>
  <c r="U1" i="9"/>
  <c r="U496" i="1"/>
  <c r="V4" i="1"/>
  <c r="U3" i="1"/>
  <c r="P236" i="1"/>
  <c r="T27" i="14" s="1"/>
  <c r="P241" i="1"/>
  <c r="T516" i="1"/>
  <c r="T502" i="1"/>
  <c r="T500" i="1"/>
  <c r="T498" i="1" s="1"/>
  <c r="T244" i="1" s="1"/>
  <c r="T514" i="1"/>
  <c r="T512" i="1" s="1"/>
  <c r="T509" i="1"/>
  <c r="T507" i="1"/>
  <c r="T505" i="1" s="1"/>
  <c r="T245" i="1" s="1"/>
  <c r="S246" i="1"/>
  <c r="S248" i="1" s="1"/>
  <c r="S234" i="1" s="1"/>
  <c r="S235" i="1" s="1"/>
  <c r="S236" i="1" s="1"/>
  <c r="S4" i="9"/>
  <c r="S6" i="9" s="1"/>
  <c r="S11" i="9" s="1"/>
  <c r="K309" i="14" l="1"/>
  <c r="K303" i="14"/>
  <c r="P40" i="14"/>
  <c r="Z36" i="14"/>
  <c r="Z37" i="14" s="1"/>
  <c r="AA25" i="14"/>
  <c r="N25" i="14" s="1"/>
  <c r="N24" i="14"/>
  <c r="AA35" i="14"/>
  <c r="AG23" i="14"/>
  <c r="L302" i="14"/>
  <c r="L297" i="14"/>
  <c r="P239" i="1"/>
  <c r="T26" i="14" s="1"/>
  <c r="Y29" i="14" s="1"/>
  <c r="P242" i="1"/>
  <c r="AC24" i="14"/>
  <c r="AC25" i="14" s="1"/>
  <c r="AE44" i="1"/>
  <c r="AE23" i="9" s="1"/>
  <c r="AE39" i="1"/>
  <c r="S227" i="1"/>
  <c r="R227" i="1"/>
  <c r="T227" i="1"/>
  <c r="Q227" i="1"/>
  <c r="T246" i="1"/>
  <c r="T248" i="1" s="1"/>
  <c r="T234" i="1" s="1"/>
  <c r="T235" i="1" s="1"/>
  <c r="T236" i="1" s="1"/>
  <c r="T4" i="9"/>
  <c r="T6" i="9" s="1"/>
  <c r="T11" i="9" s="1"/>
  <c r="V1" i="9"/>
  <c r="V522" i="1"/>
  <c r="W4" i="1"/>
  <c r="V3" i="1"/>
  <c r="V496" i="1" s="1"/>
  <c r="U516" i="1"/>
  <c r="U514" i="1"/>
  <c r="U512" i="1" s="1"/>
  <c r="U509" i="1"/>
  <c r="U507" i="1"/>
  <c r="U505" i="1" s="1"/>
  <c r="U245" i="1" s="1"/>
  <c r="U502" i="1"/>
  <c r="U500" i="1"/>
  <c r="U498" i="1" s="1"/>
  <c r="U244" i="1" s="1"/>
  <c r="AE18" i="9"/>
  <c r="AF29" i="1"/>
  <c r="AJ29" i="1"/>
  <c r="AH23" i="14"/>
  <c r="U521" i="1"/>
  <c r="U519" i="1" s="1"/>
  <c r="U247" i="1" s="1"/>
  <c r="P116" i="9"/>
  <c r="P119" i="9"/>
  <c r="Q40" i="14" l="1"/>
  <c r="AA36" i="14"/>
  <c r="AA37" i="14" s="1"/>
  <c r="AB24" i="14"/>
  <c r="AB25" i="14" s="1"/>
  <c r="L303" i="14"/>
  <c r="L309" i="14"/>
  <c r="V516" i="1"/>
  <c r="V514" i="1"/>
  <c r="V512" i="1" s="1"/>
  <c r="V509" i="1"/>
  <c r="V507" i="1"/>
  <c r="V505" i="1" s="1"/>
  <c r="V245" i="1" s="1"/>
  <c r="V502" i="1"/>
  <c r="V500" i="1"/>
  <c r="V498" i="1" s="1"/>
  <c r="V244" i="1" s="1"/>
  <c r="V523" i="1"/>
  <c r="V521" i="1"/>
  <c r="V519" i="1" s="1"/>
  <c r="V247" i="1" s="1"/>
  <c r="AD24" i="14"/>
  <c r="AD25" i="14" s="1"/>
  <c r="W1" i="9"/>
  <c r="W522" i="1"/>
  <c r="W496" i="1"/>
  <c r="W523" i="1" s="1"/>
  <c r="X4" i="1"/>
  <c r="W3" i="1"/>
  <c r="AE19" i="9"/>
  <c r="AJ36" i="1"/>
  <c r="AF36" i="1"/>
  <c r="U246" i="1"/>
  <c r="U248" i="1" s="1"/>
  <c r="U234" i="1" s="1"/>
  <c r="U4" i="9"/>
  <c r="AI23" i="14"/>
  <c r="AJ34" i="1"/>
  <c r="AF30" i="1"/>
  <c r="AF34" i="1"/>
  <c r="AE20" i="9"/>
  <c r="U21" i="14" l="1"/>
  <c r="B145" i="13"/>
  <c r="B146" i="13" s="1"/>
  <c r="AF45" i="1"/>
  <c r="AF24" i="9" s="1"/>
  <c r="AF43" i="1"/>
  <c r="AF22" i="9" s="1"/>
  <c r="AJ30" i="1"/>
  <c r="U117" i="9"/>
  <c r="U115" i="9"/>
  <c r="U6" i="9"/>
  <c r="W521" i="1"/>
  <c r="W519" i="1" s="1"/>
  <c r="W247" i="1" s="1"/>
  <c r="U240" i="1"/>
  <c r="U238" i="1"/>
  <c r="U235" i="1"/>
  <c r="AF37" i="1"/>
  <c r="AF41" i="1"/>
  <c r="AE24" i="14"/>
  <c r="AE25" i="14" s="1"/>
  <c r="W516" i="1"/>
  <c r="W514" i="1"/>
  <c r="W512" i="1" s="1"/>
  <c r="W509" i="1"/>
  <c r="W507" i="1"/>
  <c r="W505" i="1" s="1"/>
  <c r="W245" i="1" s="1"/>
  <c r="W502" i="1"/>
  <c r="W500" i="1"/>
  <c r="W498" i="1" s="1"/>
  <c r="W244" i="1" s="1"/>
  <c r="AJ41" i="1"/>
  <c r="V246" i="1"/>
  <c r="V248" i="1" s="1"/>
  <c r="V234" i="1" s="1"/>
  <c r="V235" i="1" s="1"/>
  <c r="V236" i="1" s="1"/>
  <c r="V4" i="9"/>
  <c r="V6" i="9" s="1"/>
  <c r="V11" i="9" s="1"/>
  <c r="X1" i="9"/>
  <c r="X522" i="1"/>
  <c r="X3" i="1"/>
  <c r="X496" i="1" s="1"/>
  <c r="Y4" i="1"/>
  <c r="X516" i="1" l="1"/>
  <c r="X514" i="1"/>
  <c r="X512" i="1" s="1"/>
  <c r="X502" i="1"/>
  <c r="X500" i="1"/>
  <c r="X498" i="1" s="1"/>
  <c r="X244" i="1" s="1"/>
  <c r="X509" i="1"/>
  <c r="X507" i="1"/>
  <c r="X505" i="1" s="1"/>
  <c r="X245" i="1" s="1"/>
  <c r="X523" i="1"/>
  <c r="X521" i="1"/>
  <c r="X519" i="1" s="1"/>
  <c r="X247" i="1" s="1"/>
  <c r="U236" i="1"/>
  <c r="U241" i="1"/>
  <c r="W246" i="1"/>
  <c r="W248" i="1" s="1"/>
  <c r="W234" i="1" s="1"/>
  <c r="W235" i="1" s="1"/>
  <c r="W236" i="1" s="1"/>
  <c r="W4" i="9"/>
  <c r="W6" i="9" s="1"/>
  <c r="W11" i="9" s="1"/>
  <c r="Y522" i="1"/>
  <c r="Y1" i="9"/>
  <c r="Y523" i="1"/>
  <c r="Y496" i="1"/>
  <c r="Y521" i="1"/>
  <c r="Y519" i="1" s="1"/>
  <c r="Y247" i="1" s="1"/>
  <c r="Y3" i="1"/>
  <c r="Z4" i="1"/>
  <c r="U11" i="9"/>
  <c r="U118" i="9"/>
  <c r="AJ37" i="1"/>
  <c r="AJ45" i="1" s="1"/>
  <c r="AJ24" i="9" s="1"/>
  <c r="AF44" i="1"/>
  <c r="AF23" i="9" s="1"/>
  <c r="AJ43" i="1"/>
  <c r="AJ22" i="9" s="1"/>
  <c r="AJ32" i="1"/>
  <c r="U27" i="14" l="1"/>
  <c r="B140" i="13"/>
  <c r="B142" i="13" s="1"/>
  <c r="AF24" i="14"/>
  <c r="AF25" i="14" s="1"/>
  <c r="AG24" i="14"/>
  <c r="AG25" i="14" s="1"/>
  <c r="Z522" i="1"/>
  <c r="Z1" i="9"/>
  <c r="AA4" i="1"/>
  <c r="Z3" i="1"/>
  <c r="Y514" i="1"/>
  <c r="Y512" i="1" s="1"/>
  <c r="Y502" i="1"/>
  <c r="Y500" i="1"/>
  <c r="Y498" i="1" s="1"/>
  <c r="Y244" i="1" s="1"/>
  <c r="Y516" i="1"/>
  <c r="Y509" i="1"/>
  <c r="Y507" i="1"/>
  <c r="Y505" i="1" s="1"/>
  <c r="Y245" i="1" s="1"/>
  <c r="AJ18" i="9"/>
  <c r="AO29" i="1"/>
  <c r="AK29" i="1"/>
  <c r="X246" i="1"/>
  <c r="X248" i="1" s="1"/>
  <c r="X234" i="1" s="1"/>
  <c r="X235" i="1" s="1"/>
  <c r="X236" i="1" s="1"/>
  <c r="X4" i="9"/>
  <c r="X6" i="9" s="1"/>
  <c r="X11" i="9" s="1"/>
  <c r="AJ44" i="1"/>
  <c r="AJ23" i="9" s="1"/>
  <c r="AJ39" i="1"/>
  <c r="U116" i="9"/>
  <c r="U119" i="9"/>
  <c r="U239" i="1"/>
  <c r="U26" i="14" s="1"/>
  <c r="U242" i="1"/>
  <c r="AA1" i="9" l="1"/>
  <c r="AA522" i="1"/>
  <c r="AA521" i="1"/>
  <c r="AA519" i="1" s="1"/>
  <c r="AA247" i="1" s="1"/>
  <c r="AA496" i="1"/>
  <c r="AB4" i="1"/>
  <c r="AA3" i="1"/>
  <c r="V227" i="1"/>
  <c r="W227" i="1"/>
  <c r="X227" i="1"/>
  <c r="Y227" i="1"/>
  <c r="Z496" i="1"/>
  <c r="AH24" i="14"/>
  <c r="AH25" i="14" s="1"/>
  <c r="AK30" i="1"/>
  <c r="AK34" i="1"/>
  <c r="AJ19" i="9"/>
  <c r="AJ20" i="9" s="1"/>
  <c r="AK36" i="1"/>
  <c r="AO36" i="1"/>
  <c r="AO34" i="1"/>
  <c r="Y246" i="1"/>
  <c r="Y248" i="1" s="1"/>
  <c r="Y234" i="1" s="1"/>
  <c r="Y235" i="1" s="1"/>
  <c r="Y236" i="1" s="1"/>
  <c r="Y4" i="9"/>
  <c r="Y6" i="9" s="1"/>
  <c r="Y11" i="9" s="1"/>
  <c r="AO41" i="1" l="1"/>
  <c r="AA516" i="1"/>
  <c r="AA514" i="1"/>
  <c r="AA512" i="1" s="1"/>
  <c r="AA502" i="1"/>
  <c r="AA500" i="1"/>
  <c r="AA498" i="1" s="1"/>
  <c r="AA244" i="1" s="1"/>
  <c r="AA509" i="1"/>
  <c r="AA507" i="1"/>
  <c r="AA505" i="1" s="1"/>
  <c r="AA245" i="1" s="1"/>
  <c r="Z502" i="1"/>
  <c r="Z500" i="1"/>
  <c r="Z498" i="1" s="1"/>
  <c r="Z244" i="1" s="1"/>
  <c r="Z516" i="1"/>
  <c r="Z509" i="1"/>
  <c r="Z507" i="1"/>
  <c r="Z505" i="1" s="1"/>
  <c r="Z245" i="1" s="1"/>
  <c r="Z514" i="1"/>
  <c r="Z512" i="1" s="1"/>
  <c r="Z523" i="1"/>
  <c r="Z521" i="1"/>
  <c r="Z519" i="1" s="1"/>
  <c r="Z247" i="1" s="1"/>
  <c r="AO30" i="1"/>
  <c r="AK43" i="1"/>
  <c r="AK22" i="9" s="1"/>
  <c r="AA523" i="1"/>
  <c r="AK37" i="1"/>
  <c r="AK45" i="1" s="1"/>
  <c r="AK24" i="9" s="1"/>
  <c r="AK41" i="1"/>
  <c r="AB1" i="9"/>
  <c r="AB522" i="1"/>
  <c r="AB496" i="1"/>
  <c r="AC4" i="1"/>
  <c r="AB3" i="1"/>
  <c r="AI24" i="14" l="1"/>
  <c r="AI25" i="14" s="1"/>
  <c r="AC1" i="9"/>
  <c r="AC522" i="1"/>
  <c r="AD4" i="1"/>
  <c r="AC3" i="1"/>
  <c r="AC496" i="1" s="1"/>
  <c r="AB516" i="1"/>
  <c r="AB502" i="1"/>
  <c r="AB500" i="1"/>
  <c r="AB498" i="1" s="1"/>
  <c r="AB244" i="1" s="1"/>
  <c r="AB509" i="1"/>
  <c r="AB507" i="1"/>
  <c r="AB505" i="1" s="1"/>
  <c r="AB245" i="1" s="1"/>
  <c r="AB514" i="1"/>
  <c r="AB512" i="1" s="1"/>
  <c r="AA246" i="1"/>
  <c r="AA248" i="1" s="1"/>
  <c r="AA234" i="1" s="1"/>
  <c r="AA235" i="1" s="1"/>
  <c r="AA236" i="1" s="1"/>
  <c r="AA4" i="9"/>
  <c r="AA6" i="9" s="1"/>
  <c r="AA11" i="9" s="1"/>
  <c r="AB523" i="1"/>
  <c r="AO43" i="1"/>
  <c r="AO22" i="9" s="1"/>
  <c r="AO32" i="1"/>
  <c r="AB521" i="1"/>
  <c r="AB519" i="1" s="1"/>
  <c r="AB247" i="1" s="1"/>
  <c r="AK44" i="1"/>
  <c r="AK23" i="9" s="1"/>
  <c r="AO37" i="1"/>
  <c r="Z246" i="1"/>
  <c r="Z248" i="1" s="1"/>
  <c r="Z234" i="1" s="1"/>
  <c r="Z4" i="9"/>
  <c r="V21" i="14" l="1"/>
  <c r="C145" i="13"/>
  <c r="C146" i="13" s="1"/>
  <c r="AC516" i="1"/>
  <c r="AC514" i="1"/>
  <c r="AC512" i="1" s="1"/>
  <c r="AC509" i="1"/>
  <c r="AC507" i="1"/>
  <c r="AC505" i="1" s="1"/>
  <c r="AC245" i="1" s="1"/>
  <c r="AC502" i="1"/>
  <c r="AC500" i="1"/>
  <c r="AC498" i="1" s="1"/>
  <c r="AC244" i="1" s="1"/>
  <c r="AC523" i="1"/>
  <c r="AC521" i="1"/>
  <c r="AC519" i="1" s="1"/>
  <c r="AC247" i="1" s="1"/>
  <c r="AD1" i="9"/>
  <c r="AD522" i="1"/>
  <c r="AE4" i="1"/>
  <c r="AD3" i="1"/>
  <c r="AD496" i="1" s="1"/>
  <c r="AB246" i="1"/>
  <c r="AB248" i="1" s="1"/>
  <c r="AB234" i="1" s="1"/>
  <c r="AB235" i="1" s="1"/>
  <c r="AB236" i="1" s="1"/>
  <c r="AB4" i="9"/>
  <c r="AB6" i="9" s="1"/>
  <c r="AB11" i="9" s="1"/>
  <c r="Z238" i="1"/>
  <c r="Z240" i="1"/>
  <c r="Z235" i="1"/>
  <c r="AO18" i="9"/>
  <c r="AT29" i="1"/>
  <c r="AP29" i="1"/>
  <c r="Z115" i="9"/>
  <c r="Z117" i="9"/>
  <c r="Z6" i="9"/>
  <c r="AO44" i="1"/>
  <c r="AO23" i="9" s="1"/>
  <c r="AO39" i="1"/>
  <c r="AO45" i="1"/>
  <c r="AO24" i="9" s="1"/>
  <c r="AD516" i="1" l="1"/>
  <c r="AD514" i="1"/>
  <c r="AD512" i="1" s="1"/>
  <c r="AD509" i="1"/>
  <c r="AD507" i="1"/>
  <c r="AD505" i="1" s="1"/>
  <c r="AD245" i="1" s="1"/>
  <c r="AD502" i="1"/>
  <c r="AD500" i="1"/>
  <c r="AD498" i="1" s="1"/>
  <c r="AD244" i="1" s="1"/>
  <c r="AD523" i="1"/>
  <c r="AD521" i="1"/>
  <c r="AD519" i="1" s="1"/>
  <c r="AD247" i="1" s="1"/>
  <c r="AT34" i="1"/>
  <c r="AE1" i="9"/>
  <c r="AE523" i="1"/>
  <c r="AE521" i="1"/>
  <c r="AE519" i="1" s="1"/>
  <c r="AE247" i="1" s="1"/>
  <c r="AE522" i="1"/>
  <c r="AE496" i="1"/>
  <c r="AF4" i="1"/>
  <c r="AE3" i="1"/>
  <c r="AO20" i="9"/>
  <c r="AP30" i="1"/>
  <c r="AP34" i="1"/>
  <c r="AO19" i="9"/>
  <c r="AP36" i="1"/>
  <c r="AT36" i="1"/>
  <c r="Z236" i="1"/>
  <c r="Z241" i="1"/>
  <c r="AC246" i="1"/>
  <c r="AC248" i="1" s="1"/>
  <c r="AC234" i="1" s="1"/>
  <c r="AC235" i="1" s="1"/>
  <c r="AC236" i="1" s="1"/>
  <c r="AC4" i="9"/>
  <c r="AC6" i="9" s="1"/>
  <c r="AC11" i="9" s="1"/>
  <c r="Z11" i="9"/>
  <c r="Z118" i="9"/>
  <c r="V27" i="14" l="1"/>
  <c r="C140" i="13"/>
  <c r="C142" i="13" s="1"/>
  <c r="Z116" i="9"/>
  <c r="Z119" i="9"/>
  <c r="AP43" i="1"/>
  <c r="AP22" i="9" s="1"/>
  <c r="AT30" i="1"/>
  <c r="Z239" i="1"/>
  <c r="V26" i="14" s="1"/>
  <c r="Z242" i="1"/>
  <c r="AT41" i="1"/>
  <c r="AA227" i="1"/>
  <c r="AD227" i="1"/>
  <c r="AC227" i="1"/>
  <c r="AB227" i="1"/>
  <c r="AD246" i="1"/>
  <c r="AD248" i="1" s="1"/>
  <c r="AD234" i="1" s="1"/>
  <c r="AD235" i="1" s="1"/>
  <c r="AD236" i="1" s="1"/>
  <c r="AD4" i="9"/>
  <c r="AD6" i="9" s="1"/>
  <c r="AD11" i="9" s="1"/>
  <c r="AP37" i="1"/>
  <c r="AP41" i="1"/>
  <c r="AF1" i="9"/>
  <c r="AF523" i="1"/>
  <c r="AF521" i="1"/>
  <c r="AF519" i="1" s="1"/>
  <c r="AF247" i="1" s="1"/>
  <c r="AF522" i="1"/>
  <c r="AF496" i="1"/>
  <c r="AF3" i="1"/>
  <c r="AG4" i="1"/>
  <c r="AE516" i="1"/>
  <c r="AE514" i="1"/>
  <c r="AE512" i="1" s="1"/>
  <c r="AE509" i="1"/>
  <c r="AE507" i="1"/>
  <c r="AE505" i="1" s="1"/>
  <c r="AE245" i="1" s="1"/>
  <c r="AE502" i="1"/>
  <c r="AE500" i="1"/>
  <c r="AE498" i="1" s="1"/>
  <c r="AE244" i="1" s="1"/>
  <c r="AT43" i="1" l="1"/>
  <c r="AT22" i="9" s="1"/>
  <c r="AT32" i="1"/>
  <c r="AG1" i="9"/>
  <c r="AG522" i="1"/>
  <c r="AH4" i="1"/>
  <c r="AG3" i="1"/>
  <c r="AG496" i="1" s="1"/>
  <c r="AT37" i="1"/>
  <c r="AT45" i="1" s="1"/>
  <c r="AT24" i="9" s="1"/>
  <c r="AP44" i="1"/>
  <c r="AP23" i="9" s="1"/>
  <c r="AP45" i="1"/>
  <c r="AP24" i="9" s="1"/>
  <c r="AE246" i="1"/>
  <c r="AE248" i="1" s="1"/>
  <c r="AE234" i="1" s="1"/>
  <c r="AE4" i="9"/>
  <c r="AF516" i="1"/>
  <c r="AF514" i="1"/>
  <c r="AF512" i="1" s="1"/>
  <c r="AF502" i="1"/>
  <c r="AF500" i="1"/>
  <c r="AF498" i="1" s="1"/>
  <c r="AF244" i="1" s="1"/>
  <c r="AF509" i="1"/>
  <c r="AF507" i="1"/>
  <c r="AF505" i="1" s="1"/>
  <c r="AF245" i="1" s="1"/>
  <c r="W21" i="14" l="1"/>
  <c r="D145" i="13"/>
  <c r="D146" i="13" s="1"/>
  <c r="AG516" i="1"/>
  <c r="AG502" i="1"/>
  <c r="AG500" i="1"/>
  <c r="AG498" i="1" s="1"/>
  <c r="AG244" i="1" s="1"/>
  <c r="AG514" i="1"/>
  <c r="AG512" i="1" s="1"/>
  <c r="AG509" i="1"/>
  <c r="AG507" i="1"/>
  <c r="AG505" i="1" s="1"/>
  <c r="AG245" i="1" s="1"/>
  <c r="AG523" i="1"/>
  <c r="AG521" i="1"/>
  <c r="AG519" i="1" s="1"/>
  <c r="AG247" i="1" s="1"/>
  <c r="AE115" i="9"/>
  <c r="AE117" i="9"/>
  <c r="AE6" i="9"/>
  <c r="AH522" i="1"/>
  <c r="AH1" i="9"/>
  <c r="AH521" i="1"/>
  <c r="AH519" i="1" s="1"/>
  <c r="AH247" i="1" s="1"/>
  <c r="AH523" i="1"/>
  <c r="AH496" i="1"/>
  <c r="AI4" i="1"/>
  <c r="AH3" i="1"/>
  <c r="AF246" i="1"/>
  <c r="AF248" i="1" s="1"/>
  <c r="AF234" i="1" s="1"/>
  <c r="AF235" i="1" s="1"/>
  <c r="AF236" i="1" s="1"/>
  <c r="AF4" i="9"/>
  <c r="AF6" i="9" s="1"/>
  <c r="AF11" i="9" s="1"/>
  <c r="AE240" i="1"/>
  <c r="AE238" i="1"/>
  <c r="AE235" i="1"/>
  <c r="AT18" i="9"/>
  <c r="AU29" i="1"/>
  <c r="AT44" i="1"/>
  <c r="AT23" i="9" s="1"/>
  <c r="AT39" i="1"/>
  <c r="AH516" i="1" l="1"/>
  <c r="AH502" i="1"/>
  <c r="AH500" i="1"/>
  <c r="AH498" i="1" s="1"/>
  <c r="AH244" i="1" s="1"/>
  <c r="AH514" i="1"/>
  <c r="AH512" i="1" s="1"/>
  <c r="AH509" i="1"/>
  <c r="AH507" i="1"/>
  <c r="AH505" i="1" s="1"/>
  <c r="AH245" i="1" s="1"/>
  <c r="AG246" i="1"/>
  <c r="AG248" i="1" s="1"/>
  <c r="AG234" i="1" s="1"/>
  <c r="AG235" i="1" s="1"/>
  <c r="AG236" i="1" s="1"/>
  <c r="AG4" i="9"/>
  <c r="AG6" i="9" s="1"/>
  <c r="AG11" i="9" s="1"/>
  <c r="AT19" i="9"/>
  <c r="AY36" i="1"/>
  <c r="AU36" i="1"/>
  <c r="AE236" i="1"/>
  <c r="AE241" i="1"/>
  <c r="AE11" i="9"/>
  <c r="AE118" i="9"/>
  <c r="AT20" i="9"/>
  <c r="AU31" i="1"/>
  <c r="AU32" i="1"/>
  <c r="AI1" i="9"/>
  <c r="AI522" i="1"/>
  <c r="AI496" i="1"/>
  <c r="AI521" i="1" s="1"/>
  <c r="AI519" i="1" s="1"/>
  <c r="AI247" i="1" s="1"/>
  <c r="AJ4" i="1"/>
  <c r="AI3" i="1"/>
  <c r="W27" i="14" l="1"/>
  <c r="D140" i="13"/>
  <c r="D142" i="13" s="1"/>
  <c r="AJ1" i="9"/>
  <c r="AJ522" i="1"/>
  <c r="AK4" i="1"/>
  <c r="AJ3" i="1"/>
  <c r="AE239" i="1"/>
  <c r="W26" i="14" s="1"/>
  <c r="AE242" i="1"/>
  <c r="AI516" i="1"/>
  <c r="AI514" i="1"/>
  <c r="AI512" i="1" s="1"/>
  <c r="AI502" i="1"/>
  <c r="AI500" i="1"/>
  <c r="AI498" i="1" s="1"/>
  <c r="AI244" i="1" s="1"/>
  <c r="AI509" i="1"/>
  <c r="AI507" i="1"/>
  <c r="AI505" i="1" s="1"/>
  <c r="AI245" i="1" s="1"/>
  <c r="AU38" i="1"/>
  <c r="AU39" i="1" s="1"/>
  <c r="AI523" i="1"/>
  <c r="AH246" i="1"/>
  <c r="AH248" i="1" s="1"/>
  <c r="AH234" i="1" s="1"/>
  <c r="AH235" i="1" s="1"/>
  <c r="AH236" i="1" s="1"/>
  <c r="AH4" i="9"/>
  <c r="AH6" i="9" s="1"/>
  <c r="AH11" i="9" s="1"/>
  <c r="AU18" i="9"/>
  <c r="AV29" i="1"/>
  <c r="AE116" i="9"/>
  <c r="AE119" i="9"/>
  <c r="AU43" i="1"/>
  <c r="AU22" i="9" s="1"/>
  <c r="AU22" i="1"/>
  <c r="AU19" i="9" l="1"/>
  <c r="AU20" i="9" s="1"/>
  <c r="AV36" i="1"/>
  <c r="AK522" i="1"/>
  <c r="AK1" i="9"/>
  <c r="AL4" i="1"/>
  <c r="AK3" i="1"/>
  <c r="AK496" i="1" s="1"/>
  <c r="AI227" i="1"/>
  <c r="AF227" i="1"/>
  <c r="AG227" i="1"/>
  <c r="AH227" i="1"/>
  <c r="AU45" i="1"/>
  <c r="AU24" i="9" s="1"/>
  <c r="AI246" i="1"/>
  <c r="AI248" i="1" s="1"/>
  <c r="AI234" i="1" s="1"/>
  <c r="AI235" i="1" s="1"/>
  <c r="AI236" i="1" s="1"/>
  <c r="AI4" i="9"/>
  <c r="AI6" i="9" s="1"/>
  <c r="AI11" i="9" s="1"/>
  <c r="AJ496" i="1"/>
  <c r="AU44" i="1"/>
  <c r="AU23" i="9" s="1"/>
  <c r="AU25" i="1"/>
  <c r="AU11" i="1"/>
  <c r="AU14" i="9" s="1"/>
  <c r="AV31" i="1"/>
  <c r="AV32" i="1"/>
  <c r="AK516" i="1" l="1"/>
  <c r="AK514" i="1"/>
  <c r="AK512" i="1" s="1"/>
  <c r="AK509" i="1"/>
  <c r="AK507" i="1"/>
  <c r="AK505" i="1" s="1"/>
  <c r="AK245" i="1" s="1"/>
  <c r="AK500" i="1"/>
  <c r="AK498" i="1" s="1"/>
  <c r="AK244" i="1" s="1"/>
  <c r="AK502" i="1"/>
  <c r="AK523" i="1"/>
  <c r="AK521" i="1"/>
  <c r="AK519" i="1" s="1"/>
  <c r="AK247" i="1" s="1"/>
  <c r="AU26" i="1"/>
  <c r="AU149" i="1" s="1"/>
  <c r="AL521" i="1"/>
  <c r="AL519" i="1" s="1"/>
  <c r="AL247" i="1" s="1"/>
  <c r="AL1" i="9"/>
  <c r="AL522" i="1"/>
  <c r="AL496" i="1"/>
  <c r="AM4" i="1"/>
  <c r="AL3" i="1"/>
  <c r="AV18" i="9"/>
  <c r="AW29" i="1"/>
  <c r="AU14" i="1"/>
  <c r="AU15" i="9" s="1"/>
  <c r="AV22" i="1"/>
  <c r="AV43" i="1"/>
  <c r="AV22" i="9" s="1"/>
  <c r="AV38" i="1"/>
  <c r="AV39" i="1" s="1"/>
  <c r="AJ516" i="1"/>
  <c r="AJ502" i="1"/>
  <c r="AJ500" i="1"/>
  <c r="AJ498" i="1" s="1"/>
  <c r="AJ244" i="1" s="1"/>
  <c r="AJ514" i="1"/>
  <c r="AJ512" i="1" s="1"/>
  <c r="AJ509" i="1"/>
  <c r="AJ507" i="1"/>
  <c r="AJ505" i="1" s="1"/>
  <c r="AJ245" i="1" s="1"/>
  <c r="AJ523" i="1"/>
  <c r="AJ521" i="1"/>
  <c r="AJ519" i="1" s="1"/>
  <c r="AJ247" i="1" s="1"/>
  <c r="AV19" i="9" l="1"/>
  <c r="AW36" i="1"/>
  <c r="AL516" i="1"/>
  <c r="AL514" i="1"/>
  <c r="AL512" i="1" s="1"/>
  <c r="AL509" i="1"/>
  <c r="AL507" i="1"/>
  <c r="AL505" i="1" s="1"/>
  <c r="AL245" i="1" s="1"/>
  <c r="AL502" i="1"/>
  <c r="AL500" i="1"/>
  <c r="AL498" i="1" s="1"/>
  <c r="AL244" i="1" s="1"/>
  <c r="AM1" i="9"/>
  <c r="AM522" i="1"/>
  <c r="AM496" i="1"/>
  <c r="AN4" i="1"/>
  <c r="AM3" i="1"/>
  <c r="AW31" i="1"/>
  <c r="AW32" i="1" s="1"/>
  <c r="AL523" i="1"/>
  <c r="AK246" i="1"/>
  <c r="AK248" i="1" s="1"/>
  <c r="AK234" i="1" s="1"/>
  <c r="AK235" i="1" s="1"/>
  <c r="AK236" i="1" s="1"/>
  <c r="AK4" i="9"/>
  <c r="AK6" i="9" s="1"/>
  <c r="AK11" i="9" s="1"/>
  <c r="AV25" i="1"/>
  <c r="AV44" i="1"/>
  <c r="AV23" i="9" s="1"/>
  <c r="AJ246" i="1"/>
  <c r="AJ248" i="1" s="1"/>
  <c r="AJ234" i="1" s="1"/>
  <c r="AJ4" i="9"/>
  <c r="AV45" i="1"/>
  <c r="AV24" i="9" s="1"/>
  <c r="AV20" i="9"/>
  <c r="AU31" i="9"/>
  <c r="AU407" i="1"/>
  <c r="AU388" i="1"/>
  <c r="AU387" i="1"/>
  <c r="AU155" i="1"/>
  <c r="AU153" i="1"/>
  <c r="AU156" i="1" s="1"/>
  <c r="AU152" i="1"/>
  <c r="AU15" i="1"/>
  <c r="AU16" i="9" s="1"/>
  <c r="AV26" i="1"/>
  <c r="AV149" i="1" s="1"/>
  <c r="AV11" i="1"/>
  <c r="AV14" i="9" s="1"/>
  <c r="AU444" i="1"/>
  <c r="X21" i="14" l="1"/>
  <c r="E145" i="13"/>
  <c r="E146" i="13" s="1"/>
  <c r="AW18" i="9"/>
  <c r="AX29" i="1"/>
  <c r="AU32" i="9"/>
  <c r="AU53" i="9" s="1"/>
  <c r="AU88" i="1"/>
  <c r="AU90" i="1" s="1"/>
  <c r="AJ117" i="9"/>
  <c r="AJ115" i="9"/>
  <c r="AJ6" i="9"/>
  <c r="AM516" i="1"/>
  <c r="AM514" i="1"/>
  <c r="AM512" i="1" s="1"/>
  <c r="AM509" i="1"/>
  <c r="AM507" i="1"/>
  <c r="AM505" i="1" s="1"/>
  <c r="AM245" i="1" s="1"/>
  <c r="C11" i="14" s="1"/>
  <c r="D11" i="14" s="1"/>
  <c r="AM502" i="1"/>
  <c r="AM500" i="1"/>
  <c r="AM498" i="1" s="1"/>
  <c r="AM244" i="1" s="1"/>
  <c r="C10" i="14" s="1"/>
  <c r="D10" i="14" s="1"/>
  <c r="AU33" i="9"/>
  <c r="AU54" i="9" s="1"/>
  <c r="AU331" i="1"/>
  <c r="AM521" i="1"/>
  <c r="AM519" i="1" s="1"/>
  <c r="AM247" i="1" s="1"/>
  <c r="AU162" i="1"/>
  <c r="AU157" i="1"/>
  <c r="AU94" i="1"/>
  <c r="AU453" i="1" s="1"/>
  <c r="AN1" i="9"/>
  <c r="AN522" i="1"/>
  <c r="AN3" i="1"/>
  <c r="AN496" i="1" s="1"/>
  <c r="AO4" i="1"/>
  <c r="AW43" i="1"/>
  <c r="AW22" i="9" s="1"/>
  <c r="AW22" i="1"/>
  <c r="AJ240" i="1"/>
  <c r="AJ238" i="1"/>
  <c r="AJ235" i="1"/>
  <c r="AU332" i="1"/>
  <c r="AM523" i="1"/>
  <c r="AW38" i="1"/>
  <c r="AW39" i="1" s="1"/>
  <c r="AL246" i="1"/>
  <c r="AL248" i="1" s="1"/>
  <c r="AL234" i="1" s="1"/>
  <c r="AL235" i="1" s="1"/>
  <c r="AL236" i="1" s="1"/>
  <c r="AL4" i="9"/>
  <c r="AL6" i="9" s="1"/>
  <c r="AL11" i="9" s="1"/>
  <c r="AV31" i="9"/>
  <c r="AV388" i="1"/>
  <c r="AV387" i="1"/>
  <c r="AV407" i="1"/>
  <c r="AV153" i="1"/>
  <c r="AV156" i="1" s="1"/>
  <c r="AV15" i="1"/>
  <c r="AV16" i="9" s="1"/>
  <c r="AV152" i="1"/>
  <c r="AV155" i="1"/>
  <c r="AV33" i="9" s="1"/>
  <c r="AV444" i="1"/>
  <c r="AU333" i="1"/>
  <c r="AU416" i="1"/>
  <c r="AV14" i="1"/>
  <c r="AV15" i="9" s="1"/>
  <c r="AW19" i="9" l="1"/>
  <c r="AX36" i="1"/>
  <c r="AN516" i="1"/>
  <c r="AN514" i="1"/>
  <c r="AN512" i="1" s="1"/>
  <c r="AN502" i="1"/>
  <c r="AN500" i="1"/>
  <c r="AN498" i="1" s="1"/>
  <c r="AN244" i="1" s="1"/>
  <c r="AN509" i="1"/>
  <c r="AN507" i="1"/>
  <c r="AN505" i="1" s="1"/>
  <c r="AN245" i="1" s="1"/>
  <c r="AN523" i="1"/>
  <c r="AN521" i="1"/>
  <c r="AN519" i="1" s="1"/>
  <c r="AN247" i="1" s="1"/>
  <c r="AV54" i="9"/>
  <c r="AU100" i="9"/>
  <c r="AU101" i="9" s="1"/>
  <c r="AU99" i="1"/>
  <c r="AV32" i="9"/>
  <c r="AV53" i="9" s="1"/>
  <c r="AV88" i="1"/>
  <c r="AV90" i="1" s="1"/>
  <c r="AU34" i="9"/>
  <c r="AV157" i="1"/>
  <c r="AV94" i="1"/>
  <c r="AV453" i="1" s="1"/>
  <c r="AV162" i="1"/>
  <c r="AW44" i="1"/>
  <c r="AW23" i="9" s="1"/>
  <c r="AW25" i="1"/>
  <c r="AW11" i="1"/>
  <c r="AW14" i="9" s="1"/>
  <c r="AV333" i="1"/>
  <c r="AV416" i="1"/>
  <c r="AU66" i="9"/>
  <c r="AM246" i="1"/>
  <c r="AM248" i="1" s="1"/>
  <c r="AM234" i="1" s="1"/>
  <c r="AM235" i="1" s="1"/>
  <c r="AM236" i="1" s="1"/>
  <c r="AM4" i="9"/>
  <c r="AM6" i="9" s="1"/>
  <c r="AM11" i="9" s="1"/>
  <c r="AU102" i="9"/>
  <c r="AU103" i="9" s="1"/>
  <c r="AW45" i="1"/>
  <c r="AW24" i="9" s="1"/>
  <c r="AV331" i="1"/>
  <c r="AV66" i="9" s="1"/>
  <c r="AV332" i="1"/>
  <c r="AO522" i="1"/>
  <c r="AO1" i="9"/>
  <c r="AO496" i="1"/>
  <c r="AO523" i="1" s="1"/>
  <c r="AO521" i="1"/>
  <c r="AO519" i="1" s="1"/>
  <c r="AO247" i="1" s="1"/>
  <c r="AP4" i="1"/>
  <c r="AO3" i="1"/>
  <c r="AJ11" i="9"/>
  <c r="AJ118" i="9"/>
  <c r="AX31" i="1"/>
  <c r="AX32" i="1" s="1"/>
  <c r="AJ236" i="1"/>
  <c r="AJ241" i="1"/>
  <c r="AU48" i="9"/>
  <c r="AU95" i="1"/>
  <c r="AW20" i="9"/>
  <c r="X27" i="14" l="1"/>
  <c r="E140" i="13"/>
  <c r="E142" i="13" s="1"/>
  <c r="AX18" i="9"/>
  <c r="AY29" i="1"/>
  <c r="AW14" i="1"/>
  <c r="AW15" i="9" s="1"/>
  <c r="AO516" i="1"/>
  <c r="AO514" i="1"/>
  <c r="AO512" i="1" s="1"/>
  <c r="AO502" i="1"/>
  <c r="AO500" i="1"/>
  <c r="AO498" i="1" s="1"/>
  <c r="AO244" i="1" s="1"/>
  <c r="AO509" i="1"/>
  <c r="AO507" i="1"/>
  <c r="AO505" i="1" s="1"/>
  <c r="AO245" i="1" s="1"/>
  <c r="AV102" i="9"/>
  <c r="AV103" i="9" s="1"/>
  <c r="AX43" i="1"/>
  <c r="AX22" i="9" s="1"/>
  <c r="AX22" i="1"/>
  <c r="AY31" i="1"/>
  <c r="AU122" i="9"/>
  <c r="AU82" i="9"/>
  <c r="AU56" i="9"/>
  <c r="AJ116" i="9"/>
  <c r="AJ119" i="9"/>
  <c r="AV100" i="9"/>
  <c r="AV101" i="9" s="1"/>
  <c r="AV99" i="1"/>
  <c r="AN246" i="1"/>
  <c r="AN248" i="1" s="1"/>
  <c r="AN234" i="1" s="1"/>
  <c r="AN235" i="1" s="1"/>
  <c r="AN236" i="1" s="1"/>
  <c r="AN4" i="9"/>
  <c r="AN6" i="9" s="1"/>
  <c r="AN11" i="9" s="1"/>
  <c r="AJ239" i="1"/>
  <c r="X26" i="14" s="1"/>
  <c r="AJ242" i="1"/>
  <c r="AN227" i="1"/>
  <c r="AM227" i="1"/>
  <c r="AK227" i="1"/>
  <c r="AL227" i="1"/>
  <c r="AV48" i="9"/>
  <c r="AV95" i="1"/>
  <c r="AX39" i="1"/>
  <c r="AX19" i="9" s="1"/>
  <c r="AX38" i="1"/>
  <c r="AV34" i="9"/>
  <c r="AP522" i="1"/>
  <c r="AP1" i="9"/>
  <c r="AQ4" i="1"/>
  <c r="AP3" i="1"/>
  <c r="AP496" i="1" s="1"/>
  <c r="AW26" i="1"/>
  <c r="AW149" i="1" s="1"/>
  <c r="AU55" i="9"/>
  <c r="AP514" i="1" l="1"/>
  <c r="AP512" i="1" s="1"/>
  <c r="AP502" i="1"/>
  <c r="AP500" i="1"/>
  <c r="AP498" i="1" s="1"/>
  <c r="AP244" i="1" s="1"/>
  <c r="AP509" i="1"/>
  <c r="AP507" i="1"/>
  <c r="AP505" i="1" s="1"/>
  <c r="AP245" i="1" s="1"/>
  <c r="AP516" i="1"/>
  <c r="AP521" i="1"/>
  <c r="AP519" i="1" s="1"/>
  <c r="AP247" i="1" s="1"/>
  <c r="AP523" i="1"/>
  <c r="AW31" i="9"/>
  <c r="AW407" i="1"/>
  <c r="AW387" i="1"/>
  <c r="AW388" i="1"/>
  <c r="AW15" i="1"/>
  <c r="AW16" i="9" s="1"/>
  <c r="AW152" i="1"/>
  <c r="AW153" i="1"/>
  <c r="AW155" i="1"/>
  <c r="AW444" i="1"/>
  <c r="AV55" i="9"/>
  <c r="AY34" i="1"/>
  <c r="AY43" i="1"/>
  <c r="AY22" i="9" s="1"/>
  <c r="AY45" i="1"/>
  <c r="AY24" i="9" s="1"/>
  <c r="AX44" i="1"/>
  <c r="AX23" i="9" s="1"/>
  <c r="AX25" i="1"/>
  <c r="AY38" i="1"/>
  <c r="AX11" i="1"/>
  <c r="AX14" i="9" s="1"/>
  <c r="AX26" i="1"/>
  <c r="AX149" i="1" s="1"/>
  <c r="AY22" i="1"/>
  <c r="AO246" i="1"/>
  <c r="AO248" i="1" s="1"/>
  <c r="AO234" i="1" s="1"/>
  <c r="AO4" i="9"/>
  <c r="AX45" i="1"/>
  <c r="AX24" i="9" s="1"/>
  <c r="AV122" i="9"/>
  <c r="AV82" i="9"/>
  <c r="AV56" i="9"/>
  <c r="AQ1" i="9"/>
  <c r="AQ522" i="1"/>
  <c r="AQ523" i="1"/>
  <c r="AQ521" i="1"/>
  <c r="AQ519" i="1" s="1"/>
  <c r="AQ247" i="1" s="1"/>
  <c r="AQ496" i="1"/>
  <c r="AR4" i="1"/>
  <c r="AQ3" i="1"/>
  <c r="AY32" i="1"/>
  <c r="AX20" i="9"/>
  <c r="Y21" i="14" l="1"/>
  <c r="F145" i="13"/>
  <c r="F146" i="13" s="1"/>
  <c r="AO115" i="9"/>
  <c r="AO117" i="9"/>
  <c r="AO6" i="9"/>
  <c r="AO238" i="1"/>
  <c r="AO240" i="1"/>
  <c r="AO235" i="1"/>
  <c r="AW156" i="1"/>
  <c r="AY444" i="1"/>
  <c r="AY11" i="1"/>
  <c r="AY14" i="9" s="1"/>
  <c r="AW32" i="9"/>
  <c r="AW53" i="9" s="1"/>
  <c r="AW88" i="1"/>
  <c r="AW90" i="1" s="1"/>
  <c r="AY152" i="1"/>
  <c r="AW332" i="1"/>
  <c r="AX31" i="9"/>
  <c r="AX388" i="1"/>
  <c r="AY388" i="1" s="1"/>
  <c r="AX387" i="1"/>
  <c r="AY387" i="1" s="1"/>
  <c r="AX407" i="1"/>
  <c r="AX15" i="1"/>
  <c r="AX16" i="9" s="1"/>
  <c r="AX152" i="1"/>
  <c r="AX155" i="1"/>
  <c r="AX33" i="9" s="1"/>
  <c r="AR1" i="9"/>
  <c r="AR522" i="1"/>
  <c r="AR523" i="1"/>
  <c r="AR521" i="1"/>
  <c r="AR519" i="1" s="1"/>
  <c r="AR247" i="1" s="1"/>
  <c r="AR496" i="1"/>
  <c r="AS4" i="1"/>
  <c r="AR3" i="1"/>
  <c r="AX444" i="1"/>
  <c r="AW331" i="1"/>
  <c r="AW33" i="9"/>
  <c r="AW54" i="9" s="1"/>
  <c r="AY155" i="1"/>
  <c r="AY18" i="9"/>
  <c r="AZ29" i="1"/>
  <c r="AQ516" i="1"/>
  <c r="AQ514" i="1"/>
  <c r="AQ512" i="1" s="1"/>
  <c r="AQ502" i="1"/>
  <c r="AQ500" i="1"/>
  <c r="AQ498" i="1" s="1"/>
  <c r="AQ244" i="1" s="1"/>
  <c r="AQ509" i="1"/>
  <c r="AQ507" i="1"/>
  <c r="AQ505" i="1" s="1"/>
  <c r="AQ245" i="1" s="1"/>
  <c r="AY41" i="1"/>
  <c r="AY44" i="1"/>
  <c r="AY23" i="9" s="1"/>
  <c r="AY39" i="1"/>
  <c r="AW333" i="1"/>
  <c r="AW416" i="1"/>
  <c r="AX14" i="1"/>
  <c r="AX15" i="9" s="1"/>
  <c r="AY25" i="1"/>
  <c r="AY14" i="1" s="1"/>
  <c r="AY15" i="9" s="1"/>
  <c r="AY149" i="1"/>
  <c r="AP246" i="1"/>
  <c r="AP248" i="1" s="1"/>
  <c r="AP234" i="1" s="1"/>
  <c r="AP235" i="1" s="1"/>
  <c r="AP236" i="1" s="1"/>
  <c r="AP4" i="9"/>
  <c r="AP6" i="9" s="1"/>
  <c r="AP11" i="9" s="1"/>
  <c r="AX331" i="1" l="1"/>
  <c r="AW34" i="9"/>
  <c r="AW55" i="9" s="1"/>
  <c r="AQ246" i="1"/>
  <c r="AQ248" i="1" s="1"/>
  <c r="AQ234" i="1" s="1"/>
  <c r="AQ235" i="1" s="1"/>
  <c r="AQ236" i="1" s="1"/>
  <c r="AQ4" i="9"/>
  <c r="AQ6" i="9" s="1"/>
  <c r="AQ11" i="9" s="1"/>
  <c r="AX54" i="9"/>
  <c r="AW162" i="1"/>
  <c r="AW157" i="1"/>
  <c r="AW94" i="1"/>
  <c r="AW453" i="1" s="1"/>
  <c r="AY19" i="9"/>
  <c r="AZ36" i="1"/>
  <c r="AX32" i="9"/>
  <c r="AX53" i="9" s="1"/>
  <c r="AX88" i="1"/>
  <c r="AX90" i="1" s="1"/>
  <c r="AX332" i="1"/>
  <c r="AO236" i="1"/>
  <c r="AO241" i="1"/>
  <c r="AZ31" i="1"/>
  <c r="AS1" i="9"/>
  <c r="AS523" i="1"/>
  <c r="AS521" i="1"/>
  <c r="AS519" i="1" s="1"/>
  <c r="AS247" i="1" s="1"/>
  <c r="AS234" i="1" s="1"/>
  <c r="AS522" i="1"/>
  <c r="AS496" i="1"/>
  <c r="AT4" i="1"/>
  <c r="AS3" i="1"/>
  <c r="AY32" i="9"/>
  <c r="AY87" i="1"/>
  <c r="AY88" i="1"/>
  <c r="AY90" i="1" s="1"/>
  <c r="AY20" i="9"/>
  <c r="AR516" i="1"/>
  <c r="AR514" i="1"/>
  <c r="AR512" i="1" s="1"/>
  <c r="AR502" i="1"/>
  <c r="AR500" i="1"/>
  <c r="AR498" i="1" s="1"/>
  <c r="AR509" i="1"/>
  <c r="AR507" i="1"/>
  <c r="AR505" i="1" s="1"/>
  <c r="AX153" i="1"/>
  <c r="AX156" i="1" s="1"/>
  <c r="AW102" i="9"/>
  <c r="AW103" i="9" s="1"/>
  <c r="AX34" i="9"/>
  <c r="AY31" i="9"/>
  <c r="AY153" i="1"/>
  <c r="AY156" i="1" s="1"/>
  <c r="AY15" i="1"/>
  <c r="AY16" i="9" s="1"/>
  <c r="AY33" i="9"/>
  <c r="AY93" i="1"/>
  <c r="AR191" i="1"/>
  <c r="AR190" i="1"/>
  <c r="AR192" i="1"/>
  <c r="AR234" i="1"/>
  <c r="AY407" i="1"/>
  <c r="AX333" i="1"/>
  <c r="AY333" i="1" s="1"/>
  <c r="AX416" i="1"/>
  <c r="AO11" i="9"/>
  <c r="AO118" i="9"/>
  <c r="AY376" i="1"/>
  <c r="AW66" i="9"/>
  <c r="AY331" i="1"/>
  <c r="AY377" i="1"/>
  <c r="AY26" i="1"/>
  <c r="AX66" i="9" l="1"/>
  <c r="AY54" i="9"/>
  <c r="Y27" i="14"/>
  <c r="Y31" i="14" s="1"/>
  <c r="Z29" i="14" s="1"/>
  <c r="F140" i="13"/>
  <c r="F142" i="13" s="1"/>
  <c r="AZ377" i="1"/>
  <c r="BA377" i="1" s="1"/>
  <c r="BB377" i="1" s="1"/>
  <c r="AY381" i="1"/>
  <c r="AY89" i="1"/>
  <c r="AW48" i="9"/>
  <c r="AW95" i="1"/>
  <c r="AY157" i="1"/>
  <c r="AY378" i="1"/>
  <c r="AY416" i="1"/>
  <c r="AY162" i="1"/>
  <c r="AY94" i="1"/>
  <c r="AY453" i="1" s="1"/>
  <c r="AY53" i="9"/>
  <c r="AZ22" i="1"/>
  <c r="AZ45" i="1"/>
  <c r="AZ24" i="9" s="1"/>
  <c r="AZ43" i="1"/>
  <c r="AZ22" i="9" s="1"/>
  <c r="AW100" i="9"/>
  <c r="AW101" i="9" s="1"/>
  <c r="AW99" i="1"/>
  <c r="AX162" i="1"/>
  <c r="AX157" i="1"/>
  <c r="AX94" i="1"/>
  <c r="AX453" i="1" s="1"/>
  <c r="AY34" i="9"/>
  <c r="AZ32" i="1"/>
  <c r="AY332" i="1"/>
  <c r="AY66" i="9" s="1"/>
  <c r="AY380" i="1"/>
  <c r="AZ376" i="1"/>
  <c r="BA376" i="1" s="1"/>
  <c r="BB376" i="1" s="1"/>
  <c r="AR5" i="9"/>
  <c r="AR235" i="1"/>
  <c r="AS192" i="1"/>
  <c r="AT192" i="1" s="1"/>
  <c r="AX55" i="9"/>
  <c r="AT1" i="9"/>
  <c r="AT523" i="1"/>
  <c r="AT521" i="1"/>
  <c r="AT519" i="1" s="1"/>
  <c r="AT247" i="1" s="1"/>
  <c r="AT234" i="1" s="1"/>
  <c r="G145" i="13" s="1"/>
  <c r="G146" i="13" s="1"/>
  <c r="AT522" i="1"/>
  <c r="AT496" i="1"/>
  <c r="AU4" i="1"/>
  <c r="AT3" i="1"/>
  <c r="AR202" i="1"/>
  <c r="AS190" i="1"/>
  <c r="AS516" i="1"/>
  <c r="AS514" i="1"/>
  <c r="AS512" i="1" s="1"/>
  <c r="AS509" i="1"/>
  <c r="AS507" i="1"/>
  <c r="AS505" i="1" s="1"/>
  <c r="AS500" i="1"/>
  <c r="AS498" i="1" s="1"/>
  <c r="AS502" i="1"/>
  <c r="AZ38" i="1"/>
  <c r="AS191" i="1"/>
  <c r="AT191" i="1" s="1"/>
  <c r="AX102" i="9"/>
  <c r="AX103" i="9" s="1"/>
  <c r="AO116" i="9"/>
  <c r="AO119" i="9"/>
  <c r="AO239" i="1"/>
  <c r="Y26" i="14" s="1"/>
  <c r="AO242" i="1"/>
  <c r="L27" i="14" l="1"/>
  <c r="M27" i="14"/>
  <c r="L26" i="14"/>
  <c r="Y30" i="14"/>
  <c r="Z30" i="14" s="1"/>
  <c r="Z31" i="14" s="1"/>
  <c r="M26" i="14"/>
  <c r="AT5" i="9"/>
  <c r="AT235" i="1"/>
  <c r="AR6" i="9"/>
  <c r="AR108" i="9"/>
  <c r="AR109" i="9"/>
  <c r="AZ26" i="1"/>
  <c r="AZ149" i="1" s="1"/>
  <c r="AZ11" i="1"/>
  <c r="AZ14" i="9" s="1"/>
  <c r="AY48" i="9"/>
  <c r="AY95" i="1"/>
  <c r="AZ44" i="1"/>
  <c r="AZ23" i="9" s="1"/>
  <c r="AZ25" i="1"/>
  <c r="AZ14" i="1" s="1"/>
  <c r="AZ15" i="9" s="1"/>
  <c r="AS202" i="1"/>
  <c r="AX48" i="9"/>
  <c r="AX95" i="1"/>
  <c r="AZ39" i="1"/>
  <c r="AT190" i="1"/>
  <c r="AX100" i="9"/>
  <c r="AX101" i="9" s="1"/>
  <c r="AX99" i="1"/>
  <c r="AW122" i="9"/>
  <c r="AW82" i="9"/>
  <c r="AW56" i="9"/>
  <c r="AR62" i="9"/>
  <c r="AR454" i="1"/>
  <c r="AR361" i="1"/>
  <c r="AY100" i="9"/>
  <c r="AY101" i="9" s="1"/>
  <c r="AY99" i="1"/>
  <c r="AQ227" i="1"/>
  <c r="AP227" i="1"/>
  <c r="AR222" i="1"/>
  <c r="AR224" i="1"/>
  <c r="AZ18" i="9"/>
  <c r="BA29" i="1"/>
  <c r="AY102" i="9"/>
  <c r="AY103" i="9" s="1"/>
  <c r="AU1" i="9"/>
  <c r="AU523" i="1"/>
  <c r="AU521" i="1"/>
  <c r="AU519" i="1" s="1"/>
  <c r="AU247" i="1" s="1"/>
  <c r="AU234" i="1" s="1"/>
  <c r="AU522" i="1"/>
  <c r="AV4" i="1"/>
  <c r="AU3" i="1"/>
  <c r="AS222" i="1"/>
  <c r="AZ378" i="1"/>
  <c r="BA378" i="1" s="1"/>
  <c r="BB378" i="1" s="1"/>
  <c r="AY382" i="1"/>
  <c r="AT516" i="1"/>
  <c r="AT514" i="1"/>
  <c r="AT512" i="1" s="1"/>
  <c r="AT509" i="1"/>
  <c r="AT507" i="1"/>
  <c r="AT505" i="1" s="1"/>
  <c r="AT502" i="1"/>
  <c r="AT500" i="1"/>
  <c r="AT498" i="1" s="1"/>
  <c r="AS5" i="9"/>
  <c r="AS235" i="1"/>
  <c r="AY55" i="9"/>
  <c r="AR226" i="1" l="1"/>
  <c r="AT222" i="1"/>
  <c r="AT223" i="1" s="1"/>
  <c r="AZ444" i="1"/>
  <c r="AZ19" i="9"/>
  <c r="BA36" i="1"/>
  <c r="AS6" i="9"/>
  <c r="AS108" i="9"/>
  <c r="AY122" i="9"/>
  <c r="AY56" i="9"/>
  <c r="AY82" i="9"/>
  <c r="AX122" i="9"/>
  <c r="AX82" i="9"/>
  <c r="AX56" i="9"/>
  <c r="AU191" i="1"/>
  <c r="AV1" i="9"/>
  <c r="AV523" i="1"/>
  <c r="AV521" i="1"/>
  <c r="AV519" i="1" s="1"/>
  <c r="AV247" i="1" s="1"/>
  <c r="AV234" i="1" s="1"/>
  <c r="AV522" i="1"/>
  <c r="AV496" i="1"/>
  <c r="AV3" i="1"/>
  <c r="AW4" i="1"/>
  <c r="BA32" i="1"/>
  <c r="BA31" i="1"/>
  <c r="AU190" i="1"/>
  <c r="AU192" i="1"/>
  <c r="AU496" i="1"/>
  <c r="AZ20" i="9"/>
  <c r="AR365" i="1"/>
  <c r="AS62" i="9"/>
  <c r="AS454" i="1"/>
  <c r="AS361" i="1"/>
  <c r="AS365" i="1" s="1"/>
  <c r="AZ31" i="9"/>
  <c r="AZ407" i="1"/>
  <c r="AZ387" i="1"/>
  <c r="AZ388" i="1"/>
  <c r="AZ155" i="1"/>
  <c r="AZ33" i="9" s="1"/>
  <c r="AZ152" i="1"/>
  <c r="AZ15" i="1"/>
  <c r="AZ16" i="9" s="1"/>
  <c r="AT6" i="9"/>
  <c r="AT108" i="9"/>
  <c r="AT109" i="9"/>
  <c r="AZ54" i="9" l="1"/>
  <c r="AZ32" i="9"/>
  <c r="AZ53" i="9" s="1"/>
  <c r="AZ88" i="1"/>
  <c r="AZ90" i="1" s="1"/>
  <c r="AU5" i="9"/>
  <c r="AU235" i="1"/>
  <c r="AV192" i="1"/>
  <c r="AT361" i="1"/>
  <c r="AU202" i="1"/>
  <c r="AV190" i="1"/>
  <c r="BA39" i="1"/>
  <c r="BA38" i="1"/>
  <c r="AU516" i="1"/>
  <c r="AU514" i="1"/>
  <c r="AU512" i="1" s="1"/>
  <c r="AU509" i="1"/>
  <c r="AU507" i="1"/>
  <c r="AU505" i="1" s="1"/>
  <c r="AU502" i="1"/>
  <c r="AU500" i="1"/>
  <c r="AU498" i="1" s="1"/>
  <c r="AZ332" i="1"/>
  <c r="BA22" i="1"/>
  <c r="BA45" i="1"/>
  <c r="BA24" i="9" s="1"/>
  <c r="BA43" i="1"/>
  <c r="BA22" i="9" s="1"/>
  <c r="AZ331" i="1"/>
  <c r="BA18" i="9"/>
  <c r="BB29" i="1"/>
  <c r="AV191" i="1"/>
  <c r="AZ333" i="1"/>
  <c r="AZ416" i="1"/>
  <c r="AW1" i="9"/>
  <c r="AW522" i="1"/>
  <c r="AW523" i="1"/>
  <c r="AW521" i="1"/>
  <c r="AW519" i="1" s="1"/>
  <c r="AW247" i="1" s="1"/>
  <c r="AW234" i="1" s="1"/>
  <c r="AX4" i="1"/>
  <c r="AW3" i="1"/>
  <c r="AW496" i="1" s="1"/>
  <c r="AZ34" i="9"/>
  <c r="AZ153" i="1"/>
  <c r="AZ156" i="1" s="1"/>
  <c r="AV516" i="1"/>
  <c r="AV514" i="1"/>
  <c r="AV512" i="1" s="1"/>
  <c r="AV502" i="1"/>
  <c r="AV500" i="1"/>
  <c r="AV498" i="1" s="1"/>
  <c r="AV509" i="1"/>
  <c r="AV507" i="1"/>
  <c r="AV505" i="1" s="1"/>
  <c r="AR227" i="1"/>
  <c r="AR164" i="1"/>
  <c r="AR229" i="1"/>
  <c r="AW502" i="1" l="1"/>
  <c r="AW500" i="1"/>
  <c r="AW498" i="1" s="1"/>
  <c r="AW516" i="1"/>
  <c r="AW509" i="1"/>
  <c r="AW507" i="1"/>
  <c r="AW505" i="1" s="1"/>
  <c r="AW514" i="1"/>
  <c r="AW512" i="1" s="1"/>
  <c r="AZ102" i="9"/>
  <c r="AZ103" i="9" s="1"/>
  <c r="AR37" i="9"/>
  <c r="AR39" i="9" s="1"/>
  <c r="AR167" i="1"/>
  <c r="AX522" i="1"/>
  <c r="AX1" i="9"/>
  <c r="AX523" i="1"/>
  <c r="AX521" i="1"/>
  <c r="AX519" i="1" s="1"/>
  <c r="AX247" i="1" s="1"/>
  <c r="AX234" i="1" s="1"/>
  <c r="AX496" i="1"/>
  <c r="AY4" i="1"/>
  <c r="AX3" i="1"/>
  <c r="AT202" i="1"/>
  <c r="C67" i="13" s="1"/>
  <c r="C97" i="13" s="1"/>
  <c r="AT365" i="1"/>
  <c r="AZ94" i="1"/>
  <c r="AZ453" i="1" s="1"/>
  <c r="AZ157" i="1"/>
  <c r="AZ162" i="1"/>
  <c r="BA11" i="1"/>
  <c r="BA14" i="9" s="1"/>
  <c r="AW191" i="1"/>
  <c r="BA44" i="1"/>
  <c r="BA23" i="9" s="1"/>
  <c r="BA25" i="1"/>
  <c r="BA14" i="1" s="1"/>
  <c r="BA15" i="9" s="1"/>
  <c r="AV5" i="9"/>
  <c r="AV235" i="1"/>
  <c r="AW192" i="1"/>
  <c r="AZ55" i="9"/>
  <c r="BB31" i="1"/>
  <c r="BB32" i="1"/>
  <c r="BB18" i="9" s="1"/>
  <c r="BA19" i="9"/>
  <c r="BA20" i="9" s="1"/>
  <c r="BB36" i="1"/>
  <c r="AU6" i="9"/>
  <c r="AU108" i="9"/>
  <c r="AU109" i="9"/>
  <c r="AT460" i="1"/>
  <c r="AZ66" i="9"/>
  <c r="AV202" i="1"/>
  <c r="AW190" i="1"/>
  <c r="AU62" i="9"/>
  <c r="AU454" i="1"/>
  <c r="AU361" i="1"/>
  <c r="AW5" i="9" l="1"/>
  <c r="AW235" i="1"/>
  <c r="AX192" i="1"/>
  <c r="AY192" i="1" s="1"/>
  <c r="AX502" i="1"/>
  <c r="AX500" i="1"/>
  <c r="AX498" i="1" s="1"/>
  <c r="AX516" i="1"/>
  <c r="AX509" i="1"/>
  <c r="AX507" i="1"/>
  <c r="AX505" i="1" s="1"/>
  <c r="AX514" i="1"/>
  <c r="AX512" i="1" s="1"/>
  <c r="AZ100" i="9"/>
  <c r="AZ101" i="9" s="1"/>
  <c r="AZ99" i="1"/>
  <c r="AX190" i="1"/>
  <c r="AY190" i="1" s="1"/>
  <c r="AW202" i="1"/>
  <c r="BB38" i="1"/>
  <c r="BB39" i="1" s="1"/>
  <c r="BB19" i="9" s="1"/>
  <c r="BB20" i="9" s="1"/>
  <c r="AV6" i="9"/>
  <c r="AV108" i="9"/>
  <c r="AV109" i="9"/>
  <c r="AZ48" i="9"/>
  <c r="AZ95" i="1"/>
  <c r="AV62" i="9"/>
  <c r="AV454" i="1"/>
  <c r="AV361" i="1"/>
  <c r="AV365" i="1" s="1"/>
  <c r="BB22" i="1"/>
  <c r="BB45" i="1"/>
  <c r="BB24" i="9" s="1"/>
  <c r="BB43" i="1"/>
  <c r="BB22" i="9" s="1"/>
  <c r="AX191" i="1"/>
  <c r="AY191" i="1" s="1"/>
  <c r="AT62" i="9"/>
  <c r="AT454" i="1"/>
  <c r="AT461" i="1"/>
  <c r="AR170" i="1"/>
  <c r="AR169" i="1"/>
  <c r="AU365" i="1"/>
  <c r="BA26" i="1"/>
  <c r="BA149" i="1" s="1"/>
  <c r="AY1" i="9"/>
  <c r="AY522" i="1"/>
  <c r="AY523" i="1"/>
  <c r="AY521" i="1"/>
  <c r="AY519" i="1" s="1"/>
  <c r="AY247" i="1" s="1"/>
  <c r="AY234" i="1" s="1"/>
  <c r="AY496" i="1"/>
  <c r="AZ4" i="1"/>
  <c r="AY3" i="1"/>
  <c r="AR320" i="1" l="1"/>
  <c r="BB11" i="1"/>
  <c r="BB14" i="9" s="1"/>
  <c r="AZ122" i="9"/>
  <c r="AZ82" i="9"/>
  <c r="AZ56" i="9"/>
  <c r="AX202" i="1"/>
  <c r="AR40" i="9"/>
  <c r="AR44" i="9" s="1"/>
  <c r="AW62" i="9"/>
  <c r="AW454" i="1"/>
  <c r="AW361" i="1"/>
  <c r="BA31" i="9"/>
  <c r="BA407" i="1"/>
  <c r="BA388" i="1"/>
  <c r="BA387" i="1"/>
  <c r="BA152" i="1"/>
  <c r="BA153" i="1"/>
  <c r="BA155" i="1"/>
  <c r="BA33" i="9" s="1"/>
  <c r="BA54" i="9" s="1"/>
  <c r="BA15" i="1"/>
  <c r="BA16" i="9" s="1"/>
  <c r="BA444" i="1"/>
  <c r="AR171" i="1"/>
  <c r="AU222" i="1"/>
  <c r="AV222" i="1"/>
  <c r="AW222" i="1"/>
  <c r="AX222" i="1"/>
  <c r="AY5" i="9"/>
  <c r="AY235" i="1"/>
  <c r="AZ1" i="9"/>
  <c r="AZ522" i="1"/>
  <c r="AZ523" i="1"/>
  <c r="AZ521" i="1"/>
  <c r="AZ519" i="1" s="1"/>
  <c r="AZ247" i="1" s="1"/>
  <c r="AZ234" i="1" s="1"/>
  <c r="AZ496" i="1"/>
  <c r="BA4" i="1"/>
  <c r="AZ3" i="1"/>
  <c r="AX5" i="9"/>
  <c r="AX235" i="1"/>
  <c r="AY516" i="1"/>
  <c r="AY514" i="1"/>
  <c r="AY512" i="1" s="1"/>
  <c r="AY502" i="1"/>
  <c r="AY500" i="1"/>
  <c r="AY498" i="1" s="1"/>
  <c r="AY509" i="1"/>
  <c r="AY507" i="1"/>
  <c r="AY505" i="1" s="1"/>
  <c r="BB44" i="1"/>
  <c r="BB23" i="9" s="1"/>
  <c r="BB25" i="1"/>
  <c r="BB14" i="1" s="1"/>
  <c r="BB15" i="9" s="1"/>
  <c r="AW6" i="9"/>
  <c r="AW108" i="9"/>
  <c r="AW109" i="9"/>
  <c r="AZ192" i="1" l="1"/>
  <c r="AZ5" i="9" s="1"/>
  <c r="AZ191" i="1"/>
  <c r="AW365" i="1"/>
  <c r="AX6" i="9"/>
  <c r="AX108" i="9"/>
  <c r="AX109" i="9"/>
  <c r="BA156" i="1"/>
  <c r="BA32" i="9"/>
  <c r="BA53" i="9" s="1"/>
  <c r="BA88" i="1"/>
  <c r="BA90" i="1" s="1"/>
  <c r="BA331" i="1"/>
  <c r="AR124" i="9"/>
  <c r="AR91" i="9"/>
  <c r="AR92" i="9" s="1"/>
  <c r="AR45" i="9"/>
  <c r="BB26" i="1"/>
  <c r="BB149" i="1" s="1"/>
  <c r="AY222" i="1"/>
  <c r="AY223" i="1" s="1"/>
  <c r="BA332" i="1"/>
  <c r="AZ190" i="1"/>
  <c r="BB444" i="1"/>
  <c r="BA1" i="9"/>
  <c r="BA523" i="1"/>
  <c r="BA521" i="1"/>
  <c r="BA519" i="1" s="1"/>
  <c r="BA247" i="1" s="1"/>
  <c r="BA234" i="1" s="1"/>
  <c r="BA522" i="1"/>
  <c r="BB4" i="1"/>
  <c r="BA3" i="1"/>
  <c r="BA496" i="1" s="1"/>
  <c r="AR316" i="1"/>
  <c r="AR175" i="1"/>
  <c r="AQ446" i="1"/>
  <c r="BA333" i="1"/>
  <c r="BA416" i="1"/>
  <c r="AX62" i="9"/>
  <c r="AX454" i="1"/>
  <c r="AX361" i="1"/>
  <c r="AX365" i="1" s="1"/>
  <c r="AZ516" i="1"/>
  <c r="AZ502" i="1"/>
  <c r="AZ500" i="1"/>
  <c r="AZ498" i="1" s="1"/>
  <c r="AZ509" i="1"/>
  <c r="AZ507" i="1"/>
  <c r="AZ505" i="1" s="1"/>
  <c r="AZ514" i="1"/>
  <c r="AZ512" i="1" s="1"/>
  <c r="AY6" i="9"/>
  <c r="AY108" i="9"/>
  <c r="AY109" i="9"/>
  <c r="BA34" i="9"/>
  <c r="AR423" i="1"/>
  <c r="AZ235" i="1" l="1"/>
  <c r="BA516" i="1"/>
  <c r="BA514" i="1"/>
  <c r="BA512" i="1" s="1"/>
  <c r="BA509" i="1"/>
  <c r="BA507" i="1"/>
  <c r="BA505" i="1" s="1"/>
  <c r="BA500" i="1"/>
  <c r="BA498" i="1" s="1"/>
  <c r="BA502" i="1"/>
  <c r="BA191" i="1"/>
  <c r="BB31" i="9"/>
  <c r="BB407" i="1"/>
  <c r="BB388" i="1"/>
  <c r="BB332" i="1" s="1"/>
  <c r="BB387" i="1"/>
  <c r="BB331" i="1" s="1"/>
  <c r="BB155" i="1"/>
  <c r="BB33" i="9" s="1"/>
  <c r="BB152" i="1"/>
  <c r="BB153" i="1" s="1"/>
  <c r="BB156" i="1" s="1"/>
  <c r="BB15" i="1"/>
  <c r="BB16" i="9" s="1"/>
  <c r="AY361" i="1"/>
  <c r="BA55" i="9"/>
  <c r="AR180" i="1"/>
  <c r="AR185" i="1"/>
  <c r="AR177" i="1"/>
  <c r="AR186" i="1" s="1"/>
  <c r="AZ202" i="1"/>
  <c r="E67" i="13" s="1"/>
  <c r="E97" i="13" s="1"/>
  <c r="BA190" i="1"/>
  <c r="BA162" i="1"/>
  <c r="BA157" i="1"/>
  <c r="BA94" i="1"/>
  <c r="BA453" i="1" s="1"/>
  <c r="BB523" i="1"/>
  <c r="BB521" i="1"/>
  <c r="BB519" i="1" s="1"/>
  <c r="BB247" i="1" s="1"/>
  <c r="BB234" i="1" s="1"/>
  <c r="BB1" i="9"/>
  <c r="BB496" i="1"/>
  <c r="BB522" i="1"/>
  <c r="BB3" i="1"/>
  <c r="BA66" i="9"/>
  <c r="BA192" i="1"/>
  <c r="AR330" i="1"/>
  <c r="AR430" i="1"/>
  <c r="AR433" i="1"/>
  <c r="AR431" i="1"/>
  <c r="AR424" i="1"/>
  <c r="AR425" i="1" s="1"/>
  <c r="BA102" i="9"/>
  <c r="BA103" i="9" s="1"/>
  <c r="AZ6" i="9"/>
  <c r="AZ108" i="9"/>
  <c r="AZ109" i="9"/>
  <c r="BB94" i="1" l="1"/>
  <c r="BB453" i="1" s="1"/>
  <c r="BB157" i="1"/>
  <c r="BB162" i="1"/>
  <c r="A157" i="1"/>
  <c r="BA5" i="9"/>
  <c r="BA235" i="1"/>
  <c r="BB192" i="1"/>
  <c r="AY202" i="1"/>
  <c r="D67" i="13" s="1"/>
  <c r="D97" i="13" s="1"/>
  <c r="AY365" i="1"/>
  <c r="BA48" i="9"/>
  <c r="BA95" i="1"/>
  <c r="BB191" i="1"/>
  <c r="BA100" i="9"/>
  <c r="BA101" i="9" s="1"/>
  <c r="BA99" i="1"/>
  <c r="AR49" i="9"/>
  <c r="AR187" i="1"/>
  <c r="AR50" i="9" s="1"/>
  <c r="AR76" i="9" s="1"/>
  <c r="BA202" i="1"/>
  <c r="F67" i="13" s="1"/>
  <c r="F97" i="13" s="1"/>
  <c r="BB190" i="1"/>
  <c r="BB202" i="1" s="1"/>
  <c r="G67" i="13" s="1"/>
  <c r="BB32" i="9"/>
  <c r="BB53" i="9" s="1"/>
  <c r="BB88" i="1"/>
  <c r="BB90" i="1" s="1"/>
  <c r="BB516" i="1"/>
  <c r="BB514" i="1"/>
  <c r="BB512" i="1" s="1"/>
  <c r="BB509" i="1"/>
  <c r="BB507" i="1"/>
  <c r="BB505" i="1" s="1"/>
  <c r="BB502" i="1"/>
  <c r="BB500" i="1"/>
  <c r="BB498" i="1" s="1"/>
  <c r="AZ62" i="9"/>
  <c r="AZ454" i="1"/>
  <c r="AZ361" i="1"/>
  <c r="AZ365" i="1" s="1"/>
  <c r="BB54" i="9"/>
  <c r="BB66" i="9"/>
  <c r="AR341" i="1"/>
  <c r="AR195" i="1"/>
  <c r="AY460" i="1"/>
  <c r="AR88" i="9"/>
  <c r="AR89" i="9" s="1"/>
  <c r="AR435" i="1"/>
  <c r="BB333" i="1"/>
  <c r="BB416" i="1"/>
  <c r="F98" i="13" l="1"/>
  <c r="E98" i="13"/>
  <c r="D98" i="13"/>
  <c r="H67" i="13"/>
  <c r="H97" i="13" s="1"/>
  <c r="G97" i="13"/>
  <c r="BA62" i="9"/>
  <c r="BA454" i="1"/>
  <c r="BA361" i="1"/>
  <c r="BA365" i="1" s="1"/>
  <c r="BB5" i="9"/>
  <c r="BB235" i="1"/>
  <c r="AR98" i="9"/>
  <c r="AR99" i="9" s="1"/>
  <c r="BA6" i="9"/>
  <c r="BA108" i="9"/>
  <c r="AR110" i="9"/>
  <c r="AR123" i="9"/>
  <c r="AR86" i="9"/>
  <c r="AR87" i="9" s="1"/>
  <c r="AR90" i="9" s="1"/>
  <c r="BA109" i="9"/>
  <c r="BA122" i="9"/>
  <c r="BA82" i="9"/>
  <c r="BA56" i="9"/>
  <c r="A48" i="9"/>
  <c r="A478" i="1"/>
  <c r="A95" i="1"/>
  <c r="A158" i="1"/>
  <c r="AR368" i="1"/>
  <c r="BB62" i="9"/>
  <c r="BB454" i="1"/>
  <c r="BB361" i="1"/>
  <c r="BB365" i="1" s="1"/>
  <c r="BB34" i="9"/>
  <c r="BB100" i="9"/>
  <c r="BB101" i="9" s="1"/>
  <c r="BB99" i="1"/>
  <c r="AY62" i="9"/>
  <c r="AY461" i="1"/>
  <c r="AY454" i="1"/>
  <c r="BB102" i="9"/>
  <c r="BB103" i="9" s="1"/>
  <c r="BB48" i="9"/>
  <c r="BB95" i="1"/>
  <c r="AR59" i="9"/>
  <c r="AR209" i="1"/>
  <c r="AR210" i="1" s="1"/>
  <c r="AR211" i="1" s="1"/>
  <c r="AR212" i="1" s="1"/>
  <c r="AR196" i="1"/>
  <c r="D11" i="10"/>
  <c r="D7" i="10"/>
  <c r="H98" i="13" l="1"/>
  <c r="G98" i="13"/>
  <c r="AR111" i="9"/>
  <c r="AR83" i="9"/>
  <c r="AR61" i="9"/>
  <c r="AR72" i="9"/>
  <c r="AQ445" i="1"/>
  <c r="AR371" i="1"/>
  <c r="A489" i="1"/>
  <c r="BA158" i="1" s="1"/>
  <c r="BA96" i="1" s="1"/>
  <c r="BB122" i="9"/>
  <c r="BB109" i="9"/>
  <c r="BB82" i="9"/>
  <c r="BB56" i="9"/>
  <c r="A56" i="9"/>
  <c r="BB6" i="9"/>
  <c r="BB108" i="9"/>
  <c r="BB55" i="9"/>
  <c r="AZ158" i="1" l="1"/>
  <c r="AZ96" i="1" s="1"/>
  <c r="AR386" i="1"/>
  <c r="AR373" i="1" s="1"/>
  <c r="AS370" i="1"/>
  <c r="BB197" i="1"/>
  <c r="AX197" i="1"/>
  <c r="AS197" i="1"/>
  <c r="AY199" i="1"/>
  <c r="AY197" i="1"/>
  <c r="BA197" i="1"/>
  <c r="AW199" i="1"/>
  <c r="AV197" i="1"/>
  <c r="AT197" i="1"/>
  <c r="AT188" i="1"/>
  <c r="AV188" i="1"/>
  <c r="AY188" i="1"/>
  <c r="AR188" i="1"/>
  <c r="BB188" i="1"/>
  <c r="AZ188" i="1"/>
  <c r="BB199" i="1"/>
  <c r="AZ199" i="1"/>
  <c r="AS199" i="1"/>
  <c r="AZ197" i="1"/>
  <c r="AR199" i="1"/>
  <c r="BA188" i="1"/>
  <c r="AU199" i="1"/>
  <c r="AW188" i="1"/>
  <c r="AU188" i="1"/>
  <c r="AT199" i="1"/>
  <c r="AU197" i="1"/>
  <c r="AX188" i="1"/>
  <c r="AX199" i="1"/>
  <c r="BA199" i="1"/>
  <c r="AR197" i="1"/>
  <c r="AV199" i="1"/>
  <c r="AS188" i="1"/>
  <c r="AW197" i="1"/>
  <c r="AR158" i="1"/>
  <c r="AR96" i="1" s="1"/>
  <c r="BB158" i="1"/>
  <c r="BB96" i="1" s="1"/>
  <c r="AS158" i="1"/>
  <c r="AS96" i="1" s="1"/>
  <c r="AR112" i="9"/>
  <c r="AR73" i="9"/>
  <c r="AR75" i="9" s="1"/>
  <c r="AR63" i="9"/>
  <c r="AR70" i="9" s="1"/>
  <c r="AR125" i="9" s="1"/>
  <c r="AV158" i="1"/>
  <c r="AV96" i="1" s="1"/>
  <c r="AT158" i="1"/>
  <c r="AT96" i="1" s="1"/>
  <c r="AX158" i="1"/>
  <c r="AX96" i="1" s="1"/>
  <c r="AW158" i="1"/>
  <c r="AW96" i="1" s="1"/>
  <c r="AY158" i="1"/>
  <c r="AY96" i="1" s="1"/>
  <c r="AU158" i="1"/>
  <c r="AU96" i="1" s="1"/>
  <c r="AR393" i="1" l="1"/>
  <c r="AR403" i="1" s="1"/>
  <c r="AR215" i="1"/>
  <c r="AR7" i="9" l="1"/>
  <c r="AR11" i="9" s="1"/>
  <c r="AR442" i="1"/>
  <c r="AS224" i="1"/>
  <c r="AR220" i="1"/>
  <c r="AR93" i="9"/>
  <c r="AR94" i="9" s="1"/>
  <c r="AR437" i="1"/>
  <c r="AQ447" i="1"/>
  <c r="AR104" i="9" l="1"/>
  <c r="AR105" i="9" s="1"/>
  <c r="AR95" i="9"/>
  <c r="AR80" i="9"/>
  <c r="AR81" i="9"/>
  <c r="AR79" i="9"/>
  <c r="AR236" i="1"/>
  <c r="AS226" i="1"/>
  <c r="AT224" i="1"/>
  <c r="AS227" i="1" l="1"/>
  <c r="AS164" i="1"/>
  <c r="AS229" i="1"/>
  <c r="AT226" i="1"/>
  <c r="AT227" i="1" l="1"/>
  <c r="AT229" i="1"/>
  <c r="AS37" i="9"/>
  <c r="AS39" i="9" s="1"/>
  <c r="AS167" i="1"/>
  <c r="AT164" i="1"/>
  <c r="AT37" i="9" l="1"/>
  <c r="AT39" i="9" s="1"/>
  <c r="AT167" i="1"/>
  <c r="AS170" i="1"/>
  <c r="AS169" i="1"/>
  <c r="AS40" i="9" l="1"/>
  <c r="AS44" i="9" s="1"/>
  <c r="AT169" i="1"/>
  <c r="G148" i="13" s="1"/>
  <c r="G149" i="13" s="1"/>
  <c r="H149" i="13" s="1" a="1"/>
  <c r="H149" i="13" s="1"/>
  <c r="AS171" i="1"/>
  <c r="AS320" i="1"/>
  <c r="AT170" i="1"/>
  <c r="AT183" i="1" s="1"/>
  <c r="AT171" i="1" l="1"/>
  <c r="AT455" i="1" s="1"/>
  <c r="AT320" i="1"/>
  <c r="AS423" i="1"/>
  <c r="AS316" i="1"/>
  <c r="AS175" i="1"/>
  <c r="AS124" i="9" s="1"/>
  <c r="AT40" i="9"/>
  <c r="AT44" i="9" s="1"/>
  <c r="AT182" i="1"/>
  <c r="B13" i="13" s="1"/>
  <c r="AS91" i="9"/>
  <c r="AS92" i="9" s="1"/>
  <c r="AS45" i="9"/>
  <c r="F57" i="13" l="1"/>
  <c r="E57" i="13"/>
  <c r="C57" i="13"/>
  <c r="C58" i="13" s="1"/>
  <c r="C59" i="13" s="1"/>
  <c r="D57" i="13"/>
  <c r="G57" i="13"/>
  <c r="H57" i="13"/>
  <c r="I57" i="13"/>
  <c r="I58" i="13" s="1"/>
  <c r="I59" i="13" s="1"/>
  <c r="J57" i="13"/>
  <c r="J58" i="13" s="1"/>
  <c r="J59" i="13" s="1"/>
  <c r="K57" i="13"/>
  <c r="K58" i="13" s="1"/>
  <c r="K59" i="13" s="1"/>
  <c r="C51" i="13"/>
  <c r="L57" i="13"/>
  <c r="L58" i="13" s="1"/>
  <c r="L59" i="13" s="1"/>
  <c r="D51" i="13"/>
  <c r="M57" i="13"/>
  <c r="M58" i="13" s="1"/>
  <c r="M59" i="13" s="1"/>
  <c r="AT175" i="1"/>
  <c r="AT124" i="9" s="1"/>
  <c r="M28" i="10"/>
  <c r="M18" i="10"/>
  <c r="AT91" i="9"/>
  <c r="AT92" i="9" s="1"/>
  <c r="AT45" i="9"/>
  <c r="AS177" i="1"/>
  <c r="AS186" i="1" s="1"/>
  <c r="AS185" i="1"/>
  <c r="AS180" i="1"/>
  <c r="AS330" i="1"/>
  <c r="AT316" i="1"/>
  <c r="AT330" i="1" s="1"/>
  <c r="AS431" i="1"/>
  <c r="AT431" i="1" s="1"/>
  <c r="AS430" i="1"/>
  <c r="AT430" i="1" s="1"/>
  <c r="AS433" i="1"/>
  <c r="AT423" i="1"/>
  <c r="AS424" i="1"/>
  <c r="AS425" i="1" s="1"/>
  <c r="AT177" i="1" l="1"/>
  <c r="AT186" i="1" s="1"/>
  <c r="AT185" i="1"/>
  <c r="H75" i="13"/>
  <c r="H58" i="13"/>
  <c r="H59" i="13" s="1"/>
  <c r="AT180" i="1"/>
  <c r="AT187" i="1" s="1"/>
  <c r="G75" i="13"/>
  <c r="G76" i="13" s="1"/>
  <c r="G89" i="13" s="1"/>
  <c r="G58" i="13"/>
  <c r="G59" i="13" s="1"/>
  <c r="D63" i="13"/>
  <c r="D68" i="13" s="1"/>
  <c r="D52" i="13"/>
  <c r="D104" i="13" s="1"/>
  <c r="D75" i="13"/>
  <c r="D76" i="13" s="1"/>
  <c r="D89" i="13" s="1"/>
  <c r="D58" i="13"/>
  <c r="D59" i="13" s="1"/>
  <c r="C63" i="13"/>
  <c r="C52" i="13"/>
  <c r="C104" i="13" s="1"/>
  <c r="E75" i="13"/>
  <c r="E76" i="13" s="1"/>
  <c r="E89" i="13" s="1"/>
  <c r="E58" i="13"/>
  <c r="E59" i="13" s="1"/>
  <c r="F75" i="13"/>
  <c r="F76" i="13" s="1"/>
  <c r="F89" i="13" s="1"/>
  <c r="F58" i="13"/>
  <c r="F59" i="13" s="1"/>
  <c r="AS49" i="9"/>
  <c r="AS187" i="1"/>
  <c r="AS50" i="9" s="1"/>
  <c r="AS76" i="9" s="1"/>
  <c r="AT424" i="1"/>
  <c r="AT425" i="1" s="1"/>
  <c r="AS88" i="9"/>
  <c r="AS89" i="9" s="1"/>
  <c r="AT433" i="1"/>
  <c r="AS435" i="1"/>
  <c r="AT341" i="1"/>
  <c r="AT368" i="1" s="1"/>
  <c r="AT371" i="1" s="1"/>
  <c r="AT195" i="1"/>
  <c r="P18" i="10"/>
  <c r="O18" i="10"/>
  <c r="AS341" i="1"/>
  <c r="AS195" i="1"/>
  <c r="AT457" i="1"/>
  <c r="P28" i="10"/>
  <c r="O28" i="10"/>
  <c r="AT456" i="1" l="1"/>
  <c r="AT49" i="9"/>
  <c r="AT110" i="9" s="1"/>
  <c r="E61" i="13"/>
  <c r="E49" i="13"/>
  <c r="D93" i="13"/>
  <c r="M75" i="13"/>
  <c r="M76" i="13" s="1"/>
  <c r="L75" i="13"/>
  <c r="L76" i="13" s="1"/>
  <c r="K75" i="13"/>
  <c r="K76" i="13" s="1"/>
  <c r="J75" i="13"/>
  <c r="J76" i="13" s="1"/>
  <c r="I75" i="13"/>
  <c r="I76" i="13" s="1"/>
  <c r="H76" i="13"/>
  <c r="H89" i="13" s="1"/>
  <c r="AS98" i="9"/>
  <c r="AS99" i="9" s="1"/>
  <c r="AT59" i="9"/>
  <c r="AT209" i="1"/>
  <c r="AT196" i="1"/>
  <c r="AT240" i="1" s="1"/>
  <c r="AU370" i="1"/>
  <c r="AY370" i="1"/>
  <c r="AS110" i="9"/>
  <c r="AS123" i="9"/>
  <c r="AS86" i="9"/>
  <c r="AS87" i="9" s="1"/>
  <c r="AS90" i="9" s="1"/>
  <c r="AS59" i="9"/>
  <c r="AS209" i="1"/>
  <c r="AS210" i="1" s="1"/>
  <c r="AS211" i="1" s="1"/>
  <c r="AS212" i="1" s="1"/>
  <c r="AS196" i="1"/>
  <c r="AT50" i="9"/>
  <c r="AT238" i="1"/>
  <c r="AS368" i="1"/>
  <c r="AS371" i="1" s="1"/>
  <c r="AT458" i="1"/>
  <c r="AT88" i="9"/>
  <c r="AT89" i="9" s="1"/>
  <c r="AT435" i="1"/>
  <c r="AT86" i="9" l="1"/>
  <c r="AT87" i="9" s="1"/>
  <c r="AT90" i="9" s="1"/>
  <c r="AT123" i="9"/>
  <c r="I78" i="13"/>
  <c r="I81" i="13" s="1"/>
  <c r="I83" i="13" s="1"/>
  <c r="I84" i="13" s="1"/>
  <c r="J78" i="13"/>
  <c r="J81" i="13" s="1"/>
  <c r="J83" i="13" s="1"/>
  <c r="K78" i="13"/>
  <c r="K81" i="13" s="1"/>
  <c r="K83" i="13" s="1"/>
  <c r="E64" i="13"/>
  <c r="E50" i="13"/>
  <c r="L78" i="13"/>
  <c r="L81" i="13" s="1"/>
  <c r="L83" i="13" s="1"/>
  <c r="F378" i="14"/>
  <c r="M78" i="13"/>
  <c r="AT76" i="9"/>
  <c r="AT115" i="9"/>
  <c r="AS111" i="9"/>
  <c r="AS83" i="9"/>
  <c r="AS61" i="9"/>
  <c r="AS72" i="9"/>
  <c r="AT241" i="1"/>
  <c r="AT210" i="1"/>
  <c r="AT211" i="1" s="1"/>
  <c r="AT212" i="1" s="1"/>
  <c r="AT98" i="9"/>
  <c r="AT99" i="9" s="1"/>
  <c r="AT111" i="9"/>
  <c r="AT83" i="9"/>
  <c r="AT72" i="9"/>
  <c r="AT117" i="9" s="1"/>
  <c r="AT61" i="9"/>
  <c r="AS386" i="1"/>
  <c r="AS373" i="1" s="1"/>
  <c r="L84" i="13" l="1"/>
  <c r="M81" i="13"/>
  <c r="M83" i="13" s="1"/>
  <c r="M84" i="13" s="1"/>
  <c r="M85" i="13"/>
  <c r="M86" i="13" s="1"/>
  <c r="J84" i="13"/>
  <c r="K84" i="13"/>
  <c r="E51" i="13"/>
  <c r="E63" i="13" s="1"/>
  <c r="E68" i="13" s="1"/>
  <c r="AS112" i="9"/>
  <c r="AS73" i="9"/>
  <c r="AS75" i="9" s="1"/>
  <c r="AS63" i="9"/>
  <c r="AS70" i="9" s="1"/>
  <c r="AS125" i="9" s="1"/>
  <c r="AS393" i="1"/>
  <c r="AS403" i="1" s="1"/>
  <c r="AT386" i="1"/>
  <c r="AS215" i="1"/>
  <c r="AT118" i="9"/>
  <c r="AT112" i="9"/>
  <c r="AT73" i="9"/>
  <c r="AT75" i="9" s="1"/>
  <c r="AT63" i="9"/>
  <c r="AT70" i="9" s="1"/>
  <c r="AT125" i="9" s="1"/>
  <c r="H90" i="13" l="1"/>
  <c r="G90" i="13" s="1"/>
  <c r="E52" i="13"/>
  <c r="E104" i="13" s="1"/>
  <c r="F61" i="13"/>
  <c r="F49" i="13"/>
  <c r="E93" i="13"/>
  <c r="AS7" i="9"/>
  <c r="AS11" i="9" s="1"/>
  <c r="AS442" i="1"/>
  <c r="AS220" i="1"/>
  <c r="AT225" i="1"/>
  <c r="AT393" i="1"/>
  <c r="AT403" i="1" s="1"/>
  <c r="AT215" i="1"/>
  <c r="AT373" i="1"/>
  <c r="AS93" i="9"/>
  <c r="AS94" i="9" s="1"/>
  <c r="AS437" i="1"/>
  <c r="H91" i="13" l="1"/>
  <c r="H92" i="13" s="1"/>
  <c r="M9" i="13" s="1"/>
  <c r="D19" i="14" s="1"/>
  <c r="F64" i="13"/>
  <c r="F50" i="13"/>
  <c r="G378" i="14"/>
  <c r="F90" i="13"/>
  <c r="G91" i="13"/>
  <c r="AS104" i="9"/>
  <c r="AS105" i="9" s="1"/>
  <c r="AS95" i="9"/>
  <c r="AT7" i="9"/>
  <c r="AT11" i="9" s="1"/>
  <c r="AT442" i="1"/>
  <c r="AU224" i="1"/>
  <c r="AT220" i="1"/>
  <c r="AT93" i="9"/>
  <c r="AT94" i="9" s="1"/>
  <c r="AT437" i="1"/>
  <c r="AS81" i="9"/>
  <c r="AS79" i="9"/>
  <c r="AS80" i="9"/>
  <c r="AS236" i="1"/>
  <c r="E90" i="13" l="1"/>
  <c r="F91" i="13"/>
  <c r="G92" i="13"/>
  <c r="AC26" i="14"/>
  <c r="AC27" i="14" s="1"/>
  <c r="AG26" i="14"/>
  <c r="AG27" i="14" s="1"/>
  <c r="AB26" i="14"/>
  <c r="AB27" i="14" s="1"/>
  <c r="AF26" i="14"/>
  <c r="AF27" i="14" s="1"/>
  <c r="AI26" i="14"/>
  <c r="AI27" i="14" s="1"/>
  <c r="AE26" i="14"/>
  <c r="AE27" i="14" s="1"/>
  <c r="AA26" i="14"/>
  <c r="AA27" i="14" s="1"/>
  <c r="AH26" i="14"/>
  <c r="AH27" i="14" s="1"/>
  <c r="Z26" i="14"/>
  <c r="Z27" i="14" s="1"/>
  <c r="AD26" i="14"/>
  <c r="AD27" i="14" s="1"/>
  <c r="F51" i="13"/>
  <c r="F63" i="13" s="1"/>
  <c r="F68" i="13" s="1"/>
  <c r="AT104" i="9"/>
  <c r="AT105" i="9" s="1"/>
  <c r="AT95" i="9"/>
  <c r="AT79" i="9"/>
  <c r="AT81" i="9"/>
  <c r="AT80" i="9"/>
  <c r="AT236" i="1"/>
  <c r="G140" i="13" s="1"/>
  <c r="G142" i="13" s="1"/>
  <c r="AT231" i="1"/>
  <c r="AT230" i="1"/>
  <c r="AU226" i="1"/>
  <c r="AT116" i="9"/>
  <c r="AT119" i="9"/>
  <c r="F52" i="13" l="1"/>
  <c r="F104" i="13" s="1"/>
  <c r="G49" i="13"/>
  <c r="G61" i="13"/>
  <c r="F93" i="13"/>
  <c r="F94" i="13" s="1"/>
  <c r="F96" i="13" s="1"/>
  <c r="F99" i="13" s="1"/>
  <c r="M10" i="13"/>
  <c r="D20" i="14" s="1"/>
  <c r="H142" i="13" a="1"/>
  <c r="H142" i="13" s="1"/>
  <c r="M12" i="13" s="1"/>
  <c r="F92" i="13"/>
  <c r="D90" i="13"/>
  <c r="D91" i="13" s="1"/>
  <c r="E91" i="13"/>
  <c r="AT239" i="1"/>
  <c r="AT242" i="1"/>
  <c r="AU227" i="1"/>
  <c r="AU164" i="1"/>
  <c r="AU229" i="1"/>
  <c r="D94" i="13" l="1"/>
  <c r="D96" i="13" s="1"/>
  <c r="D99" i="13" s="1"/>
  <c r="D92" i="13"/>
  <c r="H378" i="14"/>
  <c r="E94" i="13"/>
  <c r="E96" i="13" s="1"/>
  <c r="E99" i="13" s="1"/>
  <c r="E92" i="13"/>
  <c r="G64" i="13"/>
  <c r="G50" i="13"/>
  <c r="AU37" i="9"/>
  <c r="AU39" i="9" s="1"/>
  <c r="AU167" i="1"/>
  <c r="G51" i="13" l="1"/>
  <c r="G63" i="13" s="1"/>
  <c r="G68" i="13" s="1"/>
  <c r="AU170" i="1"/>
  <c r="AU169" i="1"/>
  <c r="G52" i="13" l="1"/>
  <c r="G104" i="13" s="1"/>
  <c r="H49" i="13"/>
  <c r="H61" i="13"/>
  <c r="G93" i="13"/>
  <c r="G94" i="13" s="1"/>
  <c r="G96" i="13" s="1"/>
  <c r="G99" i="13" s="1"/>
  <c r="AU40" i="9"/>
  <c r="AU44" i="9" s="1"/>
  <c r="AU171" i="1"/>
  <c r="AU320" i="1"/>
  <c r="I378" i="14" l="1"/>
  <c r="H64" i="13"/>
  <c r="H50" i="13"/>
  <c r="AU423" i="1"/>
  <c r="AU316" i="1"/>
  <c r="AU175" i="1"/>
  <c r="AU124" i="9" s="1"/>
  <c r="AU91" i="9"/>
  <c r="AU92" i="9" s="1"/>
  <c r="AU45" i="9"/>
  <c r="H51" i="13" l="1"/>
  <c r="H63" i="13" s="1"/>
  <c r="H68" i="13" s="1"/>
  <c r="H93" i="13" s="1"/>
  <c r="H94" i="13" s="1"/>
  <c r="H96" i="13" s="1"/>
  <c r="AU185" i="1"/>
  <c r="AU177" i="1"/>
  <c r="AU186" i="1" s="1"/>
  <c r="AU180" i="1"/>
  <c r="AU330" i="1"/>
  <c r="AU430" i="1"/>
  <c r="AU431" i="1"/>
  <c r="AU433" i="1"/>
  <c r="AU424" i="1"/>
  <c r="AU425" i="1" s="1"/>
  <c r="H99" i="13" l="1"/>
  <c r="M4" i="13" s="1"/>
  <c r="H52" i="13"/>
  <c r="H104" i="13" s="1"/>
  <c r="H102" i="13" s="1"/>
  <c r="AU88" i="9"/>
  <c r="AU89" i="9" s="1"/>
  <c r="AU435" i="1"/>
  <c r="AU341" i="1"/>
  <c r="AU195" i="1"/>
  <c r="AU49" i="9"/>
  <c r="AU187" i="1"/>
  <c r="AU50" i="9" s="1"/>
  <c r="AU76" i="9" s="1"/>
  <c r="M6" i="13" l="1"/>
  <c r="M7" i="13"/>
  <c r="D14" i="14"/>
  <c r="H101" i="13"/>
  <c r="AU368" i="1"/>
  <c r="AU371" i="1" s="1"/>
  <c r="AU59" i="9"/>
  <c r="AU209" i="1"/>
  <c r="AU210" i="1" s="1"/>
  <c r="AU211" i="1" s="1"/>
  <c r="AU212" i="1" s="1"/>
  <c r="AU196" i="1"/>
  <c r="AU123" i="9"/>
  <c r="AU110" i="9"/>
  <c r="AU86" i="9"/>
  <c r="AU87" i="9" s="1"/>
  <c r="AU90" i="9" s="1"/>
  <c r="AU98" i="9"/>
  <c r="AU99" i="9" s="1"/>
  <c r="N7" i="13" l="1"/>
  <c r="D17" i="14"/>
  <c r="L17" i="13"/>
  <c r="D16" i="14"/>
  <c r="AU111" i="9"/>
  <c r="AU83" i="9"/>
  <c r="AU72" i="9"/>
  <c r="AU61" i="9"/>
  <c r="AU386" i="1"/>
  <c r="AU373" i="1" s="1"/>
  <c r="AV370" i="1"/>
  <c r="L19" i="13" l="1"/>
  <c r="L18" i="13"/>
  <c r="AU393" i="1"/>
  <c r="AU403" i="1" s="1"/>
  <c r="AU215" i="1"/>
  <c r="AU112" i="9"/>
  <c r="AU63" i="9"/>
  <c r="AU70" i="9" s="1"/>
  <c r="AU125" i="9" s="1"/>
  <c r="AU73" i="9"/>
  <c r="AU75" i="9" s="1"/>
  <c r="AU7" i="9" l="1"/>
  <c r="AU11" i="9" s="1"/>
  <c r="AU442" i="1"/>
  <c r="AV224" i="1"/>
  <c r="AU220" i="1"/>
  <c r="AU93" i="9"/>
  <c r="AU94" i="9" s="1"/>
  <c r="AU437" i="1"/>
  <c r="AU104" i="9" l="1"/>
  <c r="AU105" i="9" s="1"/>
  <c r="AU95" i="9"/>
  <c r="AU81" i="9"/>
  <c r="AU79" i="9"/>
  <c r="AU80" i="9"/>
  <c r="AU236" i="1"/>
  <c r="AV226" i="1"/>
  <c r="AV227" i="1" l="1"/>
  <c r="AV164" i="1"/>
  <c r="AV229" i="1"/>
  <c r="AV37" i="9" l="1"/>
  <c r="AV39" i="9" s="1"/>
  <c r="AV167" i="1"/>
  <c r="AV169" i="1" l="1"/>
  <c r="AV170" i="1"/>
  <c r="AV320" i="1" l="1"/>
  <c r="AV40" i="9"/>
  <c r="AV44" i="9" s="1"/>
  <c r="AV171" i="1"/>
  <c r="AV316" i="1" l="1"/>
  <c r="AV175" i="1"/>
  <c r="AV124" i="9" s="1"/>
  <c r="AV91" i="9"/>
  <c r="AV92" i="9" s="1"/>
  <c r="AV45" i="9"/>
  <c r="AV423" i="1"/>
  <c r="AV424" i="1" l="1"/>
  <c r="AV425" i="1" s="1"/>
  <c r="AV185" i="1"/>
  <c r="AV177" i="1"/>
  <c r="AV186" i="1" s="1"/>
  <c r="AV180" i="1"/>
  <c r="AV330" i="1"/>
  <c r="AV433" i="1"/>
  <c r="AV431" i="1"/>
  <c r="AV430" i="1"/>
  <c r="AV88" i="9" l="1"/>
  <c r="AV89" i="9" s="1"/>
  <c r="AV435" i="1"/>
  <c r="AV341" i="1"/>
  <c r="AV195" i="1"/>
  <c r="AV49" i="9"/>
  <c r="AV187" i="1"/>
  <c r="AV50" i="9" s="1"/>
  <c r="AV76" i="9" s="1"/>
  <c r="AV123" i="9" l="1"/>
  <c r="AV110" i="9"/>
  <c r="AV86" i="9"/>
  <c r="AV87" i="9" s="1"/>
  <c r="AV90" i="9" s="1"/>
  <c r="AV59" i="9"/>
  <c r="AV196" i="1"/>
  <c r="AV209" i="1"/>
  <c r="AV210" i="1" s="1"/>
  <c r="AV211" i="1" s="1"/>
  <c r="AV212" i="1" s="1"/>
  <c r="AV368" i="1"/>
  <c r="AV371" i="1" s="1"/>
  <c r="AV98" i="9"/>
  <c r="AV99" i="9" s="1"/>
  <c r="AV386" i="1" l="1"/>
  <c r="AV373" i="1" s="1"/>
  <c r="AW370" i="1"/>
  <c r="AV111" i="9"/>
  <c r="AV83" i="9"/>
  <c r="AV72" i="9"/>
  <c r="AV61" i="9"/>
  <c r="AV112" i="9" l="1"/>
  <c r="AV63" i="9"/>
  <c r="AV70" i="9" s="1"/>
  <c r="AV125" i="9" s="1"/>
  <c r="AV73" i="9"/>
  <c r="AV75" i="9" s="1"/>
  <c r="AV393" i="1"/>
  <c r="AV403" i="1" s="1"/>
  <c r="AV215" i="1"/>
  <c r="AV7" i="9" l="1"/>
  <c r="AV11" i="9" s="1"/>
  <c r="AV442" i="1"/>
  <c r="AW224" i="1"/>
  <c r="AV220" i="1"/>
  <c r="AV93" i="9"/>
  <c r="AV94" i="9" s="1"/>
  <c r="AV437" i="1"/>
  <c r="AV81" i="9" l="1"/>
  <c r="AV80" i="9"/>
  <c r="AV79" i="9"/>
  <c r="AV236" i="1"/>
  <c r="AV104" i="9"/>
  <c r="AV105" i="9" s="1"/>
  <c r="AV95" i="9"/>
  <c r="AW226" i="1"/>
  <c r="AW227" i="1" l="1"/>
  <c r="AW164" i="1"/>
  <c r="AW229" i="1"/>
  <c r="AW37" i="9" l="1"/>
  <c r="AW39" i="9" s="1"/>
  <c r="AW167" i="1"/>
  <c r="AW169" i="1" l="1"/>
  <c r="AW170" i="1"/>
  <c r="AW320" i="1" l="1"/>
  <c r="AW40" i="9"/>
  <c r="AW44" i="9" s="1"/>
  <c r="AW171" i="1"/>
  <c r="AW91" i="9" l="1"/>
  <c r="AW92" i="9" s="1"/>
  <c r="AW45" i="9"/>
  <c r="AW316" i="1"/>
  <c r="AW175" i="1"/>
  <c r="AW423" i="1"/>
  <c r="AW424" i="1" l="1"/>
  <c r="AW425" i="1" s="1"/>
  <c r="AW177" i="1"/>
  <c r="AW186" i="1" s="1"/>
  <c r="AW180" i="1"/>
  <c r="AW185" i="1"/>
  <c r="AW330" i="1"/>
  <c r="AW430" i="1"/>
  <c r="AW433" i="1"/>
  <c r="AW431" i="1"/>
  <c r="AW124" i="9"/>
  <c r="AW49" i="9" l="1"/>
  <c r="AW187" i="1"/>
  <c r="AW50" i="9" s="1"/>
  <c r="AW76" i="9" s="1"/>
  <c r="AW88" i="9"/>
  <c r="AW89" i="9" s="1"/>
  <c r="AW435" i="1"/>
  <c r="AW341" i="1"/>
  <c r="AW195" i="1"/>
  <c r="AW368" i="1" l="1"/>
  <c r="AW371" i="1" s="1"/>
  <c r="AW98" i="9"/>
  <c r="AW99" i="9" s="1"/>
  <c r="AW59" i="9"/>
  <c r="AW196" i="1"/>
  <c r="AW209" i="1"/>
  <c r="AW210" i="1" s="1"/>
  <c r="AW211" i="1" s="1"/>
  <c r="AW212" i="1" s="1"/>
  <c r="AW123" i="9"/>
  <c r="AW110" i="9"/>
  <c r="AW86" i="9"/>
  <c r="AW87" i="9" s="1"/>
  <c r="AW90" i="9" s="1"/>
  <c r="AW111" i="9" l="1"/>
  <c r="AW83" i="9"/>
  <c r="AW61" i="9"/>
  <c r="AW72" i="9"/>
  <c r="AW386" i="1"/>
  <c r="AW373" i="1" s="1"/>
  <c r="AX370" i="1"/>
  <c r="AW393" i="1" l="1"/>
  <c r="AW403" i="1" s="1"/>
  <c r="AW215" i="1"/>
  <c r="AW112" i="9"/>
  <c r="AW63" i="9"/>
  <c r="AW70" i="9" s="1"/>
  <c r="AW125" i="9" s="1"/>
  <c r="AW73" i="9"/>
  <c r="AW75" i="9" s="1"/>
  <c r="AW7" i="9" l="1"/>
  <c r="AW11" i="9" s="1"/>
  <c r="AW442" i="1"/>
  <c r="AX224" i="1"/>
  <c r="AW220" i="1"/>
  <c r="AW93" i="9"/>
  <c r="AW94" i="9" s="1"/>
  <c r="AW437" i="1"/>
  <c r="AW104" i="9" l="1"/>
  <c r="AW105" i="9" s="1"/>
  <c r="AW95" i="9"/>
  <c r="AW80" i="9"/>
  <c r="AW79" i="9"/>
  <c r="AW81" i="9"/>
  <c r="AW236" i="1"/>
  <c r="AX226" i="1"/>
  <c r="AY224" i="1"/>
  <c r="AX227" i="1" l="1"/>
  <c r="AX164" i="1"/>
  <c r="AX229" i="1"/>
  <c r="AY226" i="1"/>
  <c r="AY227" i="1" l="1"/>
  <c r="AY229" i="1"/>
  <c r="AX37" i="9"/>
  <c r="AX39" i="9" s="1"/>
  <c r="AX167" i="1"/>
  <c r="AY164" i="1"/>
  <c r="AY37" i="9" l="1"/>
  <c r="AY39" i="9" s="1"/>
  <c r="AY167" i="1"/>
  <c r="AX169" i="1"/>
  <c r="AX170" i="1"/>
  <c r="AX320" i="1" l="1"/>
  <c r="AY170" i="1"/>
  <c r="AY183" i="1" s="1"/>
  <c r="AX40" i="9"/>
  <c r="AX44" i="9" s="1"/>
  <c r="AY169" i="1"/>
  <c r="AX171" i="1"/>
  <c r="AY171" i="1" l="1"/>
  <c r="AY455" i="1" s="1"/>
  <c r="AX316" i="1"/>
  <c r="AX175" i="1"/>
  <c r="AX124" i="9" s="1"/>
  <c r="AY40" i="9"/>
  <c r="AY44" i="9" s="1"/>
  <c r="AY182" i="1"/>
  <c r="AX91" i="9"/>
  <c r="AX92" i="9" s="1"/>
  <c r="AX45" i="9"/>
  <c r="AY320" i="1"/>
  <c r="AX423" i="1"/>
  <c r="AY175" i="1" l="1"/>
  <c r="AY177" i="1" s="1"/>
  <c r="AY186" i="1" s="1"/>
  <c r="AY91" i="9"/>
  <c r="AY92" i="9" s="1"/>
  <c r="AY45" i="9"/>
  <c r="AX185" i="1"/>
  <c r="AX180" i="1"/>
  <c r="AX177" i="1"/>
  <c r="AX186" i="1" s="1"/>
  <c r="AY423" i="1"/>
  <c r="AX424" i="1"/>
  <c r="AX425" i="1" s="1"/>
  <c r="AX330" i="1"/>
  <c r="AY316" i="1"/>
  <c r="AY330" i="1" s="1"/>
  <c r="AX430" i="1"/>
  <c r="AY430" i="1" s="1"/>
  <c r="AX431" i="1"/>
  <c r="AY431" i="1" s="1"/>
  <c r="AX433" i="1"/>
  <c r="AY124" i="9" l="1"/>
  <c r="AY185" i="1"/>
  <c r="AY180" i="1"/>
  <c r="AY187" i="1" s="1"/>
  <c r="AY424" i="1"/>
  <c r="AY425" i="1" s="1"/>
  <c r="AX88" i="9"/>
  <c r="AX89" i="9" s="1"/>
  <c r="AX435" i="1"/>
  <c r="AY433" i="1"/>
  <c r="AX49" i="9"/>
  <c r="AX187" i="1"/>
  <c r="AX50" i="9" s="1"/>
  <c r="AX76" i="9" s="1"/>
  <c r="AY341" i="1"/>
  <c r="AY368" i="1" s="1"/>
  <c r="AY371" i="1" s="1"/>
  <c r="AY195" i="1"/>
  <c r="AX341" i="1"/>
  <c r="AX195" i="1"/>
  <c r="AY457" i="1"/>
  <c r="AY456" i="1" l="1"/>
  <c r="AY49" i="9"/>
  <c r="AY110" i="9" s="1"/>
  <c r="AX123" i="9"/>
  <c r="AX110" i="9"/>
  <c r="AX86" i="9"/>
  <c r="AX87" i="9" s="1"/>
  <c r="AX90" i="9" s="1"/>
  <c r="AX368" i="1"/>
  <c r="AX371" i="1" s="1"/>
  <c r="AY458" i="1"/>
  <c r="AY88" i="9"/>
  <c r="AY89" i="9" s="1"/>
  <c r="AY435" i="1"/>
  <c r="AX59" i="9"/>
  <c r="AX196" i="1"/>
  <c r="AX209" i="1"/>
  <c r="AX210" i="1" s="1"/>
  <c r="AX211" i="1" s="1"/>
  <c r="AX212" i="1" s="1"/>
  <c r="AY59" i="9"/>
  <c r="AY209" i="1"/>
  <c r="AY196" i="1"/>
  <c r="AY240" i="1" s="1"/>
  <c r="AZ370" i="1"/>
  <c r="AX98" i="9"/>
  <c r="AX99" i="9" s="1"/>
  <c r="AY50" i="9"/>
  <c r="AY238" i="1"/>
  <c r="AY86" i="9" l="1"/>
  <c r="AY87" i="9" s="1"/>
  <c r="AY90" i="9" s="1"/>
  <c r="AY123" i="9"/>
  <c r="AY98" i="9"/>
  <c r="AY99" i="9" s="1"/>
  <c r="AY241" i="1"/>
  <c r="AY210" i="1"/>
  <c r="AY211" i="1" s="1"/>
  <c r="AY212" i="1" s="1"/>
  <c r="AY111" i="9"/>
  <c r="AY83" i="9"/>
  <c r="AY72" i="9"/>
  <c r="AY117" i="9" s="1"/>
  <c r="AY61" i="9"/>
  <c r="AX386" i="1"/>
  <c r="AX373" i="1" s="1"/>
  <c r="AY76" i="9"/>
  <c r="AY115" i="9"/>
  <c r="AX111" i="9"/>
  <c r="AX83" i="9"/>
  <c r="AX72" i="9"/>
  <c r="AX61" i="9"/>
  <c r="AX112" i="9" l="1"/>
  <c r="AX73" i="9"/>
  <c r="AX75" i="9" s="1"/>
  <c r="AX63" i="9"/>
  <c r="AX70" i="9" s="1"/>
  <c r="AX125" i="9" s="1"/>
  <c r="AX393" i="1"/>
  <c r="AX403" i="1" s="1"/>
  <c r="AY386" i="1"/>
  <c r="AX215" i="1"/>
  <c r="AY118" i="9"/>
  <c r="AY112" i="9"/>
  <c r="AY73" i="9"/>
  <c r="AY75" i="9" s="1"/>
  <c r="AY63" i="9"/>
  <c r="AY70" i="9" s="1"/>
  <c r="AY125" i="9" s="1"/>
  <c r="AX7" i="9" l="1"/>
  <c r="AX11" i="9" s="1"/>
  <c r="AX442" i="1"/>
  <c r="AX220" i="1"/>
  <c r="AY225" i="1"/>
  <c r="AY393" i="1"/>
  <c r="AY403" i="1" s="1"/>
  <c r="AY215" i="1"/>
  <c r="AY373" i="1"/>
  <c r="AX93" i="9"/>
  <c r="AX94" i="9" s="1"/>
  <c r="AX437" i="1"/>
  <c r="AX104" i="9" l="1"/>
  <c r="AX105" i="9" s="1"/>
  <c r="AX95" i="9"/>
  <c r="AY7" i="9"/>
  <c r="AY11" i="9" s="1"/>
  <c r="AY442" i="1"/>
  <c r="AZ224" i="1"/>
  <c r="AZ226" i="1" s="1"/>
  <c r="AY220" i="1"/>
  <c r="AY93" i="9"/>
  <c r="AY94" i="9" s="1"/>
  <c r="AY437" i="1"/>
  <c r="AX79" i="9"/>
  <c r="AX81" i="9"/>
  <c r="AX80" i="9"/>
  <c r="AX236" i="1"/>
  <c r="AY104" i="9" l="1"/>
  <c r="AY105" i="9" s="1"/>
  <c r="AY95" i="9"/>
  <c r="AY80" i="9"/>
  <c r="AY79" i="9"/>
  <c r="AY81" i="9"/>
  <c r="AY231" i="1"/>
  <c r="AY230" i="1"/>
  <c r="AY236" i="1"/>
  <c r="M11" i="13" s="1"/>
  <c r="D21" i="14" s="1"/>
  <c r="AZ227" i="1"/>
  <c r="AZ164" i="1"/>
  <c r="AZ229" i="1"/>
  <c r="AY116" i="9"/>
  <c r="AY119" i="9"/>
  <c r="AY239" i="1" l="1"/>
  <c r="AY242" i="1"/>
  <c r="AZ37" i="9"/>
  <c r="AZ39" i="9" s="1"/>
  <c r="AZ167" i="1"/>
  <c r="AZ170" i="1" l="1"/>
  <c r="AZ320" i="1" s="1"/>
  <c r="AZ423" i="1" s="1"/>
  <c r="AZ169" i="1"/>
  <c r="AZ40" i="9" l="1"/>
  <c r="AZ44" i="9" s="1"/>
  <c r="AZ91" i="9" s="1"/>
  <c r="AZ92" i="9" s="1"/>
  <c r="AZ171" i="1"/>
  <c r="AZ424" i="1"/>
  <c r="AZ425" i="1" s="1"/>
  <c r="AZ45" i="9" l="1"/>
  <c r="AZ316" i="1"/>
  <c r="AZ175" i="1"/>
  <c r="AZ180" i="1" l="1"/>
  <c r="AZ185" i="1"/>
  <c r="AZ177" i="1"/>
  <c r="AZ186" i="1" s="1"/>
  <c r="AZ124" i="9"/>
  <c r="AZ330" i="1"/>
  <c r="AZ431" i="1"/>
  <c r="AZ430" i="1"/>
  <c r="AZ433" i="1"/>
  <c r="AZ88" i="9" l="1"/>
  <c r="AZ89" i="9" s="1"/>
  <c r="AZ435" i="1"/>
  <c r="AZ341" i="1"/>
  <c r="AZ368" i="1" s="1"/>
  <c r="AZ371" i="1" s="1"/>
  <c r="AZ195" i="1"/>
  <c r="AZ49" i="9"/>
  <c r="AZ187" i="1"/>
  <c r="AZ110" i="9" l="1"/>
  <c r="AZ86" i="9"/>
  <c r="AZ87" i="9" s="1"/>
  <c r="AZ90" i="9" s="1"/>
  <c r="AZ123" i="9"/>
  <c r="AZ59" i="9"/>
  <c r="AZ209" i="1"/>
  <c r="AZ196" i="1"/>
  <c r="AZ240" i="1" s="1"/>
  <c r="AZ386" i="1"/>
  <c r="AZ373" i="1" s="1"/>
  <c r="BA370" i="1"/>
  <c r="AZ50" i="9"/>
  <c r="AZ238" i="1"/>
  <c r="AZ98" i="9"/>
  <c r="AZ99" i="9" s="1"/>
  <c r="AZ215" i="1" l="1"/>
  <c r="AZ393" i="1"/>
  <c r="AZ403" i="1" s="1"/>
  <c r="AZ241" i="1"/>
  <c r="AZ210" i="1"/>
  <c r="AZ211" i="1" s="1"/>
  <c r="AZ212" i="1" s="1"/>
  <c r="AZ111" i="9"/>
  <c r="AZ83" i="9"/>
  <c r="AZ72" i="9"/>
  <c r="AZ117" i="9" s="1"/>
  <c r="AZ61" i="9"/>
  <c r="AZ76" i="9"/>
  <c r="AZ115" i="9"/>
  <c r="AZ93" i="9" l="1"/>
  <c r="AZ94" i="9" s="1"/>
  <c r="AZ437" i="1"/>
  <c r="AZ118" i="9"/>
  <c r="AZ112" i="9"/>
  <c r="AZ73" i="9"/>
  <c r="AZ75" i="9" s="1"/>
  <c r="AZ63" i="9"/>
  <c r="AZ70" i="9" s="1"/>
  <c r="AZ125" i="9" s="1"/>
  <c r="AZ7" i="9"/>
  <c r="AZ11" i="9" s="1"/>
  <c r="AZ116" i="9" s="1"/>
  <c r="AZ442" i="1"/>
  <c r="BA224" i="1"/>
  <c r="BA226" i="1" s="1"/>
  <c r="AZ220" i="1"/>
  <c r="AZ119" i="9" l="1"/>
  <c r="BA227" i="1"/>
  <c r="BA164" i="1"/>
  <c r="BA229" i="1"/>
  <c r="AZ79" i="9"/>
  <c r="AZ81" i="9"/>
  <c r="AZ80" i="9"/>
  <c r="AZ236" i="1"/>
  <c r="AZ231" i="1"/>
  <c r="AZ230" i="1"/>
  <c r="AZ104" i="9"/>
  <c r="AZ105" i="9" s="1"/>
  <c r="AZ95" i="9"/>
  <c r="BA37" i="9" l="1"/>
  <c r="BA39" i="9" s="1"/>
  <c r="BA167" i="1"/>
  <c r="AZ239" i="1"/>
  <c r="AZ242" i="1"/>
  <c r="BA170" i="1" l="1"/>
  <c r="BA320" i="1" s="1"/>
  <c r="BA423" i="1" s="1"/>
  <c r="BA169" i="1"/>
  <c r="BA40" i="9" l="1"/>
  <c r="BA44" i="9" s="1"/>
  <c r="BA45" i="9" s="1"/>
  <c r="BA171" i="1"/>
  <c r="BA424" i="1"/>
  <c r="BA425" i="1" s="1"/>
  <c r="BA91" i="9" l="1"/>
  <c r="BA92" i="9" s="1"/>
  <c r="BA316" i="1"/>
  <c r="BA175" i="1"/>
  <c r="BA177" i="1" l="1"/>
  <c r="BA186" i="1" s="1"/>
  <c r="BA180" i="1"/>
  <c r="BA185" i="1"/>
  <c r="BA124" i="9"/>
  <c r="BA330" i="1"/>
  <c r="BA431" i="1"/>
  <c r="BA433" i="1"/>
  <c r="BA430" i="1"/>
  <c r="BA88" i="9" l="1"/>
  <c r="BA89" i="9" s="1"/>
  <c r="BA435" i="1"/>
  <c r="BA341" i="1"/>
  <c r="BA368" i="1" s="1"/>
  <c r="BA371" i="1" s="1"/>
  <c r="BA195" i="1"/>
  <c r="BA49" i="9"/>
  <c r="BA187" i="1"/>
  <c r="BA59" i="9" l="1"/>
  <c r="BA209" i="1"/>
  <c r="BA196" i="1"/>
  <c r="BA240" i="1" s="1"/>
  <c r="BA386" i="1"/>
  <c r="BA373" i="1" s="1"/>
  <c r="BB370" i="1"/>
  <c r="BA110" i="9"/>
  <c r="BA123" i="9"/>
  <c r="BA86" i="9"/>
  <c r="BA87" i="9" s="1"/>
  <c r="BA90" i="9" s="1"/>
  <c r="BA50" i="9"/>
  <c r="BA238" i="1"/>
  <c r="BA98" i="9"/>
  <c r="BA99" i="9" s="1"/>
  <c r="BA393" i="1" l="1"/>
  <c r="BA403" i="1" s="1"/>
  <c r="BA215" i="1"/>
  <c r="BA76" i="9"/>
  <c r="BA115" i="9"/>
  <c r="BA241" i="1"/>
  <c r="BA210" i="1"/>
  <c r="BA211" i="1" s="1"/>
  <c r="BA212" i="1" s="1"/>
  <c r="BA111" i="9"/>
  <c r="BA83" i="9"/>
  <c r="BA72" i="9"/>
  <c r="BA117" i="9" s="1"/>
  <c r="BA61" i="9"/>
  <c r="BA7" i="9" l="1"/>
  <c r="BA11" i="9" s="1"/>
  <c r="BA116" i="9" s="1"/>
  <c r="BA442" i="1"/>
  <c r="BB224" i="1"/>
  <c r="BB226" i="1" s="1"/>
  <c r="BA220" i="1"/>
  <c r="BA112" i="9"/>
  <c r="BA118" i="9"/>
  <c r="BA73" i="9"/>
  <c r="BA75" i="9" s="1"/>
  <c r="BA63" i="9"/>
  <c r="BA70" i="9" s="1"/>
  <c r="BA125" i="9" s="1"/>
  <c r="BA93" i="9"/>
  <c r="BA94" i="9" s="1"/>
  <c r="BA437" i="1"/>
  <c r="BA119" i="9" l="1"/>
  <c r="BA79" i="9"/>
  <c r="BA80" i="9"/>
  <c r="BA81" i="9"/>
  <c r="BA236" i="1"/>
  <c r="BA231" i="1"/>
  <c r="BA230" i="1"/>
  <c r="BB227" i="1"/>
  <c r="BB164" i="1"/>
  <c r="BB229" i="1"/>
  <c r="BA104" i="9"/>
  <c r="BA105" i="9" s="1"/>
  <c r="BA95" i="9"/>
  <c r="BB37" i="9" l="1"/>
  <c r="BB39" i="9" s="1"/>
  <c r="BB167" i="1"/>
  <c r="BA239" i="1"/>
  <c r="BA242" i="1"/>
  <c r="BB169" i="1" l="1"/>
  <c r="BB170" i="1"/>
  <c r="BB320" i="1" s="1"/>
  <c r="BB423" i="1" s="1"/>
  <c r="BB424" i="1" s="1"/>
  <c r="BB425" i="1" s="1"/>
  <c r="BB40" i="9" l="1"/>
  <c r="BB44" i="9" s="1"/>
  <c r="BB91" i="9" s="1"/>
  <c r="BB92" i="9" s="1"/>
  <c r="BB171" i="1"/>
  <c r="BB45" i="9" l="1"/>
  <c r="BB316" i="1"/>
  <c r="BB175" i="1"/>
  <c r="BB180" i="1" l="1"/>
  <c r="BB185" i="1"/>
  <c r="BB177" i="1"/>
  <c r="BB186" i="1" s="1"/>
  <c r="BB124" i="9"/>
  <c r="BB330" i="1"/>
  <c r="BB430" i="1"/>
  <c r="BB433" i="1"/>
  <c r="BB431" i="1"/>
  <c r="BB88" i="9" l="1"/>
  <c r="BB89" i="9" s="1"/>
  <c r="BB435" i="1"/>
  <c r="BB341" i="1"/>
  <c r="BB368" i="1" s="1"/>
  <c r="BB371" i="1" s="1"/>
  <c r="BB195" i="1"/>
  <c r="BB49" i="9"/>
  <c r="BB187" i="1"/>
  <c r="BB50" i="9" l="1"/>
  <c r="BB238" i="1"/>
  <c r="BB110" i="9"/>
  <c r="BB123" i="9"/>
  <c r="BB86" i="9"/>
  <c r="BB87" i="9" s="1"/>
  <c r="BB90" i="9" s="1"/>
  <c r="BB386" i="1"/>
  <c r="BB373" i="1" s="1"/>
  <c r="BB59" i="9"/>
  <c r="BB209" i="1"/>
  <c r="BB196" i="1"/>
  <c r="BB240" i="1" s="1"/>
  <c r="BB98" i="9"/>
  <c r="BB99" i="9" s="1"/>
  <c r="BB393" i="1" l="1"/>
  <c r="BB403" i="1" s="1"/>
  <c r="BB215" i="1"/>
  <c r="BB111" i="9"/>
  <c r="BB83" i="9"/>
  <c r="BB72" i="9"/>
  <c r="BB117" i="9" s="1"/>
  <c r="BB61" i="9"/>
  <c r="BB241" i="1"/>
  <c r="BB210" i="1"/>
  <c r="BB211" i="1" s="1"/>
  <c r="BB212" i="1" s="1"/>
  <c r="BB76" i="9"/>
  <c r="BB115" i="9"/>
  <c r="BB112" i="9" l="1"/>
  <c r="BB118" i="9"/>
  <c r="BB73" i="9"/>
  <c r="BB75" i="9" s="1"/>
  <c r="BB63" i="9"/>
  <c r="BB70" i="9" s="1"/>
  <c r="BB125" i="9" s="1"/>
  <c r="BB7" i="9"/>
  <c r="BB11" i="9" s="1"/>
  <c r="BB116" i="9" s="1"/>
  <c r="BB442" i="1"/>
  <c r="BB220" i="1"/>
  <c r="BB93" i="9"/>
  <c r="BB94" i="9" s="1"/>
  <c r="BB437" i="1"/>
  <c r="BB79" i="9" l="1"/>
  <c r="BB80" i="9"/>
  <c r="BB81" i="9"/>
  <c r="BB236" i="1"/>
  <c r="BB231" i="1"/>
  <c r="BB230" i="1"/>
  <c r="BB119" i="9"/>
  <c r="BB104" i="9"/>
  <c r="BB105" i="9" s="1"/>
  <c r="BB95" i="9"/>
  <c r="BB239" i="1" l="1"/>
  <c r="BB2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Anil Shrivastava 1</author>
  </authors>
  <commentList>
    <comment ref="K25" authorId="0" shapeId="0" xr:uid="{00000000-0006-0000-0100-000001000000}">
      <text>
        <r>
          <rPr>
            <sz val="11"/>
            <rFont val="Calibri"/>
            <family val="2"/>
          </rPr>
          <t>[Canalyst Toolkit]: One or more of the addresses referred to by this cell may no longer be correct. Please audit the formula to ensure it does what is intended.</t>
        </r>
      </text>
    </comment>
    <comment ref="L25" authorId="0" shapeId="0" xr:uid="{00000000-0006-0000-0100-000002000000}">
      <text>
        <r>
          <rPr>
            <sz val="11"/>
            <rFont val="Calibri"/>
            <family val="2"/>
          </rPr>
          <t>[Canalyst Toolkit]: One or more of the addresses referred to by this cell may no longer be correct. Please audit the formula to ensure it does what is intended.</t>
        </r>
      </text>
    </comment>
    <comment ref="M25" authorId="0" shapeId="0" xr:uid="{00000000-0006-0000-0100-000003000000}">
      <text>
        <r>
          <rPr>
            <sz val="11"/>
            <rFont val="Calibri"/>
            <family val="2"/>
          </rPr>
          <t>[Canalyst Toolkit]: One or more of the addresses referred to by this cell may no longer be correct. Please audit the formula to ensure it does what is intended.</t>
        </r>
      </text>
    </comment>
    <comment ref="N25" authorId="0" shapeId="0" xr:uid="{00000000-0006-0000-0100-000004000000}">
      <text>
        <r>
          <rPr>
            <sz val="11"/>
            <rFont val="Calibri"/>
            <family val="2"/>
          </rPr>
          <t>[Canalyst Toolkit]: One or more of the addresses referred to by this cell may no longer be correct. Please audit the formula to ensure it does what is intended.</t>
        </r>
      </text>
    </comment>
    <comment ref="K26" authorId="0" shapeId="0" xr:uid="{00000000-0006-0000-0100-000005000000}">
      <text>
        <r>
          <rPr>
            <sz val="11"/>
            <rFont val="Calibri"/>
            <family val="2"/>
          </rPr>
          <t>[Canalyst Toolkit]: One or more of the addresses referred to by this cell may no longer be correct. Please audit the formula to ensure it does what is intended.</t>
        </r>
      </text>
    </comment>
    <comment ref="L26" authorId="0" shapeId="0" xr:uid="{00000000-0006-0000-0100-000006000000}">
      <text>
        <r>
          <rPr>
            <sz val="11"/>
            <rFont val="Calibri"/>
            <family val="2"/>
          </rPr>
          <t>[Canalyst Toolkit]: One or more of the addresses referred to by this cell may no longer be correct. Please audit the formula to ensure it does what is intended.</t>
        </r>
      </text>
    </comment>
    <comment ref="M26" authorId="0" shapeId="0" xr:uid="{00000000-0006-0000-0100-000007000000}">
      <text>
        <r>
          <rPr>
            <sz val="11"/>
            <rFont val="Calibri"/>
            <family val="2"/>
          </rPr>
          <t>[Canalyst Toolkit]: One or more of the addresses referred to by this cell may no longer be correct. Please audit the formula to ensure it does what is intended.</t>
        </r>
      </text>
    </comment>
    <comment ref="Z27" authorId="0" shapeId="0" xr:uid="{00000000-0006-0000-0100-000008000000}">
      <text>
        <r>
          <rPr>
            <sz val="11"/>
            <rFont val="Calibri"/>
            <family val="2"/>
          </rPr>
          <t>[Canalyst Toolkit]: One or more of the addresses referred to by this cell may no longer be correct. Please audit the formula to ensure it does what is intended.</t>
        </r>
      </text>
    </comment>
    <comment ref="AA27" authorId="0" shapeId="0" xr:uid="{00000000-0006-0000-0100-000009000000}">
      <text>
        <r>
          <rPr>
            <sz val="11"/>
            <rFont val="Calibri"/>
            <family val="2"/>
          </rPr>
          <t>[Canalyst Toolkit]: One or more of the addresses referred to by this cell may no longer be correct. Please audit the formula to ensure it does what is intended.</t>
        </r>
      </text>
    </comment>
    <comment ref="AB27" authorId="0" shapeId="0" xr:uid="{00000000-0006-0000-0100-00000A000000}">
      <text>
        <r>
          <rPr>
            <sz val="11"/>
            <rFont val="Calibri"/>
            <family val="2"/>
          </rPr>
          <t>[Canalyst Toolkit]: One or more of the addresses referred to by this cell may no longer be correct. Please audit the formula to ensure it does what is intended.</t>
        </r>
      </text>
    </comment>
    <comment ref="AC27" authorId="0" shapeId="0" xr:uid="{00000000-0006-0000-0100-00000B000000}">
      <text>
        <r>
          <rPr>
            <sz val="11"/>
            <rFont val="Calibri"/>
            <family val="2"/>
          </rPr>
          <t>[Canalyst Toolkit]: One or more of the addresses referred to by this cell may no longer be correct. Please audit the formula to ensure it does what is intended.</t>
        </r>
      </text>
    </comment>
    <comment ref="AD27" authorId="0" shapeId="0" xr:uid="{00000000-0006-0000-0100-00000C000000}">
      <text>
        <r>
          <rPr>
            <sz val="11"/>
            <rFont val="Calibri"/>
            <family val="2"/>
          </rPr>
          <t>[Canalyst Toolkit]: One or more of the addresses referred to by this cell may no longer be correct. Please audit the formula to ensure it does what is intended.</t>
        </r>
      </text>
    </comment>
    <comment ref="AE27" authorId="0" shapeId="0" xr:uid="{00000000-0006-0000-0100-00000D000000}">
      <text>
        <r>
          <rPr>
            <sz val="11"/>
            <rFont val="Calibri"/>
            <family val="2"/>
          </rPr>
          <t>[Canalyst Toolkit]: One or more of the addresses referred to by this cell may no longer be correct. Please audit the formula to ensure it does what is intended.</t>
        </r>
      </text>
    </comment>
    <comment ref="AF27" authorId="0" shapeId="0" xr:uid="{00000000-0006-0000-0100-00000E000000}">
      <text>
        <r>
          <rPr>
            <sz val="11"/>
            <rFont val="Calibri"/>
            <family val="2"/>
          </rPr>
          <t>[Canalyst Toolkit]: One or more of the addresses referred to by this cell may no longer be correct. Please audit the formula to ensure it does what is intended.</t>
        </r>
      </text>
    </comment>
    <comment ref="AG27" authorId="0" shapeId="0" xr:uid="{00000000-0006-0000-0100-00000F000000}">
      <text>
        <r>
          <rPr>
            <sz val="11"/>
            <rFont val="Calibri"/>
            <family val="2"/>
          </rPr>
          <t>[Canalyst Toolkit]: One or more of the addresses referred to by this cell may no longer be correct. Please audit the formula to ensure it does what is intended.</t>
        </r>
      </text>
    </comment>
    <comment ref="AH27" authorId="0" shapeId="0" xr:uid="{00000000-0006-0000-0100-000010000000}">
      <text>
        <r>
          <rPr>
            <sz val="11"/>
            <rFont val="Calibri"/>
            <family val="2"/>
          </rPr>
          <t>[Canalyst Toolkit]: One or more of the addresses referred to by this cell may no longer be correct. Please audit the formula to ensure it does what is intended.</t>
        </r>
      </text>
    </comment>
    <comment ref="AI27" authorId="0" shapeId="0" xr:uid="{00000000-0006-0000-0100-000011000000}">
      <text>
        <r>
          <rPr>
            <sz val="11"/>
            <rFont val="Calibri"/>
            <family val="2"/>
          </rPr>
          <t>[Canalyst Toolkit]: One or more of the addresses referred to by this cell may no longer be correct. Please audit the formula to ensure it does what is intended.</t>
        </r>
      </text>
    </comment>
    <comment ref="Y29" authorId="0" shapeId="0" xr:uid="{00000000-0006-0000-0100-000012000000}">
      <text>
        <r>
          <rPr>
            <sz val="11"/>
            <rFont val="Calibri"/>
            <family val="2"/>
          </rPr>
          <t>[Canalyst Toolkit]: One or more of the addresses referred to by this cell may no longer be correct. Please audit the formula to ensure it does what is intended.</t>
        </r>
      </text>
    </comment>
    <comment ref="Y30" authorId="0" shapeId="0" xr:uid="{00000000-0006-0000-0100-000013000000}">
      <text>
        <r>
          <rPr>
            <sz val="11"/>
            <rFont val="Calibri"/>
            <family val="2"/>
          </rPr>
          <t>[Canalyst Toolkit]: One or more of the addresses referred to by this cell may no longer be correct. Please audit the formula to ensure it does what is intended.</t>
        </r>
      </text>
    </comment>
    <comment ref="V34" authorId="0" shapeId="0" xr:uid="{00000000-0006-0000-0100-000014000000}">
      <text>
        <r>
          <rPr>
            <sz val="11"/>
            <rFont val="Calibri"/>
            <family val="2"/>
          </rPr>
          <t>[Canalyst Toolkit]: One or more of the addresses referred to by this cell may no longer be correct. Please audit the formula to ensure it does what is intended.</t>
        </r>
      </text>
    </comment>
    <comment ref="W34" authorId="0" shapeId="0" xr:uid="{00000000-0006-0000-0100-000015000000}">
      <text>
        <r>
          <rPr>
            <sz val="11"/>
            <rFont val="Calibri"/>
            <family val="2"/>
          </rPr>
          <t>[Canalyst Toolkit]: One or more of the addresses referred to by this cell may no longer be correct. Please audit the formula to ensure it does what is intended.</t>
        </r>
      </text>
    </comment>
    <comment ref="X34" authorId="0" shapeId="0" xr:uid="{00000000-0006-0000-0100-000016000000}">
      <text>
        <r>
          <rPr>
            <sz val="11"/>
            <rFont val="Calibri"/>
            <family val="2"/>
          </rPr>
          <t>[Canalyst Toolkit]: One or more of the addresses referred to by this cell may no longer be correct. Please audit the formula to ensure it does what is intended.</t>
        </r>
      </text>
    </comment>
    <comment ref="Y34" authorId="0" shapeId="0" xr:uid="{00000000-0006-0000-0100-000017000000}">
      <text>
        <r>
          <rPr>
            <sz val="11"/>
            <rFont val="Calibri"/>
            <family val="2"/>
          </rPr>
          <t>[Canalyst Toolkit]: One or more of the addresses referred to by this cell may no longer be correct. Please audit the formula to ensure it does what is intended.</t>
        </r>
      </text>
    </comment>
    <comment ref="Z34" authorId="0" shapeId="0" xr:uid="{00000000-0006-0000-0100-000018000000}">
      <text>
        <r>
          <rPr>
            <sz val="11"/>
            <rFont val="Calibri"/>
            <family val="2"/>
          </rPr>
          <t>[Canalyst Toolkit]: One or more of the addresses referred to by this cell may no longer be correct. Please audit the formula to ensure it does what is intended.</t>
        </r>
      </text>
    </comment>
    <comment ref="V35" authorId="0" shapeId="0" xr:uid="{00000000-0006-0000-0100-000019000000}">
      <text>
        <r>
          <rPr>
            <sz val="11"/>
            <rFont val="Calibri"/>
            <family val="2"/>
          </rPr>
          <t>[Canalyst Toolkit]: One or more of the addresses referred to by this cell may no longer be correct. Please audit the formula to ensure it does what is intended.</t>
        </r>
      </text>
    </comment>
    <comment ref="W35" authorId="0" shapeId="0" xr:uid="{00000000-0006-0000-0100-00001A000000}">
      <text>
        <r>
          <rPr>
            <sz val="11"/>
            <rFont val="Calibri"/>
            <family val="2"/>
          </rPr>
          <t>[Canalyst Toolkit]: One or more of the addresses referred to by this cell may no longer be correct. Please audit the formula to ensure it does what is intended.</t>
        </r>
      </text>
    </comment>
    <comment ref="X35" authorId="0" shapeId="0" xr:uid="{00000000-0006-0000-0100-00001B000000}">
      <text>
        <r>
          <rPr>
            <sz val="11"/>
            <rFont val="Calibri"/>
            <family val="2"/>
          </rPr>
          <t>[Canalyst Toolkit]: One or more of the addresses referred to by this cell may no longer be correct. Please audit the formula to ensure it does what is intended.</t>
        </r>
      </text>
    </comment>
    <comment ref="Y35" authorId="0" shapeId="0" xr:uid="{00000000-0006-0000-0100-00001C000000}">
      <text>
        <r>
          <rPr>
            <sz val="11"/>
            <rFont val="Calibri"/>
            <family val="2"/>
          </rPr>
          <t>[Canalyst Toolkit]: One or more of the addresses referred to by this cell may no longer be correct. Please audit the formula to ensure it does what is intended.</t>
        </r>
      </text>
    </comment>
    <comment ref="Z35" authorId="0" shapeId="0" xr:uid="{00000000-0006-0000-0100-00001D000000}">
      <text>
        <r>
          <rPr>
            <sz val="11"/>
            <rFont val="Calibri"/>
            <family val="2"/>
          </rPr>
          <t>[Canalyst Toolkit]: One or more of the addresses referred to by this cell may no longer be correct. Please audit the formula to ensure it does what is intended.</t>
        </r>
      </text>
    </comment>
    <comment ref="V37" authorId="0" shapeId="0" xr:uid="{00000000-0006-0000-0100-00001E000000}">
      <text>
        <r>
          <rPr>
            <sz val="11"/>
            <rFont val="Calibri"/>
            <family val="2"/>
          </rPr>
          <t>[Canalyst Toolkit]: One or more of the addresses referred to by this cell may no longer be correct. Please audit the formula to ensure it does what is intended.</t>
        </r>
      </text>
    </comment>
    <comment ref="W37" authorId="0" shapeId="0" xr:uid="{00000000-0006-0000-0100-00001F000000}">
      <text>
        <r>
          <rPr>
            <sz val="11"/>
            <rFont val="Calibri"/>
            <family val="2"/>
          </rPr>
          <t>[Canalyst Toolkit]: One or more of the addresses referred to by this cell may no longer be correct. Please audit the formula to ensure it does what is intended.</t>
        </r>
      </text>
    </comment>
    <comment ref="X37" authorId="0" shapeId="0" xr:uid="{00000000-0006-0000-0100-000020000000}">
      <text>
        <r>
          <rPr>
            <sz val="11"/>
            <rFont val="Calibri"/>
            <family val="2"/>
          </rPr>
          <t>[Canalyst Toolkit]: One or more of the addresses referred to by this cell may no longer be correct. Please audit the formula to ensure it does what is intended.</t>
        </r>
      </text>
    </comment>
    <comment ref="Y37" authorId="0" shapeId="0" xr:uid="{00000000-0006-0000-0100-000021000000}">
      <text>
        <r>
          <rPr>
            <sz val="11"/>
            <rFont val="Calibri"/>
            <family val="2"/>
          </rPr>
          <t>[Canalyst Toolkit]: One or more of the addresses referred to by this cell may no longer be correct. Please audit the formula to ensure it does what is intended.</t>
        </r>
      </text>
    </comment>
    <comment ref="Z37" authorId="0" shapeId="0" xr:uid="{00000000-0006-0000-0100-000022000000}">
      <text>
        <r>
          <rPr>
            <sz val="11"/>
            <rFont val="Calibri"/>
            <family val="2"/>
          </rPr>
          <t>[Canalyst Toolkit]: One or more of the addresses referred to by this cell may no longer be correct. Please audit the formula to ensure it does what is intended.</t>
        </r>
      </text>
    </comment>
    <comment ref="AA37" authorId="0" shapeId="0" xr:uid="{00000000-0006-0000-0100-000023000000}">
      <text>
        <r>
          <rPr>
            <sz val="11"/>
            <rFont val="Calibri"/>
            <family val="2"/>
          </rPr>
          <t>[Canalyst Toolkit]: One or more of the addresses referred to by this cell may no longer be correct. Please audit the formula to ensure it does what is intended.</t>
        </r>
      </text>
    </comment>
    <comment ref="R265" authorId="0" shapeId="0" xr:uid="{00000000-0006-0000-0100-000029000000}">
      <text>
        <r>
          <rPr>
            <sz val="11"/>
            <rFont val="Calibri"/>
            <family val="2"/>
          </rPr>
          <t>[Canalyst Toolkit]: One or more of the addresses referred to by this cell may no longer be correct. Please audit the formula to ensure it does what is intended.</t>
        </r>
      </text>
    </comment>
    <comment ref="G277" authorId="0" shapeId="0" xr:uid="{00000000-0006-0000-0100-00002A000000}">
      <text>
        <r>
          <rPr>
            <sz val="11"/>
            <rFont val="Calibri"/>
            <family val="2"/>
          </rPr>
          <t>[Canalyst Toolkit]: One or more of the addresses referred to by this cell may no longer be correct. Please audit the formula to ensure it does what is intended.</t>
        </r>
      </text>
    </comment>
    <comment ref="H277" authorId="0" shapeId="0" xr:uid="{00000000-0006-0000-0100-00002B000000}">
      <text>
        <r>
          <rPr>
            <sz val="11"/>
            <rFont val="Calibri"/>
            <family val="2"/>
          </rPr>
          <t>[Canalyst Toolkit]: One or more of the addresses referred to by this cell may no longer be correct. Please audit the formula to ensure it does what is intended.</t>
        </r>
      </text>
    </comment>
    <comment ref="I277" authorId="0" shapeId="0" xr:uid="{00000000-0006-0000-0100-00002C000000}">
      <text>
        <r>
          <rPr>
            <sz val="11"/>
            <rFont val="Calibri"/>
            <family val="2"/>
          </rPr>
          <t>[Canalyst Toolkit]: One or more of the addresses referred to by this cell may no longer be correct. Please audit the formula to ensure it does what is intended.</t>
        </r>
      </text>
    </comment>
    <comment ref="J277" authorId="0" shapeId="0" xr:uid="{00000000-0006-0000-0100-00002D000000}">
      <text>
        <r>
          <rPr>
            <sz val="11"/>
            <rFont val="Calibri"/>
            <family val="2"/>
          </rPr>
          <t>[Canalyst Toolkit]: One or more of the addresses referred to by this cell may no longer be correct. Please audit the formula to ensure it does what is intended.</t>
        </r>
      </text>
    </comment>
    <comment ref="K277" authorId="0" shapeId="0" xr:uid="{00000000-0006-0000-0100-00002E000000}">
      <text>
        <r>
          <rPr>
            <sz val="11"/>
            <rFont val="Calibri"/>
            <family val="2"/>
          </rPr>
          <t>[Canalyst Toolkit]: One or more of the addresses referred to by this cell may no longer be correct. Please audit the formula to ensure it does what is intended.</t>
        </r>
      </text>
    </comment>
    <comment ref="L277" authorId="0" shapeId="0" xr:uid="{00000000-0006-0000-0100-00002F000000}">
      <text>
        <r>
          <rPr>
            <sz val="11"/>
            <rFont val="Calibri"/>
            <family val="2"/>
          </rPr>
          <t>[Canalyst Toolkit]: One or more of the addresses referred to by this cell may no longer be correct. Please audit the formula to ensure it does what is intended.</t>
        </r>
      </text>
    </comment>
    <comment ref="J321" authorId="0" shapeId="0" xr:uid="{00000000-0006-0000-0100-000030000000}">
      <text>
        <r>
          <rPr>
            <sz val="11"/>
            <rFont val="Calibri"/>
            <family val="2"/>
          </rPr>
          <t>[Canalyst Toolkit]: One or more of the addresses referred to by this cell may no longer be correct. Please audit the formula to ensure it does what is intended.</t>
        </r>
      </text>
    </comment>
    <comment ref="D346" authorId="0" shapeId="0" xr:uid="{00000000-0006-0000-0100-000031000000}">
      <text>
        <r>
          <rPr>
            <sz val="11"/>
            <rFont val="Calibri"/>
            <family val="2"/>
          </rPr>
          <t>[Canalyst Toolkit]: One or more of the addresses referred to by this cell may no longer be correct. Please audit the formula to ensure it does what is intended.</t>
        </r>
      </text>
    </comment>
    <comment ref="F346" authorId="0" shapeId="0" xr:uid="{00000000-0006-0000-0100-000032000000}">
      <text>
        <r>
          <rPr>
            <sz val="11"/>
            <rFont val="Calibri"/>
            <family val="2"/>
          </rPr>
          <t>[Canalyst Toolkit]: One or more of the addresses referred to by this cell may no longer be correct. Please audit the formula to ensure it does what is intended.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Anil Shrivastava 1</author>
  </authors>
  <commentList>
    <comment ref="D33" authorId="0" shapeId="0" xr:uid="{00000000-0006-0000-0200-000001000000}">
      <text>
        <r>
          <rPr>
            <sz val="11"/>
            <rFont val="Calibri"/>
            <family val="2"/>
          </rPr>
          <t>[Canalyst Toolkit]: One or more of the addresses referred to by this cell may no longer be correct. Please audit the formula to ensure it does what is intended.</t>
        </r>
      </text>
    </comment>
    <comment ref="E33" authorId="0" shapeId="0" xr:uid="{00000000-0006-0000-0200-000002000000}">
      <text>
        <r>
          <rPr>
            <sz val="11"/>
            <rFont val="Calibri"/>
            <family val="2"/>
          </rPr>
          <t>[Canalyst Toolkit]: One or more of the addresses referred to by this cell may no longer be correct. Please audit the formula to ensure it does what is intended.</t>
        </r>
      </text>
    </comment>
    <comment ref="F33" authorId="0" shapeId="0" xr:uid="{00000000-0006-0000-0200-000003000000}">
      <text>
        <r>
          <rPr>
            <sz val="11"/>
            <rFont val="Calibri"/>
            <family val="2"/>
          </rPr>
          <t>[Canalyst Toolkit]: One or more of the addresses referred to by this cell may no longer be correct. Please audit the formula to ensure it does what is intended.</t>
        </r>
      </text>
    </comment>
    <comment ref="G33" authorId="0" shapeId="0" xr:uid="{00000000-0006-0000-0200-000004000000}">
      <text>
        <r>
          <rPr>
            <sz val="11"/>
            <rFont val="Calibri"/>
            <family val="2"/>
          </rPr>
          <t>[Canalyst Toolkit]: One or more of the addresses referred to by this cell may no longer be correct. Please audit the formula to ensure it does what is intended.</t>
        </r>
      </text>
    </comment>
    <comment ref="H33" authorId="0" shapeId="0" xr:uid="{00000000-0006-0000-0200-000005000000}">
      <text>
        <r>
          <rPr>
            <sz val="11"/>
            <rFont val="Calibri"/>
            <family val="2"/>
          </rPr>
          <t>[Canalyst Toolkit]: One or more of the addresses referred to by this cell may no longer be correct. Please audit the formula to ensure it does what is intended.</t>
        </r>
      </text>
    </comment>
    <comment ref="I33" authorId="0" shapeId="0" xr:uid="{00000000-0006-0000-0200-000006000000}">
      <text>
        <r>
          <rPr>
            <sz val="11"/>
            <rFont val="Calibri"/>
            <family val="2"/>
          </rPr>
          <t>[Canalyst Toolkit]: One or more of the addresses referred to by this cell may no longer be correct. Please audit the formula to ensure it does what is intended.</t>
        </r>
      </text>
    </comment>
    <comment ref="J33" authorId="0" shapeId="0" xr:uid="{00000000-0006-0000-0200-000007000000}">
      <text>
        <r>
          <rPr>
            <sz val="11"/>
            <rFont val="Calibri"/>
            <family val="2"/>
          </rPr>
          <t>[Canalyst Toolkit]: One or more of the addresses referred to by this cell may no longer be correct. Please audit the formula to ensure it does what is intended.</t>
        </r>
      </text>
    </comment>
    <comment ref="K33" authorId="0" shapeId="0" xr:uid="{00000000-0006-0000-0200-000008000000}">
      <text>
        <r>
          <rPr>
            <sz val="11"/>
            <rFont val="Calibri"/>
            <family val="2"/>
          </rPr>
          <t>[Canalyst Toolkit]: One or more of the addresses referred to by this cell may no longer be correct. Please audit the formula to ensure it does what is intended.</t>
        </r>
      </text>
    </comment>
    <comment ref="L33" authorId="0" shapeId="0" xr:uid="{00000000-0006-0000-0200-000009000000}">
      <text>
        <r>
          <rPr>
            <sz val="11"/>
            <rFont val="Calibri"/>
            <family val="2"/>
          </rPr>
          <t>[Canalyst Toolkit]: One or more of the addresses referred to by this cell may no longer be correct. Please audit the formula to ensure it does what is intended.</t>
        </r>
      </text>
    </comment>
    <comment ref="M33" authorId="0" shapeId="0" xr:uid="{00000000-0006-0000-0200-00000A000000}">
      <text>
        <r>
          <rPr>
            <sz val="11"/>
            <rFont val="Calibri"/>
            <family val="2"/>
          </rPr>
          <t>[Canalyst Toolkit]: One or more of the addresses referred to by this cell may no longer be correct. Please audit the formula to ensure it does what is intended.</t>
        </r>
      </text>
    </comment>
    <comment ref="B43" authorId="0" shapeId="0" xr:uid="{00000000-0006-0000-0200-00000B000000}">
      <text>
        <r>
          <rPr>
            <sz val="11"/>
            <rFont val="Calibri"/>
            <family val="2"/>
          </rPr>
          <t>[Canalyst Toolkit]: One or more of the addresses referred to by this cell may no longer be correct. Please audit the formula to ensure it does what is intended.</t>
        </r>
      </text>
    </comment>
    <comment ref="B46" authorId="0" shapeId="0" xr:uid="{00000000-0006-0000-0200-00000C000000}">
      <text>
        <r>
          <rPr>
            <sz val="11"/>
            <rFont val="Calibri"/>
            <family val="2"/>
          </rPr>
          <t>[Canalyst Toolkit]: One or more of the addresses referred to by this cell may no longer be correct. Please audit the formula to ensure it does what is intended.</t>
        </r>
      </text>
    </comment>
    <comment ref="C46" authorId="0" shapeId="0" xr:uid="{00000000-0006-0000-0200-00000D000000}">
      <text>
        <r>
          <rPr>
            <sz val="11"/>
            <rFont val="Calibri"/>
            <family val="2"/>
          </rPr>
          <t>[Canalyst Toolkit]: One or more of the addresses referred to by this cell may no longer be correct. Please audit the formula to ensure it does what is intended.</t>
        </r>
      </text>
    </comment>
    <comment ref="D46" authorId="0" shapeId="0" xr:uid="{00000000-0006-0000-0200-00000E000000}">
      <text>
        <r>
          <rPr>
            <sz val="11"/>
            <rFont val="Calibri"/>
            <family val="2"/>
          </rPr>
          <t>[Canalyst Toolkit]: One or more of the addresses referred to by this cell may no longer be correct. Please audit the formula to ensure it does what is intended.</t>
        </r>
      </text>
    </comment>
    <comment ref="E46" authorId="0" shapeId="0" xr:uid="{00000000-0006-0000-0200-00000F000000}">
      <text>
        <r>
          <rPr>
            <sz val="11"/>
            <rFont val="Calibri"/>
            <family val="2"/>
          </rPr>
          <t>[Canalyst Toolkit]: One or more of the addresses referred to by this cell may no longer be correct. Please audit the formula to ensure it does what is intended.</t>
        </r>
      </text>
    </comment>
    <comment ref="F46" authorId="0" shapeId="0" xr:uid="{00000000-0006-0000-0200-000010000000}">
      <text>
        <r>
          <rPr>
            <sz val="11"/>
            <rFont val="Calibri"/>
            <family val="2"/>
          </rPr>
          <t>[Canalyst Toolkit]: One or more of the addresses referred to by this cell may no longer be correct. Please audit the formula to ensure it does what is intended.</t>
        </r>
      </text>
    </comment>
    <comment ref="G46" authorId="0" shapeId="0" xr:uid="{00000000-0006-0000-0200-000011000000}">
      <text>
        <r>
          <rPr>
            <sz val="11"/>
            <rFont val="Calibri"/>
            <family val="2"/>
          </rPr>
          <t>[Canalyst Toolkit]: One or more of the addresses referred to by this cell may no longer be correct. Please audit the formula to ensure it does what is intended.</t>
        </r>
      </text>
    </comment>
    <comment ref="H46" authorId="0" shapeId="0" xr:uid="{00000000-0006-0000-0200-000012000000}">
      <text>
        <r>
          <rPr>
            <sz val="11"/>
            <rFont val="Calibri"/>
            <family val="2"/>
          </rPr>
          <t>[Canalyst Toolkit]: One or more of the addresses referred to by this cell may no longer be correct. Please audit the formula to ensure it does what is intended.</t>
        </r>
      </text>
    </comment>
    <comment ref="C62" authorId="0" shapeId="0" xr:uid="{00000000-0006-0000-0200-000013000000}">
      <text>
        <r>
          <rPr>
            <sz val="11"/>
            <rFont val="Calibri"/>
            <family val="2"/>
          </rPr>
          <t>[Canalyst Toolkit]: One or more of the addresses referred to by this cell may no longer be correct. Please audit the formula to ensure it does what is intended.</t>
        </r>
      </text>
    </comment>
    <comment ref="C63" authorId="0" shapeId="0" xr:uid="{00000000-0006-0000-0200-000014000000}">
      <text>
        <r>
          <rPr>
            <sz val="11"/>
            <rFont val="Calibri"/>
            <family val="2"/>
          </rPr>
          <t>[Canalyst Toolkit]: One or more of the addresses referred to by this cell may no longer be correct. Please audit the formula to ensure it does what is intended.</t>
        </r>
      </text>
    </comment>
    <comment ref="C64" authorId="0" shapeId="0" xr:uid="{00000000-0006-0000-0200-000015000000}">
      <text>
        <r>
          <rPr>
            <sz val="11"/>
            <rFont val="Calibri"/>
            <family val="2"/>
          </rPr>
          <t>[Canalyst Toolkit]: One or more of the addresses referred to by this cell may no longer be correct. Please audit the formula to ensure it does what is intended.</t>
        </r>
      </text>
    </comment>
    <comment ref="C65" authorId="0" shapeId="0" xr:uid="{00000000-0006-0000-0200-000016000000}">
      <text>
        <r>
          <rPr>
            <sz val="11"/>
            <rFont val="Calibri"/>
            <family val="2"/>
          </rPr>
          <t>[Canalyst Toolkit]: One or more of the addresses referred to by this cell may no longer be correct. Please audit the formula to ensure it does what is intended.</t>
        </r>
      </text>
    </comment>
    <comment ref="D65" authorId="0" shapeId="0" xr:uid="{00000000-0006-0000-0200-000017000000}">
      <text>
        <r>
          <rPr>
            <sz val="11"/>
            <rFont val="Calibri"/>
            <family val="2"/>
          </rPr>
          <t>[Canalyst Toolkit]: One or more of the addresses referred to by this cell may no longer be correct. Please audit the formula to ensure it does what is intended.</t>
        </r>
      </text>
    </comment>
    <comment ref="E65" authorId="0" shapeId="0" xr:uid="{00000000-0006-0000-0200-000018000000}">
      <text>
        <r>
          <rPr>
            <sz val="11"/>
            <rFont val="Calibri"/>
            <family val="2"/>
          </rPr>
          <t>[Canalyst Toolkit]: One or more of the addresses referred to by this cell may no longer be correct. Please audit the formula to ensure it does what is intended.</t>
        </r>
      </text>
    </comment>
    <comment ref="F65" authorId="0" shapeId="0" xr:uid="{00000000-0006-0000-0200-000019000000}">
      <text>
        <r>
          <rPr>
            <sz val="11"/>
            <rFont val="Calibri"/>
            <family val="2"/>
          </rPr>
          <t>[Canalyst Toolkit]: One or more of the addresses referred to by this cell may no longer be correct. Please audit the formula to ensure it does what is intended.</t>
        </r>
      </text>
    </comment>
    <comment ref="G65" authorId="0" shapeId="0" xr:uid="{00000000-0006-0000-0200-00001A000000}">
      <text>
        <r>
          <rPr>
            <sz val="11"/>
            <rFont val="Calibri"/>
            <family val="2"/>
          </rPr>
          <t>[Canalyst Toolkit]: One or more of the addresses referred to by this cell may no longer be correct. Please audit the formula to ensure it does what is intended.</t>
        </r>
      </text>
    </comment>
    <comment ref="H65" authorId="0" shapeId="0" xr:uid="{00000000-0006-0000-0200-00001B000000}">
      <text>
        <r>
          <rPr>
            <sz val="11"/>
            <rFont val="Calibri"/>
            <family val="2"/>
          </rPr>
          <t>[Canalyst Toolkit]: One or more of the addresses referred to by this cell may no longer be correct. Please audit the formula to ensure it does what is intended.</t>
        </r>
      </text>
    </comment>
    <comment ref="C66" authorId="0" shapeId="0" xr:uid="{00000000-0006-0000-0200-00001C000000}">
      <text>
        <r>
          <rPr>
            <sz val="11"/>
            <rFont val="Calibri"/>
            <family val="2"/>
          </rPr>
          <t>[Canalyst Toolkit]: One or more of the addresses referred to by this cell may no longer be correct. Please audit the formula to ensure it does what is intended.</t>
        </r>
      </text>
    </comment>
    <comment ref="D66" authorId="0" shapeId="0" xr:uid="{00000000-0006-0000-0200-00001D000000}">
      <text>
        <r>
          <rPr>
            <sz val="11"/>
            <rFont val="Calibri"/>
            <family val="2"/>
          </rPr>
          <t>[Canalyst Toolkit]: One or more of the addresses referred to by this cell may no longer be correct. Please audit the formula to ensure it does what is intended.</t>
        </r>
      </text>
    </comment>
    <comment ref="E66" authorId="0" shapeId="0" xr:uid="{00000000-0006-0000-0200-00001E000000}">
      <text>
        <r>
          <rPr>
            <sz val="11"/>
            <rFont val="Calibri"/>
            <family val="2"/>
          </rPr>
          <t>[Canalyst Toolkit]: One or more of the addresses referred to by this cell may no longer be correct. Please audit the formula to ensure it does what is intended.</t>
        </r>
      </text>
    </comment>
    <comment ref="F66" authorId="0" shapeId="0" xr:uid="{00000000-0006-0000-0200-00001F000000}">
      <text>
        <r>
          <rPr>
            <sz val="11"/>
            <rFont val="Calibri"/>
            <family val="2"/>
          </rPr>
          <t>[Canalyst Toolkit]: One or more of the addresses referred to by this cell may no longer be correct. Please audit the formula to ensure it does what is intended.</t>
        </r>
      </text>
    </comment>
    <comment ref="G66" authorId="0" shapeId="0" xr:uid="{00000000-0006-0000-0200-000020000000}">
      <text>
        <r>
          <rPr>
            <sz val="11"/>
            <rFont val="Calibri"/>
            <family val="2"/>
          </rPr>
          <t>[Canalyst Toolkit]: One or more of the addresses referred to by this cell may no longer be correct. Please audit the formula to ensure it does what is intended.</t>
        </r>
      </text>
    </comment>
    <comment ref="H66" authorId="0" shapeId="0" xr:uid="{00000000-0006-0000-0200-000021000000}">
      <text>
        <r>
          <rPr>
            <sz val="11"/>
            <rFont val="Calibri"/>
            <family val="2"/>
          </rPr>
          <t>[Canalyst Toolkit]: One or more of the addresses referred to by this cell may no longer be correct. Please audit the formula to ensure it does what is intended.</t>
        </r>
      </text>
    </comment>
    <comment ref="D71" authorId="0" shapeId="0" xr:uid="{00000000-0006-0000-0200-000022000000}">
      <text>
        <r>
          <rPr>
            <sz val="11"/>
            <rFont val="Calibri"/>
            <family val="2"/>
          </rPr>
          <t>[Canalyst Toolkit]: One or more of the addresses referred to by this cell may no longer be correct. Please audit the formula to ensure it does what is intended.</t>
        </r>
      </text>
    </comment>
    <comment ref="E71" authorId="0" shapeId="0" xr:uid="{00000000-0006-0000-0200-000023000000}">
      <text>
        <r>
          <rPr>
            <sz val="11"/>
            <rFont val="Calibri"/>
            <family val="2"/>
          </rPr>
          <t>[Canalyst Toolkit]: One or more of the addresses referred to by this cell may no longer be correct. Please audit the formula to ensure it does what is intended.</t>
        </r>
      </text>
    </comment>
    <comment ref="F71" authorId="0" shapeId="0" xr:uid="{00000000-0006-0000-0200-000024000000}">
      <text>
        <r>
          <rPr>
            <sz val="11"/>
            <rFont val="Calibri"/>
            <family val="2"/>
          </rPr>
          <t>[Canalyst Toolkit]: One or more of the addresses referred to by this cell may no longer be correct. Please audit the formula to ensure it does what is intended.</t>
        </r>
      </text>
    </comment>
    <comment ref="G71" authorId="0" shapeId="0" xr:uid="{00000000-0006-0000-0200-000025000000}">
      <text>
        <r>
          <rPr>
            <sz val="11"/>
            <rFont val="Calibri"/>
            <family val="2"/>
          </rPr>
          <t>[Canalyst Toolkit]: One or more of the addresses referred to by this cell may no longer be correct. Please audit the formula to ensure it does what is intended.</t>
        </r>
      </text>
    </comment>
    <comment ref="H71" authorId="0" shapeId="0" xr:uid="{00000000-0006-0000-0200-000026000000}">
      <text>
        <r>
          <rPr>
            <sz val="11"/>
            <rFont val="Calibri"/>
            <family val="2"/>
          </rPr>
          <t>[Canalyst Toolkit]: One or more of the addresses referred to by this cell may no longer be correct. Please audit the formula to ensure it does what is intended.</t>
        </r>
      </text>
    </comment>
    <comment ref="I71" authorId="0" shapeId="0" xr:uid="{00000000-0006-0000-0200-000027000000}">
      <text>
        <r>
          <rPr>
            <sz val="11"/>
            <rFont val="Calibri"/>
            <family val="2"/>
          </rPr>
          <t>[Canalyst Toolkit]: One or more of the addresses referred to by this cell may no longer be correct. Please audit the formula to ensure it does what is intended.</t>
        </r>
      </text>
    </comment>
    <comment ref="J71" authorId="0" shapeId="0" xr:uid="{00000000-0006-0000-0200-000028000000}">
      <text>
        <r>
          <rPr>
            <sz val="11"/>
            <rFont val="Calibri"/>
            <family val="2"/>
          </rPr>
          <t>[Canalyst Toolkit]: One or more of the addresses referred to by this cell may no longer be correct. Please audit the formula to ensure it does what is intended.</t>
        </r>
      </text>
    </comment>
    <comment ref="K71" authorId="0" shapeId="0" xr:uid="{00000000-0006-0000-0200-000029000000}">
      <text>
        <r>
          <rPr>
            <sz val="11"/>
            <rFont val="Calibri"/>
            <family val="2"/>
          </rPr>
          <t>[Canalyst Toolkit]: One or more of the addresses referred to by this cell may no longer be correct. Please audit the formula to ensure it does what is intended.</t>
        </r>
      </text>
    </comment>
    <comment ref="L71" authorId="0" shapeId="0" xr:uid="{00000000-0006-0000-0200-00002A000000}">
      <text>
        <r>
          <rPr>
            <sz val="11"/>
            <rFont val="Calibri"/>
            <family val="2"/>
          </rPr>
          <t>[Canalyst Toolkit]: One or more of the addresses referred to by this cell may no longer be correct. Please audit the formula to ensure it does what is intended.</t>
        </r>
      </text>
    </comment>
    <comment ref="M71" authorId="0" shapeId="0" xr:uid="{00000000-0006-0000-0200-00002B000000}">
      <text>
        <r>
          <rPr>
            <sz val="11"/>
            <rFont val="Calibri"/>
            <family val="2"/>
          </rPr>
          <t>[Canalyst Toolkit]: One or more of the addresses referred to by this cell may no longer be correct. Please audit the formula to ensure it does what is intended.</t>
        </r>
      </text>
    </comment>
    <comment ref="D72" authorId="0" shapeId="0" xr:uid="{00000000-0006-0000-0200-00002C000000}">
      <text>
        <r>
          <rPr>
            <sz val="11"/>
            <rFont val="Calibri"/>
            <family val="2"/>
          </rPr>
          <t>[Canalyst Toolkit]: One or more of the addresses referred to by this cell may no longer be correct. Please audit the formula to ensure it does what is intended.</t>
        </r>
      </text>
    </comment>
    <comment ref="E72" authorId="0" shapeId="0" xr:uid="{00000000-0006-0000-0200-00002D000000}">
      <text>
        <r>
          <rPr>
            <sz val="11"/>
            <rFont val="Calibri"/>
            <family val="2"/>
          </rPr>
          <t>[Canalyst Toolkit]: One or more of the addresses referred to by this cell may no longer be correct. Please audit the formula to ensure it does what is intended.</t>
        </r>
      </text>
    </comment>
    <comment ref="F72" authorId="0" shapeId="0" xr:uid="{00000000-0006-0000-0200-00002E000000}">
      <text>
        <r>
          <rPr>
            <sz val="11"/>
            <rFont val="Calibri"/>
            <family val="2"/>
          </rPr>
          <t>[Canalyst Toolkit]: One or more of the addresses referred to by this cell may no longer be correct. Please audit the formula to ensure it does what is intended.</t>
        </r>
      </text>
    </comment>
    <comment ref="G72" authorId="0" shapeId="0" xr:uid="{00000000-0006-0000-0200-00002F000000}">
      <text>
        <r>
          <rPr>
            <sz val="11"/>
            <rFont val="Calibri"/>
            <family val="2"/>
          </rPr>
          <t>[Canalyst Toolkit]: One or more of the addresses referred to by this cell may no longer be correct. Please audit the formula to ensure it does what is intended.</t>
        </r>
      </text>
    </comment>
    <comment ref="H72" authorId="0" shapeId="0" xr:uid="{00000000-0006-0000-0200-000030000000}">
      <text>
        <r>
          <rPr>
            <sz val="11"/>
            <rFont val="Calibri"/>
            <family val="2"/>
          </rPr>
          <t>[Canalyst Toolkit]: One or more of the addresses referred to by this cell may no longer be correct. Please audit the formula to ensure it does what is intended.</t>
        </r>
      </text>
    </comment>
    <comment ref="I72" authorId="0" shapeId="0" xr:uid="{00000000-0006-0000-0200-000031000000}">
      <text>
        <r>
          <rPr>
            <sz val="11"/>
            <rFont val="Calibri"/>
            <family val="2"/>
          </rPr>
          <t>[Canalyst Toolkit]: One or more of the addresses referred to by this cell may no longer be correct. Please audit the formula to ensure it does what is intended.</t>
        </r>
      </text>
    </comment>
    <comment ref="J72" authorId="0" shapeId="0" xr:uid="{00000000-0006-0000-0200-000032000000}">
      <text>
        <r>
          <rPr>
            <sz val="11"/>
            <rFont val="Calibri"/>
            <family val="2"/>
          </rPr>
          <t>[Canalyst Toolkit]: One or more of the addresses referred to by this cell may no longer be correct. Please audit the formula to ensure it does what is intended.</t>
        </r>
      </text>
    </comment>
    <comment ref="K72" authorId="0" shapeId="0" xr:uid="{00000000-0006-0000-0200-000033000000}">
      <text>
        <r>
          <rPr>
            <sz val="11"/>
            <rFont val="Calibri"/>
            <family val="2"/>
          </rPr>
          <t>[Canalyst Toolkit]: One or more of the addresses referred to by this cell may no longer be correct. Please audit the formula to ensure it does what is intended.</t>
        </r>
      </text>
    </comment>
    <comment ref="L72" authorId="0" shapeId="0" xr:uid="{00000000-0006-0000-0200-000034000000}">
      <text>
        <r>
          <rPr>
            <sz val="11"/>
            <rFont val="Calibri"/>
            <family val="2"/>
          </rPr>
          <t>[Canalyst Toolkit]: One or more of the addresses referred to by this cell may no longer be correct. Please audit the formula to ensure it does what is intended.</t>
        </r>
      </text>
    </comment>
    <comment ref="M72" authorId="0" shapeId="0" xr:uid="{00000000-0006-0000-0200-000035000000}">
      <text>
        <r>
          <rPr>
            <sz val="11"/>
            <rFont val="Calibri"/>
            <family val="2"/>
          </rPr>
          <t>[Canalyst Toolkit]: One or more of the addresses referred to by this cell may no longer be correct. Please audit the formula to ensure it does what is intended.</t>
        </r>
      </text>
    </comment>
    <comment ref="D73" authorId="0" shapeId="0" xr:uid="{00000000-0006-0000-0200-000036000000}">
      <text>
        <r>
          <rPr>
            <sz val="11"/>
            <rFont val="Calibri"/>
            <family val="2"/>
          </rPr>
          <t>[Canalyst Toolkit]: One or more of the addresses referred to by this cell may no longer be correct. Please audit the formula to ensure it does what is intended.</t>
        </r>
      </text>
    </comment>
    <comment ref="E73" authorId="0" shapeId="0" xr:uid="{00000000-0006-0000-0200-000037000000}">
      <text>
        <r>
          <rPr>
            <sz val="11"/>
            <rFont val="Calibri"/>
            <family val="2"/>
          </rPr>
          <t>[Canalyst Toolkit]: One or more of the addresses referred to by this cell may no longer be correct. Please audit the formula to ensure it does what is intended.</t>
        </r>
      </text>
    </comment>
    <comment ref="F73" authorId="0" shapeId="0" xr:uid="{00000000-0006-0000-0200-000038000000}">
      <text>
        <r>
          <rPr>
            <sz val="11"/>
            <rFont val="Calibri"/>
            <family val="2"/>
          </rPr>
          <t>[Canalyst Toolkit]: One or more of the addresses referred to by this cell may no longer be correct. Please audit the formula to ensure it does what is intended.</t>
        </r>
      </text>
    </comment>
    <comment ref="G73" authorId="0" shapeId="0" xr:uid="{00000000-0006-0000-0200-000039000000}">
      <text>
        <r>
          <rPr>
            <sz val="11"/>
            <rFont val="Calibri"/>
            <family val="2"/>
          </rPr>
          <t>[Canalyst Toolkit]: One or more of the addresses referred to by this cell may no longer be correct. Please audit the formula to ensure it does what is intended.</t>
        </r>
      </text>
    </comment>
    <comment ref="H73" authorId="0" shapeId="0" xr:uid="{00000000-0006-0000-0200-00003A000000}">
      <text>
        <r>
          <rPr>
            <sz val="11"/>
            <rFont val="Calibri"/>
            <family val="2"/>
          </rPr>
          <t>[Canalyst Toolkit]: One or more of the addresses referred to by this cell may no longer be correct. Please audit the formula to ensure it does what is intended.</t>
        </r>
      </text>
    </comment>
    <comment ref="I73" authorId="0" shapeId="0" xr:uid="{00000000-0006-0000-0200-00003B000000}">
      <text>
        <r>
          <rPr>
            <sz val="11"/>
            <rFont val="Calibri"/>
            <family val="2"/>
          </rPr>
          <t>[Canalyst Toolkit]: One or more of the addresses referred to by this cell may no longer be correct. Please audit the formula to ensure it does what is intended.</t>
        </r>
      </text>
    </comment>
    <comment ref="J73" authorId="0" shapeId="0" xr:uid="{00000000-0006-0000-0200-00003C000000}">
      <text>
        <r>
          <rPr>
            <sz val="11"/>
            <rFont val="Calibri"/>
            <family val="2"/>
          </rPr>
          <t>[Canalyst Toolkit]: One or more of the addresses referred to by this cell may no longer be correct. Please audit the formula to ensure it does what is intended.</t>
        </r>
      </text>
    </comment>
    <comment ref="K73" authorId="0" shapeId="0" xr:uid="{00000000-0006-0000-0200-00003D000000}">
      <text>
        <r>
          <rPr>
            <sz val="11"/>
            <rFont val="Calibri"/>
            <family val="2"/>
          </rPr>
          <t>[Canalyst Toolkit]: One or more of the addresses referred to by this cell may no longer be correct. Please audit the formula to ensure it does what is intended.</t>
        </r>
      </text>
    </comment>
    <comment ref="L73" authorId="0" shapeId="0" xr:uid="{00000000-0006-0000-0200-00003E000000}">
      <text>
        <r>
          <rPr>
            <sz val="11"/>
            <rFont val="Calibri"/>
            <family val="2"/>
          </rPr>
          <t>[Canalyst Toolkit]: One or more of the addresses referred to by this cell may no longer be correct. Please audit the formula to ensure it does what is intended.</t>
        </r>
      </text>
    </comment>
    <comment ref="M73" authorId="0" shapeId="0" xr:uid="{00000000-0006-0000-0200-00003F000000}">
      <text>
        <r>
          <rPr>
            <sz val="11"/>
            <rFont val="Calibri"/>
            <family val="2"/>
          </rPr>
          <t>[Canalyst Toolkit]: One or more of the addresses referred to by this cell may no longer be correct. Please audit the formula to ensure it does what is intended.</t>
        </r>
      </text>
    </comment>
    <comment ref="I80" authorId="0" shapeId="0" xr:uid="{00000000-0006-0000-0200-000040000000}">
      <text>
        <r>
          <rPr>
            <sz val="11"/>
            <rFont val="Calibri"/>
            <family val="2"/>
          </rPr>
          <t>[Canalyst Toolkit]: One or more of the addresses referred to by this cell may no longer be correct. Please audit the formula to ensure it does what is intended.</t>
        </r>
      </text>
    </comment>
    <comment ref="J80" authorId="0" shapeId="0" xr:uid="{00000000-0006-0000-0200-000041000000}">
      <text>
        <r>
          <rPr>
            <sz val="11"/>
            <rFont val="Calibri"/>
            <family val="2"/>
          </rPr>
          <t>[Canalyst Toolkit]: One or more of the addresses referred to by this cell may no longer be correct. Please audit the formula to ensure it does what is intended.</t>
        </r>
      </text>
    </comment>
    <comment ref="K80" authorId="0" shapeId="0" xr:uid="{00000000-0006-0000-0200-000042000000}">
      <text>
        <r>
          <rPr>
            <sz val="11"/>
            <rFont val="Calibri"/>
            <family val="2"/>
          </rPr>
          <t>[Canalyst Toolkit]: One or more of the addresses referred to by this cell may no longer be correct. Please audit the formula to ensure it does what is intended.</t>
        </r>
      </text>
    </comment>
    <comment ref="L80" authorId="0" shapeId="0" xr:uid="{00000000-0006-0000-0200-000043000000}">
      <text>
        <r>
          <rPr>
            <sz val="11"/>
            <rFont val="Calibri"/>
            <family val="2"/>
          </rPr>
          <t>[Canalyst Toolkit]: One or more of the addresses referred to by this cell may no longer be correct. Please audit the formula to ensure it does what is intended.</t>
        </r>
      </text>
    </comment>
    <comment ref="M80" authorId="0" shapeId="0" xr:uid="{00000000-0006-0000-0200-000044000000}">
      <text>
        <r>
          <rPr>
            <sz val="11"/>
            <rFont val="Calibri"/>
            <family val="2"/>
          </rPr>
          <t>[Canalyst Toolkit]: One or more of the addresses referred to by this cell may no longer be correct. Please audit the formula to ensure it does what is intended.</t>
        </r>
      </text>
    </comment>
    <comment ref="I83" authorId="0" shapeId="0" xr:uid="{00000000-0006-0000-0200-000045000000}">
      <text>
        <r>
          <rPr>
            <sz val="11"/>
            <rFont val="Calibri"/>
            <family val="2"/>
          </rPr>
          <t>[Canalyst Toolkit]: One or more of the addresses referred to by this cell may no longer be correct. Please audit the formula to ensure it does what is intended.</t>
        </r>
      </text>
    </comment>
    <comment ref="J83" authorId="0" shapeId="0" xr:uid="{00000000-0006-0000-0200-000046000000}">
      <text>
        <r>
          <rPr>
            <sz val="11"/>
            <rFont val="Calibri"/>
            <family val="2"/>
          </rPr>
          <t>[Canalyst Toolkit]: One or more of the addresses referred to by this cell may no longer be correct. Please audit the formula to ensure it does what is intended.</t>
        </r>
      </text>
    </comment>
    <comment ref="K83" authorId="0" shapeId="0" xr:uid="{00000000-0006-0000-0200-000047000000}">
      <text>
        <r>
          <rPr>
            <sz val="11"/>
            <rFont val="Calibri"/>
            <family val="2"/>
          </rPr>
          <t>[Canalyst Toolkit]: One or more of the addresses referred to by this cell may no longer be correct. Please audit the formula to ensure it does what is intended.</t>
        </r>
      </text>
    </comment>
    <comment ref="L83" authorId="0" shapeId="0" xr:uid="{00000000-0006-0000-0200-000048000000}">
      <text>
        <r>
          <rPr>
            <sz val="11"/>
            <rFont val="Calibri"/>
            <family val="2"/>
          </rPr>
          <t>[Canalyst Toolkit]: One or more of the addresses referred to by this cell may no longer be correct. Please audit the formula to ensure it does what is intended.</t>
        </r>
      </text>
    </comment>
    <comment ref="M83" authorId="0" shapeId="0" xr:uid="{00000000-0006-0000-0200-000049000000}">
      <text>
        <r>
          <rPr>
            <sz val="11"/>
            <rFont val="Calibri"/>
            <family val="2"/>
          </rPr>
          <t>[Canalyst Toolkit]: One or more of the addresses referred to by this cell may no longer be correct. Please audit the formula to ensure it does what is intended.</t>
        </r>
      </text>
    </comment>
    <comment ref="M86" authorId="0" shapeId="0" xr:uid="{00000000-0006-0000-0200-00004A000000}">
      <text>
        <r>
          <rPr>
            <sz val="11"/>
            <rFont val="Calibri"/>
            <family val="2"/>
          </rPr>
          <t>[Canalyst Toolkit]: One or more of the addresses referred to by this cell may no longer be correct. Please audit the formula to ensure it does what is intended.</t>
        </r>
      </text>
    </comment>
    <comment ref="C93" authorId="0" shapeId="0" xr:uid="{00000000-0006-0000-0200-00004B000000}">
      <text>
        <r>
          <rPr>
            <sz val="11"/>
            <rFont val="Calibri"/>
            <family val="2"/>
          </rPr>
          <t>[Canalyst Toolkit]: One or more of the addresses referred to by this cell may no longer be correct. Please audit the formula to ensure it does what is intended.</t>
        </r>
      </text>
    </comment>
    <comment ref="D93" authorId="0" shapeId="0" xr:uid="{00000000-0006-0000-0200-00004C000000}">
      <text>
        <r>
          <rPr>
            <sz val="11"/>
            <rFont val="Calibri"/>
            <family val="2"/>
          </rPr>
          <t>[Canalyst Toolkit]: One or more of the addresses referred to by this cell may no longer be correct. Please audit the formula to ensure it does what is intended.</t>
        </r>
      </text>
    </comment>
    <comment ref="E93" authorId="0" shapeId="0" xr:uid="{00000000-0006-0000-0200-00004D000000}">
      <text>
        <r>
          <rPr>
            <sz val="11"/>
            <rFont val="Calibri"/>
            <family val="2"/>
          </rPr>
          <t>[Canalyst Toolkit]: One or more of the addresses referred to by this cell may no longer be correct. Please audit the formula to ensure it does what is intended.</t>
        </r>
      </text>
    </comment>
    <comment ref="F93" authorId="0" shapeId="0" xr:uid="{00000000-0006-0000-0200-00004E000000}">
      <text>
        <r>
          <rPr>
            <sz val="11"/>
            <rFont val="Calibri"/>
            <family val="2"/>
          </rPr>
          <t>[Canalyst Toolkit]: One or more of the addresses referred to by this cell may no longer be correct. Please audit the formula to ensure it does what is intended.</t>
        </r>
      </text>
    </comment>
    <comment ref="G93" authorId="0" shapeId="0" xr:uid="{00000000-0006-0000-0200-00004F000000}">
      <text>
        <r>
          <rPr>
            <sz val="11"/>
            <rFont val="Calibri"/>
            <family val="2"/>
          </rPr>
          <t>[Canalyst Toolkit]: One or more of the addresses referred to by this cell may no longer be correct. Please audit the formula to ensure it does what is intended.</t>
        </r>
      </text>
    </comment>
    <comment ref="H93" authorId="0" shapeId="0" xr:uid="{00000000-0006-0000-0200-000050000000}">
      <text>
        <r>
          <rPr>
            <sz val="11"/>
            <rFont val="Calibri"/>
            <family val="2"/>
          </rPr>
          <t>[Canalyst Toolkit]: One or more of the addresses referred to by this cell may no longer be correct. Please audit the formula to ensure it does what is intended.</t>
        </r>
      </text>
    </comment>
    <comment ref="D97" authorId="0" shapeId="0" xr:uid="{00000000-0006-0000-0200-000051000000}">
      <text>
        <r>
          <rPr>
            <sz val="11"/>
            <rFont val="Calibri"/>
            <family val="2"/>
          </rPr>
          <t>[Canalyst Toolkit]: One or more of the addresses referred to by this cell may no longer be correct. Please audit the formula to ensure it does what is intended.</t>
        </r>
      </text>
    </comment>
    <comment ref="E97" authorId="0" shapeId="0" xr:uid="{00000000-0006-0000-0200-000052000000}">
      <text>
        <r>
          <rPr>
            <sz val="11"/>
            <rFont val="Calibri"/>
            <family val="2"/>
          </rPr>
          <t>[Canalyst Toolkit]: One or more of the addresses referred to by this cell may no longer be correct. Please audit the formula to ensure it does what is intended.</t>
        </r>
      </text>
    </comment>
    <comment ref="F97" authorId="0" shapeId="0" xr:uid="{00000000-0006-0000-0200-000053000000}">
      <text>
        <r>
          <rPr>
            <sz val="11"/>
            <rFont val="Calibri"/>
            <family val="2"/>
          </rPr>
          <t>[Canalyst Toolkit]: One or more of the addresses referred to by this cell may no longer be correct. Please audit the formula to ensure it does what is intended.</t>
        </r>
      </text>
    </comment>
    <comment ref="G97" authorId="0" shapeId="0" xr:uid="{00000000-0006-0000-0200-000054000000}">
      <text>
        <r>
          <rPr>
            <sz val="11"/>
            <rFont val="Calibri"/>
            <family val="2"/>
          </rPr>
          <t>[Canalyst Toolkit]: One or more of the addresses referred to by this cell may no longer be correct. Please audit the formula to ensure it does what is intended.</t>
        </r>
      </text>
    </comment>
    <comment ref="H97" authorId="0" shapeId="0" xr:uid="{00000000-0006-0000-0200-000055000000}">
      <text>
        <r>
          <rPr>
            <sz val="11"/>
            <rFont val="Calibri"/>
            <family val="2"/>
          </rPr>
          <t>[Canalyst Toolkit]: One or more of the addresses referred to by this cell may no longer be correct. Please audit the formula to ensure it does what is intended.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Anil Shrivastava 1</author>
  </authors>
  <commentList>
    <comment ref="W42" authorId="0" shapeId="0" xr:uid="{00000000-0006-0000-0300-000001000000}">
      <text>
        <r>
          <rPr>
            <sz val="11"/>
            <rFont val="Calibri"/>
            <family val="2"/>
          </rPr>
          <t>[Canalyst Toolkit]: One or more of the addresses referred to by this cell may no longer be correct. Please audit the formula to ensure it does what is intended.</t>
        </r>
      </text>
    </comment>
    <comment ref="X42" authorId="0" shapeId="0" xr:uid="{00000000-0006-0000-0300-000002000000}">
      <text>
        <r>
          <rPr>
            <sz val="11"/>
            <rFont val="Calibri"/>
            <family val="2"/>
          </rPr>
          <t>[Canalyst Toolkit]: One or more of the addresses referred to by this cell may no longer be correct. Please audit the formula to ensure it does what is intended.</t>
        </r>
      </text>
    </comment>
    <comment ref="D115" authorId="0" shapeId="0" xr:uid="{00000000-0006-0000-0300-000003000000}">
      <text>
        <r>
          <rPr>
            <sz val="11"/>
            <rFont val="Calibri"/>
            <family val="2"/>
          </rPr>
          <t>[Canalyst Toolkit]: One or more of the addresses referred to by this cell may no longer be correct. Please audit the formula to ensure it does what is intended.</t>
        </r>
      </text>
    </comment>
    <comment ref="E115" authorId="0" shapeId="0" xr:uid="{00000000-0006-0000-0300-000004000000}">
      <text>
        <r>
          <rPr>
            <sz val="11"/>
            <rFont val="Calibri"/>
            <family val="2"/>
          </rPr>
          <t>[Canalyst Toolkit]: One or more of the addresses referred to by this cell may no longer be correct. Please audit the formula to ensure it does what is intended.</t>
        </r>
      </text>
    </comment>
    <comment ref="F115" authorId="0" shapeId="0" xr:uid="{00000000-0006-0000-0300-000005000000}">
      <text>
        <r>
          <rPr>
            <sz val="11"/>
            <rFont val="Calibri"/>
            <family val="2"/>
          </rPr>
          <t>[Canalyst Toolkit]: One or more of the addresses referred to by this cell may no longer be correct. Please audit the formula to ensure it does what is intended.</t>
        </r>
      </text>
    </comment>
    <comment ref="G115" authorId="0" shapeId="0" xr:uid="{00000000-0006-0000-0300-000006000000}">
      <text>
        <r>
          <rPr>
            <sz val="11"/>
            <rFont val="Calibri"/>
            <family val="2"/>
          </rPr>
          <t>[Canalyst Toolkit]: One or more of the addresses referred to by this cell may no longer be correct. Please audit the formula to ensure it does what is intended.</t>
        </r>
      </text>
    </comment>
    <comment ref="H115" authorId="0" shapeId="0" xr:uid="{00000000-0006-0000-0300-000007000000}">
      <text>
        <r>
          <rPr>
            <sz val="11"/>
            <rFont val="Calibri"/>
            <family val="2"/>
          </rPr>
          <t>[Canalyst Toolkit]: One or more of the addresses referred to by this cell may no longer be correct. Please audit the formula to ensure it does what is intended.</t>
        </r>
      </text>
    </comment>
    <comment ref="I115" authorId="0" shapeId="0" xr:uid="{00000000-0006-0000-0300-000008000000}">
      <text>
        <r>
          <rPr>
            <sz val="11"/>
            <rFont val="Calibri"/>
            <family val="2"/>
          </rPr>
          <t>[Canalyst Toolkit]: One or more of the addresses referred to by this cell may no longer be correct. Please audit the formula to ensure it does what is intended.</t>
        </r>
      </text>
    </comment>
    <comment ref="J115" authorId="0" shapeId="0" xr:uid="{00000000-0006-0000-0300-000009000000}">
      <text>
        <r>
          <rPr>
            <sz val="11"/>
            <rFont val="Calibri"/>
            <family val="2"/>
          </rPr>
          <t>[Canalyst Toolkit]: One or more of the addresses referred to by this cell may no longer be correct. Please audit the formula to ensure it does what is intended.</t>
        </r>
      </text>
    </comment>
    <comment ref="K115" authorId="0" shapeId="0" xr:uid="{00000000-0006-0000-0300-00000A000000}">
      <text>
        <r>
          <rPr>
            <sz val="11"/>
            <rFont val="Calibri"/>
            <family val="2"/>
          </rPr>
          <t>[Canalyst Toolkit]: One or more of the addresses referred to by this cell may no longer be correct. Please audit the formula to ensure it does what is intended.</t>
        </r>
      </text>
    </comment>
    <comment ref="L115" authorId="0" shapeId="0" xr:uid="{00000000-0006-0000-0300-00000B000000}">
      <text>
        <r>
          <rPr>
            <sz val="11"/>
            <rFont val="Calibri"/>
            <family val="2"/>
          </rPr>
          <t>[Canalyst Toolkit]: One or more of the addresses referred to by this cell may no longer be correct. Please audit the formula to ensure it does what is intended.</t>
        </r>
      </text>
    </comment>
    <comment ref="M115" authorId="0" shapeId="0" xr:uid="{00000000-0006-0000-0300-00000C000000}">
      <text>
        <r>
          <rPr>
            <sz val="11"/>
            <rFont val="Calibri"/>
            <family val="2"/>
          </rPr>
          <t>[Canalyst Toolkit]: One or more of the addresses referred to by this cell may no longer be correct. Please audit the formula to ensure it does what is intended.</t>
        </r>
      </text>
    </comment>
    <comment ref="N115" authorId="0" shapeId="0" xr:uid="{00000000-0006-0000-0300-00000D000000}">
      <text>
        <r>
          <rPr>
            <sz val="11"/>
            <rFont val="Calibri"/>
            <family val="2"/>
          </rPr>
          <t>[Canalyst Toolkit]: One or more of the addresses referred to by this cell may no longer be correct. Please audit the formula to ensure it does what is intended.</t>
        </r>
      </text>
    </comment>
    <comment ref="O115" authorId="0" shapeId="0" xr:uid="{00000000-0006-0000-0300-00000E000000}">
      <text>
        <r>
          <rPr>
            <sz val="11"/>
            <rFont val="Calibri"/>
            <family val="2"/>
          </rPr>
          <t>[Canalyst Toolkit]: One or more of the addresses referred to by this cell may no longer be correct. Please audit the formula to ensure it does what is intended.</t>
        </r>
      </text>
    </comment>
    <comment ref="P115" authorId="0" shapeId="0" xr:uid="{00000000-0006-0000-0300-00000F000000}">
      <text>
        <r>
          <rPr>
            <sz val="11"/>
            <rFont val="Calibri"/>
            <family val="2"/>
          </rPr>
          <t>[Canalyst Toolkit]: One or more of the addresses referred to by this cell may no longer be correct. Please audit the formula to ensure it does what is intended.</t>
        </r>
      </text>
    </comment>
    <comment ref="Q115" authorId="0" shapeId="0" xr:uid="{00000000-0006-0000-0300-000010000000}">
      <text>
        <r>
          <rPr>
            <sz val="11"/>
            <rFont val="Calibri"/>
            <family val="2"/>
          </rPr>
          <t>[Canalyst Toolkit]: One or more of the addresses referred to by this cell may no longer be correct. Please audit the formula to ensure it does what is intended.</t>
        </r>
      </text>
    </comment>
    <comment ref="R115" authorId="0" shapeId="0" xr:uid="{00000000-0006-0000-0300-000011000000}">
      <text>
        <r>
          <rPr>
            <sz val="11"/>
            <rFont val="Calibri"/>
            <family val="2"/>
          </rPr>
          <t>[Canalyst Toolkit]: One or more of the addresses referred to by this cell may no longer be correct. Please audit the formula to ensure it does what is intended.</t>
        </r>
      </text>
    </comment>
    <comment ref="S115" authorId="0" shapeId="0" xr:uid="{00000000-0006-0000-0300-000012000000}">
      <text>
        <r>
          <rPr>
            <sz val="11"/>
            <rFont val="Calibri"/>
            <family val="2"/>
          </rPr>
          <t>[Canalyst Toolkit]: One or more of the addresses referred to by this cell may no longer be correct. Please audit the formula to ensure it does what is intended.</t>
        </r>
      </text>
    </comment>
    <comment ref="T115" authorId="0" shapeId="0" xr:uid="{00000000-0006-0000-0300-000013000000}">
      <text>
        <r>
          <rPr>
            <sz val="11"/>
            <rFont val="Calibri"/>
            <family val="2"/>
          </rPr>
          <t>[Canalyst Toolkit]: One or more of the addresses referred to by this cell may no longer be correct. Please audit the formula to ensure it does what is intended.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Anil Shrivastava 1</author>
  </authors>
  <commentList>
    <comment ref="G263" authorId="0" shapeId="0" xr:uid="{00000000-0006-0000-0400-000001000000}">
      <text>
        <r>
          <rPr>
            <sz val="11"/>
            <rFont val="Calibri"/>
            <family val="2"/>
          </rPr>
          <t>[Canalyst Toolkit]: One or more of the addresses referred to by this cell may no longer be correct. Please audit the formula to ensure it does what is intended.</t>
        </r>
      </text>
    </comment>
    <comment ref="G319" authorId="0" shapeId="0" xr:uid="{00000000-0006-0000-0400-000002000000}">
      <text>
        <r>
          <rPr>
            <sz val="11"/>
            <rFont val="Calibri"/>
            <family val="2"/>
          </rPr>
          <t>[Canalyst Toolkit]: One or more of the addresses referred to by this cell may no longer be correct. Please audit the formula to ensure it does what is intended.</t>
        </r>
      </text>
    </comment>
    <comment ref="G404" authorId="0" shapeId="0" xr:uid="{00000000-0006-0000-0400-000003000000}">
      <text>
        <r>
          <rPr>
            <sz val="11"/>
            <rFont val="Calibri"/>
            <family val="2"/>
          </rPr>
          <t>[Canalyst Toolkit]: One or more of the addresses referred to by this cell may no longer be correct. Please audit the formula to ensure it does what is intended.</t>
        </r>
      </text>
    </comment>
    <comment ref="G405" authorId="0" shapeId="0" xr:uid="{00000000-0006-0000-0400-000004000000}">
      <text>
        <r>
          <rPr>
            <sz val="11"/>
            <rFont val="Calibri"/>
            <family val="2"/>
          </rPr>
          <t>[Canalyst Toolkit]: One or more of the addresses referred to by this cell may no longer be correct. Please audit the formula to ensure it does what is intended.</t>
        </r>
      </text>
    </comment>
    <comment ref="G406" authorId="0" shapeId="0" xr:uid="{00000000-0006-0000-0400-000005000000}">
      <text>
        <r>
          <rPr>
            <sz val="11"/>
            <rFont val="Calibri"/>
            <family val="2"/>
          </rPr>
          <t>[Canalyst Toolkit]: One or more of the addresses referred to by this cell may no longer be correct. Please audit the formula to ensure it does what is intended.</t>
        </r>
      </text>
    </comment>
    <comment ref="G407" authorId="0" shapeId="0" xr:uid="{00000000-0006-0000-0400-000006000000}">
      <text>
        <r>
          <rPr>
            <sz val="11"/>
            <rFont val="Calibri"/>
            <family val="2"/>
          </rPr>
          <t>[Canalyst Toolkit]: One or more of the addresses referred to by this cell may no longer be correct. Please audit the formula to ensure it does what is intended.</t>
        </r>
      </text>
    </comment>
    <comment ref="G408" authorId="0" shapeId="0" xr:uid="{00000000-0006-0000-0400-000007000000}">
      <text>
        <r>
          <rPr>
            <sz val="11"/>
            <rFont val="Calibri"/>
            <family val="2"/>
          </rPr>
          <t>[Canalyst Toolkit]: One or more of the addresses referred to by this cell may no longer be correct. Please audit the formula to ensure it does what is intended.</t>
        </r>
      </text>
    </comment>
    <comment ref="G409" authorId="0" shapeId="0" xr:uid="{00000000-0006-0000-0400-000008000000}">
      <text>
        <r>
          <rPr>
            <sz val="11"/>
            <rFont val="Calibri"/>
            <family val="2"/>
          </rPr>
          <t>[Canalyst Toolkit]: One or more of the addresses referred to by this cell may no longer be correct. Please audit the formula to ensure it does what is intended.</t>
        </r>
      </text>
    </comment>
    <comment ref="G410" authorId="0" shapeId="0" xr:uid="{00000000-0006-0000-0400-000009000000}">
      <text>
        <r>
          <rPr>
            <sz val="11"/>
            <rFont val="Calibri"/>
            <family val="2"/>
          </rPr>
          <t>[Canalyst Toolkit]: One or more of the addresses referred to by this cell may no longer be correct. Please audit the formula to ensure it does what is intended.</t>
        </r>
      </text>
    </comment>
    <comment ref="G411" authorId="0" shapeId="0" xr:uid="{00000000-0006-0000-0400-00000A000000}">
      <text>
        <r>
          <rPr>
            <sz val="11"/>
            <rFont val="Calibri"/>
            <family val="2"/>
          </rPr>
          <t>[Canalyst Toolkit]: One or more of the addresses referred to by this cell may no longer be correct. Please audit the formula to ensure it does what is intended.</t>
        </r>
      </text>
    </comment>
    <comment ref="G412" authorId="0" shapeId="0" xr:uid="{00000000-0006-0000-0400-00000B000000}">
      <text>
        <r>
          <rPr>
            <sz val="11"/>
            <rFont val="Calibri"/>
            <family val="2"/>
          </rPr>
          <t>[Canalyst Toolkit]: One or more of the addresses referred to by this cell may no longer be correct. Please audit the formula to ensure it does what is intended.</t>
        </r>
      </text>
    </comment>
    <comment ref="G413" authorId="0" shapeId="0" xr:uid="{00000000-0006-0000-0400-00000C000000}">
      <text>
        <r>
          <rPr>
            <sz val="11"/>
            <rFont val="Calibri"/>
            <family val="2"/>
          </rPr>
          <t>[Canalyst Toolkit]: One or more of the addresses referred to by this cell may no longer be correct. Please audit the formula to ensure it does what is intended.</t>
        </r>
      </text>
    </comment>
    <comment ref="G414" authorId="0" shapeId="0" xr:uid="{00000000-0006-0000-0400-00000D000000}">
      <text>
        <r>
          <rPr>
            <sz val="11"/>
            <rFont val="Calibri"/>
            <family val="2"/>
          </rPr>
          <t>[Canalyst Toolkit]: One or more of the addresses referred to by this cell may no longer be correct. Please audit the formula to ensure it does what is intended.</t>
        </r>
      </text>
    </comment>
    <comment ref="G415" authorId="0" shapeId="0" xr:uid="{00000000-0006-0000-0400-00000E000000}">
      <text>
        <r>
          <rPr>
            <sz val="11"/>
            <rFont val="Calibri"/>
            <family val="2"/>
          </rPr>
          <t>[Canalyst Toolkit]: One or more of the addresses referred to by this cell may no longer be correct. Please audit the formula to ensure it does what is intended.</t>
        </r>
      </text>
    </comment>
    <comment ref="G416" authorId="0" shapeId="0" xr:uid="{00000000-0006-0000-0400-00000F000000}">
      <text>
        <r>
          <rPr>
            <sz val="11"/>
            <rFont val="Calibri"/>
            <family val="2"/>
          </rPr>
          <t>[Canalyst Toolkit]: One or more of the addresses referred to by this cell may no longer be correct. Please audit the formula to ensure it does what is intended.</t>
        </r>
      </text>
    </comment>
    <comment ref="G417" authorId="0" shapeId="0" xr:uid="{00000000-0006-0000-0400-000010000000}">
      <text>
        <r>
          <rPr>
            <sz val="11"/>
            <rFont val="Calibri"/>
            <family val="2"/>
          </rPr>
          <t>[Canalyst Toolkit]: One or more of the addresses referred to by this cell may no longer be correct. Please audit the formula to ensure it does what is intended.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Canalyst (JiF)</author>
    <author>Canalyst (CW)</author>
    <author>Canalyst (YiL)</author>
    <author>Canalyst (PZ)</author>
    <author>Canalyst (RH)</author>
    <author>Canalyst (TS)</author>
    <author>Anil Shrivastava 1</author>
    <author>Canalyst (JR)</author>
    <author>Canalyst (SC)</author>
    <author>Canalyst (BP)</author>
    <author>Canalyst (VS)</author>
  </authors>
  <commentList>
    <comment ref="AA2" authorId="0" shapeId="0" xr:uid="{363825F9-5559-4979-923B-EFB97F73059E}">
      <text>
        <r>
          <rPr>
            <b/>
            <sz val="9"/>
            <rFont val="Tahoma"/>
            <family val="2"/>
          </rPr>
          <t>Canalyst (SC):</t>
        </r>
        <r>
          <rPr>
            <sz val="9"/>
            <rFont val="Tahoma"/>
            <family val="2"/>
          </rPr>
          <t xml:space="preserve">
Restated income statement reflects the effect of adopting several new accounting policies adopted effective Jan 1, 2018.
No effect on CCFS or BS. </t>
        </r>
      </text>
    </comment>
    <comment ref="AB2" authorId="0" shapeId="0" xr:uid="{281C130E-E13D-4F9B-8409-D1308389C9FA}">
      <text>
        <r>
          <rPr>
            <b/>
            <sz val="9"/>
            <rFont val="Tahoma"/>
            <family val="2"/>
          </rPr>
          <t>Canalyst (SC):</t>
        </r>
        <r>
          <rPr>
            <sz val="9"/>
            <rFont val="Tahoma"/>
            <family val="2"/>
          </rPr>
          <t xml:space="preserve">
Restated income statement reflects the effect of adopting several new accounting policies adopted effective Jan 1, 2018.
No effect on CCFS or BS. </t>
        </r>
      </text>
    </comment>
    <comment ref="AC2" authorId="0" shapeId="0" xr:uid="{7CBAE980-60CE-4B54-AF75-79EC68DA94C7}">
      <text>
        <r>
          <rPr>
            <b/>
            <sz val="9"/>
            <rFont val="Tahoma"/>
            <family val="2"/>
          </rPr>
          <t>Canalyst (SC):</t>
        </r>
        <r>
          <rPr>
            <sz val="9"/>
            <rFont val="Tahoma"/>
            <family val="2"/>
          </rPr>
          <t xml:space="preserve">
Restated income statement reflects the effect of adopting several new accounting policies adopted effective Jan 1, 2018.
No effect on CCFS or BS. </t>
        </r>
      </text>
    </comment>
    <comment ref="AD2" authorId="0" shapeId="0" xr:uid="{184C0482-378C-45E9-96BD-22FE40673854}">
      <text>
        <r>
          <rPr>
            <b/>
            <sz val="9"/>
            <rFont val="Tahoma"/>
            <family val="2"/>
          </rPr>
          <t>Canalyst (SC):</t>
        </r>
        <r>
          <rPr>
            <sz val="9"/>
            <rFont val="Tahoma"/>
            <family val="2"/>
          </rPr>
          <t xml:space="preserve">
Restated income statement reflects the effect of adopting several new accounting policies adopted effective Jan 1, 2018.
No effect on CCFS or BS. </t>
        </r>
      </text>
    </comment>
    <comment ref="AE2" authorId="0" shapeId="0" xr:uid="{5DA57CF2-A48E-4DA4-83B5-5EE8A4D0D896}">
      <text>
        <r>
          <rPr>
            <b/>
            <sz val="9"/>
            <rFont val="Tahoma"/>
            <family val="2"/>
          </rPr>
          <t>Canalyst (SC):</t>
        </r>
        <r>
          <rPr>
            <sz val="9"/>
            <rFont val="Tahoma"/>
            <family val="2"/>
          </rPr>
          <t xml:space="preserve">
Restated income statement reflects the effect of adopting several new accounting policies adopted effective Jan 1, 2018.
No effect on CCFS or BS. </t>
        </r>
      </text>
    </comment>
    <comment ref="AK39" authorId="1" shapeId="0" xr:uid="{7F4B9FF3-3CE7-4E4C-BFB6-CB9A01CDF481}">
      <text>
        <r>
          <rPr>
            <b/>
            <sz val="9"/>
            <rFont val="Tahoma"/>
            <family val="2"/>
            <charset val="1"/>
          </rPr>
          <t>Canalyst (CW):</t>
        </r>
        <r>
          <rPr>
            <sz val="9"/>
            <rFont val="Tahoma"/>
            <family val="2"/>
            <charset val="1"/>
          </rPr>
          <t xml:space="preserve">
$12.2 mm of backlog was disposed of because of the divesture of the company's semiconductor business.</t>
        </r>
      </text>
    </comment>
    <comment ref="AN39" authorId="2" shapeId="0" xr:uid="{9C852D42-9763-444B-81B1-BCBB23D1FB41}">
      <text>
        <r>
          <rPr>
            <b/>
            <sz val="9"/>
            <rFont val="Tahoma"/>
            <family val="2"/>
          </rPr>
          <t>Canalyst (YiL):</t>
        </r>
        <r>
          <rPr>
            <sz val="9"/>
            <rFont val="Tahoma"/>
            <family val="2"/>
          </rPr>
          <t xml:space="preserve">
Including Test-Semiconductor
22.4 million backlog added due to acq. Of Diagnosys</t>
        </r>
      </text>
    </comment>
    <comment ref="AP39" authorId="3" shapeId="0" xr:uid="{A1B32D9E-845C-493E-AB0B-6EC2A8DB8490}">
      <text>
        <r>
          <rPr>
            <b/>
            <sz val="9"/>
            <rFont val="Tahoma"/>
            <family val="2"/>
          </rPr>
          <t>Canalyst (PZ):</t>
        </r>
        <r>
          <rPr>
            <sz val="9"/>
            <rFont val="Tahoma"/>
            <family val="2"/>
          </rPr>
          <t xml:space="preserve">
Including test-semiconductor</t>
        </r>
      </text>
    </comment>
    <comment ref="AK47" authorId="1" shapeId="0" xr:uid="{C736007F-47DC-42DE-9262-42D3D23B2025}">
      <text>
        <r>
          <rPr>
            <b/>
            <sz val="9"/>
            <rFont val="Tahoma"/>
            <family val="2"/>
          </rPr>
          <t>Canalyst (CW):</t>
        </r>
        <r>
          <rPr>
            <sz val="9"/>
            <rFont val="Tahoma"/>
            <family val="2"/>
          </rPr>
          <t xml:space="preserve">
Company began reporting adjusted income from operations during this quarter.</t>
        </r>
      </text>
    </comment>
    <comment ref="C51" authorId="0" shapeId="0" xr:uid="{00000000-0006-0000-0100-000001000000}">
      <text>
        <r>
          <rPr>
            <b/>
            <sz val="9"/>
            <rFont val="Tahoma"/>
            <family val="2"/>
          </rPr>
          <t>Canalyst (JiF):</t>
        </r>
        <r>
          <rPr>
            <sz val="9"/>
            <rFont val="Tahoma"/>
            <family val="2"/>
          </rPr>
          <t xml:space="preserve">
Includes contingent liability fair value adjustment</t>
        </r>
      </text>
    </comment>
    <comment ref="AP55" authorId="4" shapeId="0" xr:uid="{CD30C427-7C10-4207-BBAD-40B642EF76EB}">
      <text>
        <r>
          <rPr>
            <b/>
            <sz val="9"/>
            <rFont val="Tahoma"/>
            <family val="2"/>
            <charset val="1"/>
          </rPr>
          <t>Canalyst (RH):</t>
        </r>
        <r>
          <rPr>
            <sz val="9"/>
            <rFont val="Tahoma"/>
            <family val="2"/>
            <charset val="1"/>
          </rPr>
          <t xml:space="preserve">
not reported</t>
        </r>
      </text>
    </comment>
    <comment ref="AP56" authorId="4" shapeId="0" xr:uid="{F1E4AD45-E0A0-4C5D-8943-CDA2A430CE30}">
      <text>
        <r>
          <rPr>
            <b/>
            <sz val="9"/>
            <rFont val="Tahoma"/>
            <family val="2"/>
            <charset val="1"/>
          </rPr>
          <t>Canalyst (RH):</t>
        </r>
        <r>
          <rPr>
            <sz val="9"/>
            <rFont val="Tahoma"/>
            <family val="2"/>
            <charset val="1"/>
          </rPr>
          <t xml:space="preserve">
not reported</t>
        </r>
      </text>
    </comment>
    <comment ref="AN57" authorId="2" shapeId="0" xr:uid="{4156A6F5-55F8-48DA-9874-E741E7D16587}">
      <text>
        <r>
          <rPr>
            <b/>
            <sz val="9"/>
            <rFont val="Tahoma"/>
            <family val="2"/>
          </rPr>
          <t>Canalyst (YiL):</t>
        </r>
        <r>
          <rPr>
            <sz val="9"/>
            <rFont val="Tahoma"/>
            <family val="2"/>
          </rPr>
          <t xml:space="preserve">
Calculated based on reported Total and segment Adj. EBIT</t>
        </r>
      </text>
    </comment>
    <comment ref="AO57" authorId="2" shapeId="0" xr:uid="{7A24CA27-B850-4C63-AD57-03624CFFF92D}">
      <text>
        <r>
          <rPr>
            <b/>
            <sz val="9"/>
            <rFont val="Tahoma"/>
            <family val="2"/>
          </rPr>
          <t>Canalyst (YiL):</t>
        </r>
        <r>
          <rPr>
            <sz val="9"/>
            <rFont val="Tahoma"/>
            <family val="2"/>
          </rPr>
          <t xml:space="preserve">
Calculated based on reported Total and segment Adj. EBIT</t>
        </r>
      </text>
    </comment>
    <comment ref="AP57" authorId="4" shapeId="0" xr:uid="{D3BDF95F-0D68-454E-A606-F19DB7010D1E}">
      <text>
        <r>
          <rPr>
            <b/>
            <sz val="9"/>
            <rFont val="Tahoma"/>
            <family val="2"/>
            <charset val="1"/>
          </rPr>
          <t>Canalyst (RH):</t>
        </r>
        <r>
          <rPr>
            <sz val="9"/>
            <rFont val="Tahoma"/>
            <family val="2"/>
            <charset val="1"/>
          </rPr>
          <t xml:space="preserve">
not reported</t>
        </r>
      </text>
    </comment>
    <comment ref="AP58" authorId="4" shapeId="0" xr:uid="{3F85DE67-53E8-4756-AC93-6BE3C6015CC1}">
      <text>
        <r>
          <rPr>
            <b/>
            <sz val="9"/>
            <rFont val="Tahoma"/>
            <family val="2"/>
            <charset val="1"/>
          </rPr>
          <t>Canalyst (RH):</t>
        </r>
        <r>
          <rPr>
            <sz val="9"/>
            <rFont val="Tahoma"/>
            <family val="2"/>
            <charset val="1"/>
          </rPr>
          <t xml:space="preserve">
not reported</t>
        </r>
      </text>
    </comment>
    <comment ref="A73" authorId="5" shapeId="0" xr:uid="{00000000-0006-0000-0100-000002000000}">
      <text>
        <r>
          <rPr>
            <b/>
            <sz val="9"/>
            <rFont val="Tahoma"/>
            <family val="2"/>
          </rPr>
          <t>Canalyst (TS):</t>
        </r>
        <r>
          <rPr>
            <sz val="9"/>
            <rFont val="Tahoma"/>
            <family val="2"/>
          </rPr>
          <t xml:space="preserve">
In Q4 2016 the company excludes US from North America</t>
        </r>
      </text>
    </comment>
    <comment ref="Z74" authorId="0" shapeId="0" xr:uid="{00000000-0006-0000-0100-000003000000}">
      <text>
        <r>
          <rPr>
            <b/>
            <sz val="9"/>
            <rFont val="Tahoma"/>
            <family val="2"/>
          </rPr>
          <t>Canalyst (JiF):</t>
        </r>
        <r>
          <rPr>
            <sz val="9"/>
            <rFont val="Tahoma"/>
            <family val="2"/>
          </rPr>
          <t xml:space="preserve">
Beginning this period, the Company starts reporting US and North America separately.</t>
        </r>
      </text>
    </comment>
    <comment ref="C98" authorId="6" shapeId="0" xr:uid="{00000000-0006-0000-0500-000013000000}">
      <text>
        <r>
          <rPr>
            <sz val="11"/>
            <rFont val="Calibri"/>
            <family val="2"/>
          </rPr>
          <t>[Canalyst Toolkit]: Unable to update formula. Please update manually.</t>
        </r>
      </text>
    </comment>
    <comment ref="D98" authorId="6" shapeId="0" xr:uid="{00000000-0006-0000-0500-000014000000}">
      <text>
        <r>
          <rPr>
            <sz val="11"/>
            <rFont val="Calibri"/>
            <family val="2"/>
          </rPr>
          <t>[Canalyst Toolkit]: Unable to update formula. Please update manually.</t>
        </r>
      </text>
    </comment>
    <comment ref="E98" authorId="6" shapeId="0" xr:uid="{00000000-0006-0000-0500-000015000000}">
      <text>
        <r>
          <rPr>
            <sz val="11"/>
            <rFont val="Calibri"/>
            <family val="2"/>
          </rPr>
          <t>[Canalyst Toolkit]: Unable to update formula. Please update manually.</t>
        </r>
      </text>
    </comment>
    <comment ref="F98" authorId="6" shapeId="0" xr:uid="{00000000-0006-0000-0500-000016000000}">
      <text>
        <r>
          <rPr>
            <sz val="11"/>
            <rFont val="Calibri"/>
            <family val="2"/>
          </rPr>
          <t>[Canalyst Toolkit]: Unable to update formula. Please update manually.</t>
        </r>
      </text>
    </comment>
    <comment ref="K98" authorId="6" shapeId="0" xr:uid="{00000000-0006-0000-0500-000017000000}">
      <text>
        <r>
          <rPr>
            <sz val="11"/>
            <rFont val="Calibri"/>
            <family val="2"/>
          </rPr>
          <t>[Canalyst Toolkit]: Unable to update formula. Please update manually.</t>
        </r>
      </text>
    </comment>
    <comment ref="L98" authorId="6" shapeId="0" xr:uid="{00000000-0006-0000-0500-000018000000}">
      <text>
        <r>
          <rPr>
            <sz val="11"/>
            <rFont val="Calibri"/>
            <family val="2"/>
          </rPr>
          <t>[Canalyst Toolkit]: Unable to update formula. Please update manually.</t>
        </r>
      </text>
    </comment>
    <comment ref="M98" authorId="6" shapeId="0" xr:uid="{00000000-0006-0000-0500-000019000000}">
      <text>
        <r>
          <rPr>
            <sz val="11"/>
            <rFont val="Calibri"/>
            <family val="2"/>
          </rPr>
          <t>[Canalyst Toolkit]: Unable to update formula. Please update manually.</t>
        </r>
      </text>
    </comment>
    <comment ref="N98" authorId="6" shapeId="0" xr:uid="{00000000-0006-0000-0500-00001A000000}">
      <text>
        <r>
          <rPr>
            <sz val="11"/>
            <rFont val="Calibri"/>
            <family val="2"/>
          </rPr>
          <t>[Canalyst Toolkit]: Unable to update formula. Please update manually.</t>
        </r>
      </text>
    </comment>
    <comment ref="O98" authorId="6" shapeId="0" xr:uid="{00000000-0006-0000-0500-00001B000000}">
      <text>
        <r>
          <rPr>
            <sz val="11"/>
            <rFont val="Calibri"/>
            <family val="2"/>
          </rPr>
          <t>[Canalyst Toolkit]: Unable to update formula. Please update manually.</t>
        </r>
      </text>
    </comment>
    <comment ref="P98" authorId="6" shapeId="0" xr:uid="{00000000-0006-0000-0500-00001C000000}">
      <text>
        <r>
          <rPr>
            <sz val="11"/>
            <rFont val="Calibri"/>
            <family val="2"/>
          </rPr>
          <t>[Canalyst Toolkit]: Unable to update formula. Please update manually.</t>
        </r>
      </text>
    </comment>
    <comment ref="Q98" authorId="6" shapeId="0" xr:uid="{00000000-0006-0000-0500-00001D000000}">
      <text>
        <r>
          <rPr>
            <sz val="11"/>
            <rFont val="Calibri"/>
            <family val="2"/>
          </rPr>
          <t>[Canalyst Toolkit]: Unable to update formula. Please update manually.</t>
        </r>
      </text>
    </comment>
    <comment ref="R98" authorId="6" shapeId="0" xr:uid="{00000000-0006-0000-0500-00001E000000}">
      <text>
        <r>
          <rPr>
            <sz val="11"/>
            <rFont val="Calibri"/>
            <family val="2"/>
          </rPr>
          <t>[Canalyst Toolkit]: Unable to update formula. Please update manually.</t>
        </r>
      </text>
    </comment>
    <comment ref="S98" authorId="6" shapeId="0" xr:uid="{00000000-0006-0000-0500-00001F000000}">
      <text>
        <r>
          <rPr>
            <sz val="11"/>
            <rFont val="Calibri"/>
            <family val="2"/>
          </rPr>
          <t>[Canalyst Toolkit]: Unable to update formula. Please update manually.</t>
        </r>
      </text>
    </comment>
    <comment ref="T98" authorId="6" shapeId="0" xr:uid="{00000000-0006-0000-0500-000020000000}">
      <text>
        <r>
          <rPr>
            <sz val="11"/>
            <rFont val="Calibri"/>
            <family val="2"/>
          </rPr>
          <t>[Canalyst Toolkit]: Unable to update formula. Please update manually.</t>
        </r>
      </text>
    </comment>
    <comment ref="U98" authorId="6" shapeId="0" xr:uid="{00000000-0006-0000-0500-000021000000}">
      <text>
        <r>
          <rPr>
            <sz val="11"/>
            <rFont val="Calibri"/>
            <family val="2"/>
          </rPr>
          <t>[Canalyst Toolkit]: Unable to update formula. Please update manually.</t>
        </r>
      </text>
    </comment>
    <comment ref="V98" authorId="6" shapeId="0" xr:uid="{00000000-0006-0000-0500-000022000000}">
      <text>
        <r>
          <rPr>
            <sz val="11"/>
            <rFont val="Calibri"/>
            <family val="2"/>
          </rPr>
          <t>[Canalyst Toolkit]: Unable to update formula. Please update manually.</t>
        </r>
      </text>
    </comment>
    <comment ref="W98" authorId="6" shapeId="0" xr:uid="{00000000-0006-0000-0500-000023000000}">
      <text>
        <r>
          <rPr>
            <sz val="11"/>
            <rFont val="Calibri"/>
            <family val="2"/>
          </rPr>
          <t>[Canalyst Toolkit]: Unable to update formula. Please update manually.</t>
        </r>
      </text>
    </comment>
    <comment ref="X98" authorId="6" shapeId="0" xr:uid="{00000000-0006-0000-0500-000024000000}">
      <text>
        <r>
          <rPr>
            <sz val="11"/>
            <rFont val="Calibri"/>
            <family val="2"/>
          </rPr>
          <t>[Canalyst Toolkit]: Unable to update formula. Please update manually.</t>
        </r>
      </text>
    </comment>
    <comment ref="Y98" authorId="6" shapeId="0" xr:uid="{00000000-0006-0000-0500-000025000000}">
      <text>
        <r>
          <rPr>
            <sz val="11"/>
            <rFont val="Calibri"/>
            <family val="2"/>
          </rPr>
          <t>[Canalyst Toolkit]: Unable to update formula. Please update manually.</t>
        </r>
      </text>
    </comment>
    <comment ref="Z98" authorId="6" shapeId="0" xr:uid="{00000000-0006-0000-0500-000026000000}">
      <text>
        <r>
          <rPr>
            <sz val="11"/>
            <rFont val="Calibri"/>
            <family val="2"/>
          </rPr>
          <t>[Canalyst Toolkit]: Unable to update formula. Please update manually.</t>
        </r>
      </text>
    </comment>
    <comment ref="AA98" authorId="6" shapeId="0" xr:uid="{00000000-0006-0000-0500-000027000000}">
      <text>
        <r>
          <rPr>
            <sz val="11"/>
            <rFont val="Calibri"/>
            <family val="2"/>
          </rPr>
          <t>[Canalyst Toolkit]: Unable to update formula. Please update manually.</t>
        </r>
      </text>
    </comment>
    <comment ref="AB98" authorId="6" shapeId="0" xr:uid="{00000000-0006-0000-0500-000028000000}">
      <text>
        <r>
          <rPr>
            <sz val="11"/>
            <rFont val="Calibri"/>
            <family val="2"/>
          </rPr>
          <t>[Canalyst Toolkit]: Unable to update formula. Please update manually.</t>
        </r>
      </text>
    </comment>
    <comment ref="AC98" authorId="6" shapeId="0" xr:uid="{00000000-0006-0000-0500-000029000000}">
      <text>
        <r>
          <rPr>
            <sz val="11"/>
            <rFont val="Calibri"/>
            <family val="2"/>
          </rPr>
          <t>[Canalyst Toolkit]: Unable to update formula. Please update manually.</t>
        </r>
      </text>
    </comment>
    <comment ref="AD98" authorId="6" shapeId="0" xr:uid="{00000000-0006-0000-0500-00002A000000}">
      <text>
        <r>
          <rPr>
            <sz val="11"/>
            <rFont val="Calibri"/>
            <family val="2"/>
          </rPr>
          <t>[Canalyst Toolkit]: Unable to update formula. Please update manually.</t>
        </r>
      </text>
    </comment>
    <comment ref="AE98" authorId="6" shapeId="0" xr:uid="{00000000-0006-0000-0500-00002B000000}">
      <text>
        <r>
          <rPr>
            <sz val="11"/>
            <rFont val="Calibri"/>
            <family val="2"/>
          </rPr>
          <t>[Canalyst Toolkit]: Unable to update formula. Please update manually.</t>
        </r>
      </text>
    </comment>
    <comment ref="AF98" authorId="6" shapeId="0" xr:uid="{00000000-0006-0000-0500-00002C000000}">
      <text>
        <r>
          <rPr>
            <sz val="11"/>
            <rFont val="Calibri"/>
            <family val="2"/>
          </rPr>
          <t>[Canalyst Toolkit]: Unable to update formula. Please update manually.</t>
        </r>
      </text>
    </comment>
    <comment ref="AG98" authorId="6" shapeId="0" xr:uid="{00000000-0006-0000-0500-00002D000000}">
      <text>
        <r>
          <rPr>
            <sz val="11"/>
            <rFont val="Calibri"/>
            <family val="2"/>
          </rPr>
          <t>[Canalyst Toolkit]: Unable to update formula. Please update manually.</t>
        </r>
      </text>
    </comment>
    <comment ref="AH98" authorId="6" shapeId="0" xr:uid="{00000000-0006-0000-0500-00002E000000}">
      <text>
        <r>
          <rPr>
            <sz val="11"/>
            <rFont val="Calibri"/>
            <family val="2"/>
          </rPr>
          <t>[Canalyst Toolkit]: Unable to update formula. Please update manually.</t>
        </r>
      </text>
    </comment>
    <comment ref="AI98" authorId="6" shapeId="0" xr:uid="{00000000-0006-0000-0500-00002F000000}">
      <text>
        <r>
          <rPr>
            <sz val="11"/>
            <rFont val="Calibri"/>
            <family val="2"/>
          </rPr>
          <t>[Canalyst Toolkit]: Unable to update formula. Please update manually.</t>
        </r>
      </text>
    </comment>
    <comment ref="AJ98" authorId="6" shapeId="0" xr:uid="{00000000-0006-0000-0500-000030000000}">
      <text>
        <r>
          <rPr>
            <sz val="11"/>
            <rFont val="Calibri"/>
            <family val="2"/>
          </rPr>
          <t>[Canalyst Toolkit]: Unable to update formula. Please update manually.</t>
        </r>
      </text>
    </comment>
    <comment ref="AK98" authorId="6" shapeId="0" xr:uid="{00000000-0006-0000-0500-000031000000}">
      <text>
        <r>
          <rPr>
            <sz val="11"/>
            <rFont val="Calibri"/>
            <family val="2"/>
          </rPr>
          <t>[Canalyst Toolkit]: Unable to update formula. Please update manually.</t>
        </r>
      </text>
    </comment>
    <comment ref="AL98" authorId="6" shapeId="0" xr:uid="{00000000-0006-0000-0500-000032000000}">
      <text>
        <r>
          <rPr>
            <sz val="11"/>
            <rFont val="Calibri"/>
            <family val="2"/>
          </rPr>
          <t>[Canalyst Toolkit]: Unable to update formula. Please update manually.</t>
        </r>
      </text>
    </comment>
    <comment ref="AM98" authorId="6" shapeId="0" xr:uid="{00000000-0006-0000-0500-000033000000}">
      <text>
        <r>
          <rPr>
            <sz val="11"/>
            <rFont val="Calibri"/>
            <family val="2"/>
          </rPr>
          <t>[Canalyst Toolkit]: Unable to update formula. Please update manually.</t>
        </r>
      </text>
    </comment>
    <comment ref="AN98" authorId="6" shapeId="0" xr:uid="{00000000-0006-0000-0500-000034000000}">
      <text>
        <r>
          <rPr>
            <sz val="11"/>
            <rFont val="Calibri"/>
            <family val="2"/>
          </rPr>
          <t>[Canalyst Toolkit]: Unable to update formula. Please update manually.</t>
        </r>
      </text>
    </comment>
    <comment ref="AO98" authorId="6" shapeId="0" xr:uid="{00000000-0006-0000-0500-000035000000}">
      <text>
        <r>
          <rPr>
            <sz val="11"/>
            <rFont val="Calibri"/>
            <family val="2"/>
          </rPr>
          <t>[Canalyst Toolkit]: Unable to update formula. Please update manually.</t>
        </r>
      </text>
    </comment>
    <comment ref="AP98" authorId="6" shapeId="0" xr:uid="{00000000-0006-0000-0500-000036000000}">
      <text>
        <r>
          <rPr>
            <sz val="11"/>
            <rFont val="Calibri"/>
            <family val="2"/>
          </rPr>
          <t>[Canalyst Toolkit]: Unable to update formula. Please update manually.</t>
        </r>
      </text>
    </comment>
    <comment ref="AQ98" authorId="6" shapeId="0" xr:uid="{00000000-0006-0000-0500-000037000000}">
      <text>
        <r>
          <rPr>
            <sz val="11"/>
            <rFont val="Calibri"/>
            <family val="2"/>
          </rPr>
          <t>[Canalyst Toolkit]: Unable to update formula. Please update manually.</t>
        </r>
      </text>
    </comment>
    <comment ref="AK118" authorId="1" shapeId="0" xr:uid="{EDACA46E-02BE-4498-B99C-10E70C39F4BD}">
      <text>
        <r>
          <rPr>
            <b/>
            <sz val="9"/>
            <rFont val="Tahoma"/>
            <family val="2"/>
          </rPr>
          <t>Canalyst (CW):</t>
        </r>
        <r>
          <rPr>
            <sz val="9"/>
            <rFont val="Tahoma"/>
            <family val="2"/>
          </rPr>
          <t xml:space="preserve">
Company began reporting adjusted numbers during this quarter.</t>
        </r>
      </text>
    </comment>
    <comment ref="A190" authorId="7" shapeId="0" xr:uid="{00000000-0006-0000-0100-000009000000}">
      <text>
        <r>
          <rPr>
            <b/>
            <sz val="9"/>
            <rFont val="Tahoma"/>
            <family val="2"/>
          </rPr>
          <t>Canalyst (JR):</t>
        </r>
        <r>
          <rPr>
            <sz val="9"/>
            <rFont val="Tahoma"/>
            <family val="2"/>
          </rPr>
          <t xml:space="preserve">
All have been adjusted for stock dividends</t>
        </r>
      </text>
    </comment>
    <comment ref="AD190" authorId="8" shapeId="0" xr:uid="{334D6FDD-8918-4778-A39C-F404DDE5D7E8}">
      <text>
        <r>
          <rPr>
            <b/>
            <sz val="9"/>
            <rFont val="Tahoma"/>
            <family val="2"/>
          </rPr>
          <t>Canalyst (SC):</t>
        </r>
        <r>
          <rPr>
            <sz val="9"/>
            <rFont val="Tahoma"/>
            <family val="2"/>
          </rPr>
          <t xml:space="preserve">
Calculated, not reported. </t>
        </r>
      </text>
    </comment>
    <comment ref="AH190" authorId="1" shapeId="0" xr:uid="{8C048898-60DC-41AB-8C99-3DBE8E105747}">
      <text>
        <r>
          <rPr>
            <b/>
            <sz val="9"/>
            <rFont val="Tahoma"/>
            <family val="2"/>
          </rPr>
          <t>Canalyst (CW):</t>
        </r>
        <r>
          <rPr>
            <sz val="9"/>
            <rFont val="Tahoma"/>
            <family val="2"/>
          </rPr>
          <t xml:space="preserve">
On Sep 25, the company announced a 15% class B stock distribution. Prior periods have been adjusted to reflect this change.</t>
        </r>
      </text>
    </comment>
    <comment ref="AI190" authorId="8" shapeId="0" xr:uid="{96AAC8B9-08EF-4B86-BFC9-4B552695BC06}">
      <text>
        <r>
          <rPr>
            <b/>
            <sz val="9"/>
            <rFont val="Tahoma"/>
            <family val="2"/>
          </rPr>
          <t>Canalyst (SC):</t>
        </r>
        <r>
          <rPr>
            <sz val="9"/>
            <rFont val="Tahoma"/>
            <family val="2"/>
          </rPr>
          <t xml:space="preserve">
Calculated, not reported. </t>
        </r>
      </text>
    </comment>
    <comment ref="AN190" authorId="8" shapeId="0" xr:uid="{DE4CD810-C911-4D1F-9410-8652581A49E2}">
      <text>
        <r>
          <rPr>
            <b/>
            <sz val="9"/>
            <rFont val="Tahoma"/>
            <family val="2"/>
          </rPr>
          <t>Canalyst (SJ):</t>
        </r>
        <r>
          <rPr>
            <sz val="9"/>
            <rFont val="Tahoma"/>
            <family val="2"/>
          </rPr>
          <t xml:space="preserve">
Calculated, not reported. </t>
        </r>
      </text>
    </comment>
    <comment ref="AB200" authorId="1" shapeId="0" xr:uid="{A5A94DB0-F222-4227-A555-EDA34C0360BC}">
      <text>
        <r>
          <rPr>
            <b/>
            <sz val="9"/>
            <rFont val="Tahoma"/>
            <family val="2"/>
          </rPr>
          <t>Canalyst (CW):</t>
        </r>
        <r>
          <rPr>
            <sz val="9"/>
            <rFont val="Tahoma"/>
            <family val="2"/>
          </rPr>
          <t xml:space="preserve">
Acquisition of Astronics Custom Control Concepts Inc.</t>
        </r>
      </text>
    </comment>
    <comment ref="AD200" authorId="1" shapeId="0" xr:uid="{66E82028-60D1-4BE2-AF60-F025441CC627}">
      <text>
        <r>
          <rPr>
            <b/>
            <sz val="9"/>
            <rFont val="Tahoma"/>
            <family val="2"/>
          </rPr>
          <t>Canalyst (CW):</t>
        </r>
        <r>
          <rPr>
            <sz val="9"/>
            <rFont val="Tahoma"/>
            <family val="2"/>
          </rPr>
          <t xml:space="preserve">
Acquisition of Telefonix Inc.</t>
        </r>
      </text>
    </comment>
    <comment ref="AM200" authorId="3" shapeId="0" xr:uid="{36A9C3F0-7FF7-4370-9E69-3D43B7116525}">
      <text>
        <r>
          <rPr>
            <b/>
            <sz val="9"/>
            <rFont val="Tahoma"/>
            <family val="2"/>
          </rPr>
          <t>Canalyst (PZ):</t>
        </r>
        <r>
          <rPr>
            <sz val="9"/>
            <rFont val="Tahoma"/>
            <family val="2"/>
          </rPr>
          <t xml:space="preserve">
Acquisition of all of the issued and outstanding capital stock of FCT. </t>
        </r>
      </text>
    </comment>
    <comment ref="AK201" authorId="8" shapeId="0" xr:uid="{51C18B71-BCD6-45F4-B7BA-B0BEFEE20F26}">
      <text>
        <r>
          <rPr>
            <b/>
            <sz val="9"/>
            <rFont val="Tahoma"/>
            <family val="2"/>
          </rPr>
          <t>Canalyst (SC):</t>
        </r>
        <r>
          <rPr>
            <sz val="9"/>
            <rFont val="Tahoma"/>
            <family val="2"/>
          </rPr>
          <t xml:space="preserve">
Cash received for the semiconductors business within the Test Systems segment.</t>
        </r>
      </text>
    </comment>
    <comment ref="AO276" authorId="2" shapeId="0" xr:uid="{A3D1D0A6-3175-42F7-A3CE-2CF4F666745B}">
      <text>
        <r>
          <rPr>
            <b/>
            <sz val="9"/>
            <rFont val="Tahoma"/>
            <family val="2"/>
          </rPr>
          <t>Canalyst (YiL):</t>
        </r>
        <r>
          <rPr>
            <sz val="9"/>
            <rFont val="Tahoma"/>
            <family val="2"/>
          </rPr>
          <t xml:space="preserve">
Including prepaid expenses</t>
        </r>
      </text>
    </comment>
    <comment ref="AO305" authorId="2" shapeId="0" xr:uid="{4C9D62D5-F888-4333-8149-6D87AB9DD382}">
      <text>
        <r>
          <rPr>
            <b/>
            <sz val="9"/>
            <rFont val="Tahoma"/>
            <family val="2"/>
          </rPr>
          <t>Canalyst (YiL):</t>
        </r>
        <r>
          <rPr>
            <sz val="9"/>
            <rFont val="Tahoma"/>
            <family val="2"/>
          </rPr>
          <t xml:space="preserve">
Finance Lease Principal Payments</t>
        </r>
      </text>
    </comment>
    <comment ref="AO335" authorId="2" shapeId="0" xr:uid="{F78B3B5C-D998-4BFF-B68E-D9E571DDEB01}">
      <text>
        <r>
          <rPr>
            <b/>
            <sz val="9"/>
            <rFont val="Tahoma"/>
            <family val="2"/>
          </rPr>
          <t>Canalyst (YiL):</t>
        </r>
        <r>
          <rPr>
            <sz val="9"/>
            <rFont val="Tahoma"/>
            <family val="2"/>
          </rPr>
          <t xml:space="preserve">
Including prepaid expenses</t>
        </r>
      </text>
    </comment>
    <comment ref="AO364" authorId="2" shapeId="0" xr:uid="{E76A56E9-24C9-4B54-9565-56AC6D39EA20}">
      <text>
        <r>
          <rPr>
            <b/>
            <sz val="9"/>
            <rFont val="Tahoma"/>
            <family val="2"/>
          </rPr>
          <t>Canalyst (YiL):</t>
        </r>
        <r>
          <rPr>
            <sz val="9"/>
            <rFont val="Tahoma"/>
            <family val="2"/>
          </rPr>
          <t xml:space="preserve">
Finance Lease Principal Payments</t>
        </r>
      </text>
    </comment>
    <comment ref="M454" authorId="9" shapeId="0" xr:uid="{00000000-0006-0000-0100-00000C000000}">
      <text>
        <r>
          <rPr>
            <b/>
            <sz val="9"/>
            <rFont val="Tahoma"/>
            <family val="2"/>
          </rPr>
          <t>Canalyst (BP):</t>
        </r>
        <r>
          <rPr>
            <sz val="9"/>
            <rFont val="Tahoma"/>
            <family val="2"/>
          </rPr>
          <t xml:space="preserve">
Acquisitions are net of cash.</t>
        </r>
      </text>
    </comment>
    <comment ref="O454" authorId="9" shapeId="0" xr:uid="{00000000-0006-0000-0100-00000D000000}">
      <text>
        <r>
          <rPr>
            <b/>
            <sz val="9"/>
            <rFont val="Tahoma"/>
            <family val="2"/>
          </rPr>
          <t>Canalyst (BP):</t>
        </r>
        <r>
          <rPr>
            <sz val="9"/>
            <rFont val="Tahoma"/>
            <family val="2"/>
          </rPr>
          <t xml:space="preserve">
Acquisitions are net of cash.</t>
        </r>
      </text>
    </comment>
    <comment ref="S454" authorId="9" shapeId="0" xr:uid="{00000000-0006-0000-0100-00000E000000}">
      <text>
        <r>
          <rPr>
            <b/>
            <sz val="9"/>
            <rFont val="Tahoma"/>
            <family val="2"/>
          </rPr>
          <t>Canalyst (BP):</t>
        </r>
        <r>
          <rPr>
            <sz val="9"/>
            <rFont val="Tahoma"/>
            <family val="2"/>
          </rPr>
          <t xml:space="preserve">
Acquisitions are net of cash.</t>
        </r>
      </text>
    </comment>
    <comment ref="T454" authorId="9" shapeId="0" xr:uid="{00000000-0006-0000-0100-00000F000000}">
      <text>
        <r>
          <rPr>
            <b/>
            <sz val="9"/>
            <rFont val="Tahoma"/>
            <family val="2"/>
          </rPr>
          <t>Canalyst (BP):</t>
        </r>
        <r>
          <rPr>
            <sz val="9"/>
            <rFont val="Tahoma"/>
            <family val="2"/>
          </rPr>
          <t xml:space="preserve">
Acquisitions are net of cash.</t>
        </r>
      </text>
    </comment>
    <comment ref="AC454" authorId="10" shapeId="0" xr:uid="{00000000-0006-0000-0100-000010000000}">
      <text>
        <r>
          <rPr>
            <b/>
            <sz val="9"/>
            <rFont val="Tahoma"/>
            <family val="2"/>
          </rPr>
          <t>Canalyst (VS):</t>
        </r>
        <r>
          <rPr>
            <sz val="9"/>
            <rFont val="Tahoma"/>
            <family val="2"/>
          </rPr>
          <t xml:space="preserve">
As Reported</t>
        </r>
      </text>
    </comment>
    <comment ref="AO456" authorId="2" shapeId="0" xr:uid="{E6B47798-E6A4-4893-9FAE-BF77F70FF3F3}">
      <text>
        <r>
          <rPr>
            <b/>
            <sz val="9"/>
            <rFont val="Tahoma"/>
            <family val="2"/>
          </rPr>
          <t>Canalyst (YiL):</t>
        </r>
        <r>
          <rPr>
            <sz val="9"/>
            <rFont val="Tahoma"/>
            <family val="2"/>
          </rPr>
          <t xml:space="preserve">
As reported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Canalyst (CC)</author>
    <author>Canalyst (SJ)</author>
    <author>Canalyst (YiL)</author>
    <author>Canalyst (AhS)</author>
    <author>Canalyst (TL)</author>
    <author>Canalyst (AN)</author>
    <author>Canalyst (SC)</author>
    <author>Canalyst (AL)</author>
  </authors>
  <commentList>
    <comment ref="A4" authorId="0" shapeId="0" xr:uid="{00000000-0006-0000-0200-000001000000}">
      <text>
        <r>
          <rPr>
            <b/>
            <sz val="9"/>
            <rFont val="Tahoma"/>
            <family val="2"/>
          </rPr>
          <t>Canalyst:</t>
        </r>
        <r>
          <rPr>
            <sz val="9"/>
            <rFont val="Tahoma"/>
            <family val="2"/>
          </rPr>
          <t xml:space="preserve">
Sort Largest to Smallest to return to default.</t>
        </r>
      </text>
    </comment>
    <comment ref="M14" authorId="1" shapeId="0" xr:uid="{297D49E8-7338-4C27-B0C9-B48DDBBE6406}">
      <text>
        <r>
          <rPr>
            <b/>
            <sz val="9"/>
            <rFont val="Tahoma"/>
            <family val="2"/>
          </rPr>
          <t>Canalyst (SJ):</t>
        </r>
        <r>
          <rPr>
            <sz val="9"/>
            <rFont val="Tahoma"/>
            <family val="2"/>
          </rPr>
          <t xml:space="preserve">
51.4m of the 83.8m backlog at FY 2020 expected to be shipped
Not forecasted by this model</t>
        </r>
      </text>
    </comment>
    <comment ref="M15" authorId="1" shapeId="0" xr:uid="{DC3B0702-9A7A-403F-B621-5CDBE7AF9564}">
      <text>
        <r>
          <rPr>
            <b/>
            <sz val="9"/>
            <rFont val="Tahoma"/>
            <family val="2"/>
          </rPr>
          <t>Canalyst (SJ):</t>
        </r>
        <r>
          <rPr>
            <sz val="9"/>
            <rFont val="Tahoma"/>
            <family val="2"/>
          </rPr>
          <t xml:space="preserve">
249.6m of the 275.8m backlog at FY 2020 expected to be shipped
Not forecasted by this model</t>
        </r>
      </text>
    </comment>
    <comment ref="M17" authorId="1" shapeId="0" xr:uid="{520BCAAA-F756-463E-95A6-6DFECE89138D}">
      <text>
        <r>
          <rPr>
            <b/>
            <sz val="9"/>
            <rFont val="Tahoma"/>
            <family val="2"/>
          </rPr>
          <t>Canalyst (SJ):</t>
        </r>
        <r>
          <rPr>
            <sz val="9"/>
            <rFont val="Tahoma"/>
            <family val="2"/>
          </rPr>
          <t xml:space="preserve">
300.9m of the 359.6m backlog at FY 2020 expected to be shipped
Not forecasted by this model</t>
        </r>
      </text>
    </comment>
    <comment ref="J23" authorId="2" shapeId="0" xr:uid="{4014ADB8-6D0E-4E05-BB38-2F0ED069622E}">
      <text>
        <r>
          <rPr>
            <b/>
            <sz val="9"/>
            <rFont val="Tahoma"/>
            <family val="2"/>
          </rPr>
          <t>Canalyst (YiL):</t>
        </r>
        <r>
          <rPr>
            <sz val="9"/>
            <rFont val="Tahoma"/>
            <family val="2"/>
          </rPr>
          <t xml:space="preserve">
with Aerospace generating about 90% of the total revenue.</t>
        </r>
      </text>
    </comment>
    <comment ref="M33" authorId="3" shapeId="0" xr:uid="{3D4CE011-A50B-4BF9-B7DA-449D7BCA9D93}">
      <text>
        <r>
          <rPr>
            <b/>
            <sz val="9"/>
            <rFont val="Tahoma"/>
            <family val="2"/>
          </rPr>
          <t>Canalyst (AhS):</t>
        </r>
        <r>
          <rPr>
            <sz val="9"/>
            <rFont val="Tahoma"/>
            <family val="2"/>
          </rPr>
          <t xml:space="preserve">
not forecasted</t>
        </r>
      </text>
    </comment>
    <comment ref="M38" authorId="3" shapeId="0" xr:uid="{5362AF81-F858-443A-97C3-581A95D394D8}">
      <text>
        <r>
          <rPr>
            <b/>
            <sz val="9"/>
            <rFont val="Tahoma"/>
            <family val="2"/>
          </rPr>
          <t>Canalyst (AhS):</t>
        </r>
        <r>
          <rPr>
            <sz val="9"/>
            <rFont val="Tahoma"/>
            <family val="2"/>
          </rPr>
          <t xml:space="preserve">
not forecasted</t>
        </r>
      </text>
    </comment>
    <comment ref="M43" authorId="3" shapeId="0" xr:uid="{709F7B0D-BFFF-4342-A287-98E295BFC0B0}">
      <text>
        <r>
          <rPr>
            <b/>
            <sz val="9"/>
            <rFont val="Tahoma"/>
            <family val="2"/>
          </rPr>
          <t>Canalyst (AhS):</t>
        </r>
        <r>
          <rPr>
            <sz val="9"/>
            <rFont val="Tahoma"/>
            <family val="2"/>
          </rPr>
          <t xml:space="preserve">
70% of backlog expected to ship in 2019.</t>
        </r>
      </text>
    </comment>
    <comment ref="J50" authorId="4" shapeId="0" xr:uid="{BCA864BE-AE3B-4A9A-9269-4DFED68BB698}">
      <text>
        <r>
          <rPr>
            <b/>
            <sz val="9"/>
            <rFont val="Tahoma"/>
            <family val="2"/>
          </rPr>
          <t>Canalyst (TL):</t>
        </r>
        <r>
          <rPr>
            <sz val="9"/>
            <rFont val="Tahoma"/>
            <family val="2"/>
          </rPr>
          <t xml:space="preserve">
84% of backlog at March 30, 2019 expected to ship in 2019</t>
        </r>
      </text>
    </comment>
    <comment ref="M50" authorId="5" shapeId="0" xr:uid="{683457CA-6D4E-463B-9D4D-3B57E8D93254}">
      <text>
        <r>
          <rPr>
            <b/>
            <sz val="9"/>
            <rFont val="Tahoma"/>
            <family val="2"/>
          </rPr>
          <t>Canalyst (TL):</t>
        </r>
        <r>
          <rPr>
            <sz val="9"/>
            <rFont val="Tahoma"/>
            <family val="2"/>
          </rPr>
          <t xml:space="preserve">
The model does not account for backlog delivery in the same way as the company, so the guidance number provided is not comparable to the model output from calculation. </t>
        </r>
      </text>
    </comment>
    <comment ref="J51" authorId="4" shapeId="0" xr:uid="{8E1A3FB5-D2CE-4B75-A7B2-7F87AE90A147}">
      <text>
        <r>
          <rPr>
            <b/>
            <sz val="9"/>
            <rFont val="Tahoma"/>
            <family val="2"/>
          </rPr>
          <t>Canalyst (TL):</t>
        </r>
        <r>
          <rPr>
            <sz val="9"/>
            <rFont val="Tahoma"/>
            <family val="2"/>
          </rPr>
          <t xml:space="preserve">
Excludes impact of the gain on sale of the semiconductor business</t>
        </r>
      </text>
    </comment>
    <comment ref="J57" authorId="6" shapeId="0" xr:uid="{94697D42-06C8-4E30-94B1-97E21C6B369D}">
      <text>
        <r>
          <rPr>
            <b/>
            <sz val="9"/>
            <rFont val="Tahoma"/>
            <family val="2"/>
          </rPr>
          <t>Canalyst (SC):</t>
        </r>
        <r>
          <rPr>
            <sz val="9"/>
            <rFont val="Tahoma"/>
            <family val="2"/>
          </rPr>
          <t xml:space="preserve">
Estimated pre-tax gain on sale</t>
        </r>
      </text>
    </comment>
    <comment ref="M58" authorId="5" shapeId="0" xr:uid="{9EC5C4F9-7662-447A-92E9-E0EAC71D69F6}">
      <text>
        <r>
          <rPr>
            <b/>
            <sz val="9"/>
            <rFont val="Tahoma"/>
            <family val="2"/>
          </rPr>
          <t>Canalyst (SC):</t>
        </r>
        <r>
          <rPr>
            <sz val="9"/>
            <rFont val="Tahoma"/>
            <family val="2"/>
          </rPr>
          <t xml:space="preserve">
The model does not account for backlog delivery in the same way as the company, so the guidance number provided is not comparable to the model output from calculation. </t>
        </r>
      </text>
    </comment>
    <comment ref="J65" authorId="7" shapeId="0" xr:uid="{D1A9384B-3902-4DD6-8708-4598E81AFDA5}">
      <text>
        <r>
          <rPr>
            <b/>
            <sz val="9"/>
            <rFont val="Tahoma"/>
            <family val="2"/>
          </rPr>
          <t>Canalyst (CW):</t>
        </r>
        <r>
          <rPr>
            <sz val="9"/>
            <rFont val="Tahoma"/>
            <family val="2"/>
          </rPr>
          <t xml:space="preserve">
Approx. 47% of backlog is expected to ship in 2018</t>
        </r>
      </text>
    </comment>
    <comment ref="M65" authorId="5" shapeId="0" xr:uid="{2B0C81E5-F549-4122-9079-48B60252FD58}">
      <text>
        <r>
          <rPr>
            <b/>
            <sz val="9"/>
            <rFont val="Tahoma"/>
            <family val="2"/>
          </rPr>
          <t>Canalyst (AN):</t>
        </r>
        <r>
          <rPr>
            <sz val="9"/>
            <rFont val="Tahoma"/>
            <family val="2"/>
          </rPr>
          <t xml:space="preserve">
The Company accounts for backlog delivered differently</t>
        </r>
      </text>
    </comment>
    <comment ref="J81" authorId="7" shapeId="0" xr:uid="{00000000-0006-0000-0200-000002000000}">
      <text>
        <r>
          <rPr>
            <b/>
            <sz val="9"/>
            <rFont val="Tahoma"/>
            <family val="2"/>
          </rPr>
          <t>Canalyst (AL):</t>
        </r>
        <r>
          <rPr>
            <sz val="9"/>
            <rFont val="Tahoma"/>
            <family val="2"/>
          </rPr>
          <t xml:space="preserve">
Approx. 82% of backlog is expected to ship in 2018</t>
        </r>
      </text>
    </comment>
    <comment ref="M81" authorId="5" shapeId="0" xr:uid="{00000000-0006-0000-0200-000003000000}">
      <text>
        <r>
          <rPr>
            <b/>
            <sz val="9"/>
            <rFont val="Tahoma"/>
            <family val="2"/>
          </rPr>
          <t>Canalyst (AN):</t>
        </r>
        <r>
          <rPr>
            <sz val="9"/>
            <rFont val="Tahoma"/>
            <family val="2"/>
          </rPr>
          <t xml:space="preserve">
The Company accounts for backlog delivered differently</t>
        </r>
      </text>
    </comment>
    <comment ref="M89" authorId="5" shapeId="0" xr:uid="{00000000-0006-0000-0200-000004000000}">
      <text>
        <r>
          <rPr>
            <b/>
            <sz val="9"/>
            <rFont val="Tahoma"/>
            <family val="2"/>
          </rPr>
          <t>Canalyst (AN):</t>
        </r>
        <r>
          <rPr>
            <sz val="9"/>
            <rFont val="Tahoma"/>
            <family val="2"/>
          </rPr>
          <t xml:space="preserve">
The Company accounts for backlog delivered differently</t>
        </r>
      </text>
    </comment>
    <comment ref="M97" authorId="5" shapeId="0" xr:uid="{00000000-0006-0000-0200-000005000000}">
      <text>
        <r>
          <rPr>
            <b/>
            <sz val="9"/>
            <rFont val="Tahoma"/>
            <family val="2"/>
          </rPr>
          <t>Canalyst (AN):</t>
        </r>
        <r>
          <rPr>
            <sz val="9"/>
            <rFont val="Tahoma"/>
            <family val="2"/>
          </rPr>
          <t xml:space="preserve">
The Company accounts for backlog delivered differently</t>
        </r>
      </text>
    </comment>
    <comment ref="M103" authorId="5" shapeId="0" xr:uid="{00000000-0006-0000-0200-000006000000}">
      <text>
        <r>
          <rPr>
            <b/>
            <sz val="9"/>
            <rFont val="Tahoma"/>
            <family val="2"/>
          </rPr>
          <t>Canalyst (AN):</t>
        </r>
        <r>
          <rPr>
            <sz val="9"/>
            <rFont val="Tahoma"/>
            <family val="2"/>
          </rPr>
          <t xml:space="preserve">
Metric not included in Canalyst model</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2"/>
        </ext>
      </extLst>
    </bk>
  </futureMetadata>
  <valueMetadata count="1">
    <bk>
      <rc t="1" v="0"/>
    </bk>
  </valueMetadata>
</metadata>
</file>

<file path=xl/sharedStrings.xml><?xml version="1.0" encoding="utf-8"?>
<sst xmlns="http://schemas.openxmlformats.org/spreadsheetml/2006/main" count="2775" uniqueCount="1393">
  <si>
    <t>Last Price</t>
  </si>
  <si>
    <t>Reports</t>
  </si>
  <si>
    <t>USD</t>
  </si>
  <si>
    <t>Income Statement - As Reported</t>
  </si>
  <si>
    <t>Balance Sheet</t>
  </si>
  <si>
    <t>Non-Current Liabilities</t>
  </si>
  <si>
    <t>CFI</t>
  </si>
  <si>
    <t>CFF</t>
  </si>
  <si>
    <t>FX</t>
  </si>
  <si>
    <t>FY2009</t>
  </si>
  <si>
    <t>Net Revenue</t>
  </si>
  <si>
    <t>EBITDA</t>
  </si>
  <si>
    <t>EBT</t>
  </si>
  <si>
    <t>Current tax</t>
  </si>
  <si>
    <t>Deferred tax</t>
  </si>
  <si>
    <t>Current tax rate</t>
  </si>
  <si>
    <t>Deferred tax rate</t>
  </si>
  <si>
    <t>Earnings Per Share - WAB</t>
  </si>
  <si>
    <t>Shares Outstanding - WAB</t>
  </si>
  <si>
    <t>Margin Analysis</t>
  </si>
  <si>
    <t>Cash Flow Summary</t>
  </si>
  <si>
    <t>Operating Cash Flow before WC</t>
  </si>
  <si>
    <t>Capex</t>
  </si>
  <si>
    <t>Acquisitions</t>
  </si>
  <si>
    <t>FCF, Pre Div</t>
  </si>
  <si>
    <t>FCF, Post Div Post A/D</t>
  </si>
  <si>
    <t>Balance Sheet Summary</t>
  </si>
  <si>
    <t>Cash</t>
  </si>
  <si>
    <t>Debt</t>
  </si>
  <si>
    <t>Net Debt</t>
  </si>
  <si>
    <t>Valuation</t>
  </si>
  <si>
    <t>Net Income on Revised IS = NI on CF statement</t>
  </si>
  <si>
    <t>Net Income on Reported IS = NI on Revised</t>
  </si>
  <si>
    <t>Segmented Revenue = Revenue</t>
  </si>
  <si>
    <t>Cash Flow is not Repeated</t>
  </si>
  <si>
    <t>Balance Sheet is not Repeated</t>
  </si>
  <si>
    <t>Growth Analysis</t>
  </si>
  <si>
    <t>D&amp;A</t>
  </si>
  <si>
    <t>Update Date</t>
  </si>
  <si>
    <t>Updated By (Initials)</t>
  </si>
  <si>
    <t>Update Type</t>
  </si>
  <si>
    <t>Special Comments</t>
  </si>
  <si>
    <t>Link to Press Release / News Item</t>
  </si>
  <si>
    <t>support@canalyst.com</t>
  </si>
  <si>
    <t>Company Model:</t>
  </si>
  <si>
    <t>Shares Outstanding - WAD</t>
  </si>
  <si>
    <t>Dividend Per Share</t>
  </si>
  <si>
    <t>Total Assets</t>
  </si>
  <si>
    <t>Current Liabilities</t>
  </si>
  <si>
    <t>CFO</t>
  </si>
  <si>
    <t>CFO before WC</t>
  </si>
  <si>
    <t>Total Revenue Growth, %</t>
  </si>
  <si>
    <t>Beginning Cash Balance</t>
  </si>
  <si>
    <t>Ending Cash Balance</t>
  </si>
  <si>
    <t>Cash Flow Statement</t>
  </si>
  <si>
    <t>BS Check</t>
  </si>
  <si>
    <t>EBITDA Margin, %</t>
  </si>
  <si>
    <t>FCF, Post Div Pre A/D</t>
  </si>
  <si>
    <t>Dividend Paid</t>
  </si>
  <si>
    <t>Net CFO</t>
  </si>
  <si>
    <t>Net CFI</t>
  </si>
  <si>
    <t>Current Assets</t>
  </si>
  <si>
    <t>Total Current Assets</t>
  </si>
  <si>
    <t>Total Current Liabilities</t>
  </si>
  <si>
    <t>Non-Current Assets</t>
  </si>
  <si>
    <t>Total Non-Current Assets</t>
  </si>
  <si>
    <t>Total Non-Current liabilities</t>
  </si>
  <si>
    <t>Total Liabilities</t>
  </si>
  <si>
    <t>Shareholders' Equity</t>
  </si>
  <si>
    <t>Total SE</t>
  </si>
  <si>
    <t>Total Liabilities &amp; SE</t>
  </si>
  <si>
    <t>Net CFF</t>
  </si>
  <si>
    <t>Net Change in Cash Balance</t>
  </si>
  <si>
    <t>SBC</t>
  </si>
  <si>
    <t>For:</t>
  </si>
  <si>
    <t xml:space="preserve">Updated: </t>
  </si>
  <si>
    <t>Comments on Model:</t>
  </si>
  <si>
    <t xml:space="preserve">Please contact this email for any model-specific questions: </t>
  </si>
  <si>
    <t>Other EV Components</t>
  </si>
  <si>
    <t>Preferred Shares</t>
  </si>
  <si>
    <t>High</t>
  </si>
  <si>
    <t>Low</t>
  </si>
  <si>
    <t>Revised Income Statement</t>
  </si>
  <si>
    <t>Noncontrolling Interest</t>
  </si>
  <si>
    <t>Adjusted Numbers - As Reported</t>
  </si>
  <si>
    <t>Capex is Updated</t>
  </si>
  <si>
    <t>Ending CF = Ending Cumulative CF</t>
  </si>
  <si>
    <t>CF Check</t>
  </si>
  <si>
    <t>Cumulative Cash Flow Statement</t>
  </si>
  <si>
    <t>Other Tables</t>
  </si>
  <si>
    <t>Consensus Estimate Table</t>
  </si>
  <si>
    <t>Valuation Toggle Table</t>
  </si>
  <si>
    <t>Cash Flow Per Diluted Share</t>
  </si>
  <si>
    <t>Gross Profit</t>
  </si>
  <si>
    <t>Enterprise Value Components</t>
  </si>
  <si>
    <t>One-time item</t>
  </si>
  <si>
    <t>Other items</t>
  </si>
  <si>
    <t>Model Checks</t>
  </si>
  <si>
    <t>Divestiture</t>
  </si>
  <si>
    <t>Net Income to NCI</t>
  </si>
  <si>
    <t>NCI</t>
  </si>
  <si>
    <t>Preferred stock dividends</t>
  </si>
  <si>
    <t>Margin is Updated</t>
  </si>
  <si>
    <t>*Cash Flow Summary Signs are Correct</t>
  </si>
  <si>
    <t>*CFO subtotal FY = Sum of Qs</t>
  </si>
  <si>
    <t>*CFI subtotal FY = Sum of Qs</t>
  </si>
  <si>
    <t>*CFF subtotal FY = Sum of Qs</t>
  </si>
  <si>
    <t>*CFO Before WC subtotal FY = Sum of Qs</t>
  </si>
  <si>
    <t>*RIS NI FY = Sum of Qs</t>
  </si>
  <si>
    <t>*RIS Adjusted NI FY = Sum of Qs</t>
  </si>
  <si>
    <t>*Share Count is Updated</t>
  </si>
  <si>
    <t>Ticker Symbol</t>
  </si>
  <si>
    <t>IS Check</t>
  </si>
  <si>
    <t>Income Statement is not Repeated</t>
  </si>
  <si>
    <t>EBIT</t>
  </si>
  <si>
    <t>Segmented Results - Geographic Breakdown (FS)</t>
  </si>
  <si>
    <t>Key Metrics - Major Customers with Revenues &gt; 10% (FS)</t>
  </si>
  <si>
    <t>*CF Summary FY = Sum of Qs</t>
  </si>
  <si>
    <t>*Margin adds up to 100%</t>
  </si>
  <si>
    <t>Adjusted Shares Outstanding - WAD</t>
  </si>
  <si>
    <t>Earnings Per Share - WAD</t>
  </si>
  <si>
    <t>Non-GAAP Adjustments</t>
  </si>
  <si>
    <t>Discontinued Operations</t>
  </si>
  <si>
    <t>Adjusted Net Income</t>
  </si>
  <si>
    <t>Net Income from Continued Operation</t>
  </si>
  <si>
    <t>Net Income to Common Shareholders</t>
  </si>
  <si>
    <t>Adjustments for Convertible Securities</t>
  </si>
  <si>
    <t>Diluted Net Income to Common Shareholders</t>
  </si>
  <si>
    <t>Non-GAAP Adjustments for Dilutive Securities</t>
  </si>
  <si>
    <t>Sales</t>
  </si>
  <si>
    <t>Cost of Products Sold</t>
  </si>
  <si>
    <t>Impairment Loss</t>
  </si>
  <si>
    <t>Selling, General and Administrative Expenses</t>
  </si>
  <si>
    <t>Income from Operations</t>
  </si>
  <si>
    <t>Interest Expense, Net of Interest Income</t>
  </si>
  <si>
    <t>Contingent Liability Fair Value Adjustment</t>
  </si>
  <si>
    <t>Income Before Income Taxes</t>
  </si>
  <si>
    <t>Provision for Income Taxes</t>
  </si>
  <si>
    <t>Net Income</t>
  </si>
  <si>
    <t>Cash and Cash Equivalents</t>
  </si>
  <si>
    <t>Accounts Receivable, Net of Allowance for Doubtful Accounts</t>
  </si>
  <si>
    <t>Inventories</t>
  </si>
  <si>
    <t>Prepaid Expenses and Other Current Assets</t>
  </si>
  <si>
    <t>Other Current Assets</t>
  </si>
  <si>
    <t>Deferred Income Taxes</t>
  </si>
  <si>
    <t>Other Assets</t>
  </si>
  <si>
    <t>Intangible Assets, Net of Accumulated Amortization</t>
  </si>
  <si>
    <t>Goodwill</t>
  </si>
  <si>
    <t>Current Maturities of Long-term Debt</t>
  </si>
  <si>
    <t>Accounts Payable</t>
  </si>
  <si>
    <t>Accrued Expenses and Other Current Liabilities</t>
  </si>
  <si>
    <t>Accrued Income Taxes</t>
  </si>
  <si>
    <t>Other Accrued Expenses</t>
  </si>
  <si>
    <t>Customer Advance Payments and Deferred Revenue</t>
  </si>
  <si>
    <t>Billings in Excess of Recoverable Costs and Accrued Profits on Uncompleted Contracts</t>
  </si>
  <si>
    <t>Long-term Debt</t>
  </si>
  <si>
    <t>Supplemental Retirement Plan and Other Liabilities for Pension Benefits</t>
  </si>
  <si>
    <t>Other Liabilities</t>
  </si>
  <si>
    <t>Depreciation and Amortization</t>
  </si>
  <si>
    <t>Provisions for Non-Cash Losses on Inventory and Receivables</t>
  </si>
  <si>
    <t>Stock Compensation Expense</t>
  </si>
  <si>
    <t>Deferred Tax Benefit</t>
  </si>
  <si>
    <t>Non-cash Adjustment to Contingent Consideration</t>
  </si>
  <si>
    <t>Other</t>
  </si>
  <si>
    <t>Accounts Receivable</t>
  </si>
  <si>
    <t>Accrued Expenses</t>
  </si>
  <si>
    <t>Other Current Assets and Liabilities</t>
  </si>
  <si>
    <t>Customer Advanced Payments and Deferred Revenue</t>
  </si>
  <si>
    <t>Income Taxes</t>
  </si>
  <si>
    <t>Supplemental Retirement and Other Liabilities</t>
  </si>
  <si>
    <t>Acquisition of Business, Net of Cash Acquired</t>
  </si>
  <si>
    <t>Capital Expenditures</t>
  </si>
  <si>
    <t>Other Investing Activities</t>
  </si>
  <si>
    <t>Proceeds from Long-term Debt</t>
  </si>
  <si>
    <t>Payments for Long-term Debt</t>
  </si>
  <si>
    <t>Proceeds from Note Payable</t>
  </si>
  <si>
    <t>Payments on Note Payable</t>
  </si>
  <si>
    <t>Purchase of Outstanding Shares for Treasury</t>
  </si>
  <si>
    <t>Debt Acquisition Costs</t>
  </si>
  <si>
    <t>Acquisition Earnout Payments</t>
  </si>
  <si>
    <t>Proceeds from Exercise of Stock Options</t>
  </si>
  <si>
    <t>Income Tax Benefit from Exercise of Stock Options</t>
  </si>
  <si>
    <t>Common Stock</t>
  </si>
  <si>
    <t>Additional Paid-in Capital</t>
  </si>
  <si>
    <t>Accumulated Other Comprehensive Loss</t>
  </si>
  <si>
    <t>Proceeds from sale of fixed assets</t>
  </si>
  <si>
    <t>Use of Industrial Bond Proceeds</t>
  </si>
  <si>
    <t>Total revenue, mm</t>
  </si>
  <si>
    <t>Commercial Transport revenue, mm</t>
  </si>
  <si>
    <t>Military revenue, mm</t>
  </si>
  <si>
    <t>Business Jet revenue, mm</t>
  </si>
  <si>
    <t>Other revenue, mm</t>
  </si>
  <si>
    <t>Total Test Systems revenue, mm</t>
  </si>
  <si>
    <t>Asia revenue, mm</t>
  </si>
  <si>
    <t>Europe revenue, mm</t>
  </si>
  <si>
    <t>South America revenue, mm</t>
  </si>
  <si>
    <t>Commercial Transport revenue growth, %</t>
  </si>
  <si>
    <t>Military revenue growth, %</t>
  </si>
  <si>
    <t>Business Jet revenue growth, %</t>
  </si>
  <si>
    <t>Other revenue growth, %</t>
  </si>
  <si>
    <t>Total Test Systems revenue growth, %</t>
  </si>
  <si>
    <t>Semiconductor revenue growth, %</t>
  </si>
  <si>
    <t>ATRO US</t>
  </si>
  <si>
    <t>NASDAQ:ATRO</t>
  </si>
  <si>
    <t>ATRO-US</t>
  </si>
  <si>
    <t>New Build</t>
  </si>
  <si>
    <t>SC</t>
  </si>
  <si>
    <t>Total Aerospace revenue growth, %</t>
  </si>
  <si>
    <t>Total Aerospace revenue, mm</t>
  </si>
  <si>
    <t>Treasury Stock</t>
  </si>
  <si>
    <t>Operating Stats - Backlog Analysis (FS)</t>
  </si>
  <si>
    <t>Astronics Corporation</t>
  </si>
  <si>
    <t>Aerospace &amp; Defense revenue growth, %</t>
  </si>
  <si>
    <t>Semiconductor revenue, mm</t>
  </si>
  <si>
    <t>Aerospace &amp; Defense revenue, mm</t>
  </si>
  <si>
    <t>Property, Plant and Equipment, Net</t>
  </si>
  <si>
    <t>EBIT Margin, %</t>
  </si>
  <si>
    <t>Aerospace Operating Profit, mm</t>
  </si>
  <si>
    <t>Capitalization Summary</t>
  </si>
  <si>
    <t>Company-Specific Operational Data</t>
  </si>
  <si>
    <t>GAAP Financials</t>
  </si>
  <si>
    <t>Other Items</t>
  </si>
  <si>
    <t>Tax</t>
  </si>
  <si>
    <t>GAAP EPS</t>
  </si>
  <si>
    <t>Non-GAAP Financials</t>
  </si>
  <si>
    <t>Cash Flow Analysis</t>
  </si>
  <si>
    <t>Core FCF, Pre Div</t>
  </si>
  <si>
    <t>Core FCF, Post Div</t>
  </si>
  <si>
    <t>Change in WC</t>
  </si>
  <si>
    <t>New Equity Issuance</t>
  </si>
  <si>
    <t>New Debt Issuance</t>
  </si>
  <si>
    <t>Change in Cash Position</t>
  </si>
  <si>
    <t>Operating Cash Flow Per Share</t>
  </si>
  <si>
    <t>Core Free Cash Flow Per Share, Pre Div</t>
  </si>
  <si>
    <t>Dividend Payout Ratio vs Core FCF, Pre Div</t>
  </si>
  <si>
    <t>Dividend Payout Ratio vs Earnings Per Share</t>
  </si>
  <si>
    <t>Balance Sheet Ratios</t>
  </si>
  <si>
    <t>Net Debt / EBITDA</t>
  </si>
  <si>
    <t>Net Debt / Cash Flow</t>
  </si>
  <si>
    <t>Net Debt / Capital</t>
  </si>
  <si>
    <t>LTM EBITDA</t>
  </si>
  <si>
    <t>LTM Cash Flow</t>
  </si>
  <si>
    <t>LTM Net Income</t>
  </si>
  <si>
    <t>Shareholder's Equity</t>
  </si>
  <si>
    <t>Average Shareholder's Equity</t>
  </si>
  <si>
    <t>ROE</t>
  </si>
  <si>
    <t>Net Operating Profit</t>
  </si>
  <si>
    <t>LTM Net Operating Profit</t>
  </si>
  <si>
    <t>Average Total Assets</t>
  </si>
  <si>
    <t>ROA</t>
  </si>
  <si>
    <t>Book Value of Debt</t>
  </si>
  <si>
    <t>Average Book Value of Debt</t>
  </si>
  <si>
    <t>Average Invested Capital</t>
  </si>
  <si>
    <t>ROIC</t>
  </si>
  <si>
    <t>LTM EBIT</t>
  </si>
  <si>
    <t>Average Current Liabilities</t>
  </si>
  <si>
    <t>Average Capital Employed</t>
  </si>
  <si>
    <t>ROCE</t>
  </si>
  <si>
    <t>Per-Share Growth Metrics</t>
  </si>
  <si>
    <t>Revenue Per Share Growth</t>
  </si>
  <si>
    <t>Adj. EBITDA Per Share Growth</t>
  </si>
  <si>
    <t>Adj. Earnings Per Share Growth</t>
  </si>
  <si>
    <t>Operating Cash Flow Per Share Growth</t>
  </si>
  <si>
    <t>Free Cash Flow Per Share Growth</t>
  </si>
  <si>
    <t>Valuation Metrics</t>
  </si>
  <si>
    <t>Check</t>
  </si>
  <si>
    <t>Adjusted EBITDA</t>
  </si>
  <si>
    <t>Non GAAP NI</t>
  </si>
  <si>
    <t>GAAP NI</t>
  </si>
  <si>
    <t>Change in Cash Summary = Change in Cash Model</t>
  </si>
  <si>
    <t>JH</t>
  </si>
  <si>
    <t>Q3 2016</t>
  </si>
  <si>
    <t>Press Release</t>
  </si>
  <si>
    <t>Bloomberg</t>
  </si>
  <si>
    <t>Capital IQ</t>
  </si>
  <si>
    <t>FactSet</t>
  </si>
  <si>
    <t>Aerospace Book / Bill Ratio, x</t>
  </si>
  <si>
    <t>Test Systems Book / Bill Ratio, x</t>
  </si>
  <si>
    <t>Total Company Book / Bill Ratio, x</t>
  </si>
  <si>
    <t>JiF</t>
  </si>
  <si>
    <t>Model Improvement</t>
  </si>
  <si>
    <t>Summary Page Added</t>
  </si>
  <si>
    <t>Total backlog, mm</t>
  </si>
  <si>
    <t>United States, mm</t>
  </si>
  <si>
    <t>FY2016</t>
  </si>
  <si>
    <t>Earnings Press Release</t>
  </si>
  <si>
    <t>COGS (adj. for D&amp;A)</t>
  </si>
  <si>
    <t>SG&amp;A (adj. for SBC)</t>
  </si>
  <si>
    <t>Total Revenue, mm</t>
  </si>
  <si>
    <t>Total North America revenue, mm</t>
  </si>
  <si>
    <t>North America (excluding United States) revenue, mm</t>
  </si>
  <si>
    <t>ATRO.OQ</t>
  </si>
  <si>
    <t>Thomson</t>
  </si>
  <si>
    <t>Test Systems Operating Profit, mm</t>
  </si>
  <si>
    <t>Q1-2017</t>
  </si>
  <si>
    <t>FY or FQ</t>
  </si>
  <si>
    <t>Period</t>
  </si>
  <si>
    <t>Consensus Estimates - Adjusted EBITDA Margin, %</t>
  </si>
  <si>
    <t>COGS Margin (Excluding D&amp;A), %</t>
  </si>
  <si>
    <t>COGS Margin (Including D&amp;A), %</t>
  </si>
  <si>
    <t>Gross Margin (Excluding D&amp;A), %</t>
  </si>
  <si>
    <t>Gross Margin (Including D&amp;A), %</t>
  </si>
  <si>
    <t>Consensus Estimates - Gross Margin, %</t>
  </si>
  <si>
    <t>Segmented Results - Revenue Breakdown (FS)</t>
  </si>
  <si>
    <t>Segmented Results - Operating Profit Breakdown (FS)</t>
  </si>
  <si>
    <t>Q2-2017</t>
  </si>
  <si>
    <t>Q3-2017</t>
  </si>
  <si>
    <t>Guidance</t>
  </si>
  <si>
    <t>Model</t>
  </si>
  <si>
    <t>Difference vs. Mid</t>
  </si>
  <si>
    <t>Update Log</t>
  </si>
  <si>
    <t>Type</t>
  </si>
  <si>
    <t>Item</t>
  </si>
  <si>
    <t>Item Name</t>
  </si>
  <si>
    <t>Fiscal Period</t>
  </si>
  <si>
    <t>Mid</t>
  </si>
  <si>
    <t>Output</t>
  </si>
  <si>
    <t>Absolute</t>
  </si>
  <si>
    <t>Relative</t>
  </si>
  <si>
    <t>Date</t>
  </si>
  <si>
    <t>Link</t>
  </si>
  <si>
    <t>MO_RIS_REV</t>
  </si>
  <si>
    <t>Q4-2017</t>
  </si>
  <si>
    <t>Organic Growth</t>
  </si>
  <si>
    <t>FY2018</t>
  </si>
  <si>
    <t>z_YPOAFJ0182_MO_OS_totalaerospacerevenue</t>
  </si>
  <si>
    <t>z_YPOAFJ0182_MO_OS_totaltestsystemsrevenue</t>
  </si>
  <si>
    <t>FY2017</t>
  </si>
  <si>
    <t>Backlog delivered</t>
  </si>
  <si>
    <t>Effective tax rate</t>
  </si>
  <si>
    <t>MO_CFSum_Capex</t>
  </si>
  <si>
    <t>Engineering and development costs</t>
  </si>
  <si>
    <r>
      <rPr>
        <b/>
        <sz val="8"/>
        <color rgb="FF000000"/>
        <rFont val="Calibri"/>
        <family val="2"/>
        <scheme val="minor"/>
      </rPr>
      <t>Disclaimer:</t>
    </r>
    <r>
      <rPr>
        <sz val="8"/>
        <color rgb="FF000000"/>
        <rFont val="Calibri"/>
        <family val="2"/>
        <scheme val="minor"/>
      </rPr>
      <t xml:space="preserve"> None of the Data contained in this Model constitutes a recommendation by Canalyst or a solicitation, or recommendation, to buy or sell any security or other investment product. Canalyst is not providing any investment advice to Subscriber, Subscriber is solely responsible for any investment decisions based on the software or data, and Canalyst shall not have any liability with respect to Subscriber's investments or trading decisions. Subscriber must evaluate the suitability of any investment based on Subscriber's financial situation and risk tolerance. </t>
    </r>
    <r>
      <rPr>
        <b/>
        <sz val="8"/>
        <color rgb="FF000000"/>
        <rFont val="Calibri"/>
        <family val="2"/>
        <scheme val="minor"/>
      </rPr>
      <t>The numbers contained in the "Forecast" period for each model are for illustrative purposes only, and are not meant to express any view on what might actually transpire. Canalyst has not performed company-specific research on the forecast period, and it is the responsibility of the Subscriber to express their own views on future results.</t>
    </r>
    <r>
      <rPr>
        <sz val="8"/>
        <color rgb="FF000000"/>
        <rFont val="Calibri"/>
        <family val="2"/>
        <scheme val="minor"/>
      </rPr>
      <t xml:space="preserve"> Additionally, as Canalyst is only providing a quantitative tool with no investment views, the respective directors, officers, employees, agents, contractors, and affiliates may hold long or short positions in any securities mentioned, based on their personal views, and may initiate or close out any positions in any securities at any time without any notice.
Canalyst does not  guarantee the accuracy, timeliness, or completeness of the Data.  THE MODEL AND DATA ARE BEING PROVIDED "AS IS" WITH NO WARRANTY OF ANY KIND. SUBSCRIBER AGREES THAT CANALYST DOES NOT MAKE ANY REPRESENTATIONS OR WARRANTIES, EXPRESS OR IMPLIED, WITH RESPECT TO THE DATA, OR THE TRANSMISSION, TIMELINESS, ACCURACY OR COMPLETENESS THEREOF, INCLUDING, WITHOUT LIMITATION, ANY IMPLIED WARRANTIES OR ANY WARRANTIES OF MERCHANTABILITY, QUALITY OR FITNESS FOR A PARTICULAR PURPOSE, AND THOSE ARISING BY STATUTE OR OTHERWISE IN LAW OR FROM ANY COURSE OF DEALING OR USAGE OF TRADE. CANALYST SHALL NOT BE LIABLE TO SUBSCRIBER OR ANY THIRD PARTY FOR ANY INACCURATE OR INCOMPLETE DATA OR OTHER MARKET INFORMATION SUPPLIED TO SUBSCRIBER, NOR FOR ANY ERRORS, OR OMISSIONS IN THE FURNISHING THEREOF, NOR FOR ANY DIRECT, INDIRECT, INCIDENTAL OR CONSEQUENTIAL DAMAGES ARISING FROM BY SAID INACCURACIES, DELAYS, INTERRUPTIONS, ERRORS, OR OMISSIONS OR ANY DATA OR SERVICES PROVIDED UNDER OR IN CONNECTION WITH THIS AGREEMENT.
A portion of the stock price data is powered by Quotemedia.com.  All rights reserved.  View the Terms of Use (http://www.quotemedia.com/termsofuse.php). Data delayed 15 minutes unless otherwise indicated.
Subscriber shall indemnify and hold harmless Canalyst, and each of their respective directors, officers, employees, agents and affiliates, from and against any claim, damages, loss, liability, cost and/or expense (including, but not limited to, reasonable attorney's fees and costs) that directly or indirectly arise from or are caused by (a) any use by Subscriber of the Model or any of the Data, and/or (b) any breach or violation by Subscriber of any term or condition of this Agreement.
BY CONTINUING TO ACCESS THIS MODEL, YOU EXPRESSLY AGREE WITH THE ABOVE TERMS AND CONDITIONS.</t>
    </r>
  </si>
  <si>
    <t>Operating Income, mm</t>
  </si>
  <si>
    <t>Other Expense, Net of Other Income</t>
  </si>
  <si>
    <t>Q1-2018</t>
  </si>
  <si>
    <t>z_YPOAFJ0182_MO_OS_totalaerospacerevenuegrowth</t>
  </si>
  <si>
    <t>z_YPOAFJ0182_MO_OS_totaltestsystemsrevenuegrowth</t>
  </si>
  <si>
    <t>MO_GA_TotalRevenue</t>
  </si>
  <si>
    <t>CD AL</t>
  </si>
  <si>
    <t>Q2-2018</t>
  </si>
  <si>
    <t>ME AL</t>
  </si>
  <si>
    <t>AN SB</t>
  </si>
  <si>
    <t>AN VS</t>
  </si>
  <si>
    <t>HZ CS</t>
  </si>
  <si>
    <t>AG SL</t>
  </si>
  <si>
    <t>SD TS</t>
  </si>
  <si>
    <t>Aerospace backlog burn rate, %</t>
  </si>
  <si>
    <t>Test Systems backlog burn rate, %</t>
  </si>
  <si>
    <t>Panasonic revenue as % of total revenue, %</t>
  </si>
  <si>
    <t>Apple revenue as % of total revenue, %</t>
  </si>
  <si>
    <t>Boeing revenue as % of total revenue, %</t>
  </si>
  <si>
    <t>SG&amp;A Margin (adj. for SBC), %</t>
  </si>
  <si>
    <t>Consensus Data and Real-Time Stock Price:</t>
  </si>
  <si>
    <t>Real-Time Stock Price:</t>
  </si>
  <si>
    <t>Stock Price Override:</t>
  </si>
  <si>
    <t>General Table</t>
  </si>
  <si>
    <t>Last Price Date</t>
  </si>
  <si>
    <t>Real-Time Stock Price</t>
  </si>
  <si>
    <t>Last Price Formula</t>
  </si>
  <si>
    <t>MRFP Column Number</t>
  </si>
  <si>
    <t>Most Recent Fiscal Period (MRFP)</t>
  </si>
  <si>
    <t>Current Fiscal Year</t>
  </si>
  <si>
    <t>Data Source Index</t>
  </si>
  <si>
    <t>Working Capital Forecasting</t>
  </si>
  <si>
    <t>Accounts Receivable, Net of Allowance for Doubtful Accounts, % of LTM Sales</t>
  </si>
  <si>
    <t>Accounts Receivable, Net of Allowance for Doubtful Accounts, Y/Y Change, %</t>
  </si>
  <si>
    <t>Inventories, % of LTM Sales</t>
  </si>
  <si>
    <t>Inventories, Y/Y Change, %</t>
  </si>
  <si>
    <t>Accounts Payable, % of LTM Sales</t>
  </si>
  <si>
    <t>Accounts Payable, Y/Y Change, %</t>
  </si>
  <si>
    <t>CW</t>
  </si>
  <si>
    <t>WC Forecast</t>
  </si>
  <si>
    <t>Q4-2018</t>
  </si>
  <si>
    <t>XF CW</t>
  </si>
  <si>
    <t>Q3-2018</t>
  </si>
  <si>
    <t>Trade Currency</t>
  </si>
  <si>
    <t>Trade Currency Hardcoded</t>
  </si>
  <si>
    <t>Model Sheet Currency Hardcoded</t>
  </si>
  <si>
    <t>Most Recent FX Hardcoded</t>
  </si>
  <si>
    <t>Most Recent FX</t>
  </si>
  <si>
    <t>Stock Price Table</t>
  </si>
  <si>
    <t>Fiscal Period Start Date</t>
  </si>
  <si>
    <t>Real-Time Off Source</t>
  </si>
  <si>
    <t>Avg</t>
  </si>
  <si>
    <t>Assets held for sale</t>
  </si>
  <si>
    <t>Liabilities held for sale</t>
  </si>
  <si>
    <t>FY2019</t>
  </si>
  <si>
    <t>Sale of semiconductor test business</t>
  </si>
  <si>
    <t>SC AW</t>
  </si>
  <si>
    <t>Stock Price (Reporting Cur.) - Avg, USD</t>
  </si>
  <si>
    <t>Restated</t>
  </si>
  <si>
    <t>Is Historical Period</t>
  </si>
  <si>
    <t>Gain on Sale of Business, Before Taxes</t>
  </si>
  <si>
    <t>Proceeds on Sale of Business</t>
  </si>
  <si>
    <t>Other Financing Activities</t>
  </si>
  <si>
    <t>Gain on Sale of Business</t>
  </si>
  <si>
    <t>TL AhS</t>
  </si>
  <si>
    <t>Q1-2019</t>
  </si>
  <si>
    <t>Most Recent Period:</t>
  </si>
  <si>
    <t>(C) 2020 Canalyst. All rights reserved.</t>
  </si>
  <si>
    <t>BoP Aerospace backlog, mm</t>
  </si>
  <si>
    <t>EoP Aerospace backlog, mm</t>
  </si>
  <si>
    <t>BoP Test Systems backlog, mm</t>
  </si>
  <si>
    <t>EoP Test Systems backlog, mm</t>
  </si>
  <si>
    <t>Non-GAAP adjustment - Remove effect of semiconductor business</t>
  </si>
  <si>
    <t>Adjusted consolidated sales</t>
  </si>
  <si>
    <t>Income from operations</t>
  </si>
  <si>
    <t>Adjusted income from operations</t>
  </si>
  <si>
    <t>Net income</t>
  </si>
  <si>
    <t>Adjusted net income</t>
  </si>
  <si>
    <t>Adjusted Earnings Per Share - WAD</t>
  </si>
  <si>
    <t>Aerospace adjusted income from operations, mm</t>
  </si>
  <si>
    <t>Test Systems adjusted income from operations, mm</t>
  </si>
  <si>
    <t>Total adjusted income from operations, mm</t>
  </si>
  <si>
    <t>Corporate expenses, mm</t>
  </si>
  <si>
    <t>Other expense, net of other income, mm</t>
  </si>
  <si>
    <t>Adjusted Numbers FY = Sum of Qs</t>
  </si>
  <si>
    <t>Aerospace Bookings - net, mm</t>
  </si>
  <si>
    <t>Aerospace Realized revenue, mm</t>
  </si>
  <si>
    <t>Test Systems Bookings - net, mm</t>
  </si>
  <si>
    <t>Test Systems Realized revenue, mm</t>
  </si>
  <si>
    <t>OFF</t>
  </si>
  <si>
    <t>AhS SJ</t>
  </si>
  <si>
    <t>Q2-2019</t>
  </si>
  <si>
    <t>First Forecast Fiscal Year</t>
  </si>
  <si>
    <t>Q3-2019</t>
  </si>
  <si>
    <t>Q4-2019</t>
  </si>
  <si>
    <t>FY2020</t>
  </si>
  <si>
    <t>Reserve</t>
  </si>
  <si>
    <t>AK QQ</t>
  </si>
  <si>
    <t>Backlog delivered, %</t>
  </si>
  <si>
    <t>Aerospace EBIT Margin, %</t>
  </si>
  <si>
    <t>Test Systems EBIT Margin, %</t>
  </si>
  <si>
    <t>Electrical Power &amp; Motion revenue, mm</t>
  </si>
  <si>
    <t>Lighting &amp; Safety revenue, mm</t>
  </si>
  <si>
    <t>Avionics revenue, mm</t>
  </si>
  <si>
    <t>Systems Certification revenue, mm</t>
  </si>
  <si>
    <t>Structures revenue, mm</t>
  </si>
  <si>
    <t>Other product revenue, mm</t>
  </si>
  <si>
    <t>Segmented Results - Revenue Breakdown by Product Line (FS)</t>
  </si>
  <si>
    <t>Most Recent Period</t>
  </si>
  <si>
    <t>Quarterly (Earnings Report)</t>
  </si>
  <si>
    <t>Annual (Earnings Report)</t>
  </si>
  <si>
    <t>Q3-2016</t>
  </si>
  <si>
    <t>Total Aerospace Revenue, mm</t>
  </si>
  <si>
    <t>Total Test Systems Revenue, mm</t>
  </si>
  <si>
    <t>YiL</t>
  </si>
  <si>
    <t>Initial (Press Release)</t>
  </si>
  <si>
    <t>Accrued Legal Reserve</t>
  </si>
  <si>
    <t>Restructuring Activities</t>
  </si>
  <si>
    <t>Equity Investment Impairment</t>
  </si>
  <si>
    <t>Legal reserve increase</t>
  </si>
  <si>
    <t>Antenna business impairment and restructuring</t>
  </si>
  <si>
    <t>Equity investment impairment</t>
  </si>
  <si>
    <t>Total (Segment) Operating Profit, mm</t>
  </si>
  <si>
    <t>Other adjusted income from operations, mm</t>
  </si>
  <si>
    <t>Q1-2020</t>
  </si>
  <si>
    <t>MO_RIS_DA</t>
  </si>
  <si>
    <t>SJ</t>
  </si>
  <si>
    <t>Operating Right-of-Use Assets</t>
  </si>
  <si>
    <t>Operating Lease Liabilities</t>
  </si>
  <si>
    <t>Current Operating Lease Liabilities</t>
  </si>
  <si>
    <t>Long-term Operating Lease Liabilities</t>
  </si>
  <si>
    <t>10-K</t>
  </si>
  <si>
    <t>Backlog delivered, mm</t>
  </si>
  <si>
    <t>Test Systems backlog deliveries, mm</t>
  </si>
  <si>
    <t>Aerospace backlog deliveries, mm</t>
  </si>
  <si>
    <t>Interest expense, net</t>
  </si>
  <si>
    <t>Interest Expense</t>
  </si>
  <si>
    <t>Effective Interest Rate on Debt</t>
  </si>
  <si>
    <t>Interest Income</t>
  </si>
  <si>
    <t>Effective Interest Rate on Cash</t>
  </si>
  <si>
    <t>Net Interest Expense (Income)</t>
  </si>
  <si>
    <t>Effective Net Interest Rate on Debt</t>
  </si>
  <si>
    <t>EBITDA / Net Interest Expense</t>
  </si>
  <si>
    <t>ST Debt</t>
  </si>
  <si>
    <t>LT Debt</t>
  </si>
  <si>
    <t>Net Debt Issuance (Repayment)</t>
  </si>
  <si>
    <t>Cash is Positive</t>
  </si>
  <si>
    <t>Debt is Positive</t>
  </si>
  <si>
    <t>Net Share Issuance (Buybacks)</t>
  </si>
  <si>
    <t>Estimated Share Price for Issuance/Buybacks, USD</t>
  </si>
  <si>
    <t>FCF, Post Div, Debt, Buyback, A/D</t>
  </si>
  <si>
    <t>Key Outputs</t>
  </si>
  <si>
    <t>PZ</t>
  </si>
  <si>
    <t>Operating lease amortization expense</t>
  </si>
  <si>
    <t>Operating lease liabilities</t>
  </si>
  <si>
    <t>Interest expense</t>
  </si>
  <si>
    <t>Income tax (benefit) expense</t>
  </si>
  <si>
    <t>Depreciation and amortization expense</t>
  </si>
  <si>
    <t>Equity-based compensation expense</t>
  </si>
  <si>
    <t>Goodwill and other asset impairments</t>
  </si>
  <si>
    <t>Equity investment loss</t>
  </si>
  <si>
    <t>Gain on sale of business</t>
  </si>
  <si>
    <t>MO_MA_EBITDA_Adj</t>
  </si>
  <si>
    <t>RH</t>
  </si>
  <si>
    <t>Retained Earnings</t>
  </si>
  <si>
    <t>Q2-2020</t>
  </si>
  <si>
    <t>Non-cash severance</t>
  </si>
  <si>
    <t>Company has done multiple 15% stock dividend for Class B shareholders over time.
On Sep 25, 2018 the company announced a 15% class B stock distribution. Prior periods have been adjusted to reflect this change.</t>
  </si>
  <si>
    <t>Restructuring-related severance charges</t>
  </si>
  <si>
    <t>Legal reserve, settlements and recoveries</t>
  </si>
  <si>
    <t>FY2010</t>
  </si>
  <si>
    <t>FY2011</t>
  </si>
  <si>
    <t>FY2012</t>
  </si>
  <si>
    <t>Q1-2013</t>
  </si>
  <si>
    <t>Q2-2013</t>
  </si>
  <si>
    <t>Q3-2013</t>
  </si>
  <si>
    <t>Q4-2013</t>
  </si>
  <si>
    <t>FY2013</t>
  </si>
  <si>
    <t>Q1-2014</t>
  </si>
  <si>
    <t>Q2-2014</t>
  </si>
  <si>
    <t>Q3-2014</t>
  </si>
  <si>
    <t>Q4-2014</t>
  </si>
  <si>
    <t>FY2014</t>
  </si>
  <si>
    <t>Q1-2015</t>
  </si>
  <si>
    <t>Q2-2015</t>
  </si>
  <si>
    <t>Q3-2015</t>
  </si>
  <si>
    <t>Q4-2015</t>
  </si>
  <si>
    <t>FY2015</t>
  </si>
  <si>
    <t>Q1-2016</t>
  </si>
  <si>
    <t>Q2-2016</t>
  </si>
  <si>
    <t>Q4-2016</t>
  </si>
  <si>
    <t>Q3-2020</t>
  </si>
  <si>
    <t>Q4-2020</t>
  </si>
  <si>
    <t>Q1-2021</t>
  </si>
  <si>
    <t>Q2-2021</t>
  </si>
  <si>
    <t>Q3-2021</t>
  </si>
  <si>
    <t>Q4-2021</t>
  </si>
  <si>
    <t>FY2021</t>
  </si>
  <si>
    <t>FY2022</t>
  </si>
  <si>
    <t>FY2023</t>
  </si>
  <si>
    <t>lipped from: https://runwaygirlnetwork.com/2019/12/01/astronics-reverses-course-on-aerosat-consolidating-ops-into-csc/</t>
  </si>
  <si>
    <t>2019 has turned out to be a year of restructuring for Astronics. The global provider of power, connectivity hardware, lighting, interiors, structures, and test equipment recently announced it will reorganize its loss-making aero antenna company, Astronics AeroSat, and consolidate much of the business into its Connectivity Systems &amp; Certification (CSC) organization in Chicago during the first half of 2020. Management is also conducting an assessment of AeroSat’s initiatives to “determine which we will continue and which we will not, and those decisions will drive our transition plan and timing”.</t>
  </si>
  <si>
    <t>During a third quarter earnings conference call to report adjusted consolidated sales of $175 million, company president and CEO Peter Gundermann referred to AeroSat as among Astronics’ three “stragglers”; the other two stragglers are its certification company, Armstrong Aerospace, which is being physically relocated from Itasca, Illinois to an Astronics CSC facility in Waukegan, Illinois (basically taking Astronics’ footprint in Chicago from three organizations down to two); and CCC (Custom Control Concepts), the Seattle area company which provides cabin management systems for large VIP private aircraft.</t>
  </si>
  <si>
    <t>Together, these three struggling companies – which Gundermann called “probably the most important topic” – had “a pretty big negative impact on our quarter” and a $27 million operating loss year-to-date, though Astronics sees a path to reduce or eliminate that number in 2020. Overall, Astronics’ aerospace segment sales decreased $11.9 million, or 7.0% year-over-year, to $157.7 million for the quarter.</t>
  </si>
  <si>
    <t>Rotation</t>
  </si>
  <si>
    <t>But first, the low down on AeroSat, which provides satcom systems in aviation. As a reminder to readers, Manchester, New Hampshire-based AeroSat supplies traditional Ku antenna hardware in support of Gogo’s inflight connectivity service on Delta Air Lines’ longhaul flights (pictured above) and on Japan Airlines’ domestic flights. The business faced a recent disappointment on the FlexExec program for business aviation due to the loss of Intelsat 29e. It partnered with Phasor on nextgen ESA aero terminals. And in September it announced a deal to supply its tail-mount antenna to Collins Aerospace’s new LuxStream Ku-band IFC service for BizAv. In short, AeroSat has been working to grow its connectivity hardware portfolio.</t>
  </si>
  <si>
    <t>Indeed, Astronics’ strategy entailed  growing AeroSat into critical mass. But that strategy “has resulted in significant losses and we’re basically reversing course and have made the decision to reorganize the company and consolidate much of its operations also into CSC in Chicago,” Gundermann admitted flatly.</t>
  </si>
  <si>
    <t>While Astronics will maintain an AeroSat office in New Hampshire for certain engineering, program management, and sales functions, the AeroSat manufacturing operations will transition to the new CSC facility in Chicago. By doing that, said Gundermann, Astronics thinks it will be able “to more efficiently leverage the technical and manufacturing resources required to pursue the AeroSat pieces of business, and we’re not sure we’re going to pursue all of AeroSat’s pieces of business. There have been three or four major thrusts, depending on how you count them, and we’re reviewing which of those we want to continue and which of those we don’t, and we’re doing that in conjunction with customers to the extent we can.”</t>
  </si>
  <si>
    <t>As a consequence of the AeroSat consolidation, Astronics will incur a reserve. “The reserve could be significant depending on our final plan, which will be determined by the end of the quarter. We expect the reserve to be at least $5 million and could be above $10 million,” warned the firm. The exact figure will be determined by what Astronics decides to move forward with, and perhaps more importantly, what it doesn’t move forward with.</t>
  </si>
  <si>
    <t>A bright spark for the AeroSat unit, however, is the recent announcement that Collins will use a derivative product of AeroSat’s tail-mount antenna for its planned new Ku-band IFC service for BizAv. Gundermann reckons the win is “confirmation that there’s a lot of potential demand there to draw a company like Collins into it, and we’re pleased they’ve picked our antenna to work with.” He added that the firm expects to initiate the sales process in the first quarter of 2020 or so.</t>
  </si>
  <si>
    <t>As mentioned, AeroSat is not the only part of Astronics which is facing headwinds. The other two “stragglers”, Armstrong and CCC, are also challenged, but Armstrong, whose business mission has been refined is “basically out of the woods, operating slightly below breakeven but nowhere near the losses that we have seen”, said Gunderman, noting that Armstrong could become a “very significant” contributor in 2020 if it’s successful in winning certain pieces of business.</t>
  </si>
  <si>
    <t>CCC, on the other hand, has struggled with a development program which it won right about the time Astronics bought the company. That development program has turned out to be a source of continued losses with heavy engineering expenditures. However, said Gundermann, the “development program is on track, we believe, to conclude right at the end of the fourth quarter, in the middle of December and if it concludes, that will open the door for a reduction in engineering expenses as we enter into 2020.” Astronics believes there is a good chance CCC will be positive in the fourth quarter.</t>
  </si>
  <si>
    <t>Astronics also grappled with increased China tariffs (an expense of $3.2 million in the third quarter alone) and fallout from the protracted grounding of the Boeing 737 MAX, which is obviously impacting multiple #PaxEx suppliers. On the tariff front, Astronics is adjusting its supply chain where it can to minimize what it buys from China, with Gundermann noting that Astronics is “moving them to elsewhere in the world”.</t>
  </si>
  <si>
    <t>He added, “And those efforts are in an advanced stage and if nothing changes in terms of the tariff structure and tariff topics, as we project into 2020, our tariff exposure should be half of what it is this year. So, we think that’s pretty good progress.”</t>
  </si>
  <si>
    <t>Regarding the MAX grounding, Gundermann didn’t mince words. Astronics is “being affected pretty significantly by the 737 MAX grounding, specifically. We put a certain amount of product on the airplane linefit and that revenue obviously is not too much affected because Boeing is continuing to build at 42 ships a month. But a lot of our sales thrust goes to the aftermarket to the airlines, and the airlines essentially worldwide are down about 800 aircraft from where they thought they would be at the beginning of the year. So, it’s a capacity crunch and it affects different companies [in] different ways, but one of the things that we’re being affected by is that the airlines are very reluctant to take airplanes down, to put unnecessarily, to put on passenger amenities, which is largely what we put on commercial airplanes. So, it’s hard to quantify the impact of that, but programs in various parts of our business are slipping to the right and it’s playing out in our bookings and playing out in our shipments.”</t>
  </si>
  <si>
    <t>Summing up Astronics’ overall challenges, Gundermann said in his published statement that the MAX grounding, the resulting capacity challenge affecting the global airline industry, the headwinds including continued losses from the three struggling businesses, the higher tariff costs, a non-cash loss on the sale of Astronics’ airfield lighting product line, and an increased reserve for a legal proceeding in Europe (a protracted dispute with Lufthansa Technik) all smarted in the third quarter.</t>
  </si>
  <si>
    <t>“In total, the detrimental impact of these issues on the quarter’s results was $15.4 million,” he stated.</t>
  </si>
  <si>
    <t>Photo of Astronics AeroSat antenna atop a Delta fuse credited to Jason Rabinowitz</t>
  </si>
  <si>
    <t>CSC new facility in Illionis</t>
  </si>
  <si>
    <t>Astronics Corporation, a leading provider of advanced technologies for global aerospace, defense, and other mission critical industries, announced today that its wholly owned subsidiary, Astronics Connectivity Systems and Certifications (CSC), has moved its operations to a new office and manufacturing facility in Waukegan, Illinois.</t>
  </si>
  <si>
    <t>The new facility enables the expansion of manufacturing capacity and certification services. The facility officially opened on July 18, 2019 with a ribbon cutting ceremony attended by Astronics senior executives along with representatives from the City of Waukegan</t>
  </si>
  <si>
    <t>“We are very excited to move into this beautiful new space. The combination of office space and manufacturing capability will help us meet increasing demand now and in the future,” said Michael Kuehn, President of Astronics CSC.</t>
  </si>
  <si>
    <t>“Astronics CSC now has the ability to develop, produce and certify products all within one location, which enables a faster, more efficient production process to satisfy customer product needs. We were also honored to have Sam Cunningham, the mayor of the City of Waukegan, join us to cut the ribbon during our ceremony, officially opening this wonderful facility.”</t>
  </si>
  <si>
    <t>Waukegan is located approximately 20 miles north of Astronics CSC’s Lake Zurich Design Center. Both locations are linked by close proximity to I-94, a major interstate highway.</t>
  </si>
  <si>
    <t>Key features of the newly leased facility include:</t>
  </si>
  <si>
    <t>123,000 square feet for factory production</t>
  </si>
  <si>
    <t>4,400 square foot FAA-approved repair station, where products can be repaired without need for third-party recertification</t>
  </si>
  <si>
    <t>11,200 square feet of warehouse storage</t>
  </si>
  <si>
    <t>44,000 square feet for office, divided between two stories for research and development, engineering, product support and administration</t>
  </si>
  <si>
    <t>Astronics CSC serves as the global market leader for inflight entertainment and connectivity (IFEC) solutions for aircraft, specializing in connectivity hardware, integration engineering, and certification services.</t>
  </si>
  <si>
    <t>Together with other Astronics subsidiaries, Astronics CSC offers the most complete set of IFEC hardware solutions available from a single vendor.</t>
  </si>
  <si>
    <t>Delivery Date</t>
  </si>
  <si>
    <t>Customer</t>
  </si>
  <si>
    <t>Model Series</t>
  </si>
  <si>
    <t>Deliveries</t>
  </si>
  <si>
    <t>Air Canada</t>
  </si>
  <si>
    <t>737 MAX</t>
  </si>
  <si>
    <t>Air Lease Corporation</t>
  </si>
  <si>
    <t>787-9</t>
  </si>
  <si>
    <t>Alaska Airlines</t>
  </si>
  <si>
    <t>737-900ER</t>
  </si>
  <si>
    <t>American Airlines</t>
  </si>
  <si>
    <t>Aviation Capital Group</t>
  </si>
  <si>
    <t>Avolon - Ireland</t>
  </si>
  <si>
    <t>Bank of Communications Leasing</t>
  </si>
  <si>
    <t>737-800</t>
  </si>
  <si>
    <t>BDS U.S. Navy (P-8A Poseidon)</t>
  </si>
  <si>
    <t>737-800A</t>
  </si>
  <si>
    <t>BDS USAF Tanker Program</t>
  </si>
  <si>
    <t>767-2C</t>
  </si>
  <si>
    <t>Boeing Capital Corporation</t>
  </si>
  <si>
    <t>777F</t>
  </si>
  <si>
    <t>CDB Financial Leasing</t>
  </si>
  <si>
    <t>China Development Bank Fin.</t>
  </si>
  <si>
    <t>Copa Airlines</t>
  </si>
  <si>
    <t>Delta Air Lines</t>
  </si>
  <si>
    <t>Etihad Airways</t>
  </si>
  <si>
    <t>787-10</t>
  </si>
  <si>
    <t>FedEx Express</t>
  </si>
  <si>
    <t>767-300F</t>
  </si>
  <si>
    <t>flydubai</t>
  </si>
  <si>
    <t>GECAS</t>
  </si>
  <si>
    <t>GOL Linhas Aereas</t>
  </si>
  <si>
    <t>International Lease Finance Co</t>
  </si>
  <si>
    <t>Japan Airlines</t>
  </si>
  <si>
    <t>Japan Transocean Air</t>
  </si>
  <si>
    <t>Jet2.com Ltd</t>
  </si>
  <si>
    <t>Qatar Airways</t>
  </si>
  <si>
    <t>Sberbank Leasing</t>
  </si>
  <si>
    <t>Shandong Airlines</t>
  </si>
  <si>
    <t>TUI Travel PLC</t>
  </si>
  <si>
    <t>United Airlines</t>
  </si>
  <si>
    <t>WestJet</t>
  </si>
  <si>
    <t>9 Air</t>
  </si>
  <si>
    <t>Aeromexico</t>
  </si>
  <si>
    <t>Air China</t>
  </si>
  <si>
    <t>BOC Aviation Limited</t>
  </si>
  <si>
    <t>China Eastern Airlines</t>
  </si>
  <si>
    <t>Comair Limited</t>
  </si>
  <si>
    <t>Gulf Air</t>
  </si>
  <si>
    <t>Lufthansa Cargo</t>
  </si>
  <si>
    <t>Turkish Airlines</t>
  </si>
  <si>
    <t>Volga-Dnepr UK Ltd</t>
  </si>
  <si>
    <t>747-8F</t>
  </si>
  <si>
    <t>Aeroflot - Russian Airlines</t>
  </si>
  <si>
    <t>777-300ER</t>
  </si>
  <si>
    <t>All Nippon Airways Co., Ltd.</t>
  </si>
  <si>
    <t>ANA Holdings Inc.</t>
  </si>
  <si>
    <t>BDS Australia P-8</t>
  </si>
  <si>
    <t>CIT Aerospace LLC</t>
  </si>
  <si>
    <t>Ethiopian Airlines Group</t>
  </si>
  <si>
    <t>Hainan Airlines Holding</t>
  </si>
  <si>
    <t>Juneyao Air Co., LTD.</t>
  </si>
  <si>
    <t>Korean Air</t>
  </si>
  <si>
    <t>Royal Air Maroc</t>
  </si>
  <si>
    <t>SilkAir</t>
  </si>
  <si>
    <t>Singapore Airlines</t>
  </si>
  <si>
    <t>UPS</t>
  </si>
  <si>
    <t>Xiamen Airlines</t>
  </si>
  <si>
    <t>AerCap</t>
  </si>
  <si>
    <t>Air France-KLM Group</t>
  </si>
  <si>
    <t>China Southern Airlines</t>
  </si>
  <si>
    <t>Scoot Tigerair PTE LTD</t>
  </si>
  <si>
    <t>Uzbekistan Airways</t>
  </si>
  <si>
    <t>787-8</t>
  </si>
  <si>
    <t>Avianca</t>
  </si>
  <si>
    <t>DHL</t>
  </si>
  <si>
    <t>EVA Air</t>
  </si>
  <si>
    <t>United States Navy</t>
  </si>
  <si>
    <t>737-700C</t>
  </si>
  <si>
    <t>Air Tahiti Nui</t>
  </si>
  <si>
    <t>Business Jet / VIP Customer(s)</t>
  </si>
  <si>
    <t>BBJ</t>
  </si>
  <si>
    <t>EL AL Israel Airlines</t>
  </si>
  <si>
    <t>BDS UK P-8</t>
  </si>
  <si>
    <t>Biman Bangladesh Airlines</t>
  </si>
  <si>
    <t>Saudi Arabian Airlines</t>
  </si>
  <si>
    <t>Qantas Airways</t>
  </si>
  <si>
    <t>Tanzania</t>
  </si>
  <si>
    <t>BDS Indian Navy P-8I</t>
  </si>
  <si>
    <t>LATAM Airlines Group</t>
  </si>
  <si>
    <t>Swiss International Air Lines</t>
  </si>
  <si>
    <t>Azerbaijan Airlines</t>
  </si>
  <si>
    <t>777-200LR</t>
  </si>
  <si>
    <t>CALC Aircraft Assets Limited</t>
  </si>
  <si>
    <t>Traffic Growth</t>
  </si>
  <si>
    <t>Source: IATA, IMF, ICAO, JP Morgan</t>
  </si>
  <si>
    <t>737 Max</t>
  </si>
  <si>
    <t>Production</t>
  </si>
  <si>
    <t>Inventory</t>
  </si>
  <si>
    <t>post Covid19</t>
  </si>
  <si>
    <t>Widebody age</t>
  </si>
  <si>
    <t>Years</t>
  </si>
  <si>
    <t>Number</t>
  </si>
  <si>
    <t>retirement age</t>
  </si>
  <si>
    <t xml:space="preserve">Source: </t>
  </si>
  <si>
    <t>JP Morgan, Boeing, Airbus</t>
  </si>
  <si>
    <t>Commercial</t>
  </si>
  <si>
    <t>Jan 2020 Backlog</t>
  </si>
  <si>
    <t>Aprl 2020 Backlog</t>
  </si>
  <si>
    <t>(2010-2025)</t>
  </si>
  <si>
    <t>(2014-20)</t>
  </si>
  <si>
    <t>(2020-25)</t>
  </si>
  <si>
    <t>Embrraer E190 Family</t>
  </si>
  <si>
    <t>Bombardier C-Series</t>
  </si>
  <si>
    <t>Embraer Regional</t>
  </si>
  <si>
    <t>Bombardier Regional</t>
  </si>
  <si>
    <t>DHC-8 Turboprop</t>
  </si>
  <si>
    <t>ATR-Turboprop</t>
  </si>
  <si>
    <t>Non Airbus/Boeing</t>
  </si>
  <si>
    <t>A220 (C-series)</t>
  </si>
  <si>
    <t>A320ceo</t>
  </si>
  <si>
    <t>A320neo</t>
  </si>
  <si>
    <t>A340</t>
  </si>
  <si>
    <t>A330ceo</t>
  </si>
  <si>
    <t>A330neo</t>
  </si>
  <si>
    <t>A350</t>
  </si>
  <si>
    <t>A380</t>
  </si>
  <si>
    <t>Airbus</t>
  </si>
  <si>
    <t>737NG</t>
  </si>
  <si>
    <t>737Max</t>
  </si>
  <si>
    <t>777X</t>
  </si>
  <si>
    <t>Boeing</t>
  </si>
  <si>
    <t>Total</t>
  </si>
  <si>
    <t>Regional</t>
  </si>
  <si>
    <t>Non Boeing</t>
  </si>
  <si>
    <t>Seats</t>
  </si>
  <si>
    <t>% of installed base</t>
  </si>
  <si>
    <t>Installed base of seats</t>
  </si>
  <si>
    <t>Removed</t>
  </si>
  <si>
    <t>Airbus Narrow</t>
  </si>
  <si>
    <t>Boeing Narrow</t>
  </si>
  <si>
    <t>Airbus Wide</t>
  </si>
  <si>
    <t>Boeing Wide</t>
  </si>
  <si>
    <t>B737 per month</t>
  </si>
  <si>
    <t>A320 per month</t>
  </si>
  <si>
    <t>Business</t>
  </si>
  <si>
    <t>G100/150</t>
  </si>
  <si>
    <t>G200/280</t>
  </si>
  <si>
    <t>G400</t>
  </si>
  <si>
    <t>G500</t>
  </si>
  <si>
    <t>G550</t>
  </si>
  <si>
    <t>G600</t>
  </si>
  <si>
    <t>G650</t>
  </si>
  <si>
    <t>Gulfstream</t>
  </si>
  <si>
    <t>Learjet Family</t>
  </si>
  <si>
    <t>Challenger 800</t>
  </si>
  <si>
    <t>Challenger 300</t>
  </si>
  <si>
    <t>Challenger 600</t>
  </si>
  <si>
    <t>Global 5000/6000</t>
  </si>
  <si>
    <t>Global 7000+</t>
  </si>
  <si>
    <t>Bombardier</t>
  </si>
  <si>
    <t>Citation VLJ</t>
  </si>
  <si>
    <t>Citation Super Mid</t>
  </si>
  <si>
    <t>Cessna</t>
  </si>
  <si>
    <t>Falcon 2000</t>
  </si>
  <si>
    <t>Falcon 900</t>
  </si>
  <si>
    <t>Falxon 7X</t>
  </si>
  <si>
    <t>Falcon 8X</t>
  </si>
  <si>
    <t>Dassault</t>
  </si>
  <si>
    <t>Embraer VLJ</t>
  </si>
  <si>
    <t>Legacy 500</t>
  </si>
  <si>
    <t>Legacy 600</t>
  </si>
  <si>
    <t>Lineage 1000</t>
  </si>
  <si>
    <t>Embraer</t>
  </si>
  <si>
    <t>HondaJet</t>
  </si>
  <si>
    <t>737 Max Order</t>
  </si>
  <si>
    <t>Gross Orders</t>
  </si>
  <si>
    <t>Cancelations</t>
  </si>
  <si>
    <t>ASC 606</t>
  </si>
  <si>
    <t>Net</t>
  </si>
  <si>
    <t>Per month</t>
  </si>
  <si>
    <t>Months</t>
  </si>
  <si>
    <t>Lighting and Structures</t>
  </si>
  <si>
    <t>E E2</t>
  </si>
  <si>
    <t>Power</t>
  </si>
  <si>
    <t>Non-Boeing</t>
  </si>
  <si>
    <t>Net non-Semi</t>
  </si>
  <si>
    <t>March YTD deliveries</t>
  </si>
  <si>
    <t>Change</t>
  </si>
  <si>
    <t>Full year estimates</t>
  </si>
  <si>
    <t>per month</t>
  </si>
  <si>
    <t>Cancellations</t>
  </si>
  <si>
    <t>Forecast International</t>
  </si>
  <si>
    <t>A220</t>
  </si>
  <si>
    <t>A320</t>
  </si>
  <si>
    <t>A330</t>
  </si>
  <si>
    <t>747-8</t>
  </si>
  <si>
    <t>Net Orders</t>
  </si>
  <si>
    <t>Backlog</t>
  </si>
  <si>
    <t>Oxford Econpomics April 2020 Forecast</t>
  </si>
  <si>
    <t>Location</t>
  </si>
  <si>
    <t>Indicator</t>
  </si>
  <si>
    <t>Sector</t>
  </si>
  <si>
    <t>Units</t>
  </si>
  <si>
    <t>Scale</t>
  </si>
  <si>
    <t>Measurement</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</si>
  <si>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</si>
  <si>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</si>
  <si>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</si>
  <si>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</si>
  <si>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</si>
  <si>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</si>
  <si>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</si>
  <si>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</si>
  <si>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</si>
  <si>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</si>
  <si>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</si>
  <si>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</si>
  <si>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</si>
  <si>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</si>
  <si>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</si>
  <si>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</si>
  <si>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</si>
  <si>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</si>
  <si>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</si>
  <si>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</si>
  <si>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</si>
  <si>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</si>
  <si>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</si>
  <si>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</si>
  <si>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</si>
  <si>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</si>
  <si>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</si>
  <si>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</si>
  <si>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</si>
  <si>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</si>
  <si>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</si>
  <si>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</si>
  <si>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</si>
  <si>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</si>
  <si>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</si>
  <si>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</si>
  <si>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</si>
  <si>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</si>
  <si>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</si>
  <si>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</si>
  <si>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</si>
  <si>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</si>
  <si>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</si>
  <si>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</si>
  <si>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</si>
  <si>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</si>
  <si>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</si>
  <si>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</si>
  <si>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</si>
  <si>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</si>
  <si>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</si>
  <si>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</si>
  <si>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</si>
  <si>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</si>
  <si>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</si>
  <si>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</si>
  <si>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</si>
  <si>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</si>
  <si>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</si>
  <si>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</si>
  <si>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</si>
  <si>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</si>
  <si>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</si>
  <si>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</si>
  <si>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</si>
  <si>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</si>
  <si>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</si>
  <si>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</si>
  <si>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</si>
  <si>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</si>
  <si>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</si>
  <si>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</si>
  <si>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</si>
  <si>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</si>
  <si>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</si>
  <si>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</si>
  <si>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</si>
  <si>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</si>
  <si>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</si>
  <si>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</si>
  <si>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</si>
  <si>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</si>
  <si>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</si>
  <si>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</si>
  <si>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</si>
  <si>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</si>
  <si>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</si>
  <si>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</si>
  <si>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</si>
  <si>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</si>
  <si>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</si>
  <si>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</si>
  <si>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</si>
  <si>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</si>
  <si>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</si>
  <si>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</si>
  <si>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</si>
  <si>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</si>
  <si>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</si>
  <si>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</si>
  <si>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</si>
  <si>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</si>
  <si>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</si>
  <si>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</si>
  <si>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2026Q1</t>
  </si>
  <si>
    <t>2026Q2</t>
  </si>
  <si>
    <t>2026Q3</t>
  </si>
  <si>
    <t>2026Q4</t>
  </si>
  <si>
    <t>2027Q1</t>
  </si>
  <si>
    <t>2027Q2</t>
  </si>
  <si>
    <t>2027Q3</t>
  </si>
  <si>
    <t>2027Q4</t>
  </si>
  <si>
    <t>2028Q1</t>
  </si>
  <si>
    <t>2028Q2</t>
  </si>
  <si>
    <t>2028Q3</t>
  </si>
  <si>
    <t>2028Q4</t>
  </si>
  <si>
    <t>Nace code</t>
  </si>
  <si>
    <t>Source</t>
  </si>
  <si>
    <t>Seasonally adjusted</t>
  </si>
  <si>
    <t>Base year price</t>
  </si>
  <si>
    <t>Base year index</t>
  </si>
  <si>
    <t>Historical end</t>
  </si>
  <si>
    <t>Date of last update</t>
  </si>
  <si>
    <t>Source details</t>
  </si>
  <si>
    <t>Additional source details</t>
  </si>
  <si>
    <t>Contact Email</t>
  </si>
  <si>
    <t>Location code</t>
  </si>
  <si>
    <t>Indicator code</t>
  </si>
  <si>
    <t>European Union including UK</t>
  </si>
  <si>
    <t>Gross output (sales), Nominal USD</t>
  </si>
  <si>
    <t>Aerospace, NACE rv2 30.3 - Coronavirus Pandemic</t>
  </si>
  <si>
    <t>%</t>
  </si>
  <si>
    <t/>
  </si>
  <si>
    <t>% change y/y</t>
  </si>
  <si>
    <t>NA</t>
  </si>
  <si>
    <t>NACE rv2 30.3</t>
  </si>
  <si>
    <t>Oxford Economics Aggregates, Using Data From National Statistical Offices</t>
  </si>
  <si>
    <t>Yes</t>
  </si>
  <si>
    <t>31 March 2020</t>
  </si>
  <si>
    <t>Aerospace  gross output in current LCU prices converted into US$</t>
  </si>
  <si>
    <t>asamp@oxfordeconomics.com</t>
  </si>
  <si>
    <t>EUR</t>
  </si>
  <si>
    <t>GISS#CORONAVIRUS#GYOTAER$!</t>
  </si>
  <si>
    <t>Aerospace, NACE rv2 30.3 - Global recession</t>
  </si>
  <si>
    <t>GISS#GLOBALRECESSION#GYOTAER$!</t>
  </si>
  <si>
    <t>Aerospace, NACE rv2 30.3 - Baseline forecast</t>
  </si>
  <si>
    <t>GISS#BASE#GYOTAER$!</t>
  </si>
  <si>
    <t>United States</t>
  </si>
  <si>
    <t>Bureau of Economic Analysis\Haver Analytics</t>
  </si>
  <si>
    <t>USA</t>
  </si>
  <si>
    <t>EU</t>
  </si>
  <si>
    <t>Corona</t>
  </si>
  <si>
    <t>Global Recession</t>
  </si>
  <si>
    <t>Baseline</t>
  </si>
  <si>
    <t>US</t>
  </si>
  <si>
    <t>Fleet in Use</t>
  </si>
  <si>
    <t>COVID-19</t>
  </si>
  <si>
    <t>Oliver Wyman MRO</t>
  </si>
  <si>
    <t>baseline</t>
  </si>
  <si>
    <t>https://www.oliverwyman.com/our-expertise/insights/2020/mar/COVID-19-Impact-On-Commercial-Aviation-Maintenance.html</t>
  </si>
  <si>
    <t>Ticker</t>
  </si>
  <si>
    <t>&lt;- Put Ticker Here and then Use Data/Stocks to set the data type</t>
  </si>
  <si>
    <t>MD/Principal/Associate</t>
  </si>
  <si>
    <t>AKS</t>
  </si>
  <si>
    <t>&lt;- Put your name here</t>
  </si>
  <si>
    <t>Investment Period (Yrs)</t>
  </si>
  <si>
    <t>Current Date</t>
  </si>
  <si>
    <t>EP Price</t>
  </si>
  <si>
    <t>&lt;- This is  the name for error checking</t>
  </si>
  <si>
    <t>Current Price</t>
  </si>
  <si>
    <t xml:space="preserve">&lt;- This price pulled by Microsoft when you set the </t>
  </si>
  <si>
    <t>Most recent pipeline stage</t>
  </si>
  <si>
    <t>HD</t>
  </si>
  <si>
    <t>Max Price to Achieve a 10% Return</t>
  </si>
  <si>
    <t xml:space="preserve">     correct data type in cell B2</t>
  </si>
  <si>
    <t>Last FYE</t>
  </si>
  <si>
    <t>IRR</t>
  </si>
  <si>
    <t>Last Period</t>
  </si>
  <si>
    <t xml:space="preserve">&lt;- Put the last real period in Canalyst format </t>
  </si>
  <si>
    <t>Implied EV/ EBITDA multiple</t>
  </si>
  <si>
    <t>Assumptions</t>
  </si>
  <si>
    <t>Comments</t>
  </si>
  <si>
    <t xml:space="preserve">Current EV/ EBITDA (LTM) </t>
  </si>
  <si>
    <t>Assumed EP Discount Rate</t>
  </si>
  <si>
    <t xml:space="preserve">Current EV/ EBITDA (NTM) </t>
  </si>
  <si>
    <t>Shares outstanding</t>
  </si>
  <si>
    <t>Canalyst from Last Period (Cell B8)</t>
  </si>
  <si>
    <t>5-Yr Median EV/EBITDA (LTM)</t>
  </si>
  <si>
    <t xml:space="preserve">Effective Tax Rate </t>
  </si>
  <si>
    <t>Current Canalyst</t>
  </si>
  <si>
    <t>Assumed "trigger premium" on implied px above:</t>
  </si>
  <si>
    <t>Near term Revenue Growth</t>
  </si>
  <si>
    <t>Numbers calculated from forecast below</t>
  </si>
  <si>
    <t>Longer term Revenue Growth</t>
  </si>
  <si>
    <t>&lt;- Put the long-term organic growth rate for after Canalyst forecast runs out</t>
  </si>
  <si>
    <t>Recommendation:</t>
  </si>
  <si>
    <t>Monitor Price:</t>
  </si>
  <si>
    <t>Incr. EBITDA mrgn - History</t>
  </si>
  <si>
    <t>Last five years Canalyst</t>
  </si>
  <si>
    <t>LTM monitor multiple</t>
  </si>
  <si>
    <t>Incr. EBITDA mrgn - Consensus</t>
  </si>
  <si>
    <t>NTM monitor multiple</t>
  </si>
  <si>
    <t xml:space="preserve">    --&gt;Incr. Margin Assumption</t>
  </si>
  <si>
    <t>&lt;- Choose which incr. margin you want to use from the choices above</t>
  </si>
  <si>
    <t>D&amp;A/ Revs</t>
  </si>
  <si>
    <t>Last 5 year median Canalyst (see below)</t>
  </si>
  <si>
    <t>Other SBC and Amortization</t>
  </si>
  <si>
    <t>Assumed interest rate</t>
  </si>
  <si>
    <t>Latest 10-K (see below)</t>
  </si>
  <si>
    <t xml:space="preserve">WC % of Revs </t>
  </si>
  <si>
    <t xml:space="preserve">Capex % of Revs </t>
  </si>
  <si>
    <t>Case Switches if Necessary</t>
  </si>
  <si>
    <t>Maintenance capex (% revs)</t>
  </si>
  <si>
    <t>&lt;- Put your estimate here</t>
  </si>
  <si>
    <t xml:space="preserve">Case: </t>
  </si>
  <si>
    <t>(1 = Base, 2= Recession)</t>
  </si>
  <si>
    <t>Yr 6-10 growth</t>
  </si>
  <si>
    <t>&lt;- Out year growth estimate (e.g. 3% default)</t>
  </si>
  <si>
    <t xml:space="preserve">Include Margins: </t>
  </si>
  <si>
    <t>(1 = Yes, 0 = No)</t>
  </si>
  <si>
    <t>Use Canalyst Model for Forecast</t>
  </si>
  <si>
    <t>(1 = Yes)</t>
  </si>
  <si>
    <t>&lt;- Choose if you want to use the canalyst forward or your own. If your own, link the forecast from your sheets to the yellow boxes -&gt;</t>
  </si>
  <si>
    <t>Discount period</t>
  </si>
  <si>
    <t xml:space="preserve">Load Alternate Forecast Here. </t>
  </si>
  <si>
    <t>Earnings Power to the Firm</t>
  </si>
  <si>
    <t>Revenue</t>
  </si>
  <si>
    <t xml:space="preserve">  growth</t>
  </si>
  <si>
    <t xml:space="preserve"> mrgn</t>
  </si>
  <si>
    <t>% of Revs</t>
  </si>
  <si>
    <t>SBC and Amortization</t>
  </si>
  <si>
    <t>&lt;- use this if you have specific interest rates that change over time (e.g. a credit agreement)</t>
  </si>
  <si>
    <t>Interest Exp</t>
  </si>
  <si>
    <t>Pretax Income</t>
  </si>
  <si>
    <t>Taxes</t>
  </si>
  <si>
    <t>Maint CX</t>
  </si>
  <si>
    <t>EBITDA - Maint CapEx</t>
  </si>
  <si>
    <t>&lt;- Put acquisition capex here to support your forecast</t>
  </si>
  <si>
    <t>Acquisition Capex</t>
  </si>
  <si>
    <t>Earnings Power to Firm</t>
  </si>
  <si>
    <t>EP to the Firm per Share, diluted</t>
  </si>
  <si>
    <t>Stub period:</t>
  </si>
  <si>
    <t>Beginning Net Debt (Cash)</t>
  </si>
  <si>
    <t>Less: EBITDA</t>
  </si>
  <si>
    <t>Plus: Taxes</t>
  </si>
  <si>
    <t>Plus: Interest</t>
  </si>
  <si>
    <t>Plus: Increase in WC</t>
  </si>
  <si>
    <t>Plus: Capex</t>
  </si>
  <si>
    <t>Plus: Dividends</t>
  </si>
  <si>
    <t>Ending Net Debt (Cash)</t>
  </si>
  <si>
    <t>Year 5 earnings power translation</t>
  </si>
  <si>
    <t>Year 1</t>
  </si>
  <si>
    <t>Year 2</t>
  </si>
  <si>
    <t>Year 3</t>
  </si>
  <si>
    <t>Year 4</t>
  </si>
  <si>
    <t>Year 5</t>
  </si>
  <si>
    <t>Year 6</t>
  </si>
  <si>
    <t>Year 7</t>
  </si>
  <si>
    <t>Year 8</t>
  </si>
  <si>
    <t>Year 9</t>
  </si>
  <si>
    <t>Year 10</t>
  </si>
  <si>
    <t>less Maint CapEx</t>
  </si>
  <si>
    <t>Incremental earnings power</t>
  </si>
  <si>
    <t xml:space="preserve">CF used to fund growth capex </t>
  </si>
  <si>
    <t xml:space="preserve">&lt;- Other incremental capex for growth goes here. </t>
  </si>
  <si>
    <t>CF used to fund wc</t>
  </si>
  <si>
    <t>Incremental CF</t>
  </si>
  <si>
    <t>Discounted CF</t>
  </si>
  <si>
    <t>Cumulative CF</t>
  </si>
  <si>
    <t>Incremental TV</t>
  </si>
  <si>
    <t>PV of incremental TV in Yr 6</t>
  </si>
  <si>
    <t>EV @ 10% Yield</t>
  </si>
  <si>
    <t>EV of EP in Yr 5</t>
  </si>
  <si>
    <t>Value of growth Yr 6-10</t>
  </si>
  <si>
    <t>Modified earnings power</t>
  </si>
  <si>
    <t xml:space="preserve">Implied EBITDA Multiple </t>
  </si>
  <si>
    <t>Less Net Debt/(Cash)</t>
  </si>
  <si>
    <t>Equity Value</t>
  </si>
  <si>
    <t>Shares OS (fd)</t>
  </si>
  <si>
    <t>Per share</t>
  </si>
  <si>
    <t>Annual Dividend</t>
  </si>
  <si>
    <t>Cumulative Dividend</t>
  </si>
  <si>
    <t>Total Stock Value</t>
  </si>
  <si>
    <t>Implied P/E</t>
  </si>
  <si>
    <t>Implied P/E excl surplus cash</t>
  </si>
  <si>
    <t>Diluted Shares OS</t>
  </si>
  <si>
    <t>EPS ex unusuals</t>
  </si>
  <si>
    <t>CAPIQ CONSENSUS Reference</t>
  </si>
  <si>
    <t xml:space="preserve">&lt;- put forward estimates from consensus here.  Note: The model does not use them, but for reference only. </t>
  </si>
  <si>
    <t># of Analysts</t>
  </si>
  <si>
    <t>- Model uses canalyst or your own forecast.</t>
  </si>
  <si>
    <t>Calculations from Canalyst Model</t>
  </si>
  <si>
    <t>Last Five years</t>
  </si>
  <si>
    <t>Current Year</t>
  </si>
  <si>
    <t>Index from Current Year</t>
  </si>
  <si>
    <t>Year</t>
  </si>
  <si>
    <t>Median</t>
  </si>
  <si>
    <t>Gross Revenues</t>
  </si>
  <si>
    <t>D&amp;A Percent</t>
  </si>
  <si>
    <t>Capex Percent</t>
  </si>
  <si>
    <t xml:space="preserve">Net Working Capital </t>
  </si>
  <si>
    <t>Other Tax Shields</t>
  </si>
  <si>
    <t>SBC Percent</t>
  </si>
  <si>
    <t>Amortization</t>
  </si>
  <si>
    <t>Amortization Percent</t>
  </si>
  <si>
    <t>EV</t>
  </si>
  <si>
    <t>EV to EBITDA</t>
  </si>
  <si>
    <t>SBC Issued (M)</t>
  </si>
  <si>
    <t xml:space="preserve">Avg Price of Shares: </t>
  </si>
  <si>
    <t>No. of Shares Issued (K)</t>
  </si>
  <si>
    <t>Tax Percent</t>
  </si>
  <si>
    <t>Anil Shrivastava</t>
  </si>
  <si>
    <t>ashrivastava@325capital.com</t>
  </si>
  <si>
    <t>NOW:</t>
  </si>
  <si>
    <t>DATA LOADED:</t>
  </si>
  <si>
    <t xml:space="preserve">UPDATE: </t>
  </si>
  <si>
    <t>ATRO</t>
  </si>
  <si>
    <t xml:space="preserve">File: </t>
  </si>
  <si>
    <t>Current Share Price</t>
  </si>
  <si>
    <t>Capitalization Table</t>
  </si>
  <si>
    <t>Share Dynamics</t>
  </si>
  <si>
    <t>Current Px</t>
  </si>
  <si>
    <t>Market Cap</t>
  </si>
  <si>
    <t>Dividend Yield</t>
  </si>
  <si>
    <t>52 wk high</t>
  </si>
  <si>
    <t>Total Debt</t>
  </si>
  <si>
    <t>Shares O/S (M)</t>
  </si>
  <si>
    <t>52 wk low</t>
  </si>
  <si>
    <t>Daily Volume</t>
  </si>
  <si>
    <t>Multiple</t>
  </si>
  <si>
    <t>Short Interest</t>
  </si>
  <si>
    <t>Earnings Power Results</t>
  </si>
  <si>
    <t>Net Debt (Cash)</t>
  </si>
  <si>
    <t>LTM Revs</t>
  </si>
  <si>
    <t>NTM EBITDA</t>
  </si>
  <si>
    <t>5-yr median (5 yr)</t>
  </si>
  <si>
    <r>
      <rPr>
        <sz val="11"/>
        <color theme="1"/>
        <rFont val="IBM Plex Sans Light"/>
        <family val="2"/>
      </rPr>
      <t xml:space="preserve">CAGRs and </t>
    </r>
    <r>
      <rPr>
        <sz val="11"/>
        <color theme="9" tint="-0.24991607409894101"/>
        <rFont val="IBM Plex Sans Light"/>
        <family val="2"/>
      </rPr>
      <t>Deltas</t>
    </r>
  </si>
  <si>
    <t>Historicals</t>
  </si>
  <si>
    <t>10 year</t>
  </si>
  <si>
    <t>5 year</t>
  </si>
  <si>
    <t>+ 2 years</t>
  </si>
  <si>
    <t>10</t>
  </si>
  <si>
    <t>11</t>
  </si>
  <si>
    <t>12</t>
  </si>
  <si>
    <t>13</t>
  </si>
  <si>
    <t>14</t>
  </si>
  <si>
    <t>15</t>
  </si>
  <si>
    <t>16</t>
  </si>
  <si>
    <t>17</t>
  </si>
  <si>
    <t>18</t>
  </si>
  <si>
    <t>22</t>
  </si>
  <si>
    <t>23</t>
  </si>
  <si>
    <t>24</t>
  </si>
  <si>
    <t>25</t>
  </si>
  <si>
    <t>26</t>
  </si>
  <si>
    <t>27</t>
  </si>
  <si>
    <t>28</t>
  </si>
  <si>
    <t>29</t>
  </si>
  <si>
    <t>Revenues</t>
  </si>
  <si>
    <t>TEV/EBITDA</t>
  </si>
  <si>
    <t>TEV</t>
  </si>
  <si>
    <t xml:space="preserve">Gross Margin: </t>
  </si>
  <si>
    <t>Top Holders</t>
  </si>
  <si>
    <t xml:space="preserve">Five year Analysis to LTM: </t>
  </si>
  <si>
    <t>From EBITDA</t>
  </si>
  <si>
    <t>Name</t>
  </si>
  <si>
    <t>Paste Side Notes Below</t>
  </si>
  <si>
    <t>From Multiple</t>
  </si>
  <si>
    <t>Blackrock Inc.</t>
  </si>
  <si>
    <t>9.17%</t>
  </si>
  <si>
    <t xml:space="preserve">Change in TEV: </t>
  </si>
  <si>
    <t>International Value Advisers, LLC</t>
  </si>
  <si>
    <t>8.93%</t>
  </si>
  <si>
    <t>Vanguard Group, Inc. (The)</t>
  </si>
  <si>
    <t>8.68%</t>
  </si>
  <si>
    <t>Disposed Test Systems</t>
  </si>
  <si>
    <t>State Street Corporation</t>
  </si>
  <si>
    <t>7.05%</t>
  </si>
  <si>
    <t>Wellington Management Company, LLP</t>
  </si>
  <si>
    <t>6.65%</t>
  </si>
  <si>
    <t>Neuberger Berman Group, LLC</t>
  </si>
  <si>
    <t>5.69%</t>
  </si>
  <si>
    <t xml:space="preserve">Margin: </t>
  </si>
  <si>
    <t>Dimensional Fund Advisors LP</t>
  </si>
  <si>
    <t>5.02%</t>
  </si>
  <si>
    <t>Delta to Orig;</t>
  </si>
  <si>
    <t>Royal Bank of Canada</t>
  </si>
  <si>
    <t>3.38%</t>
  </si>
  <si>
    <t>16-LTM CAGR</t>
  </si>
  <si>
    <t>18-19 CAGR</t>
  </si>
  <si>
    <t>+2 CAGR</t>
  </si>
  <si>
    <t>Predicted</t>
  </si>
  <si>
    <t>ACK Asset Management, LLC</t>
  </si>
  <si>
    <t>3.14%</t>
  </si>
  <si>
    <t>Bank Of New York Mellon Corporation</t>
  </si>
  <si>
    <t>2.63%</t>
  </si>
  <si>
    <t>Aerospace on:</t>
  </si>
  <si>
    <t>MGMT</t>
  </si>
  <si>
    <t>Mr. Peter J. Gundermann</t>
  </si>
  <si>
    <t>Chairman, CEO &amp; Pres</t>
  </si>
  <si>
    <t>Mr. David C. Burney</t>
  </si>
  <si>
    <t>Exec. VP of Fin., CFO &amp; Sec.</t>
  </si>
  <si>
    <t>Mr. James S. Kramer</t>
  </si>
  <si>
    <t>Exec. VP</t>
  </si>
  <si>
    <t>Mr. Mark A. Peabody</t>
  </si>
  <si>
    <t>EVP, Pres of Astronics Adv. Electronic Systems Corp. &amp; Astronics Custom Control Concepts Inc.</t>
  </si>
  <si>
    <t>Description</t>
  </si>
  <si>
    <t>* Previous business would swing dramatically with the semiconductor test systems business NOW SOLD IN FEB, 2019!!</t>
  </si>
  <si>
    <t>and Analysis</t>
  </si>
  <si>
    <t>* Used to move the stock more than the 90% of the business focused on aeronatuics power equipment</t>
  </si>
  <si>
    <t>* Still has 90% share of all in seat power; claim penetration is 80% wide-body and 25% narrow body with only 60% of wide seats and 20% of narrow</t>
  </si>
  <si>
    <t>* moving to expand share of wallet in in power by handling all the systems on-board for power</t>
  </si>
  <si>
    <t>- extensive, ongoing major airliner opportunities continue to exist</t>
  </si>
  <si>
    <t>- also has opportunity to become a leading player in all power infrasturcture for small aircraft</t>
  </si>
  <si>
    <t>* Continues to have a small set of other plane parts, some for the military</t>
  </si>
  <si>
    <t>* Has a stgrategy to get into the wifi infrastructure of the airplane as in-seat entertainment systems go away but unclear if it is sound</t>
  </si>
  <si>
    <t>- but could provide excellent growth</t>
  </si>
  <si>
    <t xml:space="preserve">* Same senior team as before;  Ryan Bunn and I met them several times. </t>
  </si>
  <si>
    <t>* Divested Test Systems had Revenue of $19.724M and OPINC of 2.185M in Q1 and was sold for $103.8M with a  gain of 80.1M. Assets sold were 73.519M</t>
  </si>
  <si>
    <t xml:space="preserve">* Annual Test Systems is: </t>
  </si>
  <si>
    <t>CAGR</t>
  </si>
  <si>
    <t>Percent of Total</t>
  </si>
  <si>
    <t>Average</t>
  </si>
  <si>
    <t>Rev</t>
  </si>
  <si>
    <t xml:space="preserve">Op Inc. </t>
  </si>
  <si>
    <t>DA</t>
  </si>
  <si>
    <t>Op CF</t>
  </si>
  <si>
    <t>Hypothesis and</t>
  </si>
  <si>
    <t>* Reengagte with the company now that test systems is no longer in the picture clouding investor understanding and cash flow</t>
  </si>
  <si>
    <t>Recommendation</t>
  </si>
  <si>
    <t xml:space="preserve">* Rediligence long-term in power seat trends.  Global aircraft volumes look solid (though always something to worry about). </t>
  </si>
  <si>
    <t xml:space="preserve">Have to believe: </t>
  </si>
  <si>
    <t xml:space="preserve"> - retain significant share in in-seat power and maintain major contract visibility</t>
  </si>
  <si>
    <t>- ability to pull together the "whole infrastructure" for power in small-aircraft</t>
  </si>
  <si>
    <t>- diligence the long-term outlook for small aircraft which can be more cyclical (but there is replacement so its about the installed base growth)</t>
  </si>
  <si>
    <t>- A growth strategy is to get into in-flight entertainment equipment - satellite, servers, wifi, etc. that are the latest, high value components</t>
  </si>
  <si>
    <t>that feed off the power infrasturcure.  Is there real synergy there?  (see side bar)</t>
  </si>
  <si>
    <t>&gt; claim $200-450K of narrow body content and $540-665K in wide body content. (see side bar)</t>
  </si>
  <si>
    <t>- another growth area is total connectivity infrastructure on the plane (see side bar)</t>
  </si>
  <si>
    <t xml:space="preserve"> lighting continues to be a steady state contributor to the business - includes military</t>
  </si>
  <si>
    <t>- need to reforcast business without test systems</t>
  </si>
  <si>
    <t>Recommendation: Go to HD</t>
  </si>
  <si>
    <t>Historical Segments</t>
  </si>
  <si>
    <t>ATRO Presentation Materials</t>
  </si>
  <si>
    <t>Aerospace</t>
  </si>
  <si>
    <t>Test Systems</t>
  </si>
  <si>
    <t>Test</t>
  </si>
  <si>
    <t>Historical Mix</t>
  </si>
  <si>
    <t>2019 Q1 LTM</t>
  </si>
  <si>
    <t>Electrical Power and Motion</t>
  </si>
  <si>
    <t>Military</t>
  </si>
  <si>
    <t>Lighting and Safety</t>
  </si>
  <si>
    <t>Business Jet</t>
  </si>
  <si>
    <t>Avionics</t>
  </si>
  <si>
    <t>Test Semiconductor</t>
  </si>
  <si>
    <t>A&amp;D Test</t>
  </si>
  <si>
    <t>Structures</t>
  </si>
  <si>
    <t>Systems Certification</t>
  </si>
  <si>
    <t>Commercial Transport Delivery Forecast</t>
  </si>
  <si>
    <t>cms</t>
  </si>
  <si>
    <t>Narrowbody</t>
  </si>
  <si>
    <t>units</t>
  </si>
  <si>
    <t>Widebidy</t>
  </si>
  <si>
    <t>Commerical Production</t>
  </si>
  <si>
    <t>Narrow</t>
  </si>
  <si>
    <t>Wide</t>
  </si>
  <si>
    <t>Per quarter</t>
  </si>
  <si>
    <t>ATRO Content</t>
  </si>
  <si>
    <t>Aircraft deliveries</t>
  </si>
  <si>
    <t>05</t>
  </si>
  <si>
    <t>06</t>
  </si>
  <si>
    <t>07</t>
  </si>
  <si>
    <t>08</t>
  </si>
  <si>
    <t>09</t>
  </si>
  <si>
    <t>(04-18)</t>
  </si>
  <si>
    <t>(18-24)</t>
  </si>
  <si>
    <t>(18-28)</t>
  </si>
  <si>
    <t>Commerical</t>
  </si>
  <si>
    <t xml:space="preserve">From Detailed Counts: </t>
  </si>
  <si>
    <t>Resulting Forecast</t>
  </si>
  <si>
    <t>BASELINE</t>
  </si>
  <si>
    <t>COVID19</t>
  </si>
  <si>
    <t>Rate to use:</t>
  </si>
  <si>
    <t>(18-26)</t>
  </si>
  <si>
    <t>Air to ground</t>
  </si>
  <si>
    <t>L-band</t>
  </si>
  <si>
    <t>Ku Band</t>
  </si>
  <si>
    <t>Ka Band</t>
  </si>
  <si>
    <t>Hybrid</t>
  </si>
  <si>
    <t>months of lost 737Max</t>
  </si>
  <si>
    <t>Segment Breakdown</t>
  </si>
  <si>
    <t>Mekko Data</t>
  </si>
  <si>
    <t>Resulting Mekko Output Latest</t>
  </si>
  <si>
    <t>Mekko Output</t>
  </si>
  <si>
    <t>Electrical Power &amp; Motion</t>
  </si>
  <si>
    <t>Lighting &amp; Safety</t>
  </si>
  <si>
    <t xml:space="preserve">Structures </t>
  </si>
  <si>
    <t>CSC+Avionics</t>
  </si>
  <si>
    <t>Certification</t>
  </si>
  <si>
    <t>Growth Rates</t>
  </si>
  <si>
    <t>IFE Power</t>
  </si>
  <si>
    <t>In-Seat Power</t>
  </si>
  <si>
    <t>Airframe Power</t>
  </si>
  <si>
    <t>Seat Actuators</t>
  </si>
  <si>
    <t>PSUs</t>
  </si>
  <si>
    <t>Other Lighting</t>
  </si>
  <si>
    <t>CSC+Antennae</t>
  </si>
  <si>
    <t>Other Avionics</t>
  </si>
  <si>
    <t>Armstrong</t>
  </si>
  <si>
    <t>Peco Fuel Doors</t>
  </si>
  <si>
    <t>Semiconductor</t>
  </si>
  <si>
    <t>Aerospace/Defense</t>
  </si>
  <si>
    <t>Totals</t>
  </si>
  <si>
    <t>Segment Revenues Over Time</t>
  </si>
  <si>
    <t>(2012-19)</t>
  </si>
  <si>
    <t>(2014-19)</t>
  </si>
  <si>
    <t>(2018-19)</t>
  </si>
  <si>
    <t>Organic growth corrections</t>
  </si>
  <si>
    <t>Potential EBITDA</t>
  </si>
  <si>
    <t>CSC</t>
  </si>
  <si>
    <t>Aerosat</t>
  </si>
  <si>
    <t>IEFC S-Curve Analysis</t>
  </si>
  <si>
    <t>Maximum share</t>
  </si>
  <si>
    <t>of all aircraft with Ku band</t>
  </si>
  <si>
    <t>of</t>
  </si>
  <si>
    <t xml:space="preserve">Tipping point time </t>
  </si>
  <si>
    <t xml:space="preserve">Accelerator: </t>
  </si>
  <si>
    <t>Indexed volume</t>
  </si>
  <si>
    <t>Aricraft Total</t>
  </si>
  <si>
    <t>exponent</t>
  </si>
  <si>
    <t>Volume</t>
  </si>
  <si>
    <t xml:space="preserve">Volume with </t>
  </si>
  <si>
    <t>Indexed to Current</t>
  </si>
  <si>
    <t>Growth rates</t>
  </si>
  <si>
    <t xml:space="preserve">Growth rates: </t>
  </si>
  <si>
    <t>Lighting</t>
  </si>
  <si>
    <t>CSC/Avionics</t>
  </si>
  <si>
    <t>Testing</t>
  </si>
  <si>
    <t>All Other</t>
  </si>
  <si>
    <t>Case 1</t>
  </si>
  <si>
    <t>Case 2</t>
  </si>
  <si>
    <t>Recession</t>
  </si>
  <si>
    <t>Non-Boeing PSUs</t>
  </si>
  <si>
    <t>In Seat Power</t>
  </si>
  <si>
    <t>CSC/IFE</t>
  </si>
  <si>
    <t>Other Aero</t>
  </si>
  <si>
    <t>Aero Test</t>
  </si>
  <si>
    <t>Acquired</t>
  </si>
  <si>
    <t>Case</t>
  </si>
  <si>
    <t>Forecast for 2020</t>
  </si>
  <si>
    <t>(19-25)</t>
  </si>
  <si>
    <t>% of Total</t>
  </si>
  <si>
    <t>Memo</t>
  </si>
  <si>
    <t>Total Revenue growth</t>
  </si>
  <si>
    <t>% of COGS Fixed</t>
  </si>
  <si>
    <t>Fixed COGS</t>
  </si>
  <si>
    <t>Variable Contribution</t>
  </si>
  <si>
    <t>SG&amp;A</t>
  </si>
  <si>
    <t>Cost Cuts</t>
  </si>
  <si>
    <t>Total Fixed</t>
  </si>
  <si>
    <t>Calculated EBITDA</t>
  </si>
  <si>
    <t>As reported income</t>
  </si>
  <si>
    <t>Non-cash Impairment Charge</t>
  </si>
  <si>
    <t>Legal Reserve for Patent Dispute</t>
  </si>
  <si>
    <t>Operating Income</t>
  </si>
  <si>
    <t>% of Restructuring realized</t>
  </si>
  <si>
    <t>Restrucrturing gains</t>
  </si>
  <si>
    <t>Losses from consolidating operations</t>
  </si>
  <si>
    <t>Market penetratino overview</t>
  </si>
  <si>
    <t>Widebody</t>
  </si>
  <si>
    <t>Seats with Power</t>
  </si>
  <si>
    <t>No Power</t>
  </si>
  <si>
    <t>Intl</t>
  </si>
  <si>
    <t>Dom.</t>
  </si>
  <si>
    <t>% Adoption</t>
  </si>
  <si>
    <t>Delta in Narrowbody Penetration</t>
  </si>
  <si>
    <t>Million</t>
  </si>
  <si>
    <t>Price per seat</t>
  </si>
  <si>
    <t>low point conservative</t>
  </si>
  <si>
    <t>Market in narrow body ISP</t>
  </si>
  <si>
    <t xml:space="preserve">Overriding growth rates: </t>
  </si>
  <si>
    <t>Forecasts</t>
  </si>
  <si>
    <t>Cases</t>
  </si>
  <si>
    <t>1 = Base Case</t>
  </si>
  <si>
    <t>2 = Recession</t>
  </si>
  <si>
    <t>Recession Risk</t>
  </si>
  <si>
    <t>No Recession Risk</t>
  </si>
  <si>
    <t xml:space="preserve">Use: </t>
  </si>
  <si>
    <t xml:space="preserve">Results: </t>
  </si>
  <si>
    <t xml:space="preserve">IEFC S-curve Growth Rates: </t>
  </si>
  <si>
    <t>Percent of Business IEFC</t>
  </si>
  <si>
    <t>Growth Rates from S-Curve</t>
  </si>
  <si>
    <t>Weighted</t>
  </si>
  <si>
    <t>Probability Weight</t>
  </si>
  <si>
    <t>Match Narrow Body</t>
  </si>
  <si>
    <t>match Share of ISP in Narrow Body to Wide Body</t>
  </si>
  <si>
    <t xml:space="preserve">Achieve </t>
  </si>
  <si>
    <t xml:space="preserve">from </t>
  </si>
  <si>
    <t>today</t>
  </si>
  <si>
    <t xml:space="preserve">over </t>
  </si>
  <si>
    <t>years</t>
  </si>
  <si>
    <t>Sales add</t>
  </si>
  <si>
    <t>Share</t>
  </si>
  <si>
    <t>Discount</t>
  </si>
  <si>
    <t>Minor Platform Wins in Lighting/Airframe Power</t>
  </si>
  <si>
    <t>Wins per year</t>
  </si>
  <si>
    <t>Revenue per win</t>
  </si>
  <si>
    <t>Added Revenue per year</t>
  </si>
  <si>
    <t>EBITDA Margin</t>
  </si>
  <si>
    <t>EBITDA margin</t>
  </si>
  <si>
    <t>China Supply Expsoure</t>
  </si>
  <si>
    <t>Cost</t>
  </si>
  <si>
    <t>Level of tariff increase</t>
  </si>
  <si>
    <t xml:space="preserve">from 10 to 25% </t>
  </si>
  <si>
    <t>Cost base</t>
  </si>
  <si>
    <t>Chineses cost expsoture</t>
  </si>
  <si>
    <t>Percent of COGS</t>
  </si>
  <si>
    <t>Normal</t>
  </si>
  <si>
    <t>Post-Acquisition</t>
  </si>
  <si>
    <t>Leverage Ratio</t>
  </si>
  <si>
    <t>Fixed charge ratio</t>
  </si>
  <si>
    <t>None</t>
  </si>
  <si>
    <t xml:space="preserve">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</si>
</sst>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1">
    <numFmt numFmtId="7" formatCode="&quot;$&quot;#,##0.00_);\(&quot;$&quot;#,##0.00\)"/>
    <numFmt numFmtId="8" formatCode="&quot;$&quot;#,##0.00_);[Red]\(&quot;$&quot;#,##0.00\)"/>
    <numFmt numFmtId="44" formatCode="_(&quot;$&quot;* #,##0.00_);_(&quot;$&quot;* \(#,##0.00\);_(&quot;$&quot;* &quot;-&quot;??_);_(@_)"/>
    <numFmt numFmtId="43" formatCode="_(* #,##0.00_);_(* \(#,##0.00\);_(* &quot;-&quot;??_);_(@_)"/>
    <numFmt numFmtId="166" formatCode="_(* #,##0.0_);_(* \(#,##0.0\);_(* &quot;-&quot;??_);_(@_)"/>
    <numFmt numFmtId="167" formatCode="_(&quot;$&quot;* #,##0_);_(&quot;$&quot;* \(#,##0\);_(&quot;$&quot;* &quot;-&quot;??_);_(@_)"/>
    <numFmt numFmtId="168" formatCode="_(* #,##0_);_(* \(#,##0\);_(* &quot;-&quot;??_);_(@_)"/>
    <numFmt numFmtId="169" formatCode="_(* 0.0%_);_(* \-0.0%_);_(* &quot;-&quot;??_);_(@_)"/>
    <numFmt numFmtId="170" formatCode="_(* #,##0.0_);_(* \(#,##0.0\);_(* &quot;-&quot;??_);@"/>
    <numFmt numFmtId="171" formatCode="_(&quot;$&quot;* 0.00_);_(&quot;$&quot;* \(0.00\);_(&quot;$&quot;* &quot;-&quot;??_);_(@_)"/>
    <numFmt numFmtId="172" formatCode="_(* 0.0\ \x_);\ _(* &quot;n/a&quot;_);_(* &quot;-&quot;??_);_(@_)"/>
    <numFmt numFmtId="173" formatCode=";;;"/>
    <numFmt numFmtId="174" formatCode="_(&quot;$&quot;* 0.000_);_(&quot;$&quot;* \(0.000\);_(&quot;$&quot;* &quot;-&quot;??_);_(@_)"/>
    <numFmt numFmtId="175" formatCode="_(* #,##0.0_);_(* \(#,##0.0\);_(* &quot;-&quot;??_);_(&quot;Bloomberg &gt;&gt; &quot;@_)"/>
    <numFmt numFmtId="176" formatCode="_(* #,##0.0_);_(* \(#,##0.0\);_(* &quot;-&quot;??_);_(&quot;Capital IQ &gt;&gt; &quot;@_)"/>
    <numFmt numFmtId="177" formatCode="_(* #,##0.0_);_(* \(#,##0.0\);_(* &quot;-&quot;??_);_(&quot;FactSet &gt;&gt; &quot;@_)"/>
    <numFmt numFmtId="178" formatCode="_(* #,##0.0_);_(* \(#,##0.0\);_(* &quot;-&quot;??_);_(&quot;Ticker :   &quot;@_)"/>
    <numFmt numFmtId="179" formatCode="_(&quot;$&quot;* 0.00_);_(&quot;$&quot;* \(0.00\);_(&quot;$&quot;* &quot;-&quot;??_);_(@\ * \ &quot;Toggle  &gt;&gt;&gt;&quot;_)"/>
    <numFmt numFmtId="180" formatCode="&quot;$&quot;#,##0.00"/>
    <numFmt numFmtId="181" formatCode="_(* #,##0.0_);_(* \(#,##0.0\);_(* &quot;-&quot;??_);_(@\ * \ &quot;Toggle  &gt;&gt;&gt;&quot;_)"/>
    <numFmt numFmtId="182" formatCode="_(* 0.0%_);_(* &quot;NMF&quot;_);_(* &quot;-&quot;??_);_(@_)"/>
    <numFmt numFmtId="183" formatCode="_(* 0.0%_);_(* &quot;n/a&quot;_);_(* &quot;-&quot;??_);_(@_)"/>
    <numFmt numFmtId="184" formatCode="_(* #,##0.0_);_(* \(#,##0.0\);_(* &quot; -&quot;??_);_(&quot;Thomson &gt;&gt; &quot;@_)"/>
    <numFmt numFmtId="185" formatCode="_(* #,##0.0_);_(* \(#,##0.0\);_(* &quot;-&quot;??_);_(&quot;Model Sheet Currency :   &quot;@_)"/>
    <numFmt numFmtId="186" formatCode="_(* #,##0.0_);_(* \(#,##0.0\);_(* &quot;-&quot;??_);_(&quot;Canalyst Security Identification #: &quot;@_)"/>
    <numFmt numFmtId="187" formatCode="_(* #,##0.0_);_(* \(#,##0.0\);_(* &quot;-&quot;??_);_(&quot;Model Version #: &quot;@_)"/>
    <numFmt numFmtId="188" formatCode="_(* #,##0.0_);_(* \(#,##0.0\);_(* &quot; - &quot;??_);_(&quot;Last Price (&quot;@&quot;) &quot;_)"/>
    <numFmt numFmtId="189" formatCode="_(* #,##0.0_);_(* \(#,##0.0\);_(* &quot;-&quot;??_);_(&quot;Real-Time Stock Price :   &quot;@_)"/>
    <numFmt numFmtId="190" formatCode="_(&quot;$&quot;* 0.00_);_(&quot;$&quot;* \(0.00\);_(&quot;$&quot;* &quot; - &quot;??_);_(@_)"/>
    <numFmt numFmtId="191" formatCode="0.0%"/>
    <numFmt numFmtId="192" formatCode="_(* #,##0.000_);_(* \(#,##0.000\);_(* &quot;-&quot;??_);_(@_)"/>
    <numFmt numFmtId="193" formatCode="_(* 0.00\ \x_);\ _(* &quot;n/a&quot;_);_(* &quot;-&quot;??_);_(@_)"/>
    <numFmt numFmtId="194" formatCode="&quot;Most Recent Period:&quot;"/>
    <numFmt numFmtId="195" formatCode="#,##0\ ;\(#,##0\)"/>
    <numFmt numFmtId="196" formatCode="&quot;$&quot;#,##0\ ;\(&quot;$&quot;#,##0\)"/>
    <numFmt numFmtId="197" formatCode="yy"/>
    <numFmt numFmtId="198" formatCode="[$$-409]#,##0.00"/>
    <numFmt numFmtId="199" formatCode="[$$-409]#,##0"/>
    <numFmt numFmtId="200" formatCode="[$$-409]#,##0_);[Red]\([$$-409]#,##0\)"/>
    <numFmt numFmtId="201" formatCode="0.0\x"/>
    <numFmt numFmtId="202" formatCode="[$-409]m/d/yy\ h:mm\ AM/PM;@"/>
    <numFmt numFmtId="203" formatCode="0.0&quot;x &quot;"/>
    <numFmt numFmtId="204" formatCode="\$#,##0.00\ ;[Red]&quot;($&quot;#,##0.00\)"/>
    <numFmt numFmtId="205" formatCode="#,##0.00\ ;&quot; (&quot;#,##0.00\);&quot; -&quot;#\ ;@\ "/>
    <numFmt numFmtId="206" formatCode="\$#,##0\ ;[Red]&quot;($&quot;#,##0\)"/>
    <numFmt numFmtId="207" formatCode="#,##0\ ;[Red]&quot;(&quot;#,##0\)"/>
    <numFmt numFmtId="208" formatCode="_(&quot;$&quot;#,##0_);_(* \(&quot;$&quot;#,##0\);_(* &quot;-&quot;??_);_(@_)"/>
    <numFmt numFmtId="209" formatCode="#,##0.0\ ;\(#,##0.0\)"/>
    <numFmt numFmtId="210" formatCode="#,##0.00\ ;\(#,##0.00\)"/>
    <numFmt numFmtId="211" formatCode="m/d/yy;@"/>
    <numFmt numFmtId="212" formatCode="_(* #,##0.0_);_(* \(#,##0.0\);_(* &quot;-&quot;?_);_(@_)"/>
  </numFmts>
  <fonts count="85">
    <font>
      <sz val="11"/>
      <name val="Calibri"/>
      <family val="2"/>
    </font>
    <font>
      <sz val="11"/>
      <color theme="1"/>
      <name val="IBM Plex Sans Light"/>
      <family val="2"/>
    </font>
    <font>
      <sz val="10"/>
      <color theme="1"/>
      <name val="Arial"/>
      <family val="2"/>
    </font>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b/>
      <sz val="11"/>
      <color theme="0"/>
      <name val="Calibri"/>
      <family val="2"/>
    </font>
    <font>
      <sz val="11"/>
      <name val="Calibri"/>
      <family val="2"/>
      <scheme val="minor"/>
    </font>
    <font>
      <sz val="11"/>
      <color rgb="FFFF0000"/>
      <name val="Calibri"/>
      <family val="2"/>
    </font>
    <font>
      <sz val="11"/>
      <color theme="0"/>
      <name val="Calibri"/>
      <family val="2"/>
      <scheme val="minor"/>
    </font>
    <font>
      <sz val="22"/>
      <color theme="1"/>
      <name val="Calibri"/>
      <family val="2"/>
      <scheme val="minor"/>
    </font>
    <font>
      <u/>
      <sz val="11"/>
      <color theme="10"/>
      <name val="Calibri"/>
      <family val="2"/>
    </font>
    <font>
      <sz val="14"/>
      <color theme="1"/>
      <name val="Calibri"/>
      <family val="2"/>
      <scheme val="minor"/>
    </font>
    <font>
      <b/>
      <sz val="11"/>
      <color rgb="FFFF0000"/>
      <name val="Calibri"/>
      <family val="2"/>
    </font>
    <font>
      <sz val="11"/>
      <color rgb="FF006100"/>
      <name val="Calibri"/>
      <family val="2"/>
      <scheme val="minor"/>
    </font>
    <font>
      <sz val="10"/>
      <color theme="1"/>
      <name val="Calibri"/>
      <family val="2"/>
      <scheme val="minor"/>
    </font>
    <font>
      <b/>
      <sz val="10"/>
      <color theme="1"/>
      <name val="Calibri"/>
      <family val="2"/>
      <scheme val="minor"/>
    </font>
    <font>
      <b/>
      <sz val="14"/>
      <color rgb="FFFF0000"/>
      <name val="Calibri"/>
      <family val="2"/>
      <scheme val="minor"/>
    </font>
    <font>
      <b/>
      <sz val="14"/>
      <color theme="1"/>
      <name val="Calibri"/>
      <family val="2"/>
      <scheme val="minor"/>
    </font>
    <font>
      <sz val="14"/>
      <name val="Calibri"/>
      <family val="2"/>
      <scheme val="minor"/>
    </font>
    <font>
      <i/>
      <sz val="11"/>
      <name val="Calibri"/>
      <family val="2"/>
    </font>
    <font>
      <sz val="9"/>
      <name val="Tahoma"/>
      <family val="2"/>
    </font>
    <font>
      <b/>
      <sz val="9"/>
      <name val="Tahoma"/>
      <family val="2"/>
    </font>
    <font>
      <sz val="11"/>
      <color rgb="FF000000"/>
      <name val="Calibri"/>
      <family val="2"/>
      <scheme val="minor"/>
    </font>
    <font>
      <b/>
      <sz val="11"/>
      <color rgb="FFFFFFFF"/>
      <name val="Calibri"/>
      <family val="2"/>
    </font>
    <font>
      <b/>
      <sz val="11"/>
      <color rgb="FF000000"/>
      <name val="Calibri"/>
      <family val="2"/>
    </font>
    <font>
      <b/>
      <sz val="11"/>
      <color rgb="FF000000"/>
      <name val="Calibri"/>
      <family val="2"/>
      <scheme val="minor"/>
    </font>
    <font>
      <sz val="11"/>
      <color rgb="FF000000"/>
      <name val="Calibri"/>
      <family val="2"/>
    </font>
    <font>
      <i/>
      <sz val="11"/>
      <color rgb="FF000000"/>
      <name val="Calibri"/>
      <family val="2"/>
    </font>
    <font>
      <sz val="10"/>
      <color theme="0"/>
      <name val="Calibri"/>
      <family val="2"/>
      <scheme val="minor"/>
    </font>
    <font>
      <i/>
      <sz val="11"/>
      <color rgb="FF000000"/>
      <name val="Calibri"/>
      <family val="2"/>
      <scheme val="minor"/>
    </font>
    <font>
      <b/>
      <sz val="11"/>
      <color rgb="FFFFFFFF"/>
      <name val="Calibri"/>
      <family val="2"/>
      <scheme val="minor"/>
    </font>
    <font>
      <sz val="11"/>
      <color rgb="FFFFFFFF"/>
      <name val="Calibri"/>
      <family val="2"/>
    </font>
    <font>
      <b/>
      <i/>
      <sz val="11"/>
      <color rgb="FF000000"/>
      <name val="Calibri"/>
      <family val="2"/>
    </font>
    <font>
      <b/>
      <i/>
      <sz val="11"/>
      <color rgb="FF000000"/>
      <name val="Calibri"/>
      <family val="2"/>
      <scheme val="minor"/>
    </font>
    <font>
      <b/>
      <sz val="8"/>
      <color rgb="FF000000"/>
      <name val="Calibri"/>
      <family val="2"/>
      <scheme val="minor"/>
    </font>
    <font>
      <sz val="8"/>
      <color rgb="FF000000"/>
      <name val="Calibri"/>
      <family val="2"/>
      <scheme val="minor"/>
    </font>
    <font>
      <sz val="11"/>
      <color theme="0" tint="-4.7639393292031616E-2"/>
      <name val="Calibri"/>
      <family val="2"/>
    </font>
    <font>
      <sz val="11"/>
      <color rgb="FFF2F2F2"/>
      <name val="Calibri"/>
      <family val="2"/>
    </font>
    <font>
      <u/>
      <sz val="22"/>
      <color rgb="FF000000"/>
      <name val="Calibri"/>
      <family val="2"/>
      <scheme val="minor"/>
    </font>
    <font>
      <u/>
      <sz val="11"/>
      <color rgb="FF0000FF"/>
      <name val="Calibri"/>
      <family val="2"/>
      <scheme val="minor"/>
    </font>
    <font>
      <sz val="11"/>
      <color rgb="FF0000FF"/>
      <name val="Calibri"/>
      <family val="2"/>
    </font>
    <font>
      <b/>
      <i/>
      <sz val="11"/>
      <color rgb="FFFF0000"/>
      <name val="Calibri"/>
      <family val="2"/>
    </font>
    <font>
      <u/>
      <sz val="14"/>
      <color rgb="FF0000FF"/>
      <name val="Calibri"/>
      <family val="2"/>
      <scheme val="minor"/>
    </font>
    <font>
      <i/>
      <sz val="11"/>
      <color rgb="FFFF0000"/>
      <name val="Calibri"/>
      <family val="2"/>
    </font>
    <font>
      <i/>
      <sz val="11"/>
      <color rgb="FFFF0000"/>
      <name val="Calibri"/>
      <family val="2"/>
      <scheme val="minor"/>
    </font>
    <font>
      <u/>
      <sz val="22"/>
      <color rgb="FF0000FF"/>
      <name val="Calibri"/>
      <family val="2"/>
      <scheme val="minor"/>
    </font>
    <font>
      <sz val="11"/>
      <color rgb="FF444444"/>
      <name val="Avenir W01"/>
      <family val="2"/>
    </font>
    <font>
      <sz val="11"/>
      <name val="IBM Plex Sans Light"/>
      <family val="2"/>
    </font>
    <font>
      <sz val="11"/>
      <color theme="1"/>
      <name val="IBM Plex Sans Light"/>
      <family val="2"/>
    </font>
    <font>
      <sz val="9"/>
      <name val="IBM Plex Sans Light"/>
      <family val="2"/>
    </font>
    <font>
      <i/>
      <sz val="9"/>
      <name val="IBM Plex Sans Light"/>
      <family val="2"/>
    </font>
    <font>
      <b/>
      <sz val="11"/>
      <name val="Calibri"/>
      <family val="2"/>
      <scheme val="minor"/>
    </font>
    <font>
      <b/>
      <sz val="11"/>
      <name val="IBM Plex Sans Light"/>
      <family val="2"/>
    </font>
    <font>
      <i/>
      <sz val="11"/>
      <name val="IBM Plex Sans Light"/>
      <family val="2"/>
    </font>
    <font>
      <sz val="11"/>
      <color theme="5"/>
      <name val="IBM Plex Sans Light"/>
      <family val="2"/>
    </font>
    <font>
      <sz val="11"/>
      <color theme="4"/>
      <name val="IBM Plex Sans Light"/>
      <family val="2"/>
    </font>
    <font>
      <sz val="11"/>
      <color theme="3"/>
      <name val="IBM Plex Sans Light"/>
      <family val="2"/>
    </font>
    <font>
      <sz val="11"/>
      <color theme="4" tint="-0.24991607409894101"/>
      <name val="IBM Plex Sans Light"/>
      <family val="2"/>
    </font>
    <font>
      <u/>
      <sz val="11"/>
      <color theme="4" tint="-0.24991607409894101"/>
      <name val="IBM Plex Sans Light"/>
      <family val="2"/>
    </font>
    <font>
      <u/>
      <sz val="11"/>
      <name val="IBM Plex Sans Light"/>
      <family val="2"/>
    </font>
    <font>
      <sz val="10"/>
      <name val="Arial"/>
      <family val="2"/>
    </font>
    <font>
      <b/>
      <sz val="11"/>
      <color theme="3"/>
      <name val="IBM Plex Sans Light"/>
      <family val="2"/>
    </font>
    <font>
      <u/>
      <sz val="11"/>
      <color theme="10"/>
      <name val="IBM Plex Sans Light"/>
      <family val="2"/>
    </font>
    <font>
      <b/>
      <sz val="9"/>
      <name val="IBM Plex Sans Light"/>
      <family val="2"/>
    </font>
    <font>
      <i/>
      <sz val="9"/>
      <color rgb="FF0000FF"/>
      <name val="IBM Plex Sans Light"/>
      <family val="2"/>
    </font>
    <font>
      <sz val="9"/>
      <name val="Calibri"/>
      <family val="2"/>
    </font>
    <font>
      <sz val="9"/>
      <color rgb="FFFF0000"/>
      <name val="IBM Plex Sans Light"/>
      <family val="2"/>
    </font>
    <font>
      <b/>
      <i/>
      <sz val="9"/>
      <name val="IBM Plex Sans Light"/>
      <family val="2"/>
    </font>
    <font>
      <u/>
      <sz val="9"/>
      <name val="IBM Plex Sans Light"/>
      <family val="2"/>
    </font>
    <font>
      <b/>
      <u/>
      <sz val="9"/>
      <name val="IBM Plex Sans Light"/>
      <family val="2"/>
    </font>
    <font>
      <sz val="9"/>
      <color rgb="FF0000FF"/>
      <name val="IBM Plex Sans Light"/>
      <family val="2"/>
    </font>
    <font>
      <sz val="9"/>
      <color theme="1"/>
      <name val="IBM Plex Sans Light"/>
      <family val="2"/>
    </font>
    <font>
      <sz val="9"/>
      <color theme="0"/>
      <name val="IBM Plex Sans Light"/>
      <family val="2"/>
    </font>
    <font>
      <sz val="9"/>
      <color theme="4" tint="-0.24991607409894101"/>
      <name val="IBM Plex Sans Light"/>
      <family val="2"/>
    </font>
    <font>
      <sz val="9"/>
      <color rgb="FF006600"/>
      <name val="IBM Plex Sans Light"/>
      <family val="2"/>
    </font>
    <font>
      <b/>
      <sz val="9"/>
      <color rgb="FF0000FF"/>
      <name val="IBM Plex Sans Light"/>
      <family val="2"/>
    </font>
    <font>
      <sz val="11"/>
      <color theme="4"/>
      <name val="Calibri"/>
      <family val="2"/>
    </font>
    <font>
      <sz val="11"/>
      <color rgb="FF5F6A72"/>
      <name val="Arial"/>
      <family val="2"/>
    </font>
    <font>
      <b/>
      <sz val="10"/>
      <color rgb="FF5F6A72"/>
      <name val="Arial"/>
      <family val="2"/>
    </font>
    <font>
      <sz val="11"/>
      <color theme="9" tint="-0.24991607409894101"/>
      <name val="IBM Plex Sans Light"/>
      <family val="2"/>
    </font>
    <font>
      <sz val="11"/>
      <name val="Calibri"/>
      <family val="2"/>
    </font>
    <font>
      <b/>
      <sz val="9"/>
      <name val="Tahoma"/>
      <family val="2"/>
      <charset val="1"/>
    </font>
    <font>
      <sz val="9"/>
      <name val="Tahoma"/>
      <family val="2"/>
      <charset val="1"/>
    </font>
  </fonts>
  <fills count="23">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theme="0" tint="-4.7639393292031616E-2"/>
        <bgColor indexed="64"/>
      </patternFill>
    </fill>
    <fill>
      <patternFill patternType="solid">
        <fgColor rgb="FF89E0FF"/>
        <bgColor indexed="64"/>
      </patternFill>
    </fill>
    <fill>
      <patternFill patternType="solid">
        <fgColor theme="0" tint="-0.24762718588824123"/>
        <bgColor indexed="64"/>
      </patternFill>
    </fill>
    <fill>
      <patternFill patternType="solid">
        <fgColor rgb="FFFBCE20"/>
        <bgColor indexed="64"/>
      </patternFill>
    </fill>
    <fill>
      <patternFill patternType="solid">
        <fgColor rgb="FF000000"/>
        <bgColor indexed="64"/>
      </patternFill>
    </fill>
    <fill>
      <patternFill patternType="solid">
        <fgColor rgb="FFBFBFBF"/>
        <bgColor indexed="64"/>
      </patternFill>
    </fill>
    <fill>
      <patternFill patternType="solid">
        <fgColor theme="1"/>
        <bgColor indexed="64"/>
      </patternFill>
    </fill>
    <fill>
      <patternFill patternType="solid">
        <fgColor rgb="FFE6E8E9"/>
        <bgColor indexed="64"/>
      </patternFill>
    </fill>
    <fill>
      <patternFill patternType="solid">
        <fgColor rgb="FFEFF0F1"/>
        <bgColor indexed="64"/>
      </patternFill>
    </fill>
    <fill>
      <patternFill patternType="solid">
        <fgColor rgb="FFF5F6F7"/>
        <bgColor indexed="64"/>
      </patternFill>
    </fill>
    <fill>
      <patternFill patternType="solid">
        <fgColor rgb="FFFFFF00"/>
        <bgColor indexed="64"/>
      </patternFill>
    </fill>
    <fill>
      <patternFill patternType="solid">
        <fgColor rgb="FF004A80"/>
        <bgColor indexed="64"/>
      </patternFill>
    </fill>
    <fill>
      <patternFill patternType="solid">
        <fgColor rgb="FFF5F5F5"/>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9900"/>
        <bgColor indexed="64"/>
      </patternFill>
    </fill>
    <fill>
      <patternFill patternType="solid">
        <fgColor rgb="FFCCFFCC"/>
        <bgColor indexed="64"/>
      </patternFill>
    </fill>
  </fills>
  <borders count="47">
    <border>
      <left/>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auto="1"/>
      </left>
      <right style="thin">
        <color auto="1"/>
      </right>
      <top/>
      <bottom style="thin">
        <color auto="1"/>
      </bottom>
      <diagonal/>
    </border>
    <border>
      <left style="thin">
        <color rgb="FF000000"/>
      </left>
      <right style="thin">
        <color auto="1"/>
      </right>
      <top/>
      <bottom style="thin">
        <color rgb="FF000000"/>
      </bottom>
      <diagonal/>
    </border>
    <border>
      <left style="thin">
        <color auto="1"/>
      </left>
      <right style="thin">
        <color auto="1"/>
      </right>
      <top/>
      <bottom style="thin">
        <color rgb="FF000000"/>
      </bottom>
      <diagonal/>
    </border>
    <border>
      <left style="thin">
        <color auto="1"/>
      </left>
      <right style="thin">
        <color rgb="FF000000"/>
      </right>
      <top/>
      <bottom style="thin">
        <color rgb="FF000000"/>
      </bottom>
      <diagonal/>
    </border>
    <border>
      <left/>
      <right style="thick">
        <color auto="1"/>
      </right>
      <top/>
      <bottom/>
      <diagonal/>
    </border>
    <border>
      <left/>
      <right/>
      <top style="thin">
        <color rgb="FF000000"/>
      </top>
      <bottom/>
      <diagonal/>
    </border>
    <border>
      <left style="thin">
        <color rgb="FF000000"/>
      </left>
      <right/>
      <top style="thin">
        <color rgb="FF000000"/>
      </top>
      <bottom/>
      <diagonal/>
    </border>
    <border>
      <left/>
      <right style="thin">
        <color rgb="FF000000"/>
      </right>
      <top/>
      <bottom/>
      <diagonal/>
    </border>
    <border>
      <left/>
      <right style="thick">
        <color auto="1"/>
      </right>
      <top style="thin">
        <color rgb="FF000000"/>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right style="thick">
        <color auto="1"/>
      </right>
      <top style="thin">
        <color auto="1"/>
      </top>
      <bottom/>
      <diagonal/>
    </border>
    <border>
      <left style="thin">
        <color rgb="FF000000"/>
      </left>
      <right style="thin">
        <color rgb="FF000000"/>
      </right>
      <top/>
      <bottom style="thin">
        <color rgb="FF000000"/>
      </bottom>
      <diagonal/>
    </border>
    <border>
      <left/>
      <right style="thick">
        <color auto="1"/>
      </right>
      <top/>
      <bottom style="thin">
        <color auto="1"/>
      </bottom>
      <diagonal/>
    </border>
    <border>
      <left/>
      <right/>
      <top style="thin">
        <color auto="1"/>
      </top>
      <bottom style="thin">
        <color auto="1"/>
      </bottom>
      <diagonal/>
    </border>
    <border>
      <left/>
      <right style="thin">
        <color rgb="FF000000"/>
      </right>
      <top style="thin">
        <color rgb="FF000000"/>
      </top>
      <bottom/>
      <diagonal/>
    </border>
    <border>
      <left/>
      <right style="thin">
        <color rgb="FF000000"/>
      </right>
      <top/>
      <bottom style="thin">
        <color rgb="FF000000"/>
      </bottom>
      <diagonal/>
    </border>
    <border>
      <left/>
      <right style="thick">
        <color auto="1"/>
      </right>
      <top/>
      <bottom style="thin">
        <color rgb="FF000000"/>
      </bottom>
      <diagonal/>
    </border>
    <border>
      <left/>
      <right style="thick">
        <color auto="1"/>
      </right>
      <top style="thin">
        <color auto="1"/>
      </top>
      <bottom style="thin">
        <color auto="1"/>
      </bottom>
      <diagonal/>
    </border>
    <border>
      <left style="thin">
        <color rgb="FF363636"/>
      </left>
      <right style="thin">
        <color rgb="FF363636"/>
      </right>
      <top style="thin">
        <color rgb="FF363636"/>
      </top>
      <bottom style="thin">
        <color rgb="FF363636"/>
      </bottom>
      <diagonal/>
    </border>
    <border>
      <left/>
      <right/>
      <top/>
      <bottom style="medium">
        <color rgb="FF000000"/>
      </bottom>
      <diagonal/>
    </border>
    <border>
      <left/>
      <right style="thin">
        <color auto="1"/>
      </right>
      <top/>
      <bottom style="medium">
        <color rgb="FF000000"/>
      </bottom>
      <diagonal/>
    </border>
    <border>
      <left/>
      <right style="thin">
        <color auto="1"/>
      </right>
      <top style="medium">
        <color rgb="FF000000"/>
      </top>
      <bottom/>
      <diagonal/>
    </border>
    <border>
      <left/>
      <right style="thin">
        <color auto="1"/>
      </right>
      <top/>
      <bottom style="thin">
        <color rgb="FF000000"/>
      </bottom>
      <diagonal/>
    </border>
    <border>
      <left style="medium">
        <color auto="1"/>
      </left>
      <right style="medium">
        <color auto="1"/>
      </right>
      <top style="medium">
        <color auto="1"/>
      </top>
      <bottom style="medium">
        <color auto="1"/>
      </bottom>
      <diagonal/>
    </border>
    <border>
      <left/>
      <right/>
      <top/>
      <bottom style="double">
        <color auto="1"/>
      </bottom>
      <diagonal/>
    </border>
    <border>
      <left style="medium">
        <color rgb="FFD3D3D3"/>
      </left>
      <right style="medium">
        <color rgb="FFD3D3D3"/>
      </right>
      <top style="medium">
        <color rgb="FFD3D3D3"/>
      </top>
      <bottom style="medium">
        <color rgb="FFD3D3D3"/>
      </bottom>
      <diagonal/>
    </border>
    <border>
      <left/>
      <right/>
      <top/>
      <bottom style="thin">
        <color auto="1"/>
      </bottom>
      <diagonal/>
    </border>
    <border>
      <left/>
      <right style="thick">
        <color auto="1"/>
      </right>
      <top/>
      <bottom style="thin">
        <color auto="1"/>
      </bottom>
      <diagonal/>
    </border>
    <border>
      <left/>
      <right/>
      <top style="thin">
        <color auto="1"/>
      </top>
      <bottom style="thin">
        <color rgb="FF000000"/>
      </bottom>
      <diagonal/>
    </border>
    <border>
      <left/>
      <right style="thick">
        <color auto="1"/>
      </right>
      <top style="thin">
        <color auto="1"/>
      </top>
      <bottom style="thin">
        <color rgb="FF000000"/>
      </bottom>
      <diagonal/>
    </border>
    <border>
      <left/>
      <right/>
      <top style="thin">
        <color rgb="FF000000"/>
      </top>
      <bottom/>
      <diagonal/>
    </border>
    <border>
      <left/>
      <right style="thick">
        <color auto="1"/>
      </right>
      <top style="thin">
        <color rgb="FF000000"/>
      </top>
      <bottom/>
      <diagonal/>
    </border>
  </borders>
  <cellStyleXfs count="30">
    <xf numFmtId="0" fontId="0" fillId="0" borderId="0"/>
    <xf numFmtId="9" fontId="2" fillId="0" borderId="0" applyFont="0" applyFill="0" applyBorder="0" applyAlignment="0" applyProtection="0"/>
    <xf numFmtId="44" fontId="82" fillId="0" borderId="0" applyFont="0" applyFill="0" applyBorder="0" applyAlignment="0" applyProtection="0"/>
    <xf numFmtId="43" fontId="2" fillId="0" borderId="0" applyFont="0" applyFill="0" applyBorder="0" applyAlignment="0" applyProtection="0"/>
    <xf numFmtId="0" fontId="5" fillId="0" borderId="0" applyNumberFormat="0" applyFill="0" applyBorder="0" applyAlignment="0" applyProtection="0"/>
    <xf numFmtId="0" fontId="3" fillId="0" borderId="0"/>
    <xf numFmtId="44" fontId="3" fillId="0" borderId="0" applyFont="0" applyFill="0" applyBorder="0" applyAlignment="0" applyProtection="0"/>
    <xf numFmtId="0" fontId="12" fillId="0" borderId="0" applyNumberFormat="0" applyFill="0" applyBorder="0">
      <protection locked="0"/>
    </xf>
    <xf numFmtId="9" fontId="3" fillId="0" borderId="0" applyFont="0" applyFill="0" applyBorder="0" applyAlignment="0" applyProtection="0"/>
    <xf numFmtId="0" fontId="15" fillId="2" borderId="0" applyNumberFormat="0" applyBorder="0" applyAlignment="0" applyProtection="0"/>
    <xf numFmtId="0" fontId="3" fillId="0" borderId="0"/>
    <xf numFmtId="0" fontId="82" fillId="0" borderId="0"/>
    <xf numFmtId="44" fontId="82" fillId="0" borderId="0" applyFont="0" applyFill="0" applyBorder="0" applyAlignment="0" applyProtection="0"/>
    <xf numFmtId="0" fontId="62" fillId="0" borderId="0"/>
    <xf numFmtId="43" fontId="3" fillId="0" borderId="0" applyFont="0" applyFill="0" applyBorder="0" applyAlignment="0" applyProtection="0"/>
    <xf numFmtId="0" fontId="62" fillId="0" borderId="0"/>
    <xf numFmtId="0" fontId="3" fillId="0" borderId="0"/>
    <xf numFmtId="43" fontId="82" fillId="0" borderId="0" applyFont="0" applyFill="0" applyBorder="0" applyAlignment="0" applyProtection="0"/>
    <xf numFmtId="0" fontId="62" fillId="0" borderId="0"/>
    <xf numFmtId="43" fontId="62" fillId="0" borderId="0" applyFont="0" applyFill="0" applyBorder="0" applyAlignment="0" applyProtection="0"/>
    <xf numFmtId="9" fontId="62" fillId="0" borderId="0" applyFill="0" applyBorder="0" applyAlignment="0" applyProtection="0"/>
    <xf numFmtId="205" fontId="62" fillId="0" borderId="0" applyFill="0" applyBorder="0" applyAlignment="0" applyProtection="0"/>
    <xf numFmtId="43" fontId="82" fillId="0" borderId="0" applyFont="0"/>
    <xf numFmtId="9" fontId="82" fillId="0" borderId="0" applyFont="0" applyFill="0" applyBorder="0" applyAlignment="0" applyProtection="0"/>
    <xf numFmtId="0" fontId="3" fillId="0" borderId="0"/>
    <xf numFmtId="0" fontId="62" fillId="0" borderId="0"/>
    <xf numFmtId="43" fontId="62"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cellStyleXfs>
  <cellXfs count="1028">
    <xf numFmtId="0" fontId="0" fillId="0" borderId="0" xfId="0"/>
    <xf numFmtId="166" fontId="0" fillId="0" borderId="0" xfId="0" applyNumberFormat="1"/>
    <xf numFmtId="166" fontId="6" fillId="5" borderId="0" xfId="0" applyNumberFormat="1" applyFont="1" applyFill="1" applyAlignment="1">
      <alignment horizontal="center"/>
    </xf>
    <xf numFmtId="169" fontId="9" fillId="7" borderId="2" xfId="0" applyNumberFormat="1" applyFont="1" applyFill="1" applyBorder="1" applyAlignment="1">
      <alignment horizontal="right"/>
    </xf>
    <xf numFmtId="166" fontId="6" fillId="0" borderId="0" xfId="0" applyNumberFormat="1" applyFont="1"/>
    <xf numFmtId="0" fontId="3" fillId="0" borderId="0" xfId="10"/>
    <xf numFmtId="0" fontId="3" fillId="5" borderId="0" xfId="10" applyFill="1"/>
    <xf numFmtId="0" fontId="3" fillId="6" borderId="0" xfId="10" applyFill="1"/>
    <xf numFmtId="0" fontId="16" fillId="6" borderId="0" xfId="10" applyFont="1" applyFill="1"/>
    <xf numFmtId="0" fontId="17" fillId="6" borderId="0" xfId="10" applyFont="1" applyFill="1"/>
    <xf numFmtId="1" fontId="16" fillId="6" borderId="0" xfId="10" applyNumberFormat="1" applyFont="1" applyFill="1" applyAlignment="1">
      <alignment horizontal="center"/>
    </xf>
    <xf numFmtId="0" fontId="13" fillId="6" borderId="0" xfId="10" applyFont="1" applyFill="1"/>
    <xf numFmtId="1" fontId="18" fillId="8" borderId="0" xfId="10" applyNumberFormat="1" applyFont="1" applyFill="1" applyAlignment="1">
      <alignment horizontal="center" vertical="center"/>
    </xf>
    <xf numFmtId="0" fontId="3" fillId="6" borderId="0" xfId="10" applyFill="1" applyAlignment="1">
      <alignment vertical="center"/>
    </xf>
    <xf numFmtId="0" fontId="19" fillId="6" borderId="0" xfId="10" applyFont="1" applyFill="1" applyAlignment="1">
      <alignment vertical="center"/>
    </xf>
    <xf numFmtId="14" fontId="13" fillId="9" borderId="0" xfId="10" applyNumberFormat="1" applyFont="1" applyFill="1" applyAlignment="1">
      <alignment horizontal="center" vertical="center"/>
    </xf>
    <xf numFmtId="0" fontId="13" fillId="6" borderId="0" xfId="10" applyFont="1" applyFill="1" applyAlignment="1">
      <alignment horizontal="center"/>
    </xf>
    <xf numFmtId="0" fontId="3" fillId="5" borderId="9" xfId="10" applyFill="1" applyBorder="1" applyAlignment="1">
      <alignment horizontal="center"/>
    </xf>
    <xf numFmtId="0" fontId="8" fillId="5" borderId="9" xfId="10" applyFont="1" applyFill="1" applyBorder="1" applyAlignment="1">
      <alignment horizontal="center"/>
    </xf>
    <xf numFmtId="14" fontId="8" fillId="5" borderId="9" xfId="10" applyNumberFormat="1" applyFont="1" applyFill="1" applyBorder="1" applyAlignment="1">
      <alignment horizontal="center"/>
    </xf>
    <xf numFmtId="0" fontId="13" fillId="0" borderId="0" xfId="10" applyFont="1" applyAlignment="1">
      <alignment vertical="center"/>
    </xf>
    <xf numFmtId="0" fontId="13" fillId="6" borderId="0" xfId="10" applyFont="1" applyFill="1" applyAlignment="1">
      <alignment vertical="center"/>
    </xf>
    <xf numFmtId="0" fontId="0" fillId="5" borderId="0" xfId="0" applyFont="1" applyFill="1"/>
    <xf numFmtId="166" fontId="0" fillId="0" borderId="0" xfId="0" applyNumberFormat="1" applyFont="1"/>
    <xf numFmtId="166" fontId="6" fillId="0" borderId="0" xfId="0" applyNumberFormat="1" applyFont="1" applyAlignment="1">
      <alignment horizontal="center"/>
    </xf>
    <xf numFmtId="169" fontId="6" fillId="0" borderId="0" xfId="0" applyNumberFormat="1" applyFont="1"/>
    <xf numFmtId="171" fontId="0" fillId="0" borderId="0" xfId="0" applyNumberFormat="1" applyFont="1"/>
    <xf numFmtId="166" fontId="21" fillId="0" borderId="0" xfId="0" applyNumberFormat="1" applyFont="1"/>
    <xf numFmtId="171" fontId="6" fillId="0" borderId="0" xfId="0" applyNumberFormat="1" applyFont="1"/>
    <xf numFmtId="171" fontId="21" fillId="0" borderId="0" xfId="0" applyNumberFormat="1" applyFont="1"/>
    <xf numFmtId="174" fontId="0" fillId="0" borderId="0" xfId="0" applyNumberFormat="1" applyFont="1"/>
    <xf numFmtId="172" fontId="6" fillId="0" borderId="0" xfId="0" applyNumberFormat="1" applyFont="1"/>
    <xf numFmtId="172" fontId="0" fillId="0" borderId="0" xfId="0" applyNumberFormat="1" applyFont="1"/>
    <xf numFmtId="0" fontId="19" fillId="6" borderId="0" xfId="10" applyFont="1" applyFill="1" applyAlignment="1">
      <alignment horizontal="center" vertical="center"/>
    </xf>
    <xf numFmtId="0" fontId="20" fillId="9" borderId="0" xfId="10" applyFont="1" applyFill="1" applyAlignment="1">
      <alignment horizontal="center" vertical="center"/>
    </xf>
    <xf numFmtId="0" fontId="3" fillId="6" borderId="0" xfId="10" applyFont="1" applyFill="1" applyAlignment="1">
      <alignment vertical="center"/>
    </xf>
    <xf numFmtId="0" fontId="17" fillId="6" borderId="0" xfId="10" quotePrefix="1" applyFont="1" applyFill="1"/>
    <xf numFmtId="0" fontId="19" fillId="6" borderId="0" xfId="10" applyFont="1" applyFill="1"/>
    <xf numFmtId="166" fontId="0" fillId="3" borderId="0" xfId="0" applyNumberFormat="1" applyFont="1" applyFill="1"/>
    <xf numFmtId="169" fontId="9" fillId="3" borderId="2" xfId="0" applyNumberFormat="1" applyFont="1" applyFill="1" applyBorder="1" applyAlignment="1">
      <alignment horizontal="right"/>
    </xf>
    <xf numFmtId="0" fontId="6" fillId="5" borderId="0" xfId="0" applyFont="1" applyFill="1"/>
    <xf numFmtId="0" fontId="6" fillId="0" borderId="0" xfId="0" applyFont="1"/>
    <xf numFmtId="0" fontId="0" fillId="0" borderId="0" xfId="0" applyFont="1"/>
    <xf numFmtId="169" fontId="0" fillId="0" borderId="0" xfId="0" applyNumberFormat="1" applyFont="1"/>
    <xf numFmtId="169" fontId="0" fillId="3" borderId="0" xfId="0" applyNumberFormat="1" applyFont="1" applyFill="1"/>
    <xf numFmtId="169" fontId="6" fillId="3" borderId="0" xfId="0" applyNumberFormat="1" applyFont="1" applyFill="1"/>
    <xf numFmtId="168" fontId="6" fillId="3" borderId="0" xfId="0" applyNumberFormat="1" applyFont="1" applyFill="1"/>
    <xf numFmtId="168" fontId="6" fillId="0" borderId="0" xfId="0" applyNumberFormat="1" applyFont="1"/>
    <xf numFmtId="168" fontId="0" fillId="3" borderId="0" xfId="0" applyNumberFormat="1" applyFont="1" applyFill="1"/>
    <xf numFmtId="168" fontId="0" fillId="0" borderId="0" xfId="0" applyNumberFormat="1" applyFont="1"/>
    <xf numFmtId="0" fontId="6" fillId="3" borderId="0" xfId="0" applyFont="1" applyFill="1"/>
    <xf numFmtId="169" fontId="25" fillId="10" borderId="0" xfId="0" applyNumberFormat="1" applyFont="1" applyFill="1"/>
    <xf numFmtId="0" fontId="27" fillId="3" borderId="0" xfId="0" applyFont="1" applyFill="1" applyAlignment="1">
      <alignment horizontal="center"/>
    </xf>
    <xf numFmtId="169" fontId="26" fillId="3" borderId="7" xfId="0" applyNumberFormat="1" applyFont="1" applyFill="1" applyBorder="1" applyAlignment="1">
      <alignment horizontal="right"/>
    </xf>
    <xf numFmtId="169" fontId="26" fillId="7" borderId="7" xfId="0" applyNumberFormat="1" applyFont="1" applyFill="1" applyBorder="1" applyAlignment="1">
      <alignment horizontal="right"/>
    </xf>
    <xf numFmtId="166" fontId="24" fillId="2" borderId="0" xfId="9" applyNumberFormat="1" applyFont="1" applyFill="1"/>
    <xf numFmtId="171" fontId="21" fillId="3" borderId="0" xfId="0" applyNumberFormat="1" applyFont="1" applyFill="1"/>
    <xf numFmtId="171" fontId="6" fillId="3" borderId="0" xfId="0" applyNumberFormat="1" applyFont="1" applyFill="1"/>
    <xf numFmtId="174" fontId="0" fillId="3" borderId="0" xfId="0" applyNumberFormat="1" applyFont="1" applyFill="1"/>
    <xf numFmtId="0" fontId="0" fillId="3" borderId="0" xfId="0" applyFont="1" applyFill="1"/>
    <xf numFmtId="172" fontId="6" fillId="3" borderId="0" xfId="0" applyNumberFormat="1" applyFont="1" applyFill="1"/>
    <xf numFmtId="172" fontId="0" fillId="3" borderId="0" xfId="0" applyNumberFormat="1" applyFont="1" applyFill="1"/>
    <xf numFmtId="0" fontId="82" fillId="0" borderId="0" xfId="11"/>
    <xf numFmtId="166" fontId="82" fillId="0" borderId="0" xfId="11" applyNumberFormat="1"/>
    <xf numFmtId="171" fontId="6" fillId="0" borderId="0" xfId="11" applyNumberFormat="1" applyFont="1"/>
    <xf numFmtId="166" fontId="6" fillId="0" borderId="0" xfId="11" applyNumberFormat="1" applyFont="1"/>
    <xf numFmtId="169" fontId="82" fillId="0" borderId="0" xfId="11" applyNumberFormat="1"/>
    <xf numFmtId="171" fontId="82" fillId="0" borderId="0" xfId="11" applyNumberFormat="1"/>
    <xf numFmtId="169" fontId="6" fillId="0" borderId="0" xfId="11" applyNumberFormat="1" applyFont="1"/>
    <xf numFmtId="182" fontId="6" fillId="0" borderId="0" xfId="11" applyNumberFormat="1" applyFont="1"/>
    <xf numFmtId="172" fontId="6" fillId="0" borderId="0" xfId="11" applyNumberFormat="1" applyFont="1"/>
    <xf numFmtId="183" fontId="6" fillId="0" borderId="0" xfId="11" applyNumberFormat="1" applyFont="1"/>
    <xf numFmtId="172" fontId="82" fillId="0" borderId="0" xfId="11" applyNumberFormat="1"/>
    <xf numFmtId="0" fontId="3" fillId="5" borderId="9" xfId="10" applyFont="1" applyFill="1" applyBorder="1" applyAlignment="1">
      <alignment horizontal="center"/>
    </xf>
    <xf numFmtId="17" fontId="24" fillId="3" borderId="0" xfId="0" applyNumberFormat="1" applyFont="1" applyFill="1" applyAlignment="1">
      <alignment horizontal="center"/>
    </xf>
    <xf numFmtId="0" fontId="16" fillId="6" borderId="0" xfId="10" applyFont="1" applyFill="1" applyAlignment="1">
      <alignment horizontal="left" wrapText="1" indent="1"/>
    </xf>
    <xf numFmtId="0" fontId="16" fillId="0" borderId="0" xfId="10" applyFont="1"/>
    <xf numFmtId="0" fontId="5" fillId="5" borderId="9" xfId="4" applyFill="1" applyBorder="1" applyAlignment="1">
      <alignment horizontal="left"/>
    </xf>
    <xf numFmtId="0" fontId="30" fillId="6" borderId="0" xfId="10" applyFont="1" applyFill="1" applyAlignment="1">
      <alignment horizontal="center"/>
    </xf>
    <xf numFmtId="186" fontId="4" fillId="6" borderId="0" xfId="10" applyNumberFormat="1" applyFont="1" applyFill="1" applyAlignment="1">
      <alignment horizontal="right"/>
    </xf>
    <xf numFmtId="166" fontId="29" fillId="0" borderId="0" xfId="0" applyNumberFormat="1" applyFont="1"/>
    <xf numFmtId="171" fontId="31" fillId="3" borderId="0" xfId="0" applyNumberFormat="1" applyFont="1" applyFill="1" applyAlignment="1">
      <alignment horizontal="left" indent="1"/>
    </xf>
    <xf numFmtId="171" fontId="29" fillId="3" borderId="0" xfId="0" applyNumberFormat="1" applyFont="1" applyFill="1"/>
    <xf numFmtId="171" fontId="29" fillId="0" borderId="0" xfId="0" applyNumberFormat="1" applyFont="1"/>
    <xf numFmtId="169" fontId="21" fillId="3" borderId="0" xfId="0" applyNumberFormat="1" applyFont="1" applyFill="1" applyAlignment="1">
      <alignment horizontal="left" indent="1"/>
    </xf>
    <xf numFmtId="169" fontId="21" fillId="0" borderId="0" xfId="0" applyNumberFormat="1" applyFont="1" applyAlignment="1">
      <alignment horizontal="left" indent="1"/>
    </xf>
    <xf numFmtId="169" fontId="27" fillId="3" borderId="0" xfId="2" applyNumberFormat="1" applyFont="1" applyFill="1"/>
    <xf numFmtId="169" fontId="26" fillId="0" borderId="0" xfId="0" applyNumberFormat="1" applyFont="1"/>
    <xf numFmtId="169" fontId="26" fillId="3" borderId="7" xfId="0" applyNumberFormat="1" applyFont="1" applyFill="1" applyBorder="1" applyAlignment="1">
      <alignment horizontal="left" indent="1"/>
    </xf>
    <xf numFmtId="169" fontId="27" fillId="3" borderId="7" xfId="2" applyNumberFormat="1" applyFont="1" applyFill="1" applyBorder="1"/>
    <xf numFmtId="169" fontId="31" fillId="3" borderId="0" xfId="0" applyNumberFormat="1" applyFont="1" applyFill="1" applyAlignment="1">
      <alignment horizontal="left" indent="1"/>
    </xf>
    <xf numFmtId="169" fontId="29" fillId="3" borderId="0" xfId="0" applyNumberFormat="1" applyFont="1" applyFill="1"/>
    <xf numFmtId="169" fontId="29" fillId="0" borderId="0" xfId="0" applyNumberFormat="1" applyFont="1"/>
    <xf numFmtId="166" fontId="24" fillId="3" borderId="0" xfId="5" applyNumberFormat="1" applyFont="1" applyFill="1"/>
    <xf numFmtId="166" fontId="32" fillId="10" borderId="0" xfId="11" applyNumberFormat="1" applyFont="1" applyFill="1"/>
    <xf numFmtId="169" fontId="25" fillId="10" borderId="0" xfId="11" applyNumberFormat="1" applyFont="1" applyFill="1"/>
    <xf numFmtId="169" fontId="33" fillId="10" borderId="0" xfId="11" applyNumberFormat="1" applyFont="1" applyFill="1"/>
    <xf numFmtId="166" fontId="25" fillId="10" borderId="0" xfId="11" applyNumberFormat="1" applyFont="1" applyFill="1"/>
    <xf numFmtId="166" fontId="27" fillId="3" borderId="0" xfId="11" applyNumberFormat="1" applyFont="1" applyFill="1" applyAlignment="1">
      <alignment horizontal="center"/>
    </xf>
    <xf numFmtId="171" fontId="26" fillId="3" borderId="0" xfId="11" applyNumberFormat="1" applyFont="1" applyFill="1" applyAlignment="1">
      <alignment horizontal="right"/>
    </xf>
    <xf numFmtId="171" fontId="26" fillId="7" borderId="0" xfId="11" applyNumberFormat="1" applyFont="1" applyFill="1"/>
    <xf numFmtId="169" fontId="28" fillId="7" borderId="0" xfId="11" applyNumberFormat="1" applyFont="1" applyFill="1" applyAlignment="1">
      <alignment horizontal="right"/>
    </xf>
    <xf numFmtId="169" fontId="28" fillId="3" borderId="0" xfId="11" applyNumberFormat="1" applyFont="1" applyFill="1" applyAlignment="1">
      <alignment horizontal="right"/>
    </xf>
    <xf numFmtId="169" fontId="26" fillId="7" borderId="7" xfId="11" applyNumberFormat="1" applyFont="1" applyFill="1" applyBorder="1" applyAlignment="1">
      <alignment horizontal="right"/>
    </xf>
    <xf numFmtId="169" fontId="26" fillId="3" borderId="7" xfId="11" applyNumberFormat="1" applyFont="1" applyFill="1" applyBorder="1" applyAlignment="1">
      <alignment horizontal="right"/>
    </xf>
    <xf numFmtId="172" fontId="28" fillId="7" borderId="0" xfId="11" applyNumberFormat="1" applyFont="1" applyFill="1"/>
    <xf numFmtId="172" fontId="28" fillId="3" borderId="0" xfId="11" applyNumberFormat="1" applyFont="1" applyFill="1"/>
    <xf numFmtId="172" fontId="26" fillId="7" borderId="7" xfId="11" applyNumberFormat="1" applyFont="1" applyFill="1" applyBorder="1"/>
    <xf numFmtId="172" fontId="26" fillId="3" borderId="7" xfId="11" applyNumberFormat="1" applyFont="1" applyFill="1" applyBorder="1"/>
    <xf numFmtId="171" fontId="28" fillId="7" borderId="0" xfId="11" applyNumberFormat="1" applyFont="1" applyFill="1"/>
    <xf numFmtId="171" fontId="28" fillId="3" borderId="0" xfId="11" applyNumberFormat="1" applyFont="1" applyFill="1"/>
    <xf numFmtId="171" fontId="26" fillId="3" borderId="0" xfId="11" applyNumberFormat="1" applyFont="1" applyFill="1"/>
    <xf numFmtId="169" fontId="26" fillId="3" borderId="0" xfId="11" applyNumberFormat="1" applyFont="1" applyFill="1" applyAlignment="1">
      <alignment horizontal="center"/>
    </xf>
    <xf numFmtId="169" fontId="28" fillId="3" borderId="0" xfId="11" applyNumberFormat="1" applyFont="1" applyFill="1" applyAlignment="1">
      <alignment horizontal="center"/>
    </xf>
    <xf numFmtId="169" fontId="28" fillId="7" borderId="0" xfId="11" applyNumberFormat="1" applyFont="1" applyFill="1"/>
    <xf numFmtId="169" fontId="26" fillId="7" borderId="0" xfId="11" applyNumberFormat="1" applyFont="1" applyFill="1" applyAlignment="1">
      <alignment horizontal="right"/>
    </xf>
    <xf numFmtId="169" fontId="26" fillId="3" borderId="0" xfId="11" applyNumberFormat="1" applyFont="1" applyFill="1" applyAlignment="1">
      <alignment horizontal="right"/>
    </xf>
    <xf numFmtId="182" fontId="26" fillId="7" borderId="0" xfId="11" applyNumberFormat="1" applyFont="1" applyFill="1" applyAlignment="1">
      <alignment horizontal="right"/>
    </xf>
    <xf numFmtId="182" fontId="26" fillId="3" borderId="0" xfId="11" applyNumberFormat="1" applyFont="1" applyFill="1" applyAlignment="1">
      <alignment horizontal="right"/>
    </xf>
    <xf numFmtId="172" fontId="26" fillId="3" borderId="0" xfId="11" applyNumberFormat="1" applyFont="1" applyFill="1"/>
    <xf numFmtId="172" fontId="28" fillId="7" borderId="0" xfId="11" applyNumberFormat="1" applyFont="1" applyFill="1" applyAlignment="1">
      <alignment horizontal="right"/>
    </xf>
    <xf numFmtId="169" fontId="26" fillId="3" borderId="0" xfId="0" applyNumberFormat="1" applyFont="1" applyFill="1" applyAlignment="1">
      <alignment horizontal="left" indent="2"/>
    </xf>
    <xf numFmtId="169" fontId="26" fillId="3" borderId="0" xfId="0" applyNumberFormat="1" applyFont="1" applyFill="1" applyAlignment="1">
      <alignment horizontal="left" indent="1"/>
    </xf>
    <xf numFmtId="169" fontId="29" fillId="3" borderId="0" xfId="0" applyNumberFormat="1" applyFont="1" applyFill="1" applyAlignment="1">
      <alignment horizontal="left" indent="3"/>
    </xf>
    <xf numFmtId="171" fontId="29" fillId="3" borderId="0" xfId="0" applyNumberFormat="1" applyFont="1" applyFill="1" applyAlignment="1">
      <alignment horizontal="left" indent="3"/>
    </xf>
    <xf numFmtId="169" fontId="29" fillId="3" borderId="0" xfId="0" applyNumberFormat="1" applyFont="1" applyFill="1" applyAlignment="1">
      <alignment horizontal="left" indent="1"/>
    </xf>
    <xf numFmtId="166" fontId="28" fillId="2" borderId="0" xfId="0" applyNumberFormat="1" applyFont="1" applyFill="1" applyAlignment="1">
      <alignment horizontal="left" indent="3"/>
    </xf>
    <xf numFmtId="14" fontId="8" fillId="5" borderId="9" xfId="10" applyNumberFormat="1" applyFont="1" applyFill="1" applyBorder="1" applyAlignment="1">
      <alignment horizontal="center"/>
    </xf>
    <xf numFmtId="0" fontId="8" fillId="5" borderId="9" xfId="10" applyFont="1" applyFill="1" applyBorder="1" applyAlignment="1">
      <alignment horizontal="center"/>
    </xf>
    <xf numFmtId="0" fontId="3" fillId="5" borderId="9" xfId="10" applyFont="1" applyFill="1" applyBorder="1" applyAlignment="1">
      <alignment horizontal="center"/>
    </xf>
    <xf numFmtId="0" fontId="5" fillId="5" borderId="9" xfId="4" applyFill="1" applyBorder="1" applyAlignment="1">
      <alignment horizontal="left"/>
    </xf>
    <xf numFmtId="14" fontId="16" fillId="6" borderId="0" xfId="10" applyNumberFormat="1" applyFont="1" applyFill="1"/>
    <xf numFmtId="166" fontId="28" fillId="3" borderId="0" xfId="0" applyNumberFormat="1" applyFont="1" applyFill="1" applyAlignment="1">
      <alignment horizontal="left" indent="3"/>
    </xf>
    <xf numFmtId="166" fontId="28" fillId="0" borderId="0" xfId="0" applyNumberFormat="1" applyFont="1"/>
    <xf numFmtId="0" fontId="7" fillId="0" borderId="0" xfId="11" applyFont="1" applyAlignment="1">
      <alignment horizontal="left"/>
    </xf>
    <xf numFmtId="0" fontId="7" fillId="0" borderId="0" xfId="11" applyFont="1" applyAlignment="1">
      <alignment horizontal="center"/>
    </xf>
    <xf numFmtId="0" fontId="38" fillId="0" borderId="0" xfId="11" applyFont="1"/>
    <xf numFmtId="0" fontId="6" fillId="0" borderId="0" xfId="11" applyFont="1"/>
    <xf numFmtId="0" fontId="21" fillId="0" borderId="0" xfId="11" applyFont="1"/>
    <xf numFmtId="0" fontId="82" fillId="0" borderId="0" xfId="11" applyAlignment="1">
      <alignment horizontal="left"/>
    </xf>
    <xf numFmtId="0" fontId="9" fillId="0" borderId="0" xfId="11" applyFont="1"/>
    <xf numFmtId="17" fontId="35" fillId="3" borderId="0" xfId="11" applyNumberFormat="1" applyFont="1" applyFill="1" applyAlignment="1">
      <alignment horizontal="center"/>
    </xf>
    <xf numFmtId="166" fontId="14" fillId="3" borderId="0" xfId="11" applyNumberFormat="1" applyFont="1" applyFill="1" applyAlignment="1">
      <alignment horizontal="left"/>
    </xf>
    <xf numFmtId="0" fontId="39" fillId="3" borderId="0" xfId="11" applyFont="1" applyFill="1"/>
    <xf numFmtId="0" fontId="6" fillId="0" borderId="0" xfId="11" applyFont="1" applyAlignment="1">
      <alignment horizontal="right"/>
    </xf>
    <xf numFmtId="0" fontId="82" fillId="0" borderId="0" xfId="11" applyAlignment="1">
      <alignment horizontal="right"/>
    </xf>
    <xf numFmtId="169" fontId="82" fillId="0" borderId="0" xfId="11" applyNumberFormat="1" applyAlignment="1">
      <alignment horizontal="right"/>
    </xf>
    <xf numFmtId="187" fontId="4" fillId="6" borderId="0" xfId="10" applyNumberFormat="1" applyFont="1" applyFill="1" applyAlignment="1">
      <alignment horizontal="right"/>
    </xf>
    <xf numFmtId="170" fontId="40" fillId="3" borderId="0" xfId="4" applyNumberFormat="1" applyFont="1" applyFill="1" applyAlignment="1">
      <alignment horizontal="left"/>
    </xf>
    <xf numFmtId="0" fontId="28" fillId="3" borderId="0" xfId="11" applyFont="1" applyFill="1"/>
    <xf numFmtId="0" fontId="26" fillId="3" borderId="0" xfId="11" applyFont="1" applyFill="1"/>
    <xf numFmtId="0" fontId="29" fillId="3" borderId="0" xfId="11" applyFont="1" applyFill="1"/>
    <xf numFmtId="169" fontId="28" fillId="3" borderId="0" xfId="11" applyNumberFormat="1" applyFont="1" applyFill="1"/>
    <xf numFmtId="0" fontId="28" fillId="3" borderId="0" xfId="11" applyFont="1" applyFill="1" applyAlignment="1">
      <alignment horizontal="left"/>
    </xf>
    <xf numFmtId="0" fontId="28" fillId="3" borderId="0" xfId="11" applyFont="1" applyFill="1" applyAlignment="1">
      <alignment horizontal="right"/>
    </xf>
    <xf numFmtId="0" fontId="26" fillId="3" borderId="0" xfId="11" applyFont="1" applyFill="1" applyAlignment="1">
      <alignment horizontal="right"/>
    </xf>
    <xf numFmtId="0" fontId="28" fillId="3" borderId="0" xfId="11" applyFont="1" applyFill="1" applyAlignment="1">
      <alignment horizontal="center"/>
    </xf>
    <xf numFmtId="0" fontId="25" fillId="10" borderId="0" xfId="11" applyFont="1" applyFill="1" applyAlignment="1">
      <alignment horizontal="left"/>
    </xf>
    <xf numFmtId="0" fontId="25" fillId="10" borderId="0" xfId="11" applyFont="1" applyFill="1" applyAlignment="1">
      <alignment horizontal="centerContinuous"/>
    </xf>
    <xf numFmtId="0" fontId="25" fillId="10" borderId="0" xfId="11" applyFont="1" applyFill="1" applyAlignment="1">
      <alignment horizontal="center"/>
    </xf>
    <xf numFmtId="169" fontId="25" fillId="10" borderId="0" xfId="11" applyNumberFormat="1" applyFont="1" applyFill="1" applyAlignment="1">
      <alignment horizontal="center"/>
    </xf>
    <xf numFmtId="0" fontId="28" fillId="4" borderId="0" xfId="11" applyFont="1" applyFill="1"/>
    <xf numFmtId="0" fontId="29" fillId="4" borderId="0" xfId="11" applyFont="1" applyFill="1"/>
    <xf numFmtId="166" fontId="28" fillId="4" borderId="0" xfId="11" applyNumberFormat="1" applyFont="1" applyFill="1"/>
    <xf numFmtId="14" fontId="28" fillId="4" borderId="0" xfId="11" applyNumberFormat="1" applyFont="1" applyFill="1" applyAlignment="1">
      <alignment horizontal="left"/>
    </xf>
    <xf numFmtId="169" fontId="28" fillId="4" borderId="0" xfId="11" applyNumberFormat="1" applyFont="1" applyFill="1"/>
    <xf numFmtId="169" fontId="28" fillId="4" borderId="0" xfId="11" applyNumberFormat="1" applyFont="1" applyFill="1" applyAlignment="1">
      <alignment horizontal="right"/>
    </xf>
    <xf numFmtId="166" fontId="28" fillId="4" borderId="0" xfId="11" applyNumberFormat="1" applyFont="1" applyFill="1" applyAlignment="1">
      <alignment horizontal="right"/>
    </xf>
    <xf numFmtId="0" fontId="25" fillId="3" borderId="0" xfId="11" applyFont="1" applyFill="1" applyAlignment="1">
      <alignment horizontal="left"/>
    </xf>
    <xf numFmtId="0" fontId="25" fillId="3" borderId="0" xfId="11" applyFont="1" applyFill="1" applyAlignment="1">
      <alignment horizontal="center"/>
    </xf>
    <xf numFmtId="0" fontId="26" fillId="4" borderId="0" xfId="11" applyFont="1" applyFill="1"/>
    <xf numFmtId="166" fontId="26" fillId="4" borderId="0" xfId="11" applyNumberFormat="1" applyFont="1" applyFill="1" applyAlignment="1">
      <alignment horizontal="center"/>
    </xf>
    <xf numFmtId="169" fontId="26" fillId="4" borderId="0" xfId="11" applyNumberFormat="1" applyFont="1" applyFill="1" applyAlignment="1">
      <alignment horizontal="center"/>
    </xf>
    <xf numFmtId="169" fontId="26" fillId="4" borderId="0" xfId="11" applyNumberFormat="1" applyFont="1" applyFill="1" applyAlignment="1">
      <alignment horizontal="right"/>
    </xf>
    <xf numFmtId="166" fontId="26" fillId="4" borderId="0" xfId="11" applyNumberFormat="1" applyFont="1" applyFill="1" applyAlignment="1">
      <alignment horizontal="right"/>
    </xf>
    <xf numFmtId="0" fontId="41" fillId="4" borderId="0" xfId="4" applyFont="1" applyFill="1"/>
    <xf numFmtId="0" fontId="42" fillId="3" borderId="0" xfId="11" applyFont="1" applyFill="1"/>
    <xf numFmtId="166" fontId="28" fillId="5" borderId="0" xfId="11" applyNumberFormat="1" applyFont="1" applyFill="1"/>
    <xf numFmtId="166" fontId="27" fillId="3" borderId="0" xfId="11" applyNumberFormat="1" applyFont="1" applyFill="1" applyAlignment="1">
      <alignment horizontal="left"/>
    </xf>
    <xf numFmtId="166" fontId="35" fillId="3" borderId="0" xfId="11" applyNumberFormat="1" applyFont="1" applyFill="1" applyAlignment="1">
      <alignment horizontal="center"/>
    </xf>
    <xf numFmtId="181" fontId="26" fillId="3" borderId="0" xfId="11" applyNumberFormat="1" applyFont="1" applyFill="1" applyAlignment="1">
      <alignment horizontal="left" indent="1"/>
    </xf>
    <xf numFmtId="166" fontId="26" fillId="3" borderId="0" xfId="11" applyNumberFormat="1" applyFont="1" applyFill="1" applyAlignment="1">
      <alignment horizontal="left"/>
    </xf>
    <xf numFmtId="166" fontId="28" fillId="3" borderId="0" xfId="11" applyNumberFormat="1" applyFont="1" applyFill="1" applyAlignment="1">
      <alignment horizontal="left" indent="1"/>
    </xf>
    <xf numFmtId="166" fontId="28" fillId="3" borderId="0" xfId="11" applyNumberFormat="1" applyFont="1" applyFill="1" applyAlignment="1">
      <alignment horizontal="left" indent="3"/>
    </xf>
    <xf numFmtId="166" fontId="26" fillId="3" borderId="7" xfId="11" applyNumberFormat="1" applyFont="1" applyFill="1" applyBorder="1" applyAlignment="1">
      <alignment horizontal="left"/>
    </xf>
    <xf numFmtId="166" fontId="26" fillId="3" borderId="7" xfId="11" applyNumberFormat="1" applyFont="1" applyFill="1" applyBorder="1" applyAlignment="1">
      <alignment horizontal="left" indent="3"/>
    </xf>
    <xf numFmtId="166" fontId="26" fillId="3" borderId="0" xfId="11" applyNumberFormat="1" applyFont="1" applyFill="1" applyAlignment="1">
      <alignment horizontal="left" indent="3"/>
    </xf>
    <xf numFmtId="169" fontId="28" fillId="3" borderId="0" xfId="11" applyNumberFormat="1" applyFont="1" applyFill="1" applyAlignment="1">
      <alignment horizontal="left" indent="1"/>
    </xf>
    <xf numFmtId="169" fontId="24" fillId="3" borderId="0" xfId="2" applyNumberFormat="1" applyFont="1" applyFill="1"/>
    <xf numFmtId="169" fontId="26" fillId="3" borderId="7" xfId="11" applyNumberFormat="1" applyFont="1" applyFill="1" applyBorder="1" applyAlignment="1">
      <alignment horizontal="left"/>
    </xf>
    <xf numFmtId="166" fontId="28" fillId="3" borderId="0" xfId="11" applyNumberFormat="1" applyFont="1" applyFill="1" applyAlignment="1">
      <alignment horizontal="left" indent="4"/>
    </xf>
    <xf numFmtId="166" fontId="26" fillId="3" borderId="7" xfId="11" applyNumberFormat="1" applyFont="1" applyFill="1" applyBorder="1" applyAlignment="1">
      <alignment horizontal="left" indent="4"/>
    </xf>
    <xf numFmtId="166" fontId="26" fillId="3" borderId="0" xfId="11" applyNumberFormat="1" applyFont="1" applyFill="1" applyAlignment="1">
      <alignment horizontal="left" indent="4"/>
    </xf>
    <xf numFmtId="172" fontId="24" fillId="3" borderId="0" xfId="2" applyNumberFormat="1" applyFont="1" applyFill="1" applyAlignment="1">
      <alignment horizontal="left" indent="1"/>
    </xf>
    <xf numFmtId="172" fontId="28" fillId="3" borderId="0" xfId="11" applyNumberFormat="1" applyFont="1" applyFill="1" applyAlignment="1">
      <alignment horizontal="left" indent="3"/>
    </xf>
    <xf numFmtId="172" fontId="27" fillId="3" borderId="7" xfId="2" applyNumberFormat="1" applyFont="1" applyFill="1" applyBorder="1"/>
    <xf numFmtId="172" fontId="26" fillId="3" borderId="7" xfId="11" applyNumberFormat="1" applyFont="1" applyFill="1" applyBorder="1" applyAlignment="1">
      <alignment horizontal="left" indent="3"/>
    </xf>
    <xf numFmtId="171" fontId="24" fillId="3" borderId="0" xfId="2" applyNumberFormat="1" applyFont="1" applyFill="1"/>
    <xf numFmtId="171" fontId="28" fillId="3" borderId="0" xfId="11" applyNumberFormat="1" applyFont="1" applyFill="1" applyAlignment="1">
      <alignment horizontal="left" indent="3"/>
    </xf>
    <xf numFmtId="166" fontId="24" fillId="3" borderId="0" xfId="2" applyNumberFormat="1" applyFont="1" applyFill="1" applyAlignment="1">
      <alignment horizontal="left" indent="1"/>
    </xf>
    <xf numFmtId="166" fontId="27" fillId="3" borderId="7" xfId="2" applyNumberFormat="1" applyFont="1" applyFill="1" applyBorder="1"/>
    <xf numFmtId="171" fontId="27" fillId="3" borderId="0" xfId="2" applyNumberFormat="1" applyFont="1" applyFill="1"/>
    <xf numFmtId="171" fontId="26" fillId="3" borderId="0" xfId="11" applyNumberFormat="1" applyFont="1" applyFill="1" applyAlignment="1">
      <alignment horizontal="left" indent="3"/>
    </xf>
    <xf numFmtId="169" fontId="26" fillId="3" borderId="0" xfId="11" applyNumberFormat="1" applyFont="1" applyFill="1" applyAlignment="1">
      <alignment horizontal="left"/>
    </xf>
    <xf numFmtId="182" fontId="26" fillId="3" borderId="0" xfId="11" applyNumberFormat="1" applyFont="1" applyFill="1" applyAlignment="1">
      <alignment horizontal="left"/>
    </xf>
    <xf numFmtId="182" fontId="27" fillId="3" borderId="0" xfId="2" applyNumberFormat="1" applyFont="1" applyFill="1"/>
    <xf numFmtId="172" fontId="27" fillId="3" borderId="0" xfId="11" applyNumberFormat="1" applyFont="1" applyFill="1"/>
    <xf numFmtId="172" fontId="26" fillId="3" borderId="0" xfId="11" applyNumberFormat="1" applyFont="1" applyFill="1" applyAlignment="1">
      <alignment horizontal="left" indent="3"/>
    </xf>
    <xf numFmtId="183" fontId="26" fillId="3" borderId="0" xfId="11" applyNumberFormat="1" applyFont="1" applyFill="1" applyAlignment="1">
      <alignment horizontal="left"/>
    </xf>
    <xf numFmtId="183" fontId="27" fillId="3" borderId="0" xfId="2" applyNumberFormat="1" applyFont="1" applyFill="1"/>
    <xf numFmtId="169" fontId="28" fillId="3" borderId="0" xfId="11" applyNumberFormat="1" applyFont="1" applyFill="1" applyAlignment="1">
      <alignment horizontal="left"/>
    </xf>
    <xf numFmtId="172" fontId="24" fillId="3" borderId="0" xfId="11" applyNumberFormat="1" applyFont="1" applyFill="1"/>
    <xf numFmtId="166" fontId="24" fillId="3" borderId="10" xfId="5" applyNumberFormat="1" applyFont="1" applyFill="1" applyBorder="1"/>
    <xf numFmtId="166" fontId="24" fillId="3" borderId="11" xfId="5" applyNumberFormat="1" applyFont="1" applyFill="1" applyBorder="1" applyAlignment="1">
      <alignment horizontal="left" indent="1"/>
    </xf>
    <xf numFmtId="166" fontId="24" fillId="3" borderId="12" xfId="5" applyNumberFormat="1" applyFont="1" applyFill="1" applyBorder="1" applyAlignment="1">
      <alignment horizontal="left" indent="1"/>
    </xf>
    <xf numFmtId="14" fontId="8" fillId="5" borderId="13" xfId="10" applyNumberFormat="1" applyFont="1" applyFill="1" applyBorder="1" applyAlignment="1">
      <alignment horizontal="center"/>
    </xf>
    <xf numFmtId="0" fontId="8" fillId="5" borderId="13" xfId="10" applyFont="1" applyFill="1" applyBorder="1" applyAlignment="1">
      <alignment horizontal="center"/>
    </xf>
    <xf numFmtId="0" fontId="3" fillId="5" borderId="13" xfId="10" applyFont="1" applyFill="1" applyBorder="1" applyAlignment="1">
      <alignment horizontal="center"/>
    </xf>
    <xf numFmtId="0" fontId="5" fillId="5" borderId="13" xfId="4" applyFill="1" applyBorder="1" applyAlignment="1">
      <alignment horizontal="left"/>
    </xf>
    <xf numFmtId="190" fontId="0" fillId="0" borderId="0" xfId="0" applyNumberFormat="1"/>
    <xf numFmtId="168" fontId="0" fillId="0" borderId="0" xfId="0" applyNumberFormat="1"/>
    <xf numFmtId="166" fontId="0" fillId="3" borderId="0" xfId="0" applyNumberFormat="1" applyFill="1"/>
    <xf numFmtId="0" fontId="0" fillId="3" borderId="0" xfId="0" applyFill="1"/>
    <xf numFmtId="190" fontId="9" fillId="3" borderId="0" xfId="0" applyNumberFormat="1" applyFont="1" applyFill="1"/>
    <xf numFmtId="190" fontId="0" fillId="3" borderId="0" xfId="0" applyNumberFormat="1" applyFill="1"/>
    <xf numFmtId="168" fontId="0" fillId="3" borderId="0" xfId="0" applyNumberFormat="1" applyFill="1"/>
    <xf numFmtId="0" fontId="33" fillId="10" borderId="0" xfId="0" applyFont="1" applyFill="1"/>
    <xf numFmtId="166" fontId="25" fillId="10" borderId="0" xfId="0" applyNumberFormat="1" applyFont="1" applyFill="1" applyAlignment="1">
      <alignment horizontal="left"/>
    </xf>
    <xf numFmtId="166" fontId="25" fillId="10" borderId="0" xfId="0" applyNumberFormat="1" applyFont="1" applyFill="1" applyAlignment="1">
      <alignment horizontal="left" indent="3"/>
    </xf>
    <xf numFmtId="166" fontId="28" fillId="3" borderId="0" xfId="0" applyNumberFormat="1" applyFont="1" applyFill="1" applyAlignment="1">
      <alignment horizontal="left" indent="1"/>
    </xf>
    <xf numFmtId="169" fontId="26" fillId="3" borderId="0" xfId="0" applyNumberFormat="1" applyFont="1" applyFill="1"/>
    <xf numFmtId="171" fontId="0" fillId="3" borderId="0" xfId="0" applyNumberFormat="1" applyFont="1" applyFill="1"/>
    <xf numFmtId="169" fontId="26" fillId="3" borderId="0" xfId="11" applyNumberFormat="1" applyFont="1" applyFill="1"/>
    <xf numFmtId="182" fontId="26" fillId="3" borderId="0" xfId="11" applyNumberFormat="1" applyFont="1" applyFill="1"/>
    <xf numFmtId="183" fontId="26" fillId="3" borderId="0" xfId="11" applyNumberFormat="1" applyFont="1" applyFill="1"/>
    <xf numFmtId="14" fontId="8" fillId="5" borderId="14" xfId="10" applyNumberFormat="1" applyFont="1" applyFill="1" applyBorder="1" applyAlignment="1">
      <alignment horizontal="center"/>
    </xf>
    <xf numFmtId="0" fontId="8" fillId="5" borderId="15" xfId="10" applyFont="1" applyFill="1" applyBorder="1" applyAlignment="1">
      <alignment horizontal="center"/>
    </xf>
    <xf numFmtId="0" fontId="3" fillId="5" borderId="15" xfId="10" applyFont="1" applyFill="1" applyBorder="1" applyAlignment="1">
      <alignment horizontal="center"/>
    </xf>
    <xf numFmtId="0" fontId="5" fillId="5" borderId="16" xfId="4" applyFill="1" applyBorder="1" applyAlignment="1">
      <alignment horizontal="left"/>
    </xf>
    <xf numFmtId="0" fontId="33" fillId="10" borderId="17" xfId="0" applyFont="1" applyFill="1" applyBorder="1"/>
    <xf numFmtId="0" fontId="3" fillId="5" borderId="15" xfId="10" applyFont="1" applyFill="1" applyBorder="1" applyAlignment="1">
      <alignment horizontal="center"/>
    </xf>
    <xf numFmtId="166" fontId="24" fillId="3" borderId="0" xfId="5" applyNumberFormat="1" applyFont="1" applyFill="1" applyAlignment="1">
      <alignment horizontal="left" indent="1"/>
    </xf>
    <xf numFmtId="166" fontId="28" fillId="3" borderId="18" xfId="0" applyNumberFormat="1" applyFont="1" applyFill="1" applyBorder="1"/>
    <xf numFmtId="166" fontId="24" fillId="3" borderId="18" xfId="5" applyNumberFormat="1" applyFont="1" applyFill="1" applyBorder="1"/>
    <xf numFmtId="167" fontId="27" fillId="3" borderId="19" xfId="5" applyNumberFormat="1" applyFont="1" applyFill="1" applyBorder="1" applyAlignment="1">
      <alignment horizontal="left"/>
    </xf>
    <xf numFmtId="167" fontId="24" fillId="3" borderId="11" xfId="5" applyNumberFormat="1" applyFont="1" applyFill="1" applyBorder="1" applyAlignment="1">
      <alignment horizontal="left"/>
    </xf>
    <xf numFmtId="17" fontId="24" fillId="3" borderId="0" xfId="5" applyNumberFormat="1" applyFont="1" applyFill="1"/>
    <xf numFmtId="17" fontId="28" fillId="3" borderId="0" xfId="0" applyNumberFormat="1" applyFont="1" applyFill="1"/>
    <xf numFmtId="17" fontId="28" fillId="3" borderId="20" xfId="0" applyNumberFormat="1" applyFont="1" applyFill="1" applyBorder="1"/>
    <xf numFmtId="190" fontId="24" fillId="3" borderId="11" xfId="5" applyNumberFormat="1" applyFont="1" applyFill="1" applyBorder="1" applyAlignment="1">
      <alignment horizontal="left" indent="1"/>
    </xf>
    <xf numFmtId="190" fontId="28" fillId="3" borderId="0" xfId="0" applyNumberFormat="1" applyFont="1" applyFill="1"/>
    <xf numFmtId="190" fontId="24" fillId="3" borderId="0" xfId="5" applyNumberFormat="1" applyFont="1" applyFill="1"/>
    <xf numFmtId="190" fontId="28" fillId="3" borderId="20" xfId="0" applyNumberFormat="1" applyFont="1" applyFill="1" applyBorder="1"/>
    <xf numFmtId="190" fontId="0" fillId="3" borderId="0" xfId="0" applyNumberFormat="1" applyFont="1" applyFill="1"/>
    <xf numFmtId="190" fontId="0" fillId="0" borderId="0" xfId="0" applyNumberFormat="1" applyFont="1"/>
    <xf numFmtId="190" fontId="24" fillId="3" borderId="11" xfId="5" applyNumberFormat="1" applyFont="1" applyFill="1" applyBorder="1" applyAlignment="1">
      <alignment horizontal="left" indent="2"/>
    </xf>
    <xf numFmtId="192" fontId="24" fillId="3" borderId="11" xfId="5" applyNumberFormat="1" applyFont="1" applyFill="1" applyBorder="1" applyAlignment="1">
      <alignment horizontal="left" indent="1"/>
    </xf>
    <xf numFmtId="192" fontId="28" fillId="3" borderId="0" xfId="0" applyNumberFormat="1" applyFont="1" applyFill="1"/>
    <xf numFmtId="192" fontId="24" fillId="3" borderId="0" xfId="5" applyNumberFormat="1" applyFont="1" applyFill="1"/>
    <xf numFmtId="192" fontId="28" fillId="3" borderId="20" xfId="0" applyNumberFormat="1" applyFont="1" applyFill="1" applyBorder="1"/>
    <xf numFmtId="192" fontId="0" fillId="3" borderId="0" xfId="0" applyNumberFormat="1" applyFont="1" applyFill="1"/>
    <xf numFmtId="192" fontId="0" fillId="0" borderId="0" xfId="0" applyNumberFormat="1" applyFont="1"/>
    <xf numFmtId="192" fontId="24" fillId="3" borderId="11" xfId="5" applyNumberFormat="1" applyFont="1" applyFill="1" applyBorder="1" applyAlignment="1">
      <alignment horizontal="left" indent="2"/>
    </xf>
    <xf numFmtId="190" fontId="14" fillId="3" borderId="0" xfId="0" applyNumberFormat="1" applyFont="1" applyFill="1" applyAlignment="1">
      <alignment horizontal="left"/>
    </xf>
    <xf numFmtId="190" fontId="6" fillId="3" borderId="0" xfId="0" applyNumberFormat="1" applyFont="1" applyFill="1"/>
    <xf numFmtId="190" fontId="6" fillId="0" borderId="0" xfId="0" applyNumberFormat="1" applyFont="1"/>
    <xf numFmtId="166" fontId="28" fillId="3" borderId="21" xfId="0" applyNumberFormat="1" applyFont="1" applyFill="1" applyBorder="1"/>
    <xf numFmtId="17" fontId="28" fillId="3" borderId="17" xfId="0" applyNumberFormat="1" applyFont="1" applyFill="1" applyBorder="1"/>
    <xf numFmtId="190" fontId="28" fillId="3" borderId="17" xfId="0" applyNumberFormat="1" applyFont="1" applyFill="1" applyBorder="1"/>
    <xf numFmtId="192" fontId="28" fillId="3" borderId="17" xfId="0" applyNumberFormat="1" applyFont="1" applyFill="1" applyBorder="1"/>
    <xf numFmtId="193" fontId="0" fillId="3" borderId="0" xfId="0" applyNumberFormat="1" applyFont="1" applyFill="1"/>
    <xf numFmtId="193" fontId="0" fillId="0" borderId="0" xfId="0" applyNumberFormat="1" applyFont="1"/>
    <xf numFmtId="193" fontId="6" fillId="3" borderId="0" xfId="0" applyNumberFormat="1" applyFont="1" applyFill="1"/>
    <xf numFmtId="193" fontId="6" fillId="0" borderId="0" xfId="0" applyNumberFormat="1" applyFont="1"/>
    <xf numFmtId="169" fontId="26" fillId="7" borderId="0" xfId="0" applyNumberFormat="1" applyFont="1" applyFill="1" applyBorder="1" applyAlignment="1">
      <alignment horizontal="right"/>
    </xf>
    <xf numFmtId="168" fontId="0" fillId="3" borderId="0" xfId="0" applyNumberFormat="1" applyFont="1" applyFill="1" applyBorder="1"/>
    <xf numFmtId="17" fontId="28" fillId="3" borderId="0" xfId="0" applyNumberFormat="1" applyFont="1" applyFill="1" applyBorder="1"/>
    <xf numFmtId="190" fontId="28" fillId="3" borderId="0" xfId="0" applyNumberFormat="1" applyFont="1" applyFill="1" applyBorder="1"/>
    <xf numFmtId="192" fontId="28" fillId="3" borderId="0" xfId="0" applyNumberFormat="1" applyFont="1" applyFill="1" applyBorder="1"/>
    <xf numFmtId="0" fontId="33" fillId="10" borderId="0" xfId="0" applyFont="1" applyFill="1" applyBorder="1"/>
    <xf numFmtId="169" fontId="26" fillId="3" borderId="0" xfId="0" applyNumberFormat="1" applyFont="1" applyFill="1" applyBorder="1" applyAlignment="1">
      <alignment horizontal="right"/>
    </xf>
    <xf numFmtId="171" fontId="28" fillId="3" borderId="0" xfId="0" applyNumberFormat="1" applyFont="1" applyFill="1" applyBorder="1"/>
    <xf numFmtId="17" fontId="35" fillId="3" borderId="0" xfId="11" applyNumberFormat="1" applyFont="1" applyFill="1" applyBorder="1" applyAlignment="1">
      <alignment horizontal="center"/>
    </xf>
    <xf numFmtId="166" fontId="32" fillId="10" borderId="0" xfId="11" applyNumberFormat="1" applyFont="1" applyFill="1" applyBorder="1"/>
    <xf numFmtId="171" fontId="26" fillId="7" borderId="0" xfId="11" applyNumberFormat="1" applyFont="1" applyFill="1" applyBorder="1"/>
    <xf numFmtId="169" fontId="28" fillId="7" borderId="0" xfId="11" applyNumberFormat="1" applyFont="1" applyFill="1" applyBorder="1" applyAlignment="1">
      <alignment horizontal="right"/>
    </xf>
    <xf numFmtId="172" fontId="28" fillId="7" borderId="0" xfId="11" applyNumberFormat="1" applyFont="1" applyFill="1" applyBorder="1"/>
    <xf numFmtId="171" fontId="28" fillId="7" borderId="0" xfId="11" applyNumberFormat="1" applyFont="1" applyFill="1" applyBorder="1"/>
    <xf numFmtId="169" fontId="33" fillId="10" borderId="0" xfId="11" applyNumberFormat="1" applyFont="1" applyFill="1" applyBorder="1"/>
    <xf numFmtId="169" fontId="28" fillId="7" borderId="0" xfId="11" applyNumberFormat="1" applyFont="1" applyFill="1" applyBorder="1"/>
    <xf numFmtId="169" fontId="26" fillId="7" borderId="0" xfId="11" applyNumberFormat="1" applyFont="1" applyFill="1" applyBorder="1" applyAlignment="1">
      <alignment horizontal="right"/>
    </xf>
    <xf numFmtId="182" fontId="26" fillId="7" borderId="0" xfId="11" applyNumberFormat="1" applyFont="1" applyFill="1" applyBorder="1" applyAlignment="1">
      <alignment horizontal="right"/>
    </xf>
    <xf numFmtId="172" fontId="28" fillId="7" borderId="0" xfId="11" applyNumberFormat="1" applyFont="1" applyFill="1" applyBorder="1" applyAlignment="1">
      <alignment horizontal="right"/>
    </xf>
    <xf numFmtId="169" fontId="28" fillId="3" borderId="0" xfId="11" applyNumberFormat="1" applyFont="1" applyFill="1" applyBorder="1" applyAlignment="1">
      <alignment horizontal="right"/>
    </xf>
    <xf numFmtId="166" fontId="27" fillId="3" borderId="0" xfId="11" applyNumberFormat="1" applyFont="1" applyFill="1" applyBorder="1" applyAlignment="1">
      <alignment horizontal="center"/>
    </xf>
    <xf numFmtId="171" fontId="26" fillId="3" borderId="0" xfId="11" applyNumberFormat="1" applyFont="1" applyFill="1" applyBorder="1" applyAlignment="1">
      <alignment horizontal="right"/>
    </xf>
    <xf numFmtId="172" fontId="28" fillId="3" borderId="0" xfId="11" applyNumberFormat="1" applyFont="1" applyFill="1" applyBorder="1"/>
    <xf numFmtId="171" fontId="28" fillId="3" borderId="0" xfId="11" applyNumberFormat="1" applyFont="1" applyFill="1" applyBorder="1"/>
    <xf numFmtId="171" fontId="26" fillId="3" borderId="0" xfId="11" applyNumberFormat="1" applyFont="1" applyFill="1" applyBorder="1"/>
    <xf numFmtId="169" fontId="26" fillId="3" borderId="0" xfId="11" applyNumberFormat="1" applyFont="1" applyFill="1" applyBorder="1" applyAlignment="1">
      <alignment horizontal="center"/>
    </xf>
    <xf numFmtId="169" fontId="26" fillId="3" borderId="0" xfId="11" applyNumberFormat="1" applyFont="1" applyFill="1" applyBorder="1" applyAlignment="1">
      <alignment horizontal="right"/>
    </xf>
    <xf numFmtId="182" fontId="26" fillId="3" borderId="0" xfId="11" applyNumberFormat="1" applyFont="1" applyFill="1" applyBorder="1" applyAlignment="1">
      <alignment horizontal="right"/>
    </xf>
    <xf numFmtId="183" fontId="26" fillId="3" borderId="0" xfId="11" applyNumberFormat="1" applyFont="1" applyFill="1" applyBorder="1" applyAlignment="1">
      <alignment horizontal="right"/>
    </xf>
    <xf numFmtId="180" fontId="18" fillId="11" borderId="0" xfId="2" applyNumberFormat="1" applyFont="1" applyFill="1" applyAlignment="1">
      <alignment horizontal="center" vertical="center"/>
    </xf>
    <xf numFmtId="169" fontId="24" fillId="3" borderId="0" xfId="5" applyNumberFormat="1" applyFont="1" applyFill="1" applyBorder="1"/>
    <xf numFmtId="169" fontId="28" fillId="3" borderId="0" xfId="0" applyNumberFormat="1" applyFont="1" applyFill="1" applyBorder="1"/>
    <xf numFmtId="166" fontId="24" fillId="3" borderId="0" xfId="5" applyNumberFormat="1" applyFont="1" applyFill="1" applyBorder="1"/>
    <xf numFmtId="171" fontId="24" fillId="3" borderId="0" xfId="2" applyNumberFormat="1" applyFont="1" applyFill="1" applyBorder="1"/>
    <xf numFmtId="172" fontId="26" fillId="3" borderId="0" xfId="11" applyNumberFormat="1" applyFont="1" applyFill="1" applyBorder="1" applyAlignment="1">
      <alignment horizontal="right"/>
    </xf>
    <xf numFmtId="172" fontId="28" fillId="3" borderId="0" xfId="11" applyNumberFormat="1" applyFont="1" applyFill="1" applyBorder="1" applyAlignment="1">
      <alignment horizontal="right"/>
    </xf>
    <xf numFmtId="17" fontId="34" fillId="3" borderId="0" xfId="11" applyNumberFormat="1" applyFont="1" applyFill="1" applyBorder="1" applyAlignment="1">
      <alignment horizontal="center"/>
    </xf>
    <xf numFmtId="171" fontId="26" fillId="7" borderId="0" xfId="11" applyNumberFormat="1" applyFont="1" applyFill="1" applyBorder="1" applyAlignment="1">
      <alignment horizontal="right"/>
    </xf>
    <xf numFmtId="169" fontId="26" fillId="7" borderId="0" xfId="11" applyNumberFormat="1" applyFont="1" applyFill="1" applyBorder="1" applyAlignment="1">
      <alignment horizontal="center"/>
    </xf>
    <xf numFmtId="169" fontId="28" fillId="3" borderId="0" xfId="11" applyNumberFormat="1" applyFont="1" applyFill="1" applyBorder="1" applyAlignment="1">
      <alignment horizontal="center"/>
    </xf>
    <xf numFmtId="194" fontId="19" fillId="6" borderId="0" xfId="10" applyNumberFormat="1" applyFont="1" applyFill="1" applyAlignment="1">
      <alignment horizontal="center" vertical="center"/>
    </xf>
    <xf numFmtId="166" fontId="26" fillId="3" borderId="0" xfId="11" applyNumberFormat="1" applyFont="1" applyFill="1" applyBorder="1" applyAlignment="1">
      <alignment horizontal="center"/>
    </xf>
    <xf numFmtId="171" fontId="28" fillId="3" borderId="17" xfId="0" applyNumberFormat="1" applyFont="1" applyFill="1" applyBorder="1"/>
    <xf numFmtId="17" fontId="35" fillId="3" borderId="17" xfId="11" applyNumberFormat="1" applyFont="1" applyFill="1" applyBorder="1" applyAlignment="1">
      <alignment horizontal="center"/>
    </xf>
    <xf numFmtId="166" fontId="27" fillId="3" borderId="17" xfId="11" applyNumberFormat="1" applyFont="1" applyFill="1" applyBorder="1" applyAlignment="1">
      <alignment horizontal="center"/>
    </xf>
    <xf numFmtId="166" fontId="32" fillId="10" borderId="17" xfId="11" applyNumberFormat="1" applyFont="1" applyFill="1" applyBorder="1"/>
    <xf numFmtId="169" fontId="33" fillId="10" borderId="17" xfId="11" applyNumberFormat="1" applyFont="1" applyFill="1" applyBorder="1"/>
    <xf numFmtId="169" fontId="28" fillId="3" borderId="0" xfId="11" applyNumberFormat="1" applyFont="1" applyFill="1" applyBorder="1"/>
    <xf numFmtId="166" fontId="24" fillId="3" borderId="2" xfId="5" applyNumberFormat="1" applyFont="1" applyFill="1" applyBorder="1"/>
    <xf numFmtId="169" fontId="28" fillId="3" borderId="4" xfId="0" applyNumberFormat="1" applyFont="1" applyFill="1" applyBorder="1"/>
    <xf numFmtId="166" fontId="28" fillId="3" borderId="4" xfId="0" applyNumberFormat="1" applyFont="1" applyFill="1" applyBorder="1"/>
    <xf numFmtId="171" fontId="28" fillId="3" borderId="4" xfId="0" applyNumberFormat="1" applyFont="1" applyFill="1" applyBorder="1"/>
    <xf numFmtId="166" fontId="24" fillId="3" borderId="5" xfId="5" applyNumberFormat="1" applyFont="1" applyFill="1" applyBorder="1" applyAlignment="1">
      <alignment horizontal="left" indent="1"/>
    </xf>
    <xf numFmtId="171" fontId="24" fillId="3" borderId="5" xfId="5" applyNumberFormat="1" applyFont="1" applyFill="1" applyBorder="1" applyAlignment="1">
      <alignment horizontal="left" indent="1"/>
    </xf>
    <xf numFmtId="166" fontId="24" fillId="3" borderId="3" xfId="5" applyNumberFormat="1" applyFont="1" applyFill="1" applyBorder="1" applyAlignment="1">
      <alignment horizontal="left" indent="1"/>
    </xf>
    <xf numFmtId="166" fontId="27" fillId="3" borderId="22" xfId="5" applyNumberFormat="1" applyFont="1" applyFill="1" applyBorder="1"/>
    <xf numFmtId="175" fontId="24" fillId="3" borderId="23" xfId="5" applyNumberFormat="1" applyFont="1" applyFill="1" applyBorder="1" applyAlignment="1">
      <alignment horizontal="left" indent="1"/>
    </xf>
    <xf numFmtId="176" fontId="24" fillId="3" borderId="23" xfId="5" applyNumberFormat="1" applyFont="1" applyFill="1" applyBorder="1" applyAlignment="1">
      <alignment horizontal="left" indent="1"/>
    </xf>
    <xf numFmtId="177" fontId="24" fillId="3" borderId="23" xfId="5" applyNumberFormat="1" applyFont="1" applyFill="1" applyBorder="1" applyAlignment="1">
      <alignment horizontal="left" indent="1"/>
    </xf>
    <xf numFmtId="184" fontId="24" fillId="3" borderId="13" xfId="5" applyNumberFormat="1" applyFont="1" applyFill="1" applyBorder="1" applyAlignment="1">
      <alignment horizontal="left" indent="1"/>
    </xf>
    <xf numFmtId="0" fontId="26" fillId="3" borderId="6" xfId="0" applyFont="1" applyFill="1" applyBorder="1"/>
    <xf numFmtId="168" fontId="24" fillId="3" borderId="4" xfId="5" applyNumberFormat="1" applyFont="1" applyFill="1" applyBorder="1"/>
    <xf numFmtId="168" fontId="24" fillId="3" borderId="1" xfId="5" applyNumberFormat="1" applyFont="1" applyFill="1" applyBorder="1"/>
    <xf numFmtId="166" fontId="27" fillId="3" borderId="8" xfId="5" applyNumberFormat="1" applyFont="1" applyFill="1" applyBorder="1"/>
    <xf numFmtId="0" fontId="10" fillId="12" borderId="9" xfId="10" applyFont="1" applyFill="1" applyBorder="1" applyAlignment="1">
      <alignment horizontal="center"/>
    </xf>
    <xf numFmtId="14" fontId="13" fillId="4" borderId="0" xfId="10" applyNumberFormat="1" applyFont="1" applyFill="1" applyAlignment="1">
      <alignment horizontal="center" vertical="center"/>
    </xf>
    <xf numFmtId="0" fontId="8" fillId="5" borderId="13" xfId="10" applyFont="1" applyFill="1" applyBorder="1" applyAlignment="1">
      <alignment horizontal="left"/>
    </xf>
    <xf numFmtId="0" fontId="8" fillId="5" borderId="15" xfId="10" applyFont="1" applyFill="1" applyBorder="1" applyAlignment="1">
      <alignment horizontal="left"/>
    </xf>
    <xf numFmtId="0" fontId="8" fillId="5" borderId="9" xfId="10" applyFont="1" applyFill="1" applyBorder="1" applyAlignment="1">
      <alignment horizontal="left"/>
    </xf>
    <xf numFmtId="0" fontId="10" fillId="12" borderId="22" xfId="10" applyFont="1" applyFill="1" applyBorder="1" applyAlignment="1">
      <alignment horizontal="center"/>
    </xf>
    <xf numFmtId="0" fontId="5" fillId="3" borderId="24" xfId="4" applyFill="1" applyBorder="1" applyAlignment="1">
      <alignment horizontal="left"/>
    </xf>
    <xf numFmtId="166" fontId="26" fillId="3" borderId="0" xfId="0" applyNumberFormat="1" applyFont="1" applyFill="1" applyAlignment="1">
      <alignment horizontal="left" indent="3"/>
    </xf>
    <xf numFmtId="172" fontId="26" fillId="7" borderId="0" xfId="0" applyNumberFormat="1" applyFont="1" applyFill="1" applyBorder="1" applyAlignment="1">
      <alignment horizontal="right"/>
    </xf>
    <xf numFmtId="172" fontId="26" fillId="3" borderId="0" xfId="0" applyNumberFormat="1" applyFont="1" applyFill="1" applyBorder="1" applyAlignment="1">
      <alignment horizontal="right"/>
    </xf>
    <xf numFmtId="169" fontId="26" fillId="3" borderId="17" xfId="0" applyNumberFormat="1" applyFont="1" applyFill="1" applyBorder="1" applyAlignment="1">
      <alignment horizontal="right"/>
    </xf>
    <xf numFmtId="169" fontId="26" fillId="3" borderId="25" xfId="0" applyNumberFormat="1" applyFont="1" applyFill="1" applyBorder="1" applyAlignment="1">
      <alignment horizontal="right"/>
    </xf>
    <xf numFmtId="172" fontId="26" fillId="3" borderId="17" xfId="0" applyNumberFormat="1" applyFont="1" applyFill="1" applyBorder="1" applyAlignment="1">
      <alignment horizontal="right"/>
    </xf>
    <xf numFmtId="171" fontId="26" fillId="3" borderId="17" xfId="11" applyNumberFormat="1" applyFont="1" applyFill="1" applyBorder="1" applyAlignment="1">
      <alignment horizontal="right"/>
    </xf>
    <xf numFmtId="169" fontId="28" fillId="3" borderId="17" xfId="11" applyNumberFormat="1" applyFont="1" applyFill="1" applyBorder="1" applyAlignment="1">
      <alignment horizontal="right"/>
    </xf>
    <xf numFmtId="169" fontId="26" fillId="3" borderId="25" xfId="11" applyNumberFormat="1" applyFont="1" applyFill="1" applyBorder="1" applyAlignment="1">
      <alignment horizontal="right"/>
    </xf>
    <xf numFmtId="172" fontId="28" fillId="3" borderId="17" xfId="11" applyNumberFormat="1" applyFont="1" applyFill="1" applyBorder="1"/>
    <xf numFmtId="172" fontId="26" fillId="3" borderId="25" xfId="11" applyNumberFormat="1" applyFont="1" applyFill="1" applyBorder="1"/>
    <xf numFmtId="171" fontId="28" fillId="3" borderId="17" xfId="11" applyNumberFormat="1" applyFont="1" applyFill="1" applyBorder="1"/>
    <xf numFmtId="171" fontId="26" fillId="3" borderId="17" xfId="11" applyNumberFormat="1" applyFont="1" applyFill="1" applyBorder="1"/>
    <xf numFmtId="169" fontId="26" fillId="3" borderId="17" xfId="11" applyNumberFormat="1" applyFont="1" applyFill="1" applyBorder="1" applyAlignment="1">
      <alignment horizontal="center"/>
    </xf>
    <xf numFmtId="169" fontId="26" fillId="3" borderId="17" xfId="11" applyNumberFormat="1" applyFont="1" applyFill="1" applyBorder="1" applyAlignment="1">
      <alignment horizontal="right"/>
    </xf>
    <xf numFmtId="182" fontId="26" fillId="3" borderId="17" xfId="11" applyNumberFormat="1" applyFont="1" applyFill="1" applyBorder="1" applyAlignment="1">
      <alignment horizontal="right"/>
    </xf>
    <xf numFmtId="0" fontId="5" fillId="3" borderId="26" xfId="4" applyFill="1" applyBorder="1" applyAlignment="1">
      <alignment horizontal="left"/>
    </xf>
    <xf numFmtId="166" fontId="0" fillId="3" borderId="0" xfId="0" applyNumberFormat="1" applyFont="1" applyFill="1"/>
    <xf numFmtId="166" fontId="6" fillId="3" borderId="0" xfId="0" applyNumberFormat="1" applyFont="1" applyFill="1"/>
    <xf numFmtId="166" fontId="21" fillId="3" borderId="0" xfId="0" applyNumberFormat="1" applyFont="1" applyFill="1"/>
    <xf numFmtId="178" fontId="24" fillId="4" borderId="0" xfId="0" applyNumberFormat="1" applyFont="1" applyFill="1" applyAlignment="1">
      <alignment horizontal="left"/>
    </xf>
    <xf numFmtId="170" fontId="24" fillId="4" borderId="0" xfId="0" applyNumberFormat="1" applyFont="1" applyFill="1" applyAlignment="1">
      <alignment horizontal="center"/>
    </xf>
    <xf numFmtId="173" fontId="28" fillId="3" borderId="0" xfId="0" applyNumberFormat="1" applyFont="1" applyFill="1" applyBorder="1"/>
    <xf numFmtId="0" fontId="28" fillId="3" borderId="0" xfId="0" applyFont="1" applyFill="1" applyBorder="1"/>
    <xf numFmtId="0" fontId="29" fillId="3" borderId="0" xfId="0" applyFont="1" applyFill="1" applyBorder="1"/>
    <xf numFmtId="0" fontId="28" fillId="3" borderId="17" xfId="0" applyFont="1" applyFill="1" applyBorder="1"/>
    <xf numFmtId="188" fontId="27" fillId="4" borderId="0" xfId="0" applyNumberFormat="1" applyFont="1" applyFill="1" applyAlignment="1">
      <alignment horizontal="left"/>
    </xf>
    <xf numFmtId="171" fontId="27" fillId="4" borderId="0" xfId="2" applyNumberFormat="1" applyFont="1" applyFill="1" applyAlignment="1">
      <alignment horizontal="center"/>
    </xf>
    <xf numFmtId="189" fontId="27" fillId="4" borderId="0" xfId="0" applyNumberFormat="1" applyFont="1" applyFill="1"/>
    <xf numFmtId="0" fontId="26" fillId="4" borderId="0" xfId="0" applyFont="1" applyFill="1" applyAlignment="1">
      <alignment horizontal="center"/>
    </xf>
    <xf numFmtId="17" fontId="28" fillId="3" borderId="0" xfId="0" applyNumberFormat="1" applyFont="1" applyFill="1" applyBorder="1" applyAlignment="1">
      <alignment horizontal="center"/>
    </xf>
    <xf numFmtId="17" fontId="24" fillId="3" borderId="0" xfId="0" applyNumberFormat="1" applyFont="1" applyFill="1" applyBorder="1" applyAlignment="1">
      <alignment horizontal="center"/>
    </xf>
    <xf numFmtId="17" fontId="24" fillId="3" borderId="17" xfId="0" applyNumberFormat="1" applyFont="1" applyFill="1" applyBorder="1" applyAlignment="1">
      <alignment horizontal="center"/>
    </xf>
    <xf numFmtId="185" fontId="27" fillId="3" borderId="0" xfId="0" applyNumberFormat="1" applyFont="1" applyFill="1"/>
    <xf numFmtId="0" fontId="27" fillId="3" borderId="0" xfId="2" applyNumberFormat="1" applyFont="1" applyFill="1" applyAlignment="1">
      <alignment horizontal="center"/>
    </xf>
    <xf numFmtId="0" fontId="26" fillId="3" borderId="0" xfId="0" applyFont="1" applyFill="1" applyBorder="1" applyAlignment="1">
      <alignment horizontal="center"/>
    </xf>
    <xf numFmtId="0" fontId="27" fillId="3" borderId="0" xfId="0" applyFont="1" applyFill="1" applyBorder="1" applyAlignment="1">
      <alignment horizontal="center"/>
    </xf>
    <xf numFmtId="0" fontId="27" fillId="3" borderId="17" xfId="0" applyFont="1" applyFill="1" applyBorder="1" applyAlignment="1">
      <alignment horizontal="center"/>
    </xf>
    <xf numFmtId="169" fontId="28" fillId="3" borderId="0" xfId="0" applyNumberFormat="1" applyFont="1" applyFill="1" applyAlignment="1">
      <alignment horizontal="left" indent="2"/>
    </xf>
    <xf numFmtId="169" fontId="28" fillId="7" borderId="0" xfId="0" applyNumberFormat="1" applyFont="1" applyFill="1" applyBorder="1" applyAlignment="1">
      <alignment horizontal="right"/>
    </xf>
    <xf numFmtId="169" fontId="28" fillId="3" borderId="0" xfId="0" applyNumberFormat="1" applyFont="1" applyFill="1" applyBorder="1" applyAlignment="1">
      <alignment horizontal="right"/>
    </xf>
    <xf numFmtId="169" fontId="28" fillId="3" borderId="17" xfId="0" applyNumberFormat="1" applyFont="1" applyFill="1" applyBorder="1" applyAlignment="1">
      <alignment horizontal="right"/>
    </xf>
    <xf numFmtId="169" fontId="28" fillId="3" borderId="2" xfId="0" applyNumberFormat="1" applyFont="1" applyFill="1" applyBorder="1" applyAlignment="1">
      <alignment horizontal="left" indent="2"/>
    </xf>
    <xf numFmtId="169" fontId="24" fillId="3" borderId="2" xfId="2" applyNumberFormat="1" applyFont="1" applyFill="1" applyBorder="1"/>
    <xf numFmtId="169" fontId="28" fillId="7" borderId="2" xfId="0" applyNumberFormat="1" applyFont="1" applyFill="1" applyBorder="1" applyAlignment="1">
      <alignment horizontal="right"/>
    </xf>
    <xf numFmtId="169" fontId="28" fillId="3" borderId="2" xfId="0" applyNumberFormat="1" applyFont="1" applyFill="1" applyBorder="1" applyAlignment="1">
      <alignment horizontal="right"/>
    </xf>
    <xf numFmtId="169" fontId="28" fillId="3" borderId="27" xfId="0" applyNumberFormat="1" applyFont="1" applyFill="1" applyBorder="1" applyAlignment="1">
      <alignment horizontal="right"/>
    </xf>
    <xf numFmtId="169" fontId="26" fillId="3" borderId="7" xfId="0" applyNumberFormat="1" applyFont="1" applyFill="1" applyBorder="1" applyAlignment="1">
      <alignment horizontal="left"/>
    </xf>
    <xf numFmtId="169" fontId="26" fillId="3" borderId="0" xfId="0" applyNumberFormat="1" applyFont="1" applyFill="1" applyAlignment="1">
      <alignment horizontal="left"/>
    </xf>
    <xf numFmtId="166" fontId="28" fillId="3" borderId="0" xfId="0" applyNumberFormat="1" applyFont="1" applyFill="1" applyAlignment="1">
      <alignment horizontal="left" indent="2"/>
    </xf>
    <xf numFmtId="166" fontId="28" fillId="3" borderId="0" xfId="0" applyNumberFormat="1" applyFont="1" applyFill="1" applyAlignment="1">
      <alignment horizontal="left" indent="4"/>
    </xf>
    <xf numFmtId="166" fontId="26" fillId="3" borderId="7" xfId="0" applyNumberFormat="1" applyFont="1" applyFill="1" applyBorder="1" applyAlignment="1">
      <alignment horizontal="left" indent="1"/>
    </xf>
    <xf numFmtId="166" fontId="26" fillId="3" borderId="7" xfId="0" applyNumberFormat="1" applyFont="1" applyFill="1" applyBorder="1" applyAlignment="1">
      <alignment horizontal="left" indent="4"/>
    </xf>
    <xf numFmtId="166" fontId="28" fillId="3" borderId="2" xfId="0" applyNumberFormat="1" applyFont="1" applyFill="1" applyBorder="1" applyAlignment="1">
      <alignment horizontal="left" indent="2"/>
    </xf>
    <xf numFmtId="166" fontId="28" fillId="3" borderId="2" xfId="0" applyNumberFormat="1" applyFont="1" applyFill="1" applyBorder="1" applyAlignment="1">
      <alignment horizontal="left" indent="4"/>
    </xf>
    <xf numFmtId="166" fontId="26" fillId="3" borderId="0" xfId="0" applyNumberFormat="1" applyFont="1" applyFill="1" applyAlignment="1">
      <alignment horizontal="left" indent="1"/>
    </xf>
    <xf numFmtId="166" fontId="26" fillId="3" borderId="0" xfId="0" applyNumberFormat="1" applyFont="1" applyFill="1" applyAlignment="1">
      <alignment horizontal="left" indent="4"/>
    </xf>
    <xf numFmtId="166" fontId="26" fillId="3" borderId="7" xfId="0" applyNumberFormat="1" applyFont="1" applyFill="1" applyBorder="1" applyAlignment="1">
      <alignment horizontal="left"/>
    </xf>
    <xf numFmtId="166" fontId="26" fillId="3" borderId="0" xfId="0" applyNumberFormat="1" applyFont="1" applyFill="1" applyAlignment="1">
      <alignment horizontal="left"/>
    </xf>
    <xf numFmtId="166" fontId="28" fillId="3" borderId="2" xfId="0" applyNumberFormat="1" applyFont="1" applyFill="1" applyBorder="1" applyAlignment="1">
      <alignment horizontal="left" indent="1"/>
    </xf>
    <xf numFmtId="169" fontId="28" fillId="3" borderId="0" xfId="0" applyNumberFormat="1" applyFont="1" applyFill="1" applyAlignment="1">
      <alignment horizontal="left"/>
    </xf>
    <xf numFmtId="193" fontId="28" fillId="3" borderId="0" xfId="0" applyNumberFormat="1" applyFont="1" applyFill="1" applyAlignment="1">
      <alignment horizontal="left" indent="1"/>
    </xf>
    <xf numFmtId="193" fontId="24" fillId="3" borderId="0" xfId="2" applyNumberFormat="1" applyFont="1" applyFill="1"/>
    <xf numFmtId="193" fontId="28" fillId="7" borderId="0" xfId="0" applyNumberFormat="1" applyFont="1" applyFill="1" applyBorder="1" applyAlignment="1">
      <alignment horizontal="right"/>
    </xf>
    <xf numFmtId="193" fontId="28" fillId="3" borderId="0" xfId="0" applyNumberFormat="1" applyFont="1" applyFill="1" applyBorder="1" applyAlignment="1">
      <alignment horizontal="right"/>
    </xf>
    <xf numFmtId="193" fontId="28" fillId="3" borderId="17" xfId="0" applyNumberFormat="1" applyFont="1" applyFill="1" applyBorder="1" applyAlignment="1">
      <alignment horizontal="right"/>
    </xf>
    <xf numFmtId="193" fontId="28" fillId="3" borderId="2" xfId="0" applyNumberFormat="1" applyFont="1" applyFill="1" applyBorder="1" applyAlignment="1">
      <alignment horizontal="left" indent="1"/>
    </xf>
    <xf numFmtId="193" fontId="24" fillId="3" borderId="2" xfId="2" applyNumberFormat="1" applyFont="1" applyFill="1" applyBorder="1"/>
    <xf numFmtId="193" fontId="28" fillId="7" borderId="2" xfId="0" applyNumberFormat="1" applyFont="1" applyFill="1" applyBorder="1" applyAlignment="1">
      <alignment horizontal="right"/>
    </xf>
    <xf numFmtId="193" fontId="28" fillId="3" borderId="2" xfId="0" applyNumberFormat="1" applyFont="1" applyFill="1" applyBorder="1" applyAlignment="1">
      <alignment horizontal="right"/>
    </xf>
    <xf numFmtId="193" fontId="28" fillId="3" borderId="27" xfId="0" applyNumberFormat="1" applyFont="1" applyFill="1" applyBorder="1" applyAlignment="1">
      <alignment horizontal="right"/>
    </xf>
    <xf numFmtId="193" fontId="26" fillId="3" borderId="0" xfId="0" applyNumberFormat="1" applyFont="1" applyFill="1" applyAlignment="1">
      <alignment horizontal="left"/>
    </xf>
    <xf numFmtId="193" fontId="27" fillId="3" borderId="0" xfId="2" applyNumberFormat="1" applyFont="1" applyFill="1"/>
    <xf numFmtId="166" fontId="26" fillId="3" borderId="0" xfId="0" applyNumberFormat="1" applyFont="1" applyFill="1" applyBorder="1" applyAlignment="1">
      <alignment horizontal="left"/>
    </xf>
    <xf numFmtId="166" fontId="26" fillId="3" borderId="0" xfId="0" applyNumberFormat="1" applyFont="1" applyFill="1" applyBorder="1" applyAlignment="1">
      <alignment horizontal="left" indent="4"/>
    </xf>
    <xf numFmtId="166" fontId="26" fillId="3" borderId="2" xfId="0" applyNumberFormat="1" applyFont="1" applyFill="1" applyBorder="1" applyAlignment="1">
      <alignment horizontal="left" indent="1"/>
    </xf>
    <xf numFmtId="166" fontId="26" fillId="3" borderId="2" xfId="0" applyNumberFormat="1" applyFont="1" applyFill="1" applyBorder="1" applyAlignment="1">
      <alignment horizontal="left" indent="4"/>
    </xf>
    <xf numFmtId="166" fontId="28" fillId="3" borderId="0" xfId="0" applyNumberFormat="1" applyFont="1" applyFill="1" applyAlignment="1">
      <alignment horizontal="left"/>
    </xf>
    <xf numFmtId="169" fontId="28" fillId="3" borderId="0" xfId="0" applyNumberFormat="1" applyFont="1" applyFill="1" applyAlignment="1">
      <alignment horizontal="left" indent="1"/>
    </xf>
    <xf numFmtId="169" fontId="31" fillId="3" borderId="0" xfId="2" applyNumberFormat="1" applyFont="1" applyFill="1" applyAlignment="1">
      <alignment horizontal="left" indent="1"/>
    </xf>
    <xf numFmtId="169" fontId="29" fillId="7" borderId="0" xfId="0" applyNumberFormat="1" applyFont="1" applyFill="1" applyBorder="1" applyAlignment="1">
      <alignment horizontal="left" indent="1"/>
    </xf>
    <xf numFmtId="169" fontId="29" fillId="3" borderId="0" xfId="0" applyNumberFormat="1" applyFont="1" applyFill="1" applyBorder="1" applyAlignment="1">
      <alignment horizontal="left" indent="1"/>
    </xf>
    <xf numFmtId="169" fontId="29" fillId="3" borderId="17" xfId="0" applyNumberFormat="1" applyFont="1" applyFill="1" applyBorder="1" applyAlignment="1">
      <alignment horizontal="left" indent="1"/>
    </xf>
    <xf numFmtId="169" fontId="28" fillId="3" borderId="0" xfId="0" applyNumberFormat="1" applyFont="1" applyFill="1"/>
    <xf numFmtId="166" fontId="26" fillId="3" borderId="7" xfId="0" applyNumberFormat="1" applyFont="1" applyFill="1" applyBorder="1" applyAlignment="1">
      <alignment horizontal="left" indent="3"/>
    </xf>
    <xf numFmtId="166" fontId="26" fillId="3" borderId="28" xfId="0" applyNumberFormat="1" applyFont="1" applyFill="1" applyBorder="1" applyAlignment="1">
      <alignment horizontal="left"/>
    </xf>
    <xf numFmtId="166" fontId="26" fillId="3" borderId="28" xfId="0" applyNumberFormat="1" applyFont="1" applyFill="1" applyBorder="1" applyAlignment="1">
      <alignment horizontal="left" indent="3"/>
    </xf>
    <xf numFmtId="166" fontId="26" fillId="3" borderId="0" xfId="0" applyNumberFormat="1" applyFont="1" applyFill="1" applyBorder="1" applyAlignment="1">
      <alignment horizontal="left" indent="3"/>
    </xf>
    <xf numFmtId="166" fontId="28" fillId="3" borderId="0" xfId="0" applyNumberFormat="1" applyFont="1" applyFill="1" applyBorder="1" applyAlignment="1">
      <alignment horizontal="left" indent="3"/>
    </xf>
    <xf numFmtId="166" fontId="28" fillId="3" borderId="0" xfId="0" applyNumberFormat="1" applyFont="1" applyFill="1" applyBorder="1" applyAlignment="1">
      <alignment horizontal="left" indent="1"/>
    </xf>
    <xf numFmtId="166" fontId="28" fillId="3" borderId="2" xfId="0" applyNumberFormat="1" applyFont="1" applyFill="1" applyBorder="1" applyAlignment="1">
      <alignment horizontal="left" indent="3"/>
    </xf>
    <xf numFmtId="166" fontId="28" fillId="3" borderId="0" xfId="0" applyNumberFormat="1" applyFont="1" applyFill="1" applyBorder="1" applyAlignment="1">
      <alignment horizontal="left"/>
    </xf>
    <xf numFmtId="169" fontId="26" fillId="3" borderId="0" xfId="0" applyNumberFormat="1" applyFont="1" applyFill="1" applyAlignment="1">
      <alignment horizontal="left" indent="3"/>
    </xf>
    <xf numFmtId="171" fontId="26" fillId="3" borderId="0" xfId="0" applyNumberFormat="1" applyFont="1" applyFill="1" applyAlignment="1">
      <alignment horizontal="left" indent="3"/>
    </xf>
    <xf numFmtId="171" fontId="27" fillId="3" borderId="0" xfId="0" applyNumberFormat="1" applyFont="1" applyFill="1" applyAlignment="1">
      <alignment horizontal="left"/>
    </xf>
    <xf numFmtId="171" fontId="26" fillId="7" borderId="0" xfId="2" applyNumberFormat="1" applyFont="1" applyFill="1" applyBorder="1" applyAlignment="1">
      <alignment horizontal="right" indent="1"/>
    </xf>
    <xf numFmtId="166" fontId="27" fillId="3" borderId="0" xfId="0" applyNumberFormat="1" applyFont="1" applyFill="1"/>
    <xf numFmtId="174" fontId="24" fillId="3" borderId="0" xfId="2" applyNumberFormat="1" applyFont="1" applyFill="1"/>
    <xf numFmtId="174" fontId="28" fillId="3" borderId="0" xfId="0" applyNumberFormat="1" applyFont="1" applyFill="1" applyAlignment="1">
      <alignment horizontal="left" indent="3"/>
    </xf>
    <xf numFmtId="174" fontId="27" fillId="3" borderId="0" xfId="2" applyNumberFormat="1" applyFont="1" applyFill="1"/>
    <xf numFmtId="174" fontId="26" fillId="3" borderId="0" xfId="0" applyNumberFormat="1" applyFont="1" applyFill="1" applyAlignment="1">
      <alignment horizontal="left" indent="3"/>
    </xf>
    <xf numFmtId="166" fontId="28" fillId="3" borderId="10" xfId="0" applyNumberFormat="1" applyFont="1" applyFill="1" applyBorder="1" applyAlignment="1">
      <alignment horizontal="left" indent="1"/>
    </xf>
    <xf numFmtId="166" fontId="28" fillId="3" borderId="10" xfId="0" applyNumberFormat="1" applyFont="1" applyFill="1" applyBorder="1" applyAlignment="1">
      <alignment horizontal="left" indent="3"/>
    </xf>
    <xf numFmtId="172" fontId="27" fillId="3" borderId="0" xfId="0" applyNumberFormat="1" applyFont="1" applyFill="1"/>
    <xf numFmtId="172" fontId="26" fillId="3" borderId="0" xfId="0" applyNumberFormat="1" applyFont="1" applyFill="1" applyAlignment="1">
      <alignment horizontal="left" indent="3"/>
    </xf>
    <xf numFmtId="0" fontId="28" fillId="3" borderId="0" xfId="0" applyFont="1" applyFill="1" applyAlignment="1">
      <alignment horizontal="left" indent="3"/>
    </xf>
    <xf numFmtId="179" fontId="26" fillId="3" borderId="0" xfId="0" applyNumberFormat="1" applyFont="1" applyFill="1" applyAlignment="1">
      <alignment horizontal="left"/>
    </xf>
    <xf numFmtId="190" fontId="26" fillId="7" borderId="0" xfId="0" applyNumberFormat="1" applyFont="1" applyFill="1" applyBorder="1" applyAlignment="1">
      <alignment horizontal="right"/>
    </xf>
    <xf numFmtId="190" fontId="26" fillId="3" borderId="0" xfId="0" applyNumberFormat="1" applyFont="1" applyFill="1" applyBorder="1" applyAlignment="1">
      <alignment horizontal="right"/>
    </xf>
    <xf numFmtId="190" fontId="26" fillId="3" borderId="17" xfId="0" applyNumberFormat="1" applyFont="1" applyFill="1" applyBorder="1" applyAlignment="1">
      <alignment horizontal="right"/>
    </xf>
    <xf numFmtId="172" fontId="24" fillId="3" borderId="0" xfId="0" applyNumberFormat="1" applyFont="1" applyFill="1"/>
    <xf numFmtId="172" fontId="28" fillId="3" borderId="0" xfId="0" applyNumberFormat="1" applyFont="1" applyFill="1" applyAlignment="1">
      <alignment horizontal="left" indent="3"/>
    </xf>
    <xf numFmtId="172" fontId="28" fillId="7" borderId="0" xfId="0" applyNumberFormat="1" applyFont="1" applyFill="1" applyBorder="1" applyAlignment="1">
      <alignment horizontal="right"/>
    </xf>
    <xf numFmtId="172" fontId="28" fillId="3" borderId="0" xfId="0" applyNumberFormat="1" applyFont="1" applyFill="1" applyBorder="1" applyAlignment="1">
      <alignment horizontal="right"/>
    </xf>
    <xf numFmtId="190" fontId="28" fillId="3" borderId="0" xfId="0" applyNumberFormat="1" applyFont="1" applyFill="1" applyAlignment="1">
      <alignment horizontal="left" indent="1"/>
    </xf>
    <xf numFmtId="190" fontId="24" fillId="3" borderId="0" xfId="2" applyNumberFormat="1" applyFont="1" applyFill="1"/>
    <xf numFmtId="190" fontId="28" fillId="7" borderId="0" xfId="0" applyNumberFormat="1" applyFont="1" applyFill="1" applyBorder="1" applyAlignment="1">
      <alignment horizontal="right"/>
    </xf>
    <xf numFmtId="190" fontId="28" fillId="3" borderId="0" xfId="0" applyNumberFormat="1" applyFont="1" applyFill="1" applyBorder="1" applyAlignment="1">
      <alignment horizontal="right"/>
    </xf>
    <xf numFmtId="190" fontId="28" fillId="3" borderId="17" xfId="0" applyNumberFormat="1" applyFont="1" applyFill="1" applyBorder="1" applyAlignment="1">
      <alignment horizontal="right"/>
    </xf>
    <xf numFmtId="192" fontId="28" fillId="3" borderId="0" xfId="0" applyNumberFormat="1" applyFont="1" applyFill="1" applyAlignment="1">
      <alignment horizontal="left" indent="1"/>
    </xf>
    <xf numFmtId="192" fontId="24" fillId="3" borderId="0" xfId="2" applyNumberFormat="1" applyFont="1" applyFill="1"/>
    <xf numFmtId="192" fontId="28" fillId="7" borderId="0" xfId="0" applyNumberFormat="1" applyFont="1" applyFill="1" applyBorder="1" applyAlignment="1">
      <alignment horizontal="right"/>
    </xf>
    <xf numFmtId="192" fontId="28" fillId="3" borderId="0" xfId="0" applyNumberFormat="1" applyFont="1" applyFill="1" applyBorder="1" applyAlignment="1">
      <alignment horizontal="right"/>
    </xf>
    <xf numFmtId="192" fontId="28" fillId="3" borderId="17" xfId="0" applyNumberFormat="1" applyFont="1" applyFill="1" applyBorder="1" applyAlignment="1">
      <alignment horizontal="right"/>
    </xf>
    <xf numFmtId="169" fontId="34" fillId="3" borderId="0" xfId="0" applyNumberFormat="1" applyFont="1" applyFill="1" applyAlignment="1">
      <alignment horizontal="left" indent="1"/>
    </xf>
    <xf numFmtId="169" fontId="34" fillId="3" borderId="0" xfId="0" applyNumberFormat="1" applyFont="1" applyFill="1" applyAlignment="1">
      <alignment horizontal="left" indent="3"/>
    </xf>
    <xf numFmtId="166" fontId="34" fillId="3" borderId="0" xfId="0" applyNumberFormat="1" applyFont="1" applyFill="1" applyAlignment="1">
      <alignment horizontal="left" indent="1"/>
    </xf>
    <xf numFmtId="166" fontId="34" fillId="3" borderId="0" xfId="0" applyNumberFormat="1" applyFont="1" applyFill="1" applyAlignment="1">
      <alignment horizontal="left" indent="3"/>
    </xf>
    <xf numFmtId="168" fontId="26" fillId="3" borderId="0" xfId="0" applyNumberFormat="1" applyFont="1" applyFill="1"/>
    <xf numFmtId="168" fontId="27" fillId="3" borderId="0" xfId="5" applyNumberFormat="1" applyFont="1" applyFill="1"/>
    <xf numFmtId="168" fontId="26" fillId="3" borderId="0" xfId="0" applyNumberFormat="1" applyFont="1" applyFill="1" applyBorder="1"/>
    <xf numFmtId="168" fontId="26" fillId="3" borderId="17" xfId="0" applyNumberFormat="1" applyFont="1" applyFill="1" applyBorder="1"/>
    <xf numFmtId="168" fontId="28" fillId="3" borderId="0" xfId="0" applyNumberFormat="1" applyFont="1" applyFill="1"/>
    <xf numFmtId="168" fontId="24" fillId="3" borderId="0" xfId="5" applyNumberFormat="1" applyFont="1" applyFill="1"/>
    <xf numFmtId="168" fontId="28" fillId="3" borderId="0" xfId="0" applyNumberFormat="1" applyFont="1" applyFill="1" applyBorder="1"/>
    <xf numFmtId="168" fontId="28" fillId="3" borderId="17" xfId="0" applyNumberFormat="1" applyFont="1" applyFill="1" applyBorder="1"/>
    <xf numFmtId="0" fontId="26" fillId="3" borderId="0" xfId="0" applyFont="1" applyFill="1"/>
    <xf numFmtId="0" fontId="26" fillId="3" borderId="0" xfId="0" applyFont="1" applyFill="1" applyBorder="1"/>
    <xf numFmtId="0" fontId="26" fillId="3" borderId="17" xfId="0" applyFont="1" applyFill="1" applyBorder="1"/>
    <xf numFmtId="166" fontId="24" fillId="3" borderId="0" xfId="5" applyNumberFormat="1" applyFont="1" applyFill="1" applyBorder="1" applyAlignment="1">
      <alignment horizontal="left" indent="1"/>
    </xf>
    <xf numFmtId="168" fontId="24" fillId="3" borderId="0" xfId="5" applyNumberFormat="1" applyFont="1" applyFill="1" applyBorder="1"/>
    <xf numFmtId="166" fontId="27" fillId="3" borderId="6" xfId="5" applyNumberFormat="1" applyFont="1" applyFill="1" applyBorder="1" applyAlignment="1">
      <alignment horizontal="left"/>
    </xf>
    <xf numFmtId="166" fontId="24" fillId="3" borderId="4" xfId="5" applyNumberFormat="1" applyFont="1" applyFill="1" applyBorder="1" applyAlignment="1">
      <alignment horizontal="left" indent="1"/>
    </xf>
    <xf numFmtId="166" fontId="24" fillId="3" borderId="1" xfId="5" applyNumberFormat="1" applyFont="1" applyFill="1" applyBorder="1" applyAlignment="1">
      <alignment horizontal="left" indent="1"/>
    </xf>
    <xf numFmtId="0" fontId="28" fillId="3" borderId="0" xfId="0" applyFont="1" applyFill="1"/>
    <xf numFmtId="166" fontId="26" fillId="3" borderId="18" xfId="0" applyNumberFormat="1" applyFont="1" applyFill="1" applyBorder="1"/>
    <xf numFmtId="14" fontId="28" fillId="3" borderId="0" xfId="0" applyNumberFormat="1" applyFont="1" applyFill="1"/>
    <xf numFmtId="168" fontId="28" fillId="3" borderId="0" xfId="0" applyNumberFormat="1" applyFont="1" applyFill="1" applyAlignment="1">
      <alignment horizontal="left" indent="1"/>
    </xf>
    <xf numFmtId="168" fontId="28" fillId="3" borderId="10" xfId="0" applyNumberFormat="1" applyFont="1" applyFill="1" applyBorder="1" applyAlignment="1">
      <alignment horizontal="left" indent="1"/>
    </xf>
    <xf numFmtId="168" fontId="28" fillId="3" borderId="10" xfId="0" applyNumberFormat="1" applyFont="1" applyFill="1" applyBorder="1"/>
    <xf numFmtId="0" fontId="9" fillId="3" borderId="0" xfId="0" applyFont="1" applyFill="1"/>
    <xf numFmtId="168" fontId="14" fillId="3" borderId="0" xfId="0" applyNumberFormat="1" applyFont="1" applyFill="1"/>
    <xf numFmtId="168" fontId="9" fillId="3" borderId="0" xfId="0" applyNumberFormat="1" applyFont="1" applyFill="1"/>
    <xf numFmtId="0" fontId="14" fillId="3" borderId="0" xfId="0" applyFont="1" applyFill="1"/>
    <xf numFmtId="168" fontId="9" fillId="3" borderId="0" xfId="0" applyNumberFormat="1" applyFont="1" applyFill="1" applyBorder="1"/>
    <xf numFmtId="166" fontId="9" fillId="3" borderId="18" xfId="0" applyNumberFormat="1" applyFont="1" applyFill="1" applyBorder="1"/>
    <xf numFmtId="166" fontId="9" fillId="3" borderId="29" xfId="0" applyNumberFormat="1" applyFont="1" applyFill="1" applyBorder="1"/>
    <xf numFmtId="190" fontId="9" fillId="3" borderId="20" xfId="0" applyNumberFormat="1" applyFont="1" applyFill="1" applyBorder="1"/>
    <xf numFmtId="166" fontId="9" fillId="3" borderId="20" xfId="0" applyNumberFormat="1" applyFont="1" applyFill="1" applyBorder="1"/>
    <xf numFmtId="166" fontId="9" fillId="3" borderId="10" xfId="0" applyNumberFormat="1" applyFont="1" applyFill="1" applyBorder="1"/>
    <xf numFmtId="166" fontId="9" fillId="3" borderId="30" xfId="0" applyNumberFormat="1" applyFont="1" applyFill="1" applyBorder="1"/>
    <xf numFmtId="170" fontId="47" fillId="3" borderId="0" xfId="4" applyNumberFormat="1" applyFont="1" applyFill="1" applyAlignment="1">
      <alignment horizontal="left"/>
    </xf>
    <xf numFmtId="166" fontId="28" fillId="3" borderId="1" xfId="0" applyNumberFormat="1" applyFont="1" applyFill="1" applyBorder="1"/>
    <xf numFmtId="0" fontId="29" fillId="3" borderId="17" xfId="0" applyFont="1" applyFill="1" applyBorder="1"/>
    <xf numFmtId="172" fontId="26" fillId="3" borderId="0" xfId="11" applyNumberFormat="1" applyFont="1" applyFill="1" applyBorder="1"/>
    <xf numFmtId="172" fontId="26" fillId="3" borderId="17" xfId="11" applyNumberFormat="1" applyFont="1" applyFill="1" applyBorder="1"/>
    <xf numFmtId="172" fontId="26" fillId="7" borderId="0" xfId="11" applyNumberFormat="1" applyFont="1" applyFill="1" applyBorder="1" applyAlignment="1">
      <alignment horizontal="right"/>
    </xf>
    <xf numFmtId="172" fontId="26" fillId="7" borderId="0" xfId="11" applyNumberFormat="1" applyFont="1" applyFill="1" applyAlignment="1">
      <alignment horizontal="right"/>
    </xf>
    <xf numFmtId="0" fontId="48" fillId="3" borderId="0" xfId="0" applyFont="1" applyFill="1" applyAlignment="1">
      <alignment horizontal="left" wrapText="1"/>
    </xf>
    <xf numFmtId="166" fontId="25" fillId="10" borderId="0" xfId="0" applyNumberFormat="1" applyFont="1" applyFill="1"/>
    <xf numFmtId="166" fontId="28" fillId="3" borderId="0" xfId="0" applyNumberFormat="1" applyFont="1" applyFill="1" applyBorder="1"/>
    <xf numFmtId="166" fontId="9" fillId="3" borderId="0" xfId="0" applyNumberFormat="1" applyFont="1" applyFill="1"/>
    <xf numFmtId="166" fontId="28" fillId="3" borderId="2" xfId="0" applyNumberFormat="1" applyFont="1" applyFill="1" applyBorder="1"/>
    <xf numFmtId="166" fontId="26" fillId="3" borderId="0" xfId="0" applyNumberFormat="1" applyFont="1" applyFill="1"/>
    <xf numFmtId="166" fontId="29" fillId="3" borderId="0" xfId="0" applyNumberFormat="1" applyFont="1" applyFill="1"/>
    <xf numFmtId="166" fontId="28" fillId="3" borderId="0" xfId="0" applyNumberFormat="1" applyFont="1" applyFill="1"/>
    <xf numFmtId="166" fontId="28" fillId="3" borderId="10" xfId="0" applyNumberFormat="1" applyFont="1" applyFill="1" applyBorder="1"/>
    <xf numFmtId="166" fontId="28" fillId="3" borderId="0" xfId="0" applyNumberFormat="1" applyFont="1" applyFill="1" applyAlignment="1">
      <alignment horizontal="right"/>
    </xf>
    <xf numFmtId="166" fontId="32" fillId="10" borderId="0" xfId="0" applyNumberFormat="1" applyFont="1" applyFill="1" applyBorder="1"/>
    <xf numFmtId="166" fontId="32" fillId="10" borderId="0" xfId="0" applyNumberFormat="1" applyFont="1" applyFill="1"/>
    <xf numFmtId="166" fontId="31" fillId="3" borderId="0" xfId="0" applyNumberFormat="1" applyFont="1" applyFill="1" applyAlignment="1">
      <alignment horizontal="left" indent="1"/>
    </xf>
    <xf numFmtId="166" fontId="29" fillId="3" borderId="0" xfId="0" applyNumberFormat="1" applyFont="1" applyFill="1" applyAlignment="1">
      <alignment horizontal="left" indent="3"/>
    </xf>
    <xf numFmtId="183" fontId="26" fillId="3" borderId="17" xfId="11" applyNumberFormat="1" applyFont="1" applyFill="1" applyBorder="1" applyAlignment="1">
      <alignment horizontal="right"/>
    </xf>
    <xf numFmtId="183" fontId="26" fillId="3" borderId="0" xfId="11" applyNumberFormat="1" applyFont="1" applyFill="1" applyAlignment="1">
      <alignment horizontal="right"/>
    </xf>
    <xf numFmtId="183" fontId="26" fillId="7" borderId="0" xfId="11" applyNumberFormat="1" applyFont="1" applyFill="1" applyBorder="1" applyAlignment="1">
      <alignment horizontal="right"/>
    </xf>
    <xf numFmtId="183" fontId="26" fillId="7" borderId="0" xfId="11" applyNumberFormat="1" applyFont="1" applyFill="1" applyAlignment="1">
      <alignment horizontal="right"/>
    </xf>
    <xf numFmtId="166" fontId="28" fillId="3" borderId="0" xfId="11" applyNumberFormat="1" applyFont="1" applyFill="1"/>
    <xf numFmtId="166" fontId="26" fillId="3" borderId="0" xfId="11" applyNumberFormat="1" applyFont="1" applyFill="1"/>
    <xf numFmtId="166" fontId="33" fillId="10" borderId="0" xfId="11" applyNumberFormat="1" applyFont="1" applyFill="1"/>
    <xf numFmtId="166" fontId="28" fillId="3" borderId="0" xfId="0" applyNumberFormat="1" applyFont="1" applyFill="1" applyBorder="1"/>
    <xf numFmtId="166" fontId="28" fillId="3" borderId="17" xfId="0" applyNumberFormat="1" applyFont="1" applyFill="1" applyBorder="1"/>
    <xf numFmtId="166" fontId="9" fillId="3" borderId="0" xfId="0" applyNumberFormat="1" applyFont="1" applyFill="1"/>
    <xf numFmtId="166" fontId="28" fillId="3" borderId="2" xfId="0" applyNumberFormat="1" applyFont="1" applyFill="1" applyBorder="1"/>
    <xf numFmtId="166" fontId="28" fillId="3" borderId="27" xfId="0" applyNumberFormat="1" applyFont="1" applyFill="1" applyBorder="1"/>
    <xf numFmtId="166" fontId="26" fillId="3" borderId="7" xfId="0" applyNumberFormat="1" applyFont="1" applyFill="1" applyBorder="1"/>
    <xf numFmtId="166" fontId="26" fillId="3" borderId="25" xfId="0" applyNumberFormat="1" applyFont="1" applyFill="1" applyBorder="1"/>
    <xf numFmtId="166" fontId="26" fillId="3" borderId="0" xfId="0" applyNumberFormat="1" applyFont="1" applyFill="1" applyBorder="1"/>
    <xf numFmtId="166" fontId="26" fillId="3" borderId="17" xfId="0" applyNumberFormat="1" applyFont="1" applyFill="1" applyBorder="1"/>
    <xf numFmtId="166" fontId="28" fillId="3" borderId="0" xfId="0" applyNumberFormat="1" applyFont="1" applyFill="1"/>
    <xf numFmtId="166" fontId="28" fillId="3" borderId="10" xfId="0" applyNumberFormat="1" applyFont="1" applyFill="1" applyBorder="1"/>
    <xf numFmtId="166" fontId="28" fillId="3" borderId="31" xfId="0" applyNumberFormat="1" applyFont="1" applyFill="1" applyBorder="1"/>
    <xf numFmtId="166" fontId="28" fillId="7" borderId="0" xfId="0" applyNumberFormat="1" applyFont="1" applyFill="1" applyBorder="1" applyAlignment="1">
      <alignment horizontal="right"/>
    </xf>
    <xf numFmtId="166" fontId="28" fillId="3" borderId="0" xfId="0" applyNumberFormat="1" applyFont="1" applyFill="1" applyBorder="1" applyAlignment="1">
      <alignment horizontal="right"/>
    </xf>
    <xf numFmtId="166" fontId="28" fillId="3" borderId="17" xfId="0" applyNumberFormat="1" applyFont="1" applyFill="1" applyBorder="1" applyAlignment="1">
      <alignment horizontal="right"/>
    </xf>
    <xf numFmtId="166" fontId="28" fillId="3" borderId="0" xfId="0" applyNumberFormat="1" applyFont="1" applyFill="1" applyAlignment="1">
      <alignment horizontal="right"/>
    </xf>
    <xf numFmtId="166" fontId="32" fillId="10" borderId="0" xfId="0" applyNumberFormat="1" applyFont="1" applyFill="1" applyBorder="1"/>
    <xf numFmtId="166" fontId="32" fillId="10" borderId="17" xfId="0" applyNumberFormat="1" applyFont="1" applyFill="1" applyBorder="1"/>
    <xf numFmtId="166" fontId="32" fillId="10" borderId="0" xfId="0" applyNumberFormat="1" applyFont="1" applyFill="1"/>
    <xf numFmtId="166" fontId="24" fillId="2" borderId="0" xfId="9" applyNumberFormat="1" applyFont="1" applyFill="1" applyBorder="1" applyAlignment="1">
      <alignment horizontal="right"/>
    </xf>
    <xf numFmtId="166" fontId="24" fillId="2" borderId="17" xfId="9" applyNumberFormat="1" applyFont="1" applyFill="1" applyBorder="1" applyAlignment="1">
      <alignment horizontal="right"/>
    </xf>
    <xf numFmtId="166" fontId="24" fillId="2" borderId="0" xfId="9" applyNumberFormat="1" applyFont="1" applyFill="1" applyAlignment="1">
      <alignment horizontal="right"/>
    </xf>
    <xf numFmtId="166" fontId="26" fillId="3" borderId="8" xfId="0" applyNumberFormat="1" applyFont="1" applyFill="1" applyBorder="1"/>
    <xf numFmtId="166" fontId="26" fillId="3" borderId="6" xfId="0" applyNumberFormat="1" applyFont="1" applyFill="1" applyBorder="1"/>
    <xf numFmtId="166" fontId="26" fillId="3" borderId="5" xfId="0" applyNumberFormat="1" applyFont="1" applyFill="1" applyBorder="1"/>
    <xf numFmtId="166" fontId="26" fillId="3" borderId="4" xfId="0" applyNumberFormat="1" applyFont="1" applyFill="1" applyBorder="1"/>
    <xf numFmtId="166" fontId="31" fillId="3" borderId="0" xfId="0" applyNumberFormat="1" applyFont="1" applyFill="1" applyAlignment="1">
      <alignment horizontal="left" indent="1"/>
    </xf>
    <xf numFmtId="166" fontId="29" fillId="3" borderId="0" xfId="0" applyNumberFormat="1" applyFont="1" applyFill="1" applyAlignment="1">
      <alignment horizontal="left" indent="3"/>
    </xf>
    <xf numFmtId="166" fontId="28" fillId="2" borderId="0" xfId="0" applyNumberFormat="1" applyFont="1" applyFill="1" applyBorder="1"/>
    <xf numFmtId="166" fontId="28" fillId="7" borderId="0" xfId="11" applyNumberFormat="1" applyFont="1" applyFill="1" applyBorder="1"/>
    <xf numFmtId="166" fontId="28" fillId="3" borderId="0" xfId="11" applyNumberFormat="1" applyFont="1" applyFill="1" applyBorder="1"/>
    <xf numFmtId="166" fontId="28" fillId="3" borderId="17" xfId="11" applyNumberFormat="1" applyFont="1" applyFill="1" applyBorder="1"/>
    <xf numFmtId="166" fontId="28" fillId="3" borderId="0" xfId="11" applyNumberFormat="1" applyFont="1" applyFill="1"/>
    <xf numFmtId="166" fontId="28" fillId="7" borderId="0" xfId="11" applyNumberFormat="1" applyFont="1" applyFill="1"/>
    <xf numFmtId="166" fontId="26" fillId="7" borderId="7" xfId="11" applyNumberFormat="1" applyFont="1" applyFill="1" applyBorder="1"/>
    <xf numFmtId="166" fontId="26" fillId="3" borderId="7" xfId="11" applyNumberFormat="1" applyFont="1" applyFill="1" applyBorder="1"/>
    <xf numFmtId="166" fontId="26" fillId="3" borderId="25" xfId="11" applyNumberFormat="1" applyFont="1" applyFill="1" applyBorder="1"/>
    <xf numFmtId="166" fontId="26" fillId="7" borderId="0" xfId="11" applyNumberFormat="1" applyFont="1" applyFill="1" applyBorder="1"/>
    <xf numFmtId="166" fontId="26" fillId="3" borderId="0" xfId="11" applyNumberFormat="1" applyFont="1" applyFill="1" applyBorder="1"/>
    <xf numFmtId="166" fontId="26" fillId="3" borderId="17" xfId="11" applyNumberFormat="1" applyFont="1" applyFill="1" applyBorder="1"/>
    <xf numFmtId="166" fontId="26" fillId="3" borderId="0" xfId="11" applyNumberFormat="1" applyFont="1" applyFill="1"/>
    <xf numFmtId="166" fontId="26" fillId="7" borderId="0" xfId="11" applyNumberFormat="1" applyFont="1" applyFill="1"/>
    <xf numFmtId="166" fontId="33" fillId="10" borderId="0" xfId="11" applyNumberFormat="1" applyFont="1" applyFill="1" applyBorder="1"/>
    <xf numFmtId="166" fontId="33" fillId="10" borderId="17" xfId="11" applyNumberFormat="1" applyFont="1" applyFill="1" applyBorder="1"/>
    <xf numFmtId="166" fontId="33" fillId="10" borderId="0" xfId="11" applyNumberFormat="1" applyFont="1" applyFill="1"/>
    <xf numFmtId="166" fontId="48" fillId="7" borderId="0" xfId="0" applyNumberFormat="1" applyFont="1" applyFill="1" applyBorder="1" applyAlignment="1">
      <alignment horizontal="left" wrapText="1"/>
    </xf>
    <xf numFmtId="0" fontId="80" fillId="0" borderId="0" xfId="0" applyFont="1" applyAlignment="1">
      <alignment horizontal="left" vertical="center" wrapText="1"/>
    </xf>
    <xf numFmtId="15" fontId="79" fillId="13" borderId="0" xfId="0" applyNumberFormat="1" applyFont="1" applyFill="1" applyAlignment="1">
      <alignment horizontal="left" vertical="center" wrapText="1" indent="1"/>
    </xf>
    <xf numFmtId="0" fontId="79" fillId="14" borderId="0" xfId="0" applyFont="1" applyFill="1" applyAlignment="1">
      <alignment horizontal="left" vertical="center" wrapText="1" indent="1"/>
    </xf>
    <xf numFmtId="0" fontId="79" fillId="13" borderId="0" xfId="0" applyFont="1" applyFill="1" applyAlignment="1">
      <alignment horizontal="left" vertical="center" wrapText="1" indent="1"/>
    </xf>
    <xf numFmtId="15" fontId="79" fillId="15" borderId="0" xfId="0" applyNumberFormat="1" applyFont="1" applyFill="1" applyAlignment="1">
      <alignment horizontal="left" vertical="center" wrapText="1" indent="1"/>
    </xf>
    <xf numFmtId="0" fontId="79" fillId="3" borderId="0" xfId="0" applyFont="1" applyFill="1" applyAlignment="1">
      <alignment horizontal="left" vertical="center" wrapText="1" indent="1"/>
    </xf>
    <xf numFmtId="0" fontId="79" fillId="15" borderId="0" xfId="0" applyFont="1" applyFill="1" applyAlignment="1">
      <alignment horizontal="left" vertical="center" wrapText="1" indent="1"/>
    </xf>
    <xf numFmtId="14" fontId="0" fillId="0" borderId="0" xfId="0" applyNumberFormat="1"/>
    <xf numFmtId="0" fontId="0" fillId="16" borderId="0" xfId="0" applyFill="1"/>
    <xf numFmtId="0" fontId="0" fillId="0" borderId="2" xfId="0" applyBorder="1"/>
    <xf numFmtId="0" fontId="78" fillId="0" borderId="0" xfId="0" applyFont="1"/>
    <xf numFmtId="191" fontId="0" fillId="0" borderId="0" xfId="1" applyNumberFormat="1" applyFont="1"/>
    <xf numFmtId="0" fontId="0" fillId="0" borderId="7" xfId="0" applyBorder="1"/>
    <xf numFmtId="191" fontId="0" fillId="0" borderId="7" xfId="1" applyNumberFormat="1" applyFont="1" applyBorder="1"/>
    <xf numFmtId="0" fontId="0" fillId="0" borderId="0" xfId="0" applyFill="1" applyBorder="1"/>
    <xf numFmtId="168" fontId="0" fillId="0" borderId="7" xfId="3" applyNumberFormat="1" applyFont="1" applyBorder="1"/>
    <xf numFmtId="168" fontId="0" fillId="0" borderId="0" xfId="3" applyNumberFormat="1" applyFont="1" applyBorder="1"/>
    <xf numFmtId="0" fontId="0" fillId="0" borderId="0" xfId="0" applyBorder="1"/>
    <xf numFmtId="43" fontId="0" fillId="0" borderId="0" xfId="3" applyFont="1"/>
    <xf numFmtId="168" fontId="0" fillId="0" borderId="0" xfId="3" applyNumberFormat="1" applyFont="1"/>
    <xf numFmtId="191" fontId="0" fillId="0" borderId="0" xfId="1" applyNumberFormat="1" applyFont="1" applyBorder="1"/>
    <xf numFmtId="168" fontId="78" fillId="0" borderId="0" xfId="0" applyNumberFormat="1" applyFont="1"/>
    <xf numFmtId="166" fontId="0" fillId="0" borderId="0" xfId="3" applyNumberFormat="1" applyFont="1"/>
    <xf numFmtId="166" fontId="0" fillId="0" borderId="7" xfId="0" applyNumberFormat="1" applyBorder="1"/>
    <xf numFmtId="166" fontId="0" fillId="0" borderId="0" xfId="0" applyNumberFormat="1" applyBorder="1"/>
    <xf numFmtId="43" fontId="0" fillId="0" borderId="0" xfId="0" applyNumberFormat="1"/>
    <xf numFmtId="9" fontId="0" fillId="0" borderId="0" xfId="1" applyFont="1"/>
    <xf numFmtId="11" fontId="0" fillId="0" borderId="0" xfId="0" applyNumberFormat="1"/>
    <xf numFmtId="0" fontId="25" fillId="17" borderId="33" xfId="0" applyFont="1" applyFill="1" applyBorder="1" applyAlignment="1">
      <alignment horizontal="left" wrapText="1"/>
    </xf>
    <xf numFmtId="0" fontId="25" fillId="17" borderId="33" xfId="0" applyFont="1" applyFill="1" applyBorder="1" applyAlignment="1">
      <alignment horizontal="right" wrapText="1"/>
    </xf>
    <xf numFmtId="0" fontId="0" fillId="18" borderId="33" xfId="0" applyFill="1" applyBorder="1"/>
    <xf numFmtId="191" fontId="0" fillId="18" borderId="33" xfId="1" applyNumberFormat="1" applyFont="1" applyFill="1" applyBorder="1"/>
    <xf numFmtId="0" fontId="0" fillId="18" borderId="0" xfId="0" applyFill="1" applyBorder="1"/>
    <xf numFmtId="0" fontId="5" fillId="0" borderId="0" xfId="4"/>
    <xf numFmtId="0" fontId="51" fillId="0" borderId="0" xfId="13" applyFont="1"/>
    <xf numFmtId="0" fontId="77" fillId="16" borderId="0" xfId="13" applyFont="1" applyFill="1" applyAlignment="1">
      <alignment horizontal="center"/>
    </xf>
    <xf numFmtId="0" fontId="72" fillId="16" borderId="0" xfId="13" applyFont="1" applyFill="1" applyAlignment="1">
      <alignment horizontal="center"/>
    </xf>
    <xf numFmtId="0" fontId="51" fillId="19" borderId="0" xfId="13" applyFont="1" applyFill="1"/>
    <xf numFmtId="43" fontId="72" fillId="19" borderId="0" xfId="14" applyFont="1" applyFill="1" applyBorder="1"/>
    <xf numFmtId="211" fontId="72" fillId="0" borderId="0" xfId="13" applyNumberFormat="1" applyFont="1" applyAlignment="1">
      <alignment horizontal="center"/>
    </xf>
    <xf numFmtId="204" fontId="51" fillId="19" borderId="0" xfId="13" applyNumberFormat="1" applyFont="1" applyFill="1"/>
    <xf numFmtId="0" fontId="51" fillId="0" borderId="0" xfId="13" quotePrefix="1" applyFont="1"/>
    <xf numFmtId="211" fontId="76" fillId="0" borderId="0" xfId="13" applyNumberFormat="1" applyFont="1" applyAlignment="1">
      <alignment horizontal="center"/>
    </xf>
    <xf numFmtId="0" fontId="65" fillId="19" borderId="0" xfId="13" applyFont="1" applyFill="1"/>
    <xf numFmtId="191" fontId="65" fillId="19" borderId="0" xfId="13" applyNumberFormat="1" applyFont="1" applyFill="1"/>
    <xf numFmtId="0" fontId="72" fillId="16" borderId="0" xfId="13" quotePrefix="1" applyFont="1" applyFill="1" applyAlignment="1">
      <alignment horizontal="center"/>
    </xf>
    <xf numFmtId="203" fontId="51" fillId="19" borderId="0" xfId="13" applyNumberFormat="1" applyFont="1" applyFill="1"/>
    <xf numFmtId="0" fontId="51" fillId="0" borderId="0" xfId="0" applyFont="1"/>
    <xf numFmtId="0" fontId="71" fillId="0" borderId="0" xfId="13" applyFont="1"/>
    <xf numFmtId="203" fontId="76" fillId="19" borderId="0" xfId="13" applyNumberFormat="1" applyFont="1" applyFill="1"/>
    <xf numFmtId="191" fontId="72" fillId="16" borderId="0" xfId="15" applyNumberFormat="1" applyFont="1" applyFill="1"/>
    <xf numFmtId="166" fontId="75" fillId="0" borderId="0" xfId="14" applyNumberFormat="1" applyFont="1"/>
    <xf numFmtId="191" fontId="75" fillId="5" borderId="0" xfId="13" applyNumberFormat="1" applyFont="1" applyFill="1"/>
    <xf numFmtId="191" fontId="68" fillId="5" borderId="0" xfId="13" applyNumberFormat="1" applyFont="1" applyFill="1"/>
    <xf numFmtId="0" fontId="70" fillId="19" borderId="0" xfId="13" applyFont="1" applyFill="1" applyAlignment="1">
      <alignment horizontal="right"/>
    </xf>
    <xf numFmtId="191" fontId="72" fillId="19" borderId="0" xfId="13" applyNumberFormat="1" applyFont="1" applyFill="1"/>
    <xf numFmtId="191" fontId="51" fillId="0" borderId="0" xfId="13" applyNumberFormat="1" applyFont="1"/>
    <xf numFmtId="0" fontId="73" fillId="19" borderId="0" xfId="16" applyFont="1" applyFill="1"/>
    <xf numFmtId="191" fontId="72" fillId="16" borderId="0" xfId="13" applyNumberFormat="1" applyFont="1" applyFill="1"/>
    <xf numFmtId="0" fontId="71" fillId="19" borderId="0" xfId="13" applyFont="1" applyFill="1"/>
    <xf numFmtId="0" fontId="72" fillId="19" borderId="0" xfId="13" applyFont="1" applyFill="1"/>
    <xf numFmtId="8" fontId="51" fillId="19" borderId="0" xfId="13" applyNumberFormat="1" applyFont="1" applyFill="1"/>
    <xf numFmtId="191" fontId="51" fillId="0" borderId="0" xfId="1" applyNumberFormat="1" applyFont="1"/>
    <xf numFmtId="201" fontId="51" fillId="19" borderId="0" xfId="13" applyNumberFormat="1" applyFont="1" applyFill="1"/>
    <xf numFmtId="191" fontId="68" fillId="0" borderId="0" xfId="13" applyNumberFormat="1" applyFont="1"/>
    <xf numFmtId="191" fontId="75" fillId="0" borderId="0" xfId="13" applyNumberFormat="1" applyFont="1"/>
    <xf numFmtId="191" fontId="75" fillId="0" borderId="0" xfId="13" quotePrefix="1" applyNumberFormat="1" applyFont="1"/>
    <xf numFmtId="201" fontId="51" fillId="0" borderId="0" xfId="13" applyNumberFormat="1" applyFont="1"/>
    <xf numFmtId="0" fontId="72" fillId="0" borderId="0" xfId="13" applyFont="1"/>
    <xf numFmtId="0" fontId="51" fillId="16" borderId="0" xfId="0" applyFont="1" applyFill="1"/>
    <xf numFmtId="0" fontId="51" fillId="16" borderId="0" xfId="13" applyFont="1" applyFill="1"/>
    <xf numFmtId="0" fontId="74" fillId="20" borderId="0" xfId="13" applyFont="1" applyFill="1"/>
    <xf numFmtId="0" fontId="67" fillId="0" borderId="0" xfId="0" applyFont="1"/>
    <xf numFmtId="210" fontId="72" fillId="16" borderId="0" xfId="13" applyNumberFormat="1" applyFont="1" applyFill="1"/>
    <xf numFmtId="168" fontId="51" fillId="21" borderId="0" xfId="14" applyNumberFormat="1" applyFont="1" applyFill="1"/>
    <xf numFmtId="0" fontId="51" fillId="0" borderId="34" xfId="13" applyFont="1" applyBorder="1"/>
    <xf numFmtId="0" fontId="65" fillId="0" borderId="34" xfId="13" applyFont="1" applyBorder="1"/>
    <xf numFmtId="0" fontId="65" fillId="0" borderId="35" xfId="13" applyFont="1" applyBorder="1"/>
    <xf numFmtId="0" fontId="51" fillId="16" borderId="2" xfId="13" applyFont="1" applyFill="1" applyBorder="1"/>
    <xf numFmtId="0" fontId="65" fillId="0" borderId="0" xfId="13" applyFont="1"/>
    <xf numFmtId="0" fontId="51" fillId="0" borderId="36" xfId="13" applyFont="1" applyBorder="1"/>
    <xf numFmtId="196" fontId="51" fillId="5" borderId="0" xfId="13" applyNumberFormat="1" applyFont="1" applyFill="1"/>
    <xf numFmtId="196" fontId="51" fillId="0" borderId="0" xfId="13" applyNumberFormat="1" applyFont="1"/>
    <xf numFmtId="195" fontId="51" fillId="0" borderId="5" xfId="13" applyNumberFormat="1" applyFont="1" applyBorder="1"/>
    <xf numFmtId="195" fontId="51" fillId="0" borderId="0" xfId="13" applyNumberFormat="1" applyFont="1"/>
    <xf numFmtId="166" fontId="51" fillId="16" borderId="0" xfId="17" applyNumberFormat="1" applyFont="1" applyFill="1"/>
    <xf numFmtId="0" fontId="52" fillId="0" borderId="0" xfId="13" applyFont="1"/>
    <xf numFmtId="0" fontId="66" fillId="0" borderId="0" xfId="13" applyFont="1"/>
    <xf numFmtId="209" fontId="52" fillId="0" borderId="0" xfId="13" applyNumberFormat="1" applyFont="1"/>
    <xf numFmtId="191" fontId="52" fillId="0" borderId="0" xfId="13" applyNumberFormat="1" applyFont="1"/>
    <xf numFmtId="191" fontId="52" fillId="0" borderId="5" xfId="13" applyNumberFormat="1" applyFont="1" applyBorder="1"/>
    <xf numFmtId="0" fontId="52" fillId="16" borderId="0" xfId="13" applyFont="1" applyFill="1"/>
    <xf numFmtId="191" fontId="52" fillId="0" borderId="4" xfId="13" applyNumberFormat="1" applyFont="1" applyBorder="1"/>
    <xf numFmtId="43" fontId="51" fillId="16" borderId="0" xfId="13" applyNumberFormat="1" applyFont="1" applyFill="1"/>
    <xf numFmtId="9" fontId="52" fillId="0" borderId="0" xfId="13" applyNumberFormat="1" applyFont="1"/>
    <xf numFmtId="9" fontId="52" fillId="0" borderId="4" xfId="13" applyNumberFormat="1" applyFont="1" applyBorder="1"/>
    <xf numFmtId="196" fontId="52" fillId="0" borderId="0" xfId="13" applyNumberFormat="1" applyFont="1"/>
    <xf numFmtId="9" fontId="52" fillId="0" borderId="5" xfId="13" applyNumberFormat="1" applyFont="1" applyBorder="1"/>
    <xf numFmtId="168" fontId="51" fillId="0" borderId="0" xfId="14" applyNumberFormat="1" applyFont="1"/>
    <xf numFmtId="9" fontId="51" fillId="0" borderId="0" xfId="13" applyNumberFormat="1" applyFont="1"/>
    <xf numFmtId="9" fontId="51" fillId="0" borderId="5" xfId="13" applyNumberFormat="1" applyFont="1" applyBorder="1"/>
    <xf numFmtId="191" fontId="51" fillId="16" borderId="0" xfId="1" applyNumberFormat="1" applyFont="1" applyFill="1"/>
    <xf numFmtId="168" fontId="51" fillId="0" borderId="0" xfId="14" applyNumberFormat="1" applyFont="1" applyBorder="1"/>
    <xf numFmtId="0" fontId="73" fillId="0" borderId="0" xfId="16" applyFont="1"/>
    <xf numFmtId="0" fontId="72" fillId="0" borderId="2" xfId="13" applyFont="1" applyBorder="1"/>
    <xf numFmtId="9" fontId="51" fillId="0" borderId="2" xfId="13" applyNumberFormat="1" applyFont="1" applyBorder="1"/>
    <xf numFmtId="168" fontId="51" fillId="0" borderId="2" xfId="14" applyNumberFormat="1" applyFont="1" applyBorder="1"/>
    <xf numFmtId="9" fontId="51" fillId="0" borderId="3" xfId="13" applyNumberFormat="1" applyFont="1" applyBorder="1"/>
    <xf numFmtId="209" fontId="51" fillId="0" borderId="0" xfId="13" applyNumberFormat="1" applyFont="1"/>
    <xf numFmtId="209" fontId="51" fillId="0" borderId="5" xfId="13" applyNumberFormat="1" applyFont="1" applyBorder="1"/>
    <xf numFmtId="195" fontId="51" fillId="0" borderId="4" xfId="13" applyNumberFormat="1" applyFont="1" applyBorder="1"/>
    <xf numFmtId="0" fontId="72" fillId="0" borderId="0" xfId="13" applyFont="1" applyAlignment="1">
      <alignment horizontal="left" indent="1"/>
    </xf>
    <xf numFmtId="195" fontId="70" fillId="0" borderId="0" xfId="13" applyNumberFormat="1" applyFont="1"/>
    <xf numFmtId="195" fontId="70" fillId="0" borderId="4" xfId="13" applyNumberFormat="1" applyFont="1" applyBorder="1"/>
    <xf numFmtId="0" fontId="72" fillId="0" borderId="10" xfId="13" applyFont="1" applyBorder="1" applyAlignment="1">
      <alignment horizontal="left" indent="1"/>
    </xf>
    <xf numFmtId="204" fontId="51" fillId="0" borderId="10" xfId="13" applyNumberFormat="1" applyFont="1" applyBorder="1"/>
    <xf numFmtId="204" fontId="51" fillId="0" borderId="37" xfId="13" applyNumberFormat="1" applyFont="1" applyBorder="1"/>
    <xf numFmtId="204" fontId="51" fillId="0" borderId="0" xfId="13" applyNumberFormat="1" applyFont="1"/>
    <xf numFmtId="204" fontId="70" fillId="0" borderId="0" xfId="13" applyNumberFormat="1" applyFont="1"/>
    <xf numFmtId="204" fontId="51" fillId="0" borderId="4" xfId="13" applyNumberFormat="1" applyFont="1" applyBorder="1"/>
    <xf numFmtId="0" fontId="51" fillId="0" borderId="5" xfId="13" applyFont="1" applyBorder="1"/>
    <xf numFmtId="168" fontId="51" fillId="21" borderId="0" xfId="14" applyNumberFormat="1" applyFont="1" applyFill="1" applyBorder="1"/>
    <xf numFmtId="204" fontId="51" fillId="0" borderId="5" xfId="13" applyNumberFormat="1" applyFont="1" applyBorder="1"/>
    <xf numFmtId="168" fontId="51" fillId="21" borderId="4" xfId="14" applyNumberFormat="1" applyFont="1" applyFill="1" applyBorder="1"/>
    <xf numFmtId="168" fontId="51" fillId="16" borderId="2" xfId="14" applyNumberFormat="1" applyFont="1" applyFill="1" applyBorder="1"/>
    <xf numFmtId="168" fontId="51" fillId="0" borderId="7" xfId="14" applyNumberFormat="1" applyFont="1" applyBorder="1"/>
    <xf numFmtId="0" fontId="51" fillId="0" borderId="2" xfId="13" applyFont="1" applyBorder="1"/>
    <xf numFmtId="7" fontId="51" fillId="0" borderId="2" xfId="13" applyNumberFormat="1" applyFont="1" applyBorder="1"/>
    <xf numFmtId="0" fontId="71" fillId="0" borderId="0" xfId="18" applyFont="1"/>
    <xf numFmtId="0" fontId="70" fillId="0" borderId="0" xfId="13" applyFont="1" applyAlignment="1">
      <alignment horizontal="right"/>
    </xf>
    <xf numFmtId="0" fontId="51" fillId="0" borderId="0" xfId="18" applyFont="1"/>
    <xf numFmtId="208" fontId="51" fillId="21" borderId="0" xfId="19" applyNumberFormat="1" applyFont="1" applyFill="1" applyBorder="1"/>
    <xf numFmtId="37" fontId="51" fillId="21" borderId="0" xfId="16" applyNumberFormat="1" applyFont="1" applyFill="1"/>
    <xf numFmtId="37" fontId="51" fillId="21" borderId="2" xfId="16" applyNumberFormat="1" applyFont="1" applyFill="1" applyBorder="1"/>
    <xf numFmtId="0" fontId="51" fillId="0" borderId="0" xfId="18" applyFont="1" applyAlignment="1">
      <alignment horizontal="left" indent="1"/>
    </xf>
    <xf numFmtId="208" fontId="51" fillId="0" borderId="7" xfId="19" applyNumberFormat="1" applyFont="1" applyBorder="1"/>
    <xf numFmtId="37" fontId="51" fillId="0" borderId="0" xfId="16" applyNumberFormat="1" applyFont="1"/>
    <xf numFmtId="0" fontId="51" fillId="0" borderId="0" xfId="15" applyFont="1"/>
    <xf numFmtId="206" fontId="51" fillId="0" borderId="0" xfId="15" applyNumberFormat="1" applyFont="1"/>
    <xf numFmtId="207" fontId="51" fillId="16" borderId="0" xfId="15" applyNumberFormat="1" applyFont="1" applyFill="1"/>
    <xf numFmtId="207" fontId="51" fillId="21" borderId="0" xfId="15" applyNumberFormat="1" applyFont="1" applyFill="1"/>
    <xf numFmtId="0" fontId="51" fillId="0" borderId="10" xfId="15" applyFont="1" applyBorder="1"/>
    <xf numFmtId="0" fontId="51" fillId="0" borderId="10" xfId="13" applyFont="1" applyBorder="1"/>
    <xf numFmtId="206" fontId="51" fillId="0" borderId="10" xfId="15" applyNumberFormat="1" applyFont="1" applyBorder="1"/>
    <xf numFmtId="206" fontId="51" fillId="21" borderId="18" xfId="15" applyNumberFormat="1" applyFont="1" applyFill="1" applyBorder="1"/>
    <xf numFmtId="0" fontId="51" fillId="0" borderId="2" xfId="15" applyFont="1" applyBorder="1"/>
    <xf numFmtId="206" fontId="51" fillId="0" borderId="2" xfId="15" applyNumberFormat="1" applyFont="1" applyBorder="1"/>
    <xf numFmtId="206" fontId="51" fillId="21" borderId="2" xfId="15" applyNumberFormat="1" applyFont="1" applyFill="1" applyBorder="1"/>
    <xf numFmtId="0" fontId="65" fillId="0" borderId="0" xfId="15" applyFont="1"/>
    <xf numFmtId="168" fontId="51" fillId="5" borderId="0" xfId="14" applyNumberFormat="1" applyFont="1" applyFill="1"/>
    <xf numFmtId="9" fontId="51" fillId="0" borderId="0" xfId="20" applyFont="1"/>
    <xf numFmtId="203" fontId="65" fillId="0" borderId="0" xfId="13" applyNumberFormat="1" applyFont="1"/>
    <xf numFmtId="203" fontId="65" fillId="0" borderId="9" xfId="13" applyNumberFormat="1" applyFont="1" applyBorder="1"/>
    <xf numFmtId="195" fontId="51" fillId="21" borderId="0" xfId="13" applyNumberFormat="1" applyFont="1" applyFill="1"/>
    <xf numFmtId="195" fontId="51" fillId="21" borderId="7" xfId="13" applyNumberFormat="1" applyFont="1" applyFill="1" applyBorder="1"/>
    <xf numFmtId="195" fontId="51" fillId="5" borderId="0" xfId="13" applyNumberFormat="1" applyFont="1" applyFill="1"/>
    <xf numFmtId="205" fontId="51" fillId="0" borderId="0" xfId="21" applyFont="1" applyFill="1" applyBorder="1" applyAlignment="1" applyProtection="1"/>
    <xf numFmtId="205" fontId="51" fillId="21" borderId="0" xfId="21" applyFont="1" applyFill="1" applyBorder="1" applyAlignment="1" applyProtection="1"/>
    <xf numFmtId="204" fontId="65" fillId="0" borderId="0" xfId="21" applyNumberFormat="1" applyFont="1" applyFill="1" applyBorder="1" applyAlignment="1" applyProtection="1"/>
    <xf numFmtId="204" fontId="65" fillId="22" borderId="38" xfId="21" applyNumberFormat="1" applyFont="1" applyFill="1" applyBorder="1" applyAlignment="1" applyProtection="1"/>
    <xf numFmtId="203" fontId="52" fillId="0" borderId="0" xfId="13" applyNumberFormat="1" applyFont="1"/>
    <xf numFmtId="0" fontId="69" fillId="0" borderId="0" xfId="15" applyFont="1"/>
    <xf numFmtId="203" fontId="69" fillId="0" borderId="0" xfId="13" applyNumberFormat="1" applyFont="1"/>
    <xf numFmtId="0" fontId="52" fillId="0" borderId="0" xfId="15" applyFont="1"/>
    <xf numFmtId="198" fontId="51" fillId="0" borderId="0" xfId="13" applyNumberFormat="1" applyFont="1"/>
    <xf numFmtId="0" fontId="68" fillId="0" borderId="0" xfId="13" applyFont="1"/>
    <xf numFmtId="166" fontId="67" fillId="16" borderId="0" xfId="17" applyNumberFormat="1" applyFont="1" applyFill="1"/>
    <xf numFmtId="0" fontId="67" fillId="0" borderId="0" xfId="0" quotePrefix="1" applyFont="1"/>
    <xf numFmtId="0" fontId="66" fillId="0" borderId="0" xfId="13" applyFont="1" applyAlignment="1">
      <alignment horizontal="left" indent="1"/>
    </xf>
    <xf numFmtId="0" fontId="65" fillId="0" borderId="0" xfId="0" applyFont="1"/>
    <xf numFmtId="1" fontId="52" fillId="0" borderId="2" xfId="17" applyNumberFormat="1" applyFont="1" applyBorder="1"/>
    <xf numFmtId="203" fontId="52" fillId="0" borderId="2" xfId="13" applyNumberFormat="1" applyFont="1" applyBorder="1" applyAlignment="1">
      <alignment horizontal="center"/>
    </xf>
    <xf numFmtId="166" fontId="52" fillId="0" borderId="0" xfId="17" applyNumberFormat="1" applyFont="1" applyBorder="1"/>
    <xf numFmtId="166" fontId="52" fillId="0" borderId="0" xfId="17" applyNumberFormat="1" applyFont="1"/>
    <xf numFmtId="191" fontId="52" fillId="0" borderId="0" xfId="1" applyNumberFormat="1" applyFont="1"/>
    <xf numFmtId="191" fontId="51" fillId="0" borderId="7" xfId="13" applyNumberFormat="1" applyFont="1" applyBorder="1"/>
    <xf numFmtId="166" fontId="52" fillId="16" borderId="0" xfId="17" applyNumberFormat="1" applyFont="1" applyFill="1"/>
    <xf numFmtId="166" fontId="51" fillId="0" borderId="0" xfId="22" applyNumberFormat="1" applyFont="1"/>
    <xf numFmtId="166" fontId="52" fillId="0" borderId="0" xfId="22" applyNumberFormat="1" applyFont="1"/>
    <xf numFmtId="166" fontId="52" fillId="0" borderId="0" xfId="19" applyNumberFormat="1" applyFont="1"/>
    <xf numFmtId="191" fontId="52" fillId="0" borderId="0" xfId="23" applyNumberFormat="1" applyFont="1"/>
    <xf numFmtId="0" fontId="50" fillId="0" borderId="0" xfId="24" applyFont="1"/>
    <xf numFmtId="0" fontId="50" fillId="0" borderId="5" xfId="24" applyFont="1" applyBorder="1"/>
    <xf numFmtId="0" fontId="64" fillId="0" borderId="0" xfId="4" applyFont="1"/>
    <xf numFmtId="22" fontId="50" fillId="0" borderId="0" xfId="24" applyNumberFormat="1" applyFont="1"/>
    <xf numFmtId="202" fontId="50" fillId="0" borderId="0" xfId="24" applyNumberFormat="1" applyFont="1"/>
    <xf numFmtId="0" fontId="63" fillId="16" borderId="0" xfId="24" applyFont="1" applyFill="1" applyAlignment="1">
      <alignment horizontal="center"/>
    </xf>
    <xf numFmtId="0" fontId="50" fillId="0" borderId="2" xfId="24" applyFont="1" applyBorder="1"/>
    <xf numFmtId="0" fontId="49" fillId="0" borderId="0" xfId="25" applyFont="1"/>
    <xf numFmtId="198" fontId="59" fillId="0" borderId="0" xfId="26" applyNumberFormat="1" applyFont="1" applyBorder="1" applyAlignment="1">
      <alignment horizontal="right"/>
    </xf>
    <xf numFmtId="14" fontId="49" fillId="0" borderId="0" xfId="25" applyNumberFormat="1" applyFont="1" applyAlignment="1">
      <alignment horizontal="right"/>
    </xf>
    <xf numFmtId="168" fontId="59" fillId="0" borderId="0" xfId="3" applyNumberFormat="1" applyFont="1" applyFill="1" applyBorder="1" applyAlignment="1">
      <alignment horizontal="right"/>
    </xf>
    <xf numFmtId="0" fontId="49" fillId="0" borderId="0" xfId="25" applyFont="1" applyAlignment="1">
      <alignment horizontal="right"/>
    </xf>
    <xf numFmtId="166" fontId="59" fillId="0" borderId="0" xfId="3" applyNumberFormat="1" applyFont="1" applyBorder="1" applyAlignment="1">
      <alignment horizontal="right"/>
    </xf>
    <xf numFmtId="9" fontId="49" fillId="0" borderId="0" xfId="25" applyNumberFormat="1" applyFont="1" applyAlignment="1">
      <alignment horizontal="right"/>
    </xf>
    <xf numFmtId="168" fontId="59" fillId="0" borderId="0" xfId="3" applyNumberFormat="1" applyFont="1" applyBorder="1" applyAlignment="1">
      <alignment horizontal="right"/>
    </xf>
    <xf numFmtId="200" fontId="49" fillId="0" borderId="0" xfId="26" applyNumberFormat="1" applyFont="1" applyFill="1" applyBorder="1" applyAlignment="1">
      <alignment horizontal="right"/>
    </xf>
    <xf numFmtId="43" fontId="59" fillId="16" borderId="0" xfId="27" applyFont="1" applyFill="1" applyBorder="1" applyAlignment="1">
      <alignment horizontal="right"/>
    </xf>
    <xf numFmtId="0" fontId="61" fillId="0" borderId="0" xfId="25" applyFont="1" applyAlignment="1">
      <alignment horizontal="right"/>
    </xf>
    <xf numFmtId="191" fontId="59" fillId="16" borderId="0" xfId="28" applyNumberFormat="1" applyFont="1" applyFill="1" applyBorder="1" applyAlignment="1">
      <alignment horizontal="right"/>
    </xf>
    <xf numFmtId="0" fontId="49" fillId="0" borderId="2" xfId="25" applyFont="1" applyBorder="1"/>
    <xf numFmtId="200" fontId="60" fillId="0" borderId="0" xfId="26" applyNumberFormat="1" applyFont="1" applyFill="1" applyBorder="1" applyAlignment="1">
      <alignment horizontal="right"/>
    </xf>
    <xf numFmtId="201" fontId="59" fillId="0" borderId="0" xfId="25" applyNumberFormat="1" applyFont="1" applyAlignment="1">
      <alignment horizontal="right"/>
    </xf>
    <xf numFmtId="43" fontId="58" fillId="0" borderId="0" xfId="27" applyFont="1"/>
    <xf numFmtId="200" fontId="59" fillId="0" borderId="0" xfId="26" applyNumberFormat="1" applyFont="1" applyFill="1" applyBorder="1" applyAlignment="1">
      <alignment horizontal="right"/>
    </xf>
    <xf numFmtId="191" fontId="58" fillId="0" borderId="0" xfId="1" applyNumberFormat="1" applyFont="1"/>
    <xf numFmtId="0" fontId="58" fillId="0" borderId="0" xfId="24" applyFont="1"/>
    <xf numFmtId="166" fontId="58" fillId="0" borderId="0" xfId="3" applyNumberFormat="1" applyFont="1"/>
    <xf numFmtId="0" fontId="49" fillId="0" borderId="0" xfId="25" applyFont="1" applyAlignment="1">
      <alignment horizontal="left"/>
    </xf>
    <xf numFmtId="199" fontId="49" fillId="0" borderId="0" xfId="26" applyNumberFormat="1" applyFont="1" applyBorder="1" applyAlignment="1">
      <alignment horizontal="right"/>
    </xf>
    <xf numFmtId="198" fontId="58" fillId="0" borderId="0" xfId="27" applyNumberFormat="1" applyFont="1"/>
    <xf numFmtId="0" fontId="50" fillId="0" borderId="2" xfId="24" quotePrefix="1" applyFont="1" applyBorder="1"/>
    <xf numFmtId="0" fontId="58" fillId="0" borderId="2" xfId="24" quotePrefix="1" applyFont="1" applyBorder="1"/>
    <xf numFmtId="0" fontId="58" fillId="0" borderId="2" xfId="24" applyFont="1" applyBorder="1" applyAlignment="1">
      <alignment horizontal="right"/>
    </xf>
    <xf numFmtId="197" fontId="58" fillId="0" borderId="2" xfId="24" applyNumberFormat="1" applyFont="1" applyBorder="1"/>
    <xf numFmtId="191" fontId="50" fillId="0" borderId="0" xfId="28" applyNumberFormat="1" applyFont="1"/>
    <xf numFmtId="191" fontId="58" fillId="0" borderId="0" xfId="28" applyNumberFormat="1" applyFont="1"/>
    <xf numFmtId="0" fontId="50" fillId="0" borderId="1" xfId="24" applyFont="1" applyBorder="1"/>
    <xf numFmtId="191" fontId="50" fillId="0" borderId="2" xfId="28" applyNumberFormat="1" applyFont="1" applyBorder="1"/>
    <xf numFmtId="43" fontId="50" fillId="0" borderId="0" xfId="24" applyNumberFormat="1" applyFont="1"/>
    <xf numFmtId="191" fontId="50" fillId="0" borderId="0" xfId="24" applyNumberFormat="1" applyFont="1"/>
    <xf numFmtId="166" fontId="58" fillId="0" borderId="0" xfId="27" applyNumberFormat="1" applyFont="1"/>
    <xf numFmtId="0" fontId="50" fillId="0" borderId="0" xfId="24" quotePrefix="1" applyFont="1"/>
    <xf numFmtId="10" fontId="50" fillId="0" borderId="0" xfId="24" applyNumberFormat="1" applyFont="1"/>
    <xf numFmtId="191" fontId="58" fillId="0" borderId="39" xfId="28" applyNumberFormat="1" applyFont="1" applyBorder="1"/>
    <xf numFmtId="0" fontId="50" fillId="16" borderId="0" xfId="24" applyFont="1" applyFill="1"/>
    <xf numFmtId="166" fontId="50" fillId="0" borderId="0" xfId="27" applyNumberFormat="1" applyFont="1"/>
    <xf numFmtId="0" fontId="50" fillId="0" borderId="40" xfId="24" applyFont="1" applyBorder="1"/>
    <xf numFmtId="166" fontId="50" fillId="0" borderId="0" xfId="3" applyNumberFormat="1" applyFont="1"/>
    <xf numFmtId="11" fontId="50" fillId="0" borderId="0" xfId="24" applyNumberFormat="1" applyFont="1"/>
    <xf numFmtId="166" fontId="3" fillId="0" borderId="0" xfId="3" applyNumberFormat="1" applyFont="1"/>
    <xf numFmtId="191" fontId="3" fillId="0" borderId="0" xfId="1" applyNumberFormat="1" applyFont="1"/>
    <xf numFmtId="0" fontId="3" fillId="0" borderId="0" xfId="29" applyNumberFormat="1"/>
    <xf numFmtId="166" fontId="50" fillId="0" borderId="7" xfId="3" applyNumberFormat="1" applyFont="1" applyBorder="1"/>
    <xf numFmtId="191" fontId="3" fillId="0" borderId="7" xfId="1" applyNumberFormat="1" applyFont="1" applyBorder="1"/>
    <xf numFmtId="166" fontId="50" fillId="0" borderId="0" xfId="3" applyNumberFormat="1" applyFont="1" applyBorder="1"/>
    <xf numFmtId="191" fontId="3" fillId="0" borderId="0" xfId="1" applyNumberFormat="1" applyFont="1" applyBorder="1"/>
    <xf numFmtId="166" fontId="50" fillId="0" borderId="0" xfId="24" applyNumberFormat="1" applyFont="1"/>
    <xf numFmtId="43" fontId="50" fillId="0" borderId="0" xfId="3" applyFont="1"/>
    <xf numFmtId="191" fontId="50" fillId="0" borderId="0" xfId="1" applyNumberFormat="1" applyFont="1"/>
    <xf numFmtId="43" fontId="50" fillId="0" borderId="0" xfId="3" applyNumberFormat="1" applyFont="1"/>
    <xf numFmtId="9" fontId="50" fillId="0" borderId="0" xfId="28" applyFont="1"/>
    <xf numFmtId="168" fontId="50" fillId="0" borderId="0" xfId="3" applyNumberFormat="1" applyFont="1"/>
    <xf numFmtId="166" fontId="49" fillId="0" borderId="0" xfId="27" applyNumberFormat="1" applyFont="1"/>
    <xf numFmtId="191" fontId="57" fillId="0" borderId="0" xfId="1" applyNumberFormat="1" applyFont="1"/>
    <xf numFmtId="0" fontId="50" fillId="0" borderId="0" xfId="24" applyFont="1" applyBorder="1"/>
    <xf numFmtId="191" fontId="50" fillId="0" borderId="2" xfId="1" applyNumberFormat="1" applyFont="1" applyBorder="1"/>
    <xf numFmtId="191" fontId="50" fillId="0" borderId="7" xfId="1" applyNumberFormat="1" applyFont="1" applyBorder="1"/>
    <xf numFmtId="191" fontId="50" fillId="0" borderId="0" xfId="1" applyNumberFormat="1" applyFont="1" applyBorder="1"/>
    <xf numFmtId="166" fontId="50" fillId="0" borderId="0" xfId="3" quotePrefix="1" applyNumberFormat="1" applyFont="1"/>
    <xf numFmtId="191" fontId="49" fillId="0" borderId="0" xfId="1" applyNumberFormat="1" applyFont="1"/>
    <xf numFmtId="0" fontId="50" fillId="0" borderId="0" xfId="24" applyFont="1" applyFill="1"/>
    <xf numFmtId="166" fontId="50" fillId="0" borderId="7" xfId="24" applyNumberFormat="1" applyFont="1" applyBorder="1"/>
    <xf numFmtId="9" fontId="57" fillId="0" borderId="0" xfId="1" applyFont="1"/>
    <xf numFmtId="0" fontId="49" fillId="0" borderId="0" xfId="13" applyFont="1"/>
    <xf numFmtId="0" fontId="54" fillId="0" borderId="0" xfId="13" applyFont="1"/>
    <xf numFmtId="43" fontId="56" fillId="0" borderId="0" xfId="14" applyFont="1"/>
    <xf numFmtId="0" fontId="55" fillId="0" borderId="0" xfId="13" applyFont="1"/>
    <xf numFmtId="191" fontId="55" fillId="0" borderId="0" xfId="1" applyNumberFormat="1" applyFont="1"/>
    <xf numFmtId="9" fontId="55" fillId="0" borderId="0" xfId="1" applyFont="1"/>
    <xf numFmtId="9" fontId="55" fillId="0" borderId="0" xfId="13" applyNumberFormat="1" applyFont="1"/>
    <xf numFmtId="9" fontId="49" fillId="0" borderId="0" xfId="1" applyFont="1"/>
    <xf numFmtId="43" fontId="49" fillId="0" borderId="0" xfId="14" applyFont="1"/>
    <xf numFmtId="43" fontId="49" fillId="0" borderId="0" xfId="13" applyNumberFormat="1" applyFont="1"/>
    <xf numFmtId="0" fontId="49" fillId="0" borderId="0" xfId="0" applyFont="1"/>
    <xf numFmtId="0" fontId="54" fillId="0" borderId="0" xfId="13" applyFont="1" applyFill="1"/>
    <xf numFmtId="169" fontId="6" fillId="3" borderId="32" xfId="0" applyNumberFormat="1" applyFont="1" applyFill="1" applyBorder="1" applyAlignment="1">
      <alignment horizontal="right"/>
    </xf>
    <xf numFmtId="169" fontId="6" fillId="3" borderId="28" xfId="0" applyNumberFormat="1" applyFont="1" applyFill="1" applyBorder="1" applyAlignment="1">
      <alignment horizontal="right"/>
    </xf>
    <xf numFmtId="169" fontId="26" fillId="3" borderId="28" xfId="0" applyNumberFormat="1" applyFont="1" applyFill="1" applyBorder="1" applyAlignment="1">
      <alignment horizontal="right"/>
    </xf>
    <xf numFmtId="169" fontId="6" fillId="7" borderId="28" xfId="0" applyNumberFormat="1" applyFont="1" applyFill="1" applyBorder="1" applyAlignment="1">
      <alignment horizontal="right"/>
    </xf>
    <xf numFmtId="169" fontId="6" fillId="3" borderId="28" xfId="0" applyNumberFormat="1" applyFont="1" applyFill="1" applyBorder="1" applyAlignment="1">
      <alignment horizontal="left" indent="1"/>
    </xf>
    <xf numFmtId="169" fontId="53" fillId="3" borderId="28" xfId="2" applyNumberFormat="1" applyFont="1" applyFill="1" applyBorder="1" applyAlignment="1">
      <alignment horizontal="left"/>
    </xf>
    <xf numFmtId="166" fontId="26" fillId="7" borderId="0" xfId="0" applyNumberFormat="1" applyFont="1" applyFill="1" applyBorder="1" applyAlignment="1">
      <alignment horizontal="left"/>
    </xf>
    <xf numFmtId="166" fontId="6" fillId="3" borderId="0" xfId="0" applyNumberFormat="1" applyFont="1" applyFill="1" applyBorder="1" applyAlignment="1">
      <alignment horizontal="left"/>
    </xf>
    <xf numFmtId="166" fontId="6" fillId="3" borderId="0" xfId="0" applyNumberFormat="1" applyFont="1" applyFill="1" applyBorder="1" applyAlignment="1">
      <alignment horizontal="left" indent="4"/>
    </xf>
    <xf numFmtId="166" fontId="9" fillId="3" borderId="0" xfId="0" applyNumberFormat="1" applyFont="1" applyFill="1" applyBorder="1" applyAlignment="1">
      <alignment horizontal="left"/>
    </xf>
    <xf numFmtId="166" fontId="0" fillId="3" borderId="0" xfId="0" applyNumberFormat="1" applyFont="1" applyFill="1" applyBorder="1" applyAlignment="1">
      <alignment horizontal="left" indent="1"/>
    </xf>
    <xf numFmtId="166" fontId="0" fillId="3" borderId="0" xfId="0" applyNumberFormat="1" applyFont="1" applyFill="1" applyBorder="1" applyAlignment="1">
      <alignment horizontal="left" indent="4"/>
    </xf>
    <xf numFmtId="166" fontId="26" fillId="7" borderId="7" xfId="0" applyNumberFormat="1" applyFont="1" applyFill="1" applyBorder="1" applyAlignment="1">
      <alignment horizontal="left"/>
    </xf>
    <xf numFmtId="166" fontId="6" fillId="3" borderId="7" xfId="0" applyNumberFormat="1" applyFont="1" applyFill="1" applyBorder="1" applyAlignment="1">
      <alignment horizontal="left"/>
    </xf>
    <xf numFmtId="166" fontId="6" fillId="3" borderId="7" xfId="0" applyNumberFormat="1" applyFont="1" applyFill="1" applyBorder="1" applyAlignment="1">
      <alignment horizontal="left" indent="4"/>
    </xf>
    <xf numFmtId="166" fontId="0" fillId="3" borderId="27" xfId="0" applyNumberFormat="1" applyFill="1" applyBorder="1" applyAlignment="1">
      <alignment horizontal="left"/>
    </xf>
    <xf numFmtId="166" fontId="0" fillId="3" borderId="2" xfId="0" applyNumberFormat="1" applyFill="1" applyBorder="1" applyAlignment="1">
      <alignment horizontal="left"/>
    </xf>
    <xf numFmtId="166" fontId="0" fillId="7" borderId="2" xfId="0" applyNumberFormat="1" applyFont="1" applyFill="1" applyBorder="1" applyAlignment="1">
      <alignment horizontal="left"/>
    </xf>
    <xf numFmtId="166" fontId="0" fillId="3" borderId="2" xfId="0" applyNumberFormat="1" applyFont="1" applyFill="1" applyBorder="1" applyAlignment="1">
      <alignment horizontal="left" indent="1"/>
    </xf>
    <xf numFmtId="166" fontId="0" fillId="3" borderId="2" xfId="0" applyNumberFormat="1" applyFont="1" applyFill="1" applyBorder="1" applyAlignment="1">
      <alignment horizontal="left" indent="4"/>
    </xf>
    <xf numFmtId="169" fontId="0" fillId="21" borderId="2" xfId="0" applyNumberFormat="1" applyFont="1" applyFill="1" applyBorder="1" applyAlignment="1">
      <alignment horizontal="right"/>
    </xf>
    <xf numFmtId="169" fontId="0" fillId="21" borderId="27" xfId="0" applyNumberFormat="1" applyFont="1" applyFill="1" applyBorder="1" applyAlignment="1">
      <alignment horizontal="right"/>
    </xf>
    <xf numFmtId="169" fontId="0" fillId="3" borderId="2" xfId="0" applyNumberFormat="1" applyFont="1" applyFill="1" applyBorder="1" applyAlignment="1">
      <alignment horizontal="left" indent="1"/>
    </xf>
    <xf numFmtId="169" fontId="8" fillId="3" borderId="2" xfId="2" applyNumberFormat="1" applyFont="1" applyFill="1" applyBorder="1" applyAlignment="1">
      <alignment horizontal="left"/>
    </xf>
    <xf numFmtId="166" fontId="9" fillId="7" borderId="0" xfId="0" applyNumberFormat="1" applyFont="1" applyFill="1" applyBorder="1" applyAlignment="1">
      <alignment horizontal="left"/>
    </xf>
    <xf numFmtId="166" fontId="0" fillId="3" borderId="0" xfId="0" applyNumberFormat="1" applyFont="1" applyFill="1" applyBorder="1" applyAlignment="1">
      <alignment horizontal="left" indent="3"/>
    </xf>
    <xf numFmtId="166" fontId="9" fillId="7" borderId="2" xfId="0" applyNumberFormat="1" applyFont="1" applyFill="1" applyBorder="1" applyAlignment="1">
      <alignment horizontal="left"/>
    </xf>
    <xf numFmtId="166" fontId="0" fillId="3" borderId="2" xfId="0" applyNumberFormat="1" applyFont="1" applyFill="1" applyBorder="1" applyAlignment="1">
      <alignment horizontal="left" indent="3"/>
    </xf>
    <xf numFmtId="169" fontId="25" fillId="10" borderId="0" xfId="0" applyNumberFormat="1" applyFont="1" applyFill="1" applyBorder="1" applyAlignment="1">
      <alignment horizontal="left"/>
    </xf>
    <xf numFmtId="169" fontId="25" fillId="10" borderId="17" xfId="0" applyNumberFormat="1" applyFont="1" applyFill="1" applyBorder="1" applyAlignment="1">
      <alignment horizontal="left"/>
    </xf>
    <xf numFmtId="169" fontId="9" fillId="3" borderId="0" xfId="0" applyNumberFormat="1" applyFont="1" applyFill="1" applyBorder="1" applyAlignment="1">
      <alignment horizontal="right"/>
    </xf>
    <xf numFmtId="169" fontId="9" fillId="7" borderId="0" xfId="0" applyNumberFormat="1" applyFont="1" applyFill="1" applyBorder="1" applyAlignment="1">
      <alignment horizontal="right"/>
    </xf>
    <xf numFmtId="169" fontId="26" fillId="7" borderId="2" xfId="0" applyNumberFormat="1" applyFont="1" applyFill="1" applyBorder="1" applyAlignment="1">
      <alignment horizontal="right"/>
    </xf>
    <xf numFmtId="169" fontId="26" fillId="3" borderId="2" xfId="0" applyNumberFormat="1" applyFont="1" applyFill="1" applyBorder="1" applyAlignment="1">
      <alignment horizontal="right"/>
    </xf>
    <xf numFmtId="169" fontId="26" fillId="3" borderId="27" xfId="0" applyNumberFormat="1" applyFont="1" applyFill="1" applyBorder="1" applyAlignment="1">
      <alignment horizontal="right"/>
    </xf>
    <xf numFmtId="169" fontId="14" fillId="3" borderId="0" xfId="0" applyNumberFormat="1" applyFont="1" applyFill="1" applyBorder="1" applyAlignment="1">
      <alignment horizontal="right"/>
    </xf>
    <xf numFmtId="169" fontId="14" fillId="7" borderId="0" xfId="0" applyNumberFormat="1" applyFont="1" applyFill="1" applyBorder="1" applyAlignment="1">
      <alignment horizontal="right"/>
    </xf>
    <xf numFmtId="166" fontId="25" fillId="10" borderId="0" xfId="0" applyNumberFormat="1" applyFont="1" applyFill="1" applyBorder="1" applyAlignment="1">
      <alignment horizontal="left"/>
    </xf>
    <xf numFmtId="166" fontId="25" fillId="10" borderId="17" xfId="0" applyNumberFormat="1" applyFont="1" applyFill="1" applyBorder="1" applyAlignment="1">
      <alignment horizontal="left"/>
    </xf>
    <xf numFmtId="166" fontId="28" fillId="7" borderId="0" xfId="0" applyNumberFormat="1" applyFont="1" applyFill="1" applyBorder="1" applyAlignment="1">
      <alignment horizontal="left"/>
    </xf>
    <xf numFmtId="166" fontId="28" fillId="3" borderId="17" xfId="0" applyNumberFormat="1" applyFont="1" applyFill="1" applyBorder="1" applyAlignment="1">
      <alignment horizontal="left"/>
    </xf>
    <xf numFmtId="166" fontId="28" fillId="7" borderId="2" xfId="0" applyNumberFormat="1" applyFont="1" applyFill="1" applyBorder="1" applyAlignment="1">
      <alignment horizontal="left"/>
    </xf>
    <xf numFmtId="166" fontId="28" fillId="3" borderId="2" xfId="0" applyNumberFormat="1" applyFont="1" applyFill="1" applyBorder="1" applyAlignment="1">
      <alignment horizontal="left"/>
    </xf>
    <xf numFmtId="166" fontId="28" fillId="3" borderId="27" xfId="0" applyNumberFormat="1" applyFont="1" applyFill="1" applyBorder="1" applyAlignment="1">
      <alignment horizontal="left"/>
    </xf>
    <xf numFmtId="166" fontId="9" fillId="3" borderId="2" xfId="0" applyNumberFormat="1" applyFont="1" applyFill="1" applyBorder="1" applyAlignment="1">
      <alignment horizontal="left"/>
    </xf>
    <xf numFmtId="166" fontId="26" fillId="3" borderId="25" xfId="0" applyNumberFormat="1" applyFont="1" applyFill="1" applyBorder="1" applyAlignment="1">
      <alignment horizontal="left"/>
    </xf>
    <xf numFmtId="166" fontId="26" fillId="7" borderId="2" xfId="0" applyNumberFormat="1" applyFont="1" applyFill="1" applyBorder="1" applyAlignment="1">
      <alignment horizontal="left"/>
    </xf>
    <xf numFmtId="166" fontId="26" fillId="3" borderId="2" xfId="0" applyNumberFormat="1" applyFont="1" applyFill="1" applyBorder="1" applyAlignment="1">
      <alignment horizontal="left"/>
    </xf>
    <xf numFmtId="166" fontId="26" fillId="3" borderId="27" xfId="0" applyNumberFormat="1" applyFont="1" applyFill="1" applyBorder="1" applyAlignment="1">
      <alignment horizontal="left"/>
    </xf>
    <xf numFmtId="166" fontId="26" fillId="3" borderId="17" xfId="0" applyNumberFormat="1" applyFont="1" applyFill="1" applyBorder="1" applyAlignment="1">
      <alignment horizontal="left"/>
    </xf>
    <xf numFmtId="166" fontId="14" fillId="3" borderId="0" xfId="0" applyNumberFormat="1" applyFont="1" applyFill="1" applyBorder="1" applyAlignment="1">
      <alignment horizontal="left"/>
    </xf>
    <xf numFmtId="166" fontId="14" fillId="7" borderId="0" xfId="0" applyNumberFormat="1" applyFont="1" applyFill="1" applyBorder="1" applyAlignment="1">
      <alignment horizontal="left"/>
    </xf>
    <xf numFmtId="169" fontId="26" fillId="7" borderId="0" xfId="0" applyNumberFormat="1" applyFont="1" applyFill="1" applyBorder="1" applyAlignment="1">
      <alignment horizontal="left"/>
    </xf>
    <xf numFmtId="193" fontId="26" fillId="7" borderId="7" xfId="0" applyNumberFormat="1" applyFont="1" applyFill="1" applyBorder="1" applyAlignment="1">
      <alignment horizontal="right"/>
    </xf>
    <xf numFmtId="193" fontId="26" fillId="3" borderId="7" xfId="0" applyNumberFormat="1" applyFont="1" applyFill="1" applyBorder="1" applyAlignment="1">
      <alignment horizontal="right"/>
    </xf>
    <xf numFmtId="193" fontId="26" fillId="3" borderId="25" xfId="0" applyNumberFormat="1" applyFont="1" applyFill="1" applyBorder="1" applyAlignment="1">
      <alignment horizontal="right"/>
    </xf>
    <xf numFmtId="166" fontId="14" fillId="3" borderId="7" xfId="0" applyNumberFormat="1" applyFont="1" applyFill="1" applyBorder="1" applyAlignment="1">
      <alignment horizontal="left"/>
    </xf>
    <xf numFmtId="166" fontId="14" fillId="7" borderId="7" xfId="0" applyNumberFormat="1" applyFont="1" applyFill="1" applyBorder="1" applyAlignment="1">
      <alignment horizontal="left"/>
    </xf>
    <xf numFmtId="166" fontId="14" fillId="3" borderId="2" xfId="0" applyNumberFormat="1" applyFont="1" applyFill="1" applyBorder="1" applyAlignment="1">
      <alignment horizontal="left"/>
    </xf>
    <xf numFmtId="166" fontId="14" fillId="7" borderId="2" xfId="0" applyNumberFormat="1" applyFont="1" applyFill="1" applyBorder="1" applyAlignment="1">
      <alignment horizontal="left"/>
    </xf>
    <xf numFmtId="169" fontId="29" fillId="7" borderId="0" xfId="0" applyNumberFormat="1" applyFont="1" applyFill="1" applyBorder="1" applyAlignment="1">
      <alignment horizontal="left"/>
    </xf>
    <xf numFmtId="169" fontId="29" fillId="3" borderId="0" xfId="0" applyNumberFormat="1" applyFont="1" applyFill="1" applyBorder="1" applyAlignment="1">
      <alignment horizontal="left"/>
    </xf>
    <xf numFmtId="169" fontId="29" fillId="3" borderId="17" xfId="0" applyNumberFormat="1" applyFont="1" applyFill="1" applyBorder="1" applyAlignment="1">
      <alignment horizontal="left"/>
    </xf>
    <xf numFmtId="169" fontId="14" fillId="3" borderId="2" xfId="0" applyNumberFormat="1" applyFont="1" applyFill="1" applyBorder="1" applyAlignment="1">
      <alignment horizontal="right"/>
    </xf>
    <xf numFmtId="169" fontId="14" fillId="7" borderId="2" xfId="0" applyNumberFormat="1" applyFont="1" applyFill="1" applyBorder="1" applyAlignment="1">
      <alignment horizontal="right"/>
    </xf>
    <xf numFmtId="169" fontId="28" fillId="7" borderId="0" xfId="0" applyNumberFormat="1" applyFont="1" applyFill="1" applyBorder="1" applyAlignment="1">
      <alignment horizontal="left"/>
    </xf>
    <xf numFmtId="169" fontId="28" fillId="3" borderId="0" xfId="0" applyNumberFormat="1" applyFont="1" applyFill="1" applyBorder="1" applyAlignment="1">
      <alignment horizontal="left"/>
    </xf>
    <xf numFmtId="169" fontId="28" fillId="3" borderId="17" xfId="0" applyNumberFormat="1" applyFont="1" applyFill="1" applyBorder="1" applyAlignment="1">
      <alignment horizontal="left"/>
    </xf>
    <xf numFmtId="169" fontId="9" fillId="3" borderId="0" xfId="0" applyNumberFormat="1" applyFont="1" applyFill="1" applyBorder="1" applyAlignment="1">
      <alignment horizontal="left"/>
    </xf>
    <xf numFmtId="169" fontId="9" fillId="7" borderId="0" xfId="0" applyNumberFormat="1" applyFont="1" applyFill="1" applyBorder="1" applyAlignment="1">
      <alignment horizontal="left"/>
    </xf>
    <xf numFmtId="166" fontId="26" fillId="7" borderId="28" xfId="0" applyNumberFormat="1" applyFont="1" applyFill="1" applyBorder="1" applyAlignment="1">
      <alignment horizontal="left"/>
    </xf>
    <xf numFmtId="166" fontId="26" fillId="3" borderId="32" xfId="0" applyNumberFormat="1" applyFont="1" applyFill="1" applyBorder="1" applyAlignment="1">
      <alignment horizontal="left"/>
    </xf>
    <xf numFmtId="166" fontId="29" fillId="7" borderId="0" xfId="0" applyNumberFormat="1" applyFont="1" applyFill="1" applyBorder="1" applyAlignment="1">
      <alignment horizontal="left"/>
    </xf>
    <xf numFmtId="166" fontId="29" fillId="3" borderId="0" xfId="0" applyNumberFormat="1" applyFont="1" applyFill="1" applyBorder="1" applyAlignment="1">
      <alignment horizontal="left"/>
    </xf>
    <xf numFmtId="166" fontId="29" fillId="3" borderId="17" xfId="0" applyNumberFormat="1" applyFont="1" applyFill="1" applyBorder="1" applyAlignment="1">
      <alignment horizontal="left"/>
    </xf>
    <xf numFmtId="166" fontId="29" fillId="7" borderId="0" xfId="0" applyNumberFormat="1" applyFont="1" applyFill="1" applyBorder="1" applyAlignment="1">
      <alignment horizontal="right"/>
    </xf>
    <xf numFmtId="171" fontId="29" fillId="7" borderId="0" xfId="0" applyNumberFormat="1" applyFont="1" applyFill="1" applyBorder="1" applyAlignment="1">
      <alignment horizontal="left"/>
    </xf>
    <xf numFmtId="171" fontId="29" fillId="3" borderId="0" xfId="0" applyNumberFormat="1" applyFont="1" applyFill="1" applyBorder="1" applyAlignment="1">
      <alignment horizontal="left"/>
    </xf>
    <xf numFmtId="171" fontId="29" fillId="3" borderId="17" xfId="0" applyNumberFormat="1" applyFont="1" applyFill="1" applyBorder="1" applyAlignment="1">
      <alignment horizontal="left"/>
    </xf>
    <xf numFmtId="171" fontId="45" fillId="3" borderId="0" xfId="0" applyNumberFormat="1" applyFont="1" applyFill="1" applyBorder="1" applyAlignment="1">
      <alignment horizontal="left"/>
    </xf>
    <xf numFmtId="171" fontId="45" fillId="7" borderId="0" xfId="0" applyNumberFormat="1" applyFont="1" applyFill="1" applyBorder="1" applyAlignment="1">
      <alignment horizontal="left"/>
    </xf>
    <xf numFmtId="171" fontId="46" fillId="7" borderId="0" xfId="0" applyNumberFormat="1" applyFont="1" applyFill="1" applyBorder="1" applyAlignment="1">
      <alignment horizontal="left"/>
    </xf>
    <xf numFmtId="166" fontId="45" fillId="3" borderId="0" xfId="0" applyNumberFormat="1" applyFont="1" applyFill="1" applyBorder="1" applyAlignment="1">
      <alignment horizontal="left"/>
    </xf>
    <xf numFmtId="166" fontId="45" fillId="7" borderId="0" xfId="0" applyNumberFormat="1" applyFont="1" applyFill="1" applyBorder="1" applyAlignment="1">
      <alignment horizontal="left"/>
    </xf>
    <xf numFmtId="166" fontId="29" fillId="7" borderId="7" xfId="0" applyNumberFormat="1" applyFont="1" applyFill="1" applyBorder="1" applyAlignment="1">
      <alignment horizontal="left"/>
    </xf>
    <xf numFmtId="166" fontId="29" fillId="3" borderId="7" xfId="0" applyNumberFormat="1" applyFont="1" applyFill="1" applyBorder="1" applyAlignment="1">
      <alignment horizontal="left"/>
    </xf>
    <xf numFmtId="166" fontId="29" fillId="3" borderId="25" xfId="0" applyNumberFormat="1" applyFont="1" applyFill="1" applyBorder="1" applyAlignment="1">
      <alignment horizontal="left"/>
    </xf>
    <xf numFmtId="166" fontId="45" fillId="3" borderId="7" xfId="0" applyNumberFormat="1" applyFont="1" applyFill="1" applyBorder="1" applyAlignment="1">
      <alignment horizontal="left"/>
    </xf>
    <xf numFmtId="166" fontId="45" fillId="7" borderId="7" xfId="0" applyNumberFormat="1" applyFont="1" applyFill="1" applyBorder="1" applyAlignment="1">
      <alignment horizontal="left"/>
    </xf>
    <xf numFmtId="169" fontId="26" fillId="3" borderId="0" xfId="0" applyNumberFormat="1" applyFont="1" applyFill="1" applyBorder="1" applyAlignment="1">
      <alignment horizontal="left"/>
    </xf>
    <xf numFmtId="169" fontId="26" fillId="3" borderId="17" xfId="0" applyNumberFormat="1" applyFont="1" applyFill="1" applyBorder="1" applyAlignment="1">
      <alignment horizontal="left"/>
    </xf>
    <xf numFmtId="169" fontId="14" fillId="3" borderId="0" xfId="0" applyNumberFormat="1" applyFont="1" applyFill="1" applyBorder="1" applyAlignment="1">
      <alignment horizontal="left"/>
    </xf>
    <xf numFmtId="169" fontId="14" fillId="7" borderId="0" xfId="0" applyNumberFormat="1" applyFont="1" applyFill="1" applyBorder="1" applyAlignment="1">
      <alignment horizontal="left"/>
    </xf>
    <xf numFmtId="171" fontId="26" fillId="7" borderId="0" xfId="0" applyNumberFormat="1" applyFont="1" applyFill="1" applyBorder="1" applyAlignment="1">
      <alignment horizontal="left"/>
    </xf>
    <xf numFmtId="171" fontId="26" fillId="3" borderId="0" xfId="0" applyNumberFormat="1" applyFont="1" applyFill="1" applyBorder="1" applyAlignment="1">
      <alignment horizontal="left"/>
    </xf>
    <xf numFmtId="171" fontId="26" fillId="3" borderId="17" xfId="0" applyNumberFormat="1" applyFont="1" applyFill="1" applyBorder="1" applyAlignment="1">
      <alignment horizontal="left"/>
    </xf>
    <xf numFmtId="171" fontId="31" fillId="3" borderId="0" xfId="0" applyNumberFormat="1" applyFont="1" applyFill="1" applyBorder="1" applyAlignment="1">
      <alignment horizontal="left"/>
    </xf>
    <xf numFmtId="171" fontId="31" fillId="3" borderId="17" xfId="0" applyNumberFormat="1" applyFont="1" applyFill="1" applyBorder="1" applyAlignment="1">
      <alignment horizontal="left"/>
    </xf>
    <xf numFmtId="171" fontId="29" fillId="7" borderId="0" xfId="0" applyNumberFormat="1" applyFont="1" applyFill="1" applyBorder="1" applyAlignment="1">
      <alignment horizontal="right"/>
    </xf>
    <xf numFmtId="171" fontId="26" fillId="7" borderId="0" xfId="2" applyNumberFormat="1" applyFont="1" applyFill="1" applyBorder="1" applyAlignment="1">
      <alignment horizontal="left"/>
    </xf>
    <xf numFmtId="171" fontId="26" fillId="3" borderId="0" xfId="2" applyNumberFormat="1" applyFont="1" applyFill="1" applyBorder="1" applyAlignment="1">
      <alignment horizontal="left"/>
    </xf>
    <xf numFmtId="171" fontId="26" fillId="3" borderId="17" xfId="2" applyNumberFormat="1" applyFont="1" applyFill="1" applyBorder="1" applyAlignment="1">
      <alignment horizontal="left"/>
    </xf>
    <xf numFmtId="174" fontId="28" fillId="7" borderId="0" xfId="0" applyNumberFormat="1" applyFont="1" applyFill="1" applyBorder="1" applyAlignment="1">
      <alignment horizontal="left"/>
    </xf>
    <xf numFmtId="174" fontId="28" fillId="3" borderId="0" xfId="0" applyNumberFormat="1" applyFont="1" applyFill="1" applyBorder="1" applyAlignment="1">
      <alignment horizontal="left"/>
    </xf>
    <xf numFmtId="174" fontId="28" fillId="3" borderId="17" xfId="0" applyNumberFormat="1" applyFont="1" applyFill="1" applyBorder="1" applyAlignment="1">
      <alignment horizontal="left"/>
    </xf>
    <xf numFmtId="174" fontId="9" fillId="3" borderId="0" xfId="0" applyNumberFormat="1" applyFont="1" applyFill="1" applyBorder="1" applyAlignment="1">
      <alignment horizontal="left"/>
    </xf>
    <xf numFmtId="174" fontId="9" fillId="7" borderId="0" xfId="0" applyNumberFormat="1" applyFont="1" applyFill="1" applyBorder="1" applyAlignment="1">
      <alignment horizontal="left"/>
    </xf>
    <xf numFmtId="190" fontId="26" fillId="7" borderId="0" xfId="0" applyNumberFormat="1" applyFont="1" applyFill="1" applyBorder="1" applyAlignment="1">
      <alignment horizontal="left"/>
    </xf>
    <xf numFmtId="190" fontId="26" fillId="3" borderId="0" xfId="0" applyNumberFormat="1" applyFont="1" applyFill="1" applyBorder="1" applyAlignment="1">
      <alignment horizontal="left"/>
    </xf>
    <xf numFmtId="190" fontId="26" fillId="3" borderId="17" xfId="0" applyNumberFormat="1" applyFont="1" applyFill="1" applyBorder="1" applyAlignment="1">
      <alignment horizontal="left"/>
    </xf>
    <xf numFmtId="190" fontId="14" fillId="3" borderId="0" xfId="0" applyNumberFormat="1" applyFont="1" applyFill="1" applyBorder="1" applyAlignment="1">
      <alignment horizontal="left"/>
    </xf>
    <xf numFmtId="190" fontId="14" fillId="7" borderId="0" xfId="0" applyNumberFormat="1" applyFont="1" applyFill="1" applyBorder="1" applyAlignment="1">
      <alignment horizontal="left"/>
    </xf>
    <xf numFmtId="166" fontId="28" fillId="7" borderId="10" xfId="0" applyNumberFormat="1" applyFont="1" applyFill="1" applyBorder="1" applyAlignment="1">
      <alignment horizontal="left"/>
    </xf>
    <xf numFmtId="166" fontId="28" fillId="3" borderId="10" xfId="0" applyNumberFormat="1" applyFont="1" applyFill="1" applyBorder="1" applyAlignment="1">
      <alignment horizontal="left"/>
    </xf>
    <xf numFmtId="166" fontId="28" fillId="3" borderId="31" xfId="0" applyNumberFormat="1" applyFont="1" applyFill="1" applyBorder="1" applyAlignment="1">
      <alignment horizontal="left"/>
    </xf>
    <xf numFmtId="166" fontId="28" fillId="7" borderId="18" xfId="0" applyNumberFormat="1" applyFont="1" applyFill="1" applyBorder="1" applyAlignment="1">
      <alignment horizontal="left"/>
    </xf>
    <xf numFmtId="166" fontId="28" fillId="3" borderId="18" xfId="0" applyNumberFormat="1" applyFont="1" applyFill="1" applyBorder="1" applyAlignment="1">
      <alignment horizontal="left"/>
    </xf>
    <xf numFmtId="166" fontId="28" fillId="3" borderId="21" xfId="0" applyNumberFormat="1" applyFont="1" applyFill="1" applyBorder="1" applyAlignment="1">
      <alignment horizontal="left"/>
    </xf>
    <xf numFmtId="172" fontId="26" fillId="3" borderId="0" xfId="0" applyNumberFormat="1" applyFont="1" applyFill="1" applyBorder="1" applyAlignment="1">
      <alignment horizontal="left"/>
    </xf>
    <xf numFmtId="172" fontId="26" fillId="3" borderId="17" xfId="0" applyNumberFormat="1" applyFont="1" applyFill="1" applyBorder="1" applyAlignment="1">
      <alignment horizontal="left"/>
    </xf>
    <xf numFmtId="172" fontId="14" fillId="3" borderId="0" xfId="0" applyNumberFormat="1" applyFont="1" applyFill="1" applyBorder="1" applyAlignment="1">
      <alignment horizontal="left"/>
    </xf>
    <xf numFmtId="0" fontId="28" fillId="7" borderId="0" xfId="0" applyNumberFormat="1" applyFont="1" applyFill="1" applyBorder="1" applyAlignment="1">
      <alignment horizontal="left"/>
    </xf>
    <xf numFmtId="0" fontId="28" fillId="3" borderId="0" xfId="0" applyNumberFormat="1" applyFont="1" applyFill="1" applyBorder="1" applyAlignment="1">
      <alignment horizontal="left"/>
    </xf>
    <xf numFmtId="0" fontId="28" fillId="3" borderId="17" xfId="0" applyNumberFormat="1" applyFont="1" applyFill="1" applyBorder="1" applyAlignment="1">
      <alignment horizontal="left"/>
    </xf>
    <xf numFmtId="0" fontId="9" fillId="3" borderId="0" xfId="0" applyNumberFormat="1" applyFont="1" applyFill="1" applyBorder="1" applyAlignment="1">
      <alignment horizontal="left"/>
    </xf>
    <xf numFmtId="0" fontId="9" fillId="7" borderId="0" xfId="0" applyNumberFormat="1" applyFont="1" applyFill="1" applyBorder="1" applyAlignment="1">
      <alignment horizontal="left"/>
    </xf>
    <xf numFmtId="172" fontId="28" fillId="3" borderId="0" xfId="0" applyNumberFormat="1" applyFont="1" applyFill="1" applyBorder="1" applyAlignment="1">
      <alignment horizontal="left"/>
    </xf>
    <xf numFmtId="172" fontId="28" fillId="3" borderId="17" xfId="0" applyNumberFormat="1" applyFont="1" applyFill="1" applyBorder="1" applyAlignment="1">
      <alignment horizontal="left"/>
    </xf>
    <xf numFmtId="172" fontId="9" fillId="3" borderId="0" xfId="0" applyNumberFormat="1" applyFont="1" applyFill="1" applyBorder="1" applyAlignment="1">
      <alignment horizontal="left"/>
    </xf>
    <xf numFmtId="172" fontId="9" fillId="7" borderId="0" xfId="0" applyNumberFormat="1" applyFont="1" applyFill="1" applyBorder="1" applyAlignment="1">
      <alignment horizontal="right"/>
    </xf>
    <xf numFmtId="190" fontId="28" fillId="7" borderId="0" xfId="0" applyNumberFormat="1" applyFont="1" applyFill="1" applyBorder="1" applyAlignment="1">
      <alignment horizontal="left"/>
    </xf>
    <xf numFmtId="192" fontId="28" fillId="7" borderId="0" xfId="0" applyNumberFormat="1" applyFont="1" applyFill="1" applyBorder="1" applyAlignment="1">
      <alignment horizontal="left"/>
    </xf>
    <xf numFmtId="169" fontId="34" fillId="7" borderId="0" xfId="0" applyNumberFormat="1" applyFont="1" applyFill="1" applyBorder="1" applyAlignment="1">
      <alignment horizontal="left"/>
    </xf>
    <xf numFmtId="169" fontId="34" fillId="3" borderId="0" xfId="0" applyNumberFormat="1" applyFont="1" applyFill="1" applyBorder="1" applyAlignment="1">
      <alignment horizontal="left"/>
    </xf>
    <xf numFmtId="169" fontId="34" fillId="3" borderId="17" xfId="0" applyNumberFormat="1" applyFont="1" applyFill="1" applyBorder="1" applyAlignment="1">
      <alignment horizontal="left"/>
    </xf>
    <xf numFmtId="169" fontId="43" fillId="3" borderId="0" xfId="0" applyNumberFormat="1" applyFont="1" applyFill="1" applyBorder="1" applyAlignment="1">
      <alignment horizontal="left"/>
    </xf>
    <xf numFmtId="169" fontId="43" fillId="7" borderId="0" xfId="0" applyNumberFormat="1" applyFont="1" applyFill="1" applyBorder="1" applyAlignment="1">
      <alignment horizontal="left"/>
    </xf>
    <xf numFmtId="191" fontId="34" fillId="7" borderId="0" xfId="0" applyNumberFormat="1" applyFont="1" applyFill="1" applyBorder="1" applyAlignment="1">
      <alignment horizontal="left"/>
    </xf>
    <xf numFmtId="191" fontId="34" fillId="3" borderId="0" xfId="0" applyNumberFormat="1" applyFont="1" applyFill="1" applyBorder="1" applyAlignment="1">
      <alignment horizontal="left"/>
    </xf>
    <xf numFmtId="191" fontId="34" fillId="3" borderId="17" xfId="0" applyNumberFormat="1" applyFont="1" applyFill="1" applyBorder="1" applyAlignment="1">
      <alignment horizontal="left"/>
    </xf>
    <xf numFmtId="191" fontId="43" fillId="3" borderId="0" xfId="0" applyNumberFormat="1" applyFont="1" applyFill="1" applyBorder="1" applyAlignment="1">
      <alignment horizontal="left"/>
    </xf>
    <xf numFmtId="191" fontId="43" fillId="7" borderId="0" xfId="0" applyNumberFormat="1" applyFont="1" applyFill="1" applyBorder="1" applyAlignment="1">
      <alignment horizontal="left"/>
    </xf>
    <xf numFmtId="1" fontId="26" fillId="3" borderId="0" xfId="0" applyNumberFormat="1" applyFont="1" applyFill="1" applyBorder="1" applyAlignment="1">
      <alignment horizontal="left"/>
    </xf>
    <xf numFmtId="1" fontId="26" fillId="3" borderId="17" xfId="0" applyNumberFormat="1" applyFont="1" applyFill="1" applyBorder="1" applyAlignment="1">
      <alignment horizontal="left"/>
    </xf>
    <xf numFmtId="166" fontId="0" fillId="3" borderId="0" xfId="0" applyNumberFormat="1" applyFill="1" applyBorder="1" applyAlignment="1">
      <alignment horizontal="left"/>
    </xf>
    <xf numFmtId="166" fontId="0" fillId="3" borderId="0" xfId="0" applyNumberFormat="1" applyFont="1" applyFill="1" applyBorder="1" applyAlignment="1">
      <alignment horizontal="left"/>
    </xf>
    <xf numFmtId="166" fontId="0" fillId="3" borderId="2" xfId="0" applyNumberFormat="1" applyFont="1" applyFill="1" applyBorder="1" applyAlignment="1">
      <alignment horizontal="left"/>
    </xf>
    <xf numFmtId="0" fontId="0" fillId="21" borderId="0" xfId="0" applyFill="1"/>
    <xf numFmtId="191" fontId="0" fillId="21" borderId="0" xfId="1" applyNumberFormat="1" applyFont="1" applyFill="1"/>
    <xf numFmtId="166" fontId="0" fillId="21" borderId="0" xfId="3" applyNumberFormat="1" applyFont="1" applyFill="1"/>
    <xf numFmtId="196" fontId="52" fillId="21" borderId="0" xfId="13" applyNumberFormat="1" applyFont="1" applyFill="1"/>
    <xf numFmtId="195" fontId="51" fillId="21" borderId="4" xfId="13" applyNumberFormat="1" applyFont="1" applyFill="1" applyBorder="1"/>
    <xf numFmtId="191" fontId="49" fillId="21" borderId="0" xfId="1" applyNumberFormat="1" applyFont="1" applyFill="1"/>
    <xf numFmtId="166" fontId="50" fillId="21" borderId="0" xfId="3" applyNumberFormat="1" applyFont="1" applyFill="1"/>
    <xf numFmtId="0" fontId="50" fillId="21" borderId="0" xfId="24" applyFont="1" applyFill="1"/>
    <xf numFmtId="9" fontId="49" fillId="21" borderId="0" xfId="1" applyFont="1" applyFill="1"/>
    <xf numFmtId="166" fontId="6" fillId="3" borderId="17" xfId="0" applyNumberFormat="1" applyFont="1" applyFill="1" applyBorder="1" applyAlignment="1">
      <alignment horizontal="left"/>
    </xf>
    <xf numFmtId="166" fontId="0" fillId="3" borderId="17" xfId="0" applyNumberFormat="1" applyFill="1" applyBorder="1" applyAlignment="1">
      <alignment horizontal="left"/>
    </xf>
    <xf numFmtId="166" fontId="6" fillId="3" borderId="25" xfId="0" applyNumberFormat="1" applyFont="1" applyFill="1" applyBorder="1" applyAlignment="1">
      <alignment horizontal="left"/>
    </xf>
    <xf numFmtId="166" fontId="0" fillId="3" borderId="17" xfId="0" applyNumberFormat="1" applyFont="1" applyFill="1" applyBorder="1" applyAlignment="1">
      <alignment horizontal="left"/>
    </xf>
    <xf numFmtId="166" fontId="0" fillId="3" borderId="27" xfId="0" applyNumberFormat="1" applyFont="1" applyFill="1" applyBorder="1" applyAlignment="1">
      <alignment horizontal="left"/>
    </xf>
    <xf numFmtId="168" fontId="28" fillId="3" borderId="41" xfId="0" applyNumberFormat="1" applyFont="1" applyFill="1" applyBorder="1"/>
    <xf numFmtId="168" fontId="28" fillId="3" borderId="42" xfId="0" applyNumberFormat="1" applyFont="1" applyFill="1" applyBorder="1"/>
    <xf numFmtId="166" fontId="28" fillId="3" borderId="43" xfId="0" applyNumberFormat="1" applyFont="1" applyFill="1" applyBorder="1"/>
    <xf numFmtId="166" fontId="28" fillId="3" borderId="44" xfId="0" applyNumberFormat="1" applyFont="1" applyFill="1" applyBorder="1"/>
    <xf numFmtId="0" fontId="28" fillId="3" borderId="45" xfId="0" applyFont="1" applyFill="1" applyBorder="1"/>
    <xf numFmtId="0" fontId="28" fillId="3" borderId="46" xfId="0" applyFont="1" applyFill="1" applyBorder="1"/>
    <xf numFmtId="212" fontId="50" fillId="0" borderId="0" xfId="1" applyNumberFormat="1" applyFont="1"/>
    <xf numFmtId="0" fontId="11" fillId="6" borderId="0" xfId="10" applyFont="1" applyFill="1" applyAlignment="1">
      <alignment horizontal="center"/>
    </xf>
    <xf numFmtId="0" fontId="37" fillId="0" borderId="8" xfId="10" applyFont="1" applyBorder="1" applyAlignment="1">
      <alignment vertical="top" wrapText="1"/>
    </xf>
    <xf numFmtId="0" fontId="3" fillId="0" borderId="7" xfId="10" applyBorder="1" applyAlignment="1">
      <alignment vertical="top" wrapText="1"/>
    </xf>
    <xf numFmtId="0" fontId="3" fillId="0" borderId="6" xfId="10" applyBorder="1" applyAlignment="1">
      <alignment vertical="top" wrapText="1"/>
    </xf>
    <xf numFmtId="0" fontId="3" fillId="0" borderId="5" xfId="10" applyBorder="1" applyAlignment="1">
      <alignment vertical="top" wrapText="1"/>
    </xf>
    <xf numFmtId="0" fontId="3" fillId="0" borderId="0" xfId="10" applyAlignment="1">
      <alignment vertical="top" wrapText="1"/>
    </xf>
    <xf numFmtId="0" fontId="3" fillId="0" borderId="4" xfId="10" applyBorder="1" applyAlignment="1">
      <alignment vertical="top" wrapText="1"/>
    </xf>
    <xf numFmtId="0" fontId="3" fillId="0" borderId="3" xfId="10" applyBorder="1" applyAlignment="1">
      <alignment vertical="top" wrapText="1"/>
    </xf>
    <xf numFmtId="0" fontId="3" fillId="0" borderId="2" xfId="10" applyBorder="1" applyAlignment="1">
      <alignment vertical="top" wrapText="1"/>
    </xf>
    <xf numFmtId="0" fontId="3" fillId="0" borderId="1" xfId="10" applyBorder="1" applyAlignment="1">
      <alignment vertical="top" wrapText="1"/>
    </xf>
    <xf numFmtId="49" fontId="3" fillId="5" borderId="0" xfId="10" quotePrefix="1" applyNumberFormat="1" applyFont="1" applyFill="1" applyBorder="1" applyAlignment="1">
      <alignment horizontal="left" vertical="top" wrapText="1"/>
    </xf>
    <xf numFmtId="0" fontId="44" fillId="4" borderId="0" xfId="4" applyFont="1" applyFill="1" applyAlignment="1">
      <alignment vertical="center"/>
    </xf>
    <xf numFmtId="0" fontId="48" fillId="3" borderId="0" xfId="0" applyFont="1" applyFill="1" applyAlignment="1">
      <alignment horizontal="left" wrapText="1"/>
    </xf>
    <xf numFmtId="166" fontId="48" fillId="7" borderId="0" xfId="0" applyNumberFormat="1" applyFont="1" applyFill="1" applyBorder="1" applyAlignment="1">
      <alignment horizontal="left" wrapText="1"/>
    </xf>
  </cellXfs>
  <cellStyles count="30">
    <cellStyle name="Comma" xfId="3" builtinId="3"/>
    <cellStyle name="Comma 11 2" xfId="27" xr:uid="{00000000-0005-0000-0000-00001D000000}"/>
    <cellStyle name="Comma 11 2 2" xfId="14" xr:uid="{00000000-0005-0000-0000-000010000000}"/>
    <cellStyle name="Comma 2" xfId="26" xr:uid="{00000000-0005-0000-0000-00001C000000}"/>
    <cellStyle name="Comma 2 2" xfId="17" xr:uid="{00000000-0005-0000-0000-000013000000}"/>
    <cellStyle name="Comma 2 2 2" xfId="19" xr:uid="{00000000-0005-0000-0000-000015000000}"/>
    <cellStyle name="Comma 3" xfId="22" xr:uid="{00000000-0005-0000-0000-000018000000}"/>
    <cellStyle name="Comma 3 2" xfId="21" xr:uid="{00000000-0005-0000-0000-000017000000}"/>
    <cellStyle name="Currency" xfId="2" builtinId="4"/>
    <cellStyle name="Currency 2" xfId="6" xr:uid="{00000000-0005-0000-0000-000008000000}"/>
    <cellStyle name="Currency 2 2" xfId="12" xr:uid="{00000000-0005-0000-0000-00000E000000}"/>
    <cellStyle name="Good" xfId="9" builtinId="26"/>
    <cellStyle name="Hyperlink" xfId="4" builtinId="8"/>
    <cellStyle name="Hyperlink 2" xfId="7" xr:uid="{00000000-0005-0000-0000-000009000000}"/>
    <cellStyle name="Normal" xfId="0" builtinId="0"/>
    <cellStyle name="Normal 2" xfId="5" xr:uid="{00000000-0005-0000-0000-000007000000}"/>
    <cellStyle name="Normal 2 2" xfId="25" xr:uid="{00000000-0005-0000-0000-00001B000000}"/>
    <cellStyle name="Normal 3" xfId="10" xr:uid="{00000000-0005-0000-0000-00000C000000}"/>
    <cellStyle name="Normal 4" xfId="11" xr:uid="{00000000-0005-0000-0000-00000D000000}"/>
    <cellStyle name="Normal 5 2" xfId="24" xr:uid="{00000000-0005-0000-0000-00001A000000}"/>
    <cellStyle name="Normal 5 2 2" xfId="16" xr:uid="{00000000-0005-0000-0000-000012000000}"/>
    <cellStyle name="Normal_070904a Entry Valuations XRIT" xfId="15" xr:uid="{00000000-0005-0000-0000-000011000000}"/>
    <cellStyle name="Normal_GPX Model_v2" xfId="13" xr:uid="{00000000-0005-0000-0000-00000F000000}"/>
    <cellStyle name="Normal_GPX Model_v2 2" xfId="18" xr:uid="{00000000-0005-0000-0000-000014000000}"/>
    <cellStyle name="Normal_Main Writeup" xfId="29" xr:uid="{00000000-0005-0000-0000-00001F000000}"/>
    <cellStyle name="Percent" xfId="1" builtinId="5"/>
    <cellStyle name="Percent 2" xfId="8" xr:uid="{00000000-0005-0000-0000-00000A000000}"/>
    <cellStyle name="Percent 3" xfId="28" xr:uid="{00000000-0005-0000-0000-00001E000000}"/>
    <cellStyle name="Percent 3 2" xfId="20" xr:uid="{00000000-0005-0000-0000-000016000000}"/>
    <cellStyle name="Percent 4" xfId="23" xr:uid="{00000000-0005-0000-0000-000019000000}"/>
  </cellStyles>
  <dxfs count="181">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
      <font>
        <color rgb="FFF2F2F2"/>
      </font>
      <fill>
        <patternFill>
          <bgColor rgb="FFF2F2F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Structure" Target="richData/rdrichvaluestructure.xml"/><Relationship Id="rId23" Type="http://schemas.openxmlformats.org/officeDocument/2006/relationships/customXml" Target="../customXml/item3.xml"/><Relationship Id="rId10" Type="http://schemas.openxmlformats.org/officeDocument/2006/relationships/theme" Target="theme/theme1.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06/relationships/rdRichValue" Target="richData/rdrichvalue.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'Main Writeup'!$O$23</c:f>
              <c:strCache>
                <c:ptCount val="1"/>
                <c:pt idx="0">
                  <c:v>Revenues</c:v>
                </c:pt>
              </c:strCache>
            </c:strRef>
          </c:tx>
          <c:spPr>
            <a:ln w="28575" cap="rnd" cmpd="sng">
              <a:solidFill>
                <a:schemeClr val="accent1"/>
              </a:solidFill>
              <a:round/>
            </a:ln>
          </c:spPr>
          <c:marker>
            <c:symbol val="none"/>
          </c:marker>
          <c:cat>
            <c:strRef>
              <c:f>'Main Writeup'!$P$22:$AJ$22</c:f>
              <c:strCache>
                <c:ptCount val="20"/>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strCache>
            </c:strRef>
          </c:cat>
          <c:val>
            <c:numRef>
              <c:f>'Main Writeup'!$P$23:$AJ$23</c:f>
              <c:numCache>
                <c:formatCode>_(* #,##0.00_);_(* \(#,##0.00\);_(* "-"??_);_(@_)</c:formatCode>
                <c:ptCount val="21"/>
                <c:pt idx="0">
                  <c:v>195.75399999999999</c:v>
                </c:pt>
                <c:pt idx="1">
                  <c:v>228.16300000000001</c:v>
                </c:pt>
                <c:pt idx="2">
                  <c:v>266.44600000000003</c:v>
                </c:pt>
                <c:pt idx="3">
                  <c:v>339.93700000000001</c:v>
                </c:pt>
                <c:pt idx="4">
                  <c:v>661.03899999999999</c:v>
                </c:pt>
                <c:pt idx="5">
                  <c:v>692.279</c:v>
                </c:pt>
                <c:pt idx="6">
                  <c:v>633.12300000000005</c:v>
                </c:pt>
                <c:pt idx="7">
                  <c:v>624.46400000000006</c:v>
                </c:pt>
                <c:pt idx="8">
                  <c:v>803.25599999999997</c:v>
                </c:pt>
                <c:pt idx="9">
                  <c:v>772.702</c:v>
                </c:pt>
                <c:pt idx="10">
                  <c:v>538.98372365711271</c:v>
                </c:pt>
                <c:pt idx="11">
                  <c:v>617.68361720567964</c:v>
                </c:pt>
                <c:pt idx="12">
                  <c:v>663.59425358393037</c:v>
                </c:pt>
                <c:pt idx="13">
                  <c:v>718.03015319445012</c:v>
                </c:pt>
                <c:pt idx="14">
                  <c:v>772.32725548259725</c:v>
                </c:pt>
                <c:pt idx="15">
                  <c:v>828.80073229846198</c:v>
                </c:pt>
                <c:pt idx="16">
                  <c:v>852.83595353511726</c:v>
                </c:pt>
                <c:pt idx="17">
                  <c:v>877.56819618763564</c:v>
                </c:pt>
                <c:pt idx="18">
                  <c:v>903.01767387707696</c:v>
                </c:pt>
                <c:pt idx="19">
                  <c:v>929.20518641951207</c:v>
                </c:pt>
              </c:numCache>
            </c:numRef>
          </c:val>
          <c:smooth val="0"/>
          <c:extLst>
            <c:ext xmlns:c16="http://schemas.microsoft.com/office/drawing/2014/chart" uri="{C3380CC4-5D6E-409C-BE32-E72D297353CC}">
              <c16:uniqueId val="{00000000-83BF-4353-BE14-3744BE633988}"/>
            </c:ext>
          </c:extLst>
        </c:ser>
        <c:ser>
          <c:idx val="1"/>
          <c:order val="1"/>
          <c:tx>
            <c:v>ex-test</c:v>
          </c:tx>
          <c:spPr>
            <a:ln w="28575" cap="rnd" cmpd="sng">
              <a:solidFill>
                <a:schemeClr val="accent2"/>
              </a:solidFill>
              <a:round/>
            </a:ln>
          </c:spPr>
          <c:marker>
            <c:symbol val="none"/>
          </c:marker>
          <c:val>
            <c:numRef>
              <c:f>'Main Writeup'!$P$34:$AJ$34</c:f>
              <c:numCache>
                <c:formatCode>General</c:formatCode>
                <c:ptCount val="21"/>
                <c:pt idx="6" formatCode="_(* #,##0.0_);_(* \(#,##0.0\);_(* &quot;-&quot;??_);_(@_)">
                  <c:v>595.22300000000007</c:v>
                </c:pt>
                <c:pt idx="7" formatCode="_(* #,##0.0_);_(* \(#,##0.0\);_(* &quot;-&quot;??_);_(@_)">
                  <c:v>592.46400000000006</c:v>
                </c:pt>
                <c:pt idx="8" formatCode="_(* #,##0.0_);_(* \(#,##0.0\);_(* &quot;-&quot;??_);_(@_)">
                  <c:v>718.95600000000002</c:v>
                </c:pt>
                <c:pt idx="9" formatCode="_(* #,##0.0_);_(* \(#,##0.0\);_(* &quot;-&quot;??_);_(@_)">
                  <c:v>763.00199999999995</c:v>
                </c:pt>
                <c:pt idx="10" formatCode="_(* #,##0.0_);_(* \(#,##0.0\);_(* &quot;-&quot;??_);_(@_)">
                  <c:v>538.98372365711271</c:v>
                </c:pt>
                <c:pt idx="11" formatCode="_(* #,##0.0_);_(* \(#,##0.0\);_(* &quot;-&quot;??_);_(@_)">
                  <c:v>617.68361720567964</c:v>
                </c:pt>
              </c:numCache>
            </c:numRef>
          </c:val>
          <c:smooth val="0"/>
          <c:extLst>
            <c:ext xmlns:c16="http://schemas.microsoft.com/office/drawing/2014/chart" uri="{C3380CC4-5D6E-409C-BE32-E72D297353CC}">
              <c16:uniqueId val="{00000001-83BF-4353-BE14-3744BE633988}"/>
            </c:ext>
          </c:extLst>
        </c:ser>
        <c:dLbls>
          <c:showLegendKey val="0"/>
          <c:showVal val="0"/>
          <c:showCatName val="0"/>
          <c:showSerName val="0"/>
          <c:showPercent val="0"/>
          <c:showBubbleSize val="0"/>
        </c:dLbls>
        <c:smooth val="0"/>
        <c:axId val="6122357"/>
        <c:axId val="55101221"/>
      </c:lineChart>
      <c:catAx>
        <c:axId val="6122357"/>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55101221"/>
        <c:crosses val="autoZero"/>
        <c:auto val="1"/>
        <c:lblAlgn val="ctr"/>
        <c:lblOffset val="100"/>
        <c:noMultiLvlLbl val="0"/>
      </c:catAx>
      <c:valAx>
        <c:axId val="55101221"/>
        <c:scaling>
          <c:orientation val="minMax"/>
        </c:scaling>
        <c:delete val="0"/>
        <c:axPos val="l"/>
        <c:majorGridlines>
          <c:spPr>
            <a:ln w="9525" cap="flat" cmpd="sng">
              <a:solidFill>
                <a:schemeClr val="tx1">
                  <a:lumMod val="15000"/>
                  <a:lumOff val="85000"/>
                </a:schemeClr>
              </a:solidFill>
              <a:round/>
            </a:ln>
          </c:spPr>
        </c:majorGridlines>
        <c:numFmt formatCode="#,##0" sourceLinked="0"/>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6122357"/>
        <c:crosses val="autoZero"/>
        <c:crossBetween val="between"/>
      </c:valAx>
      <c:spPr>
        <a:noFill/>
        <a:ln w="9525">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0"/>
          <c:tx>
            <c:strRef>
              <c:f>'Main Writeup'!$O$24</c:f>
              <c:strCache>
                <c:ptCount val="1"/>
                <c:pt idx="0">
                  <c:v>EBITDA</c:v>
                </c:pt>
              </c:strCache>
            </c:strRef>
          </c:tx>
          <c:spPr>
            <a:ln w="28575" cap="rnd" cmpd="sng">
              <a:solidFill>
                <a:schemeClr val="accent2"/>
              </a:solidFill>
              <a:round/>
            </a:ln>
          </c:spPr>
          <c:marker>
            <c:symbol val="none"/>
          </c:marker>
          <c:cat>
            <c:strRef>
              <c:f>'Main Writeup'!$P$22:$AJ$22</c:f>
              <c:strCache>
                <c:ptCount val="20"/>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strCache>
            </c:strRef>
          </c:cat>
          <c:val>
            <c:numRef>
              <c:f>'Main Writeup'!$P$24:$AJ$24</c:f>
              <c:numCache>
                <c:formatCode>_(* #,##0.00_);_(* \(#,##0.00\);_(* "-"??_);_(@_)</c:formatCode>
                <c:ptCount val="21"/>
                <c:pt idx="0">
                  <c:v>30.144999999999978</c:v>
                </c:pt>
                <c:pt idx="1">
                  <c:v>39.325000000000017</c:v>
                </c:pt>
                <c:pt idx="2">
                  <c:v>40.881000000000036</c:v>
                </c:pt>
                <c:pt idx="3">
                  <c:v>54.748000000000005</c:v>
                </c:pt>
                <c:pt idx="4">
                  <c:v>116.34599999999999</c:v>
                </c:pt>
                <c:pt idx="5">
                  <c:v>126.38400000000003</c:v>
                </c:pt>
                <c:pt idx="6">
                  <c:v>101.21000000000006</c:v>
                </c:pt>
                <c:pt idx="7">
                  <c:v>77.999000000000038</c:v>
                </c:pt>
                <c:pt idx="8">
                  <c:v>101.79300000000006</c:v>
                </c:pt>
                <c:pt idx="9">
                  <c:v>88.935000000000016</c:v>
                </c:pt>
                <c:pt idx="10">
                  <c:v>28.190353146176221</c:v>
                </c:pt>
                <c:pt idx="11">
                  <c:v>51.453600532339379</c:v>
                </c:pt>
                <c:pt idx="12">
                  <c:v>67.712998795082825</c:v>
                </c:pt>
                <c:pt idx="13">
                  <c:v>61.457587310282641</c:v>
                </c:pt>
                <c:pt idx="14">
                  <c:v>74.668412366608592</c:v>
                </c:pt>
                <c:pt idx="15">
                  <c:v>88.639251090254362</c:v>
                </c:pt>
                <c:pt idx="16">
                  <c:v>91.209789371871722</c:v>
                </c:pt>
                <c:pt idx="17">
                  <c:v>93.854873263656003</c:v>
                </c:pt>
                <c:pt idx="18">
                  <c:v>96.576664588302009</c:v>
                </c:pt>
                <c:pt idx="19">
                  <c:v>99.377387861362763</c:v>
                </c:pt>
              </c:numCache>
            </c:numRef>
          </c:val>
          <c:smooth val="0"/>
          <c:extLst>
            <c:ext xmlns:c16="http://schemas.microsoft.com/office/drawing/2014/chart" uri="{C3380CC4-5D6E-409C-BE32-E72D297353CC}">
              <c16:uniqueId val="{00000000-EDBF-4595-8C7A-5D23F641972F}"/>
            </c:ext>
          </c:extLst>
        </c:ser>
        <c:ser>
          <c:idx val="0"/>
          <c:order val="1"/>
          <c:tx>
            <c:v>ex-test</c:v>
          </c:tx>
          <c:spPr>
            <a:ln w="28575" cap="rnd" cmpd="sng">
              <a:solidFill>
                <a:schemeClr val="accent1"/>
              </a:solidFill>
              <a:round/>
            </a:ln>
          </c:spPr>
          <c:marker>
            <c:symbol val="none"/>
          </c:marker>
          <c:val>
            <c:numRef>
              <c:f>'Main Writeup'!$P$35:$AJ$35</c:f>
              <c:numCache>
                <c:formatCode>General</c:formatCode>
                <c:ptCount val="21"/>
                <c:pt idx="6" formatCode="_(* #,##0.0_);_(* \(#,##0.0\);_(* &quot;-&quot;??_);_(@_)">
                  <c:v>96.965200000000067</c:v>
                </c:pt>
                <c:pt idx="7" formatCode="_(* #,##0.0_);_(* \(#,##0.0\);_(* &quot;-&quot;??_);_(@_)">
                  <c:v>74.415000000000035</c:v>
                </c:pt>
                <c:pt idx="8" formatCode="_(* #,##0.0_);_(* \(#,##0.0\);_(* &quot;-&quot;??_);_(@_)">
                  <c:v>91.07500000000006</c:v>
                </c:pt>
                <c:pt idx="9" formatCode="_(* #,##0.0_);_(* \(#,##0.0\);_(* &quot;-&quot;??_);_(@_)">
                  <c:v>88.935000000000016</c:v>
                </c:pt>
                <c:pt idx="10" formatCode="_(* #,##0.0_);_(* \(#,##0.0\);_(* &quot;-&quot;??_);_(@_)">
                  <c:v>28.190353146176221</c:v>
                </c:pt>
                <c:pt idx="11" formatCode="_(* #,##0.0_);_(* \(#,##0.0\);_(* &quot;-&quot;??_);_(@_)">
                  <c:v>51.453600532339379</c:v>
                </c:pt>
              </c:numCache>
            </c:numRef>
          </c:val>
          <c:smooth val="0"/>
          <c:extLst>
            <c:ext xmlns:c16="http://schemas.microsoft.com/office/drawing/2014/chart" uri="{C3380CC4-5D6E-409C-BE32-E72D297353CC}">
              <c16:uniqueId val="{00000001-EDBF-4595-8C7A-5D23F641972F}"/>
            </c:ext>
          </c:extLst>
        </c:ser>
        <c:dLbls>
          <c:showLegendKey val="0"/>
          <c:showVal val="0"/>
          <c:showCatName val="0"/>
          <c:showSerName val="0"/>
          <c:showPercent val="0"/>
          <c:showBubbleSize val="0"/>
        </c:dLbls>
        <c:smooth val="0"/>
        <c:axId val="26148945"/>
        <c:axId val="34013913"/>
      </c:lineChart>
      <c:catAx>
        <c:axId val="26148945"/>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4013913"/>
        <c:crosses val="autoZero"/>
        <c:auto val="1"/>
        <c:lblAlgn val="ctr"/>
        <c:lblOffset val="100"/>
        <c:noMultiLvlLbl val="0"/>
      </c:catAx>
      <c:valAx>
        <c:axId val="34013913"/>
        <c:scaling>
          <c:orientation val="minMax"/>
        </c:scaling>
        <c:delete val="0"/>
        <c:axPos val="l"/>
        <c:majorGridlines>
          <c:spPr>
            <a:ln w="9525" cap="flat" cmpd="sng">
              <a:solidFill>
                <a:schemeClr val="tx1">
                  <a:lumMod val="15000"/>
                  <a:lumOff val="85000"/>
                </a:schemeClr>
              </a:solidFill>
              <a:round/>
            </a:ln>
          </c:spPr>
        </c:majorGridlines>
        <c:numFmt formatCode="#,##0" sourceLinked="0"/>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26148945"/>
        <c:crosses val="autoZero"/>
        <c:crossBetween val="between"/>
      </c:valAx>
      <c:spPr>
        <a:noFill/>
        <a:ln w="9525">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1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Close</c:v>
          </c:tx>
          <c:spPr>
            <a:ln w="28575" cap="rnd" cmpd="sng">
              <a:solidFill>
                <a:schemeClr val="accent1"/>
              </a:solidFill>
              <a:round/>
            </a:ln>
          </c:spPr>
          <c:marker>
            <c:symbol val="none"/>
          </c:marker>
          <c:cat>
            <c:numLit>
              <c:formatCode>General</c:formatCode>
              <c:ptCount val="2569"/>
              <c:pt idx="0">
                <c:v>40134</c:v>
              </c:pt>
              <c:pt idx="1">
                <c:v>40135</c:v>
              </c:pt>
              <c:pt idx="2">
                <c:v>40136</c:v>
              </c:pt>
              <c:pt idx="3">
                <c:v>40137</c:v>
              </c:pt>
              <c:pt idx="4">
                <c:v>40140</c:v>
              </c:pt>
              <c:pt idx="5">
                <c:v>40141</c:v>
              </c:pt>
              <c:pt idx="6">
                <c:v>40142</c:v>
              </c:pt>
              <c:pt idx="7">
                <c:v>40144</c:v>
              </c:pt>
              <c:pt idx="8">
                <c:v>40147</c:v>
              </c:pt>
              <c:pt idx="9">
                <c:v>40148</c:v>
              </c:pt>
              <c:pt idx="10">
                <c:v>40149</c:v>
              </c:pt>
              <c:pt idx="11">
                <c:v>40150</c:v>
              </c:pt>
              <c:pt idx="12">
                <c:v>40151</c:v>
              </c:pt>
              <c:pt idx="13">
                <c:v>40154</c:v>
              </c:pt>
              <c:pt idx="14">
                <c:v>40155</c:v>
              </c:pt>
              <c:pt idx="15">
                <c:v>40156</c:v>
              </c:pt>
              <c:pt idx="16">
                <c:v>40157</c:v>
              </c:pt>
              <c:pt idx="17">
                <c:v>40158</c:v>
              </c:pt>
              <c:pt idx="18">
                <c:v>40161</c:v>
              </c:pt>
              <c:pt idx="19">
                <c:v>40162</c:v>
              </c:pt>
              <c:pt idx="20">
                <c:v>40163</c:v>
              </c:pt>
              <c:pt idx="21">
                <c:v>40164</c:v>
              </c:pt>
              <c:pt idx="22">
                <c:v>40165</c:v>
              </c:pt>
              <c:pt idx="23">
                <c:v>40168</c:v>
              </c:pt>
              <c:pt idx="24">
                <c:v>40169</c:v>
              </c:pt>
              <c:pt idx="25">
                <c:v>40170</c:v>
              </c:pt>
              <c:pt idx="26">
                <c:v>40171</c:v>
              </c:pt>
              <c:pt idx="27">
                <c:v>40175</c:v>
              </c:pt>
              <c:pt idx="28">
                <c:v>40176</c:v>
              </c:pt>
              <c:pt idx="29">
                <c:v>40177</c:v>
              </c:pt>
              <c:pt idx="30">
                <c:v>40178</c:v>
              </c:pt>
              <c:pt idx="31">
                <c:v>40182</c:v>
              </c:pt>
              <c:pt idx="32">
                <c:v>40183</c:v>
              </c:pt>
              <c:pt idx="33">
                <c:v>40184</c:v>
              </c:pt>
              <c:pt idx="34">
                <c:v>40185</c:v>
              </c:pt>
              <c:pt idx="35">
                <c:v>40186</c:v>
              </c:pt>
              <c:pt idx="36">
                <c:v>40189</c:v>
              </c:pt>
              <c:pt idx="37">
                <c:v>40190</c:v>
              </c:pt>
              <c:pt idx="38">
                <c:v>40191</c:v>
              </c:pt>
              <c:pt idx="39">
                <c:v>40192</c:v>
              </c:pt>
              <c:pt idx="40">
                <c:v>40193</c:v>
              </c:pt>
              <c:pt idx="41">
                <c:v>40197</c:v>
              </c:pt>
              <c:pt idx="42">
                <c:v>40198</c:v>
              </c:pt>
              <c:pt idx="43">
                <c:v>40199</c:v>
              </c:pt>
              <c:pt idx="44">
                <c:v>40200</c:v>
              </c:pt>
              <c:pt idx="45">
                <c:v>40203</c:v>
              </c:pt>
              <c:pt idx="46">
                <c:v>40204</c:v>
              </c:pt>
              <c:pt idx="47">
                <c:v>40205</c:v>
              </c:pt>
              <c:pt idx="48">
                <c:v>40206</c:v>
              </c:pt>
              <c:pt idx="49">
                <c:v>40207</c:v>
              </c:pt>
              <c:pt idx="50">
                <c:v>40210</c:v>
              </c:pt>
              <c:pt idx="51">
                <c:v>40211</c:v>
              </c:pt>
              <c:pt idx="52">
                <c:v>40212</c:v>
              </c:pt>
              <c:pt idx="53">
                <c:v>40213</c:v>
              </c:pt>
              <c:pt idx="54">
                <c:v>40214</c:v>
              </c:pt>
              <c:pt idx="55">
                <c:v>40217</c:v>
              </c:pt>
              <c:pt idx="56">
                <c:v>40218</c:v>
              </c:pt>
              <c:pt idx="57">
                <c:v>40219</c:v>
              </c:pt>
              <c:pt idx="58">
                <c:v>40220</c:v>
              </c:pt>
              <c:pt idx="59">
                <c:v>40221</c:v>
              </c:pt>
              <c:pt idx="60">
                <c:v>40225</c:v>
              </c:pt>
              <c:pt idx="61">
                <c:v>40226</c:v>
              </c:pt>
              <c:pt idx="62">
                <c:v>40227</c:v>
              </c:pt>
              <c:pt idx="63">
                <c:v>40228</c:v>
              </c:pt>
              <c:pt idx="64">
                <c:v>40231</c:v>
              </c:pt>
              <c:pt idx="65">
                <c:v>40232</c:v>
              </c:pt>
              <c:pt idx="66">
                <c:v>40233</c:v>
              </c:pt>
              <c:pt idx="67">
                <c:v>40234</c:v>
              </c:pt>
              <c:pt idx="68">
                <c:v>40235</c:v>
              </c:pt>
              <c:pt idx="69">
                <c:v>40238</c:v>
              </c:pt>
              <c:pt idx="70">
                <c:v>40239</c:v>
              </c:pt>
              <c:pt idx="71">
                <c:v>40240</c:v>
              </c:pt>
              <c:pt idx="72">
                <c:v>40241</c:v>
              </c:pt>
              <c:pt idx="73">
                <c:v>40242</c:v>
              </c:pt>
              <c:pt idx="74">
                <c:v>40245</c:v>
              </c:pt>
              <c:pt idx="75">
                <c:v>40246</c:v>
              </c:pt>
              <c:pt idx="76">
                <c:v>40247</c:v>
              </c:pt>
              <c:pt idx="77">
                <c:v>40248</c:v>
              </c:pt>
              <c:pt idx="78">
                <c:v>40249</c:v>
              </c:pt>
              <c:pt idx="79">
                <c:v>40252</c:v>
              </c:pt>
              <c:pt idx="80">
                <c:v>40253</c:v>
              </c:pt>
              <c:pt idx="81">
                <c:v>40254</c:v>
              </c:pt>
              <c:pt idx="82">
                <c:v>40255</c:v>
              </c:pt>
              <c:pt idx="83">
                <c:v>40256</c:v>
              </c:pt>
              <c:pt idx="84">
                <c:v>40259</c:v>
              </c:pt>
              <c:pt idx="85">
                <c:v>40260</c:v>
              </c:pt>
              <c:pt idx="86">
                <c:v>40261</c:v>
              </c:pt>
              <c:pt idx="87">
                <c:v>40262</c:v>
              </c:pt>
              <c:pt idx="88">
                <c:v>40263</c:v>
              </c:pt>
              <c:pt idx="89">
                <c:v>40266</c:v>
              </c:pt>
              <c:pt idx="90">
                <c:v>40267</c:v>
              </c:pt>
              <c:pt idx="91">
                <c:v>40268</c:v>
              </c:pt>
              <c:pt idx="92">
                <c:v>40269</c:v>
              </c:pt>
              <c:pt idx="93">
                <c:v>40273</c:v>
              </c:pt>
              <c:pt idx="94">
                <c:v>40274</c:v>
              </c:pt>
              <c:pt idx="95">
                <c:v>40275</c:v>
              </c:pt>
              <c:pt idx="96">
                <c:v>40276</c:v>
              </c:pt>
              <c:pt idx="97">
                <c:v>40277</c:v>
              </c:pt>
              <c:pt idx="98">
                <c:v>40280</c:v>
              </c:pt>
              <c:pt idx="99">
                <c:v>40281</c:v>
              </c:pt>
              <c:pt idx="100">
                <c:v>40282</c:v>
              </c:pt>
              <c:pt idx="101">
                <c:v>40283</c:v>
              </c:pt>
              <c:pt idx="102">
                <c:v>40284</c:v>
              </c:pt>
              <c:pt idx="103">
                <c:v>40287</c:v>
              </c:pt>
              <c:pt idx="104">
                <c:v>40288</c:v>
              </c:pt>
              <c:pt idx="105">
                <c:v>40289</c:v>
              </c:pt>
              <c:pt idx="106">
                <c:v>40290</c:v>
              </c:pt>
              <c:pt idx="107">
                <c:v>40291</c:v>
              </c:pt>
              <c:pt idx="108">
                <c:v>40294</c:v>
              </c:pt>
              <c:pt idx="109">
                <c:v>40295</c:v>
              </c:pt>
              <c:pt idx="110">
                <c:v>40296</c:v>
              </c:pt>
              <c:pt idx="111">
                <c:v>40297</c:v>
              </c:pt>
              <c:pt idx="112">
                <c:v>40298</c:v>
              </c:pt>
              <c:pt idx="113">
                <c:v>40301</c:v>
              </c:pt>
              <c:pt idx="114">
                <c:v>40302</c:v>
              </c:pt>
              <c:pt idx="115">
                <c:v>40303</c:v>
              </c:pt>
              <c:pt idx="116">
                <c:v>40304</c:v>
              </c:pt>
              <c:pt idx="117">
                <c:v>40305</c:v>
              </c:pt>
              <c:pt idx="118">
                <c:v>40308</c:v>
              </c:pt>
              <c:pt idx="119">
                <c:v>40309</c:v>
              </c:pt>
              <c:pt idx="120">
                <c:v>40310</c:v>
              </c:pt>
              <c:pt idx="121">
                <c:v>40311</c:v>
              </c:pt>
              <c:pt idx="122">
                <c:v>40312</c:v>
              </c:pt>
              <c:pt idx="123">
                <c:v>40315</c:v>
              </c:pt>
              <c:pt idx="124">
                <c:v>40316</c:v>
              </c:pt>
              <c:pt idx="125">
                <c:v>40317</c:v>
              </c:pt>
              <c:pt idx="126">
                <c:v>40318</c:v>
              </c:pt>
              <c:pt idx="127">
                <c:v>40319</c:v>
              </c:pt>
              <c:pt idx="128">
                <c:v>40322</c:v>
              </c:pt>
              <c:pt idx="129">
                <c:v>40323</c:v>
              </c:pt>
              <c:pt idx="130">
                <c:v>40324</c:v>
              </c:pt>
              <c:pt idx="131">
                <c:v>40325</c:v>
              </c:pt>
              <c:pt idx="132">
                <c:v>40326</c:v>
              </c:pt>
              <c:pt idx="133">
                <c:v>40330</c:v>
              </c:pt>
              <c:pt idx="134">
                <c:v>40331</c:v>
              </c:pt>
              <c:pt idx="135">
                <c:v>40332</c:v>
              </c:pt>
              <c:pt idx="136">
                <c:v>40333</c:v>
              </c:pt>
              <c:pt idx="137">
                <c:v>40336</c:v>
              </c:pt>
              <c:pt idx="138">
                <c:v>40337</c:v>
              </c:pt>
              <c:pt idx="139">
                <c:v>40338</c:v>
              </c:pt>
              <c:pt idx="140">
                <c:v>40339</c:v>
              </c:pt>
              <c:pt idx="141">
                <c:v>40340</c:v>
              </c:pt>
              <c:pt idx="142">
                <c:v>40343</c:v>
              </c:pt>
              <c:pt idx="143">
                <c:v>40344</c:v>
              </c:pt>
              <c:pt idx="144">
                <c:v>40345</c:v>
              </c:pt>
              <c:pt idx="145">
                <c:v>40346</c:v>
              </c:pt>
              <c:pt idx="146">
                <c:v>40347</c:v>
              </c:pt>
              <c:pt idx="147">
                <c:v>40350</c:v>
              </c:pt>
              <c:pt idx="148">
                <c:v>40351</c:v>
              </c:pt>
              <c:pt idx="149">
                <c:v>40352</c:v>
              </c:pt>
              <c:pt idx="150">
                <c:v>40353</c:v>
              </c:pt>
              <c:pt idx="151">
                <c:v>40354</c:v>
              </c:pt>
              <c:pt idx="152">
                <c:v>40357</c:v>
              </c:pt>
              <c:pt idx="153">
                <c:v>40358</c:v>
              </c:pt>
              <c:pt idx="154">
                <c:v>40359</c:v>
              </c:pt>
              <c:pt idx="155">
                <c:v>40360</c:v>
              </c:pt>
              <c:pt idx="156">
                <c:v>40361</c:v>
              </c:pt>
              <c:pt idx="157">
                <c:v>40365</c:v>
              </c:pt>
              <c:pt idx="158">
                <c:v>40366</c:v>
              </c:pt>
              <c:pt idx="159">
                <c:v>40367</c:v>
              </c:pt>
              <c:pt idx="160">
                <c:v>40368</c:v>
              </c:pt>
              <c:pt idx="161">
                <c:v>40371</c:v>
              </c:pt>
              <c:pt idx="162">
                <c:v>40372</c:v>
              </c:pt>
              <c:pt idx="163">
                <c:v>40373</c:v>
              </c:pt>
              <c:pt idx="164">
                <c:v>40374</c:v>
              </c:pt>
              <c:pt idx="165">
                <c:v>40375</c:v>
              </c:pt>
              <c:pt idx="166">
                <c:v>40378</c:v>
              </c:pt>
              <c:pt idx="167">
                <c:v>40379</c:v>
              </c:pt>
              <c:pt idx="168">
                <c:v>40380</c:v>
              </c:pt>
              <c:pt idx="169">
                <c:v>40381</c:v>
              </c:pt>
              <c:pt idx="170">
                <c:v>40382</c:v>
              </c:pt>
              <c:pt idx="171">
                <c:v>40385</c:v>
              </c:pt>
              <c:pt idx="172">
                <c:v>40386</c:v>
              </c:pt>
              <c:pt idx="173">
                <c:v>40387</c:v>
              </c:pt>
              <c:pt idx="174">
                <c:v>40388</c:v>
              </c:pt>
              <c:pt idx="175">
                <c:v>40389</c:v>
              </c:pt>
              <c:pt idx="176">
                <c:v>40392</c:v>
              </c:pt>
              <c:pt idx="177">
                <c:v>40393</c:v>
              </c:pt>
              <c:pt idx="178">
                <c:v>40394</c:v>
              </c:pt>
              <c:pt idx="179">
                <c:v>40395</c:v>
              </c:pt>
              <c:pt idx="180">
                <c:v>40396</c:v>
              </c:pt>
              <c:pt idx="181">
                <c:v>40399</c:v>
              </c:pt>
              <c:pt idx="182">
                <c:v>40400</c:v>
              </c:pt>
              <c:pt idx="183">
                <c:v>40401</c:v>
              </c:pt>
              <c:pt idx="184">
                <c:v>40402</c:v>
              </c:pt>
              <c:pt idx="185">
                <c:v>40403</c:v>
              </c:pt>
              <c:pt idx="186">
                <c:v>40406</c:v>
              </c:pt>
              <c:pt idx="187">
                <c:v>40407</c:v>
              </c:pt>
              <c:pt idx="188">
                <c:v>40408</c:v>
              </c:pt>
              <c:pt idx="189">
                <c:v>40409</c:v>
              </c:pt>
              <c:pt idx="190">
                <c:v>40410</c:v>
              </c:pt>
              <c:pt idx="191">
                <c:v>40413</c:v>
              </c:pt>
              <c:pt idx="192">
                <c:v>40414</c:v>
              </c:pt>
              <c:pt idx="193">
                <c:v>40415</c:v>
              </c:pt>
              <c:pt idx="194">
                <c:v>40416</c:v>
              </c:pt>
              <c:pt idx="195">
                <c:v>40417</c:v>
              </c:pt>
              <c:pt idx="196">
                <c:v>40420</c:v>
              </c:pt>
              <c:pt idx="197">
                <c:v>40421</c:v>
              </c:pt>
              <c:pt idx="198">
                <c:v>40422</c:v>
              </c:pt>
              <c:pt idx="199">
                <c:v>40423</c:v>
              </c:pt>
              <c:pt idx="200">
                <c:v>40424</c:v>
              </c:pt>
              <c:pt idx="201">
                <c:v>40428</c:v>
              </c:pt>
              <c:pt idx="202">
                <c:v>40429</c:v>
              </c:pt>
              <c:pt idx="203">
                <c:v>40430</c:v>
              </c:pt>
              <c:pt idx="204">
                <c:v>40431</c:v>
              </c:pt>
              <c:pt idx="205">
                <c:v>40434</c:v>
              </c:pt>
              <c:pt idx="206">
                <c:v>40435</c:v>
              </c:pt>
              <c:pt idx="207">
                <c:v>40436</c:v>
              </c:pt>
              <c:pt idx="208">
                <c:v>40437</c:v>
              </c:pt>
              <c:pt idx="209">
                <c:v>40438</c:v>
              </c:pt>
              <c:pt idx="210">
                <c:v>40441</c:v>
              </c:pt>
              <c:pt idx="211">
                <c:v>40442</c:v>
              </c:pt>
              <c:pt idx="212">
                <c:v>40443</c:v>
              </c:pt>
              <c:pt idx="213">
                <c:v>40444</c:v>
              </c:pt>
              <c:pt idx="214">
                <c:v>40445</c:v>
              </c:pt>
              <c:pt idx="215">
                <c:v>40448</c:v>
              </c:pt>
              <c:pt idx="216">
                <c:v>40449</c:v>
              </c:pt>
              <c:pt idx="217">
                <c:v>40450</c:v>
              </c:pt>
              <c:pt idx="218">
                <c:v>40451</c:v>
              </c:pt>
              <c:pt idx="219">
                <c:v>40452</c:v>
              </c:pt>
              <c:pt idx="220">
                <c:v>40455</c:v>
              </c:pt>
              <c:pt idx="221">
                <c:v>40456</c:v>
              </c:pt>
              <c:pt idx="222">
                <c:v>40457</c:v>
              </c:pt>
              <c:pt idx="223">
                <c:v>40458</c:v>
              </c:pt>
              <c:pt idx="224">
                <c:v>40459</c:v>
              </c:pt>
              <c:pt idx="225">
                <c:v>40462</c:v>
              </c:pt>
              <c:pt idx="226">
                <c:v>40463</c:v>
              </c:pt>
              <c:pt idx="227">
                <c:v>40464</c:v>
              </c:pt>
              <c:pt idx="228">
                <c:v>40465</c:v>
              </c:pt>
              <c:pt idx="229">
                <c:v>40466</c:v>
              </c:pt>
              <c:pt idx="230">
                <c:v>40469</c:v>
              </c:pt>
              <c:pt idx="231">
                <c:v>40470</c:v>
              </c:pt>
              <c:pt idx="232">
                <c:v>40471</c:v>
              </c:pt>
              <c:pt idx="233">
                <c:v>40472</c:v>
              </c:pt>
              <c:pt idx="234">
                <c:v>40473</c:v>
              </c:pt>
              <c:pt idx="235">
                <c:v>40476</c:v>
              </c:pt>
              <c:pt idx="236">
                <c:v>40477</c:v>
              </c:pt>
              <c:pt idx="237">
                <c:v>40478</c:v>
              </c:pt>
              <c:pt idx="238">
                <c:v>40479</c:v>
              </c:pt>
              <c:pt idx="239">
                <c:v>40480</c:v>
              </c:pt>
              <c:pt idx="240">
                <c:v>40483</c:v>
              </c:pt>
              <c:pt idx="241">
                <c:v>40484</c:v>
              </c:pt>
              <c:pt idx="242">
                <c:v>40485</c:v>
              </c:pt>
              <c:pt idx="243">
                <c:v>40486</c:v>
              </c:pt>
              <c:pt idx="244">
                <c:v>40487</c:v>
              </c:pt>
              <c:pt idx="245">
                <c:v>40490</c:v>
              </c:pt>
              <c:pt idx="246">
                <c:v>40491</c:v>
              </c:pt>
              <c:pt idx="247">
                <c:v>40492</c:v>
              </c:pt>
              <c:pt idx="248">
                <c:v>40493</c:v>
              </c:pt>
              <c:pt idx="249">
                <c:v>40494</c:v>
              </c:pt>
              <c:pt idx="250">
                <c:v>40497</c:v>
              </c:pt>
              <c:pt idx="251">
                <c:v>40498</c:v>
              </c:pt>
              <c:pt idx="252">
                <c:v>40499</c:v>
              </c:pt>
              <c:pt idx="253">
                <c:v>40500</c:v>
              </c:pt>
              <c:pt idx="254">
                <c:v>40501</c:v>
              </c:pt>
              <c:pt idx="255">
                <c:v>40504</c:v>
              </c:pt>
              <c:pt idx="256">
                <c:v>40505</c:v>
              </c:pt>
              <c:pt idx="257">
                <c:v>40506</c:v>
              </c:pt>
              <c:pt idx="258">
                <c:v>40508</c:v>
              </c:pt>
              <c:pt idx="259">
                <c:v>40511</c:v>
              </c:pt>
              <c:pt idx="260">
                <c:v>40512</c:v>
              </c:pt>
              <c:pt idx="261">
                <c:v>40513</c:v>
              </c:pt>
              <c:pt idx="262">
                <c:v>40514</c:v>
              </c:pt>
              <c:pt idx="263">
                <c:v>40515</c:v>
              </c:pt>
              <c:pt idx="264">
                <c:v>40518</c:v>
              </c:pt>
              <c:pt idx="265">
                <c:v>40519</c:v>
              </c:pt>
              <c:pt idx="266">
                <c:v>40520</c:v>
              </c:pt>
              <c:pt idx="267">
                <c:v>40521</c:v>
              </c:pt>
              <c:pt idx="268">
                <c:v>40522</c:v>
              </c:pt>
              <c:pt idx="269">
                <c:v>40525</c:v>
              </c:pt>
              <c:pt idx="270">
                <c:v>40526</c:v>
              </c:pt>
              <c:pt idx="271">
                <c:v>40527</c:v>
              </c:pt>
              <c:pt idx="272">
                <c:v>40528</c:v>
              </c:pt>
              <c:pt idx="273">
                <c:v>40529</c:v>
              </c:pt>
              <c:pt idx="274">
                <c:v>40532</c:v>
              </c:pt>
              <c:pt idx="275">
                <c:v>40533</c:v>
              </c:pt>
              <c:pt idx="276">
                <c:v>40534</c:v>
              </c:pt>
              <c:pt idx="277">
                <c:v>40535</c:v>
              </c:pt>
              <c:pt idx="278">
                <c:v>40539</c:v>
              </c:pt>
              <c:pt idx="279">
                <c:v>40540</c:v>
              </c:pt>
              <c:pt idx="280">
                <c:v>40541</c:v>
              </c:pt>
              <c:pt idx="281">
                <c:v>40542</c:v>
              </c:pt>
              <c:pt idx="282">
                <c:v>40543</c:v>
              </c:pt>
              <c:pt idx="283">
                <c:v>40546</c:v>
              </c:pt>
              <c:pt idx="284">
                <c:v>40547</c:v>
              </c:pt>
              <c:pt idx="285">
                <c:v>40548</c:v>
              </c:pt>
              <c:pt idx="286">
                <c:v>40549</c:v>
              </c:pt>
              <c:pt idx="287">
                <c:v>40550</c:v>
              </c:pt>
              <c:pt idx="288">
                <c:v>40553</c:v>
              </c:pt>
              <c:pt idx="289">
                <c:v>40554</c:v>
              </c:pt>
              <c:pt idx="290">
                <c:v>40555</c:v>
              </c:pt>
              <c:pt idx="291">
                <c:v>40556</c:v>
              </c:pt>
              <c:pt idx="292">
                <c:v>40557</c:v>
              </c:pt>
              <c:pt idx="293">
                <c:v>40561</c:v>
              </c:pt>
              <c:pt idx="294">
                <c:v>40562</c:v>
              </c:pt>
              <c:pt idx="295">
                <c:v>40563</c:v>
              </c:pt>
              <c:pt idx="296">
                <c:v>40564</c:v>
              </c:pt>
              <c:pt idx="297">
                <c:v>40567</c:v>
              </c:pt>
              <c:pt idx="298">
                <c:v>40568</c:v>
              </c:pt>
              <c:pt idx="299">
                <c:v>40569</c:v>
              </c:pt>
              <c:pt idx="300">
                <c:v>40570</c:v>
              </c:pt>
              <c:pt idx="301">
                <c:v>40571</c:v>
              </c:pt>
              <c:pt idx="302">
                <c:v>40574</c:v>
              </c:pt>
              <c:pt idx="303">
                <c:v>40575</c:v>
              </c:pt>
              <c:pt idx="304">
                <c:v>40576</c:v>
              </c:pt>
              <c:pt idx="305">
                <c:v>40577</c:v>
              </c:pt>
              <c:pt idx="306">
                <c:v>40578</c:v>
              </c:pt>
              <c:pt idx="307">
                <c:v>40581</c:v>
              </c:pt>
              <c:pt idx="308">
                <c:v>40582</c:v>
              </c:pt>
              <c:pt idx="309">
                <c:v>40583</c:v>
              </c:pt>
              <c:pt idx="310">
                <c:v>40584</c:v>
              </c:pt>
              <c:pt idx="311">
                <c:v>40585</c:v>
              </c:pt>
              <c:pt idx="312">
                <c:v>40588</c:v>
              </c:pt>
              <c:pt idx="313">
                <c:v>40589</c:v>
              </c:pt>
              <c:pt idx="314">
                <c:v>40590</c:v>
              </c:pt>
              <c:pt idx="315">
                <c:v>40591</c:v>
              </c:pt>
              <c:pt idx="316">
                <c:v>40592</c:v>
              </c:pt>
              <c:pt idx="317">
                <c:v>40596</c:v>
              </c:pt>
              <c:pt idx="318">
                <c:v>40597</c:v>
              </c:pt>
              <c:pt idx="319">
                <c:v>40598</c:v>
              </c:pt>
              <c:pt idx="320">
                <c:v>40599</c:v>
              </c:pt>
              <c:pt idx="321">
                <c:v>40602</c:v>
              </c:pt>
              <c:pt idx="322">
                <c:v>40603</c:v>
              </c:pt>
              <c:pt idx="323">
                <c:v>40604</c:v>
              </c:pt>
              <c:pt idx="324">
                <c:v>40605</c:v>
              </c:pt>
              <c:pt idx="325">
                <c:v>40606</c:v>
              </c:pt>
              <c:pt idx="326">
                <c:v>40609</c:v>
              </c:pt>
              <c:pt idx="327">
                <c:v>40610</c:v>
              </c:pt>
              <c:pt idx="328">
                <c:v>40611</c:v>
              </c:pt>
              <c:pt idx="329">
                <c:v>40612</c:v>
              </c:pt>
              <c:pt idx="330">
                <c:v>40613</c:v>
              </c:pt>
              <c:pt idx="331">
                <c:v>40616</c:v>
              </c:pt>
              <c:pt idx="332">
                <c:v>40617</c:v>
              </c:pt>
              <c:pt idx="333">
                <c:v>40618</c:v>
              </c:pt>
              <c:pt idx="334">
                <c:v>40619</c:v>
              </c:pt>
              <c:pt idx="335">
                <c:v>40620</c:v>
              </c:pt>
              <c:pt idx="336">
                <c:v>40623</c:v>
              </c:pt>
              <c:pt idx="337">
                <c:v>40624</c:v>
              </c:pt>
              <c:pt idx="338">
                <c:v>40625</c:v>
              </c:pt>
              <c:pt idx="339">
                <c:v>40626</c:v>
              </c:pt>
              <c:pt idx="340">
                <c:v>40627</c:v>
              </c:pt>
              <c:pt idx="341">
                <c:v>40630</c:v>
              </c:pt>
              <c:pt idx="342">
                <c:v>40631</c:v>
              </c:pt>
              <c:pt idx="343">
                <c:v>40632</c:v>
              </c:pt>
              <c:pt idx="344">
                <c:v>40633</c:v>
              </c:pt>
              <c:pt idx="345">
                <c:v>40634</c:v>
              </c:pt>
              <c:pt idx="346">
                <c:v>40637</c:v>
              </c:pt>
              <c:pt idx="347">
                <c:v>40638</c:v>
              </c:pt>
              <c:pt idx="348">
                <c:v>40639</c:v>
              </c:pt>
              <c:pt idx="349">
                <c:v>40640</c:v>
              </c:pt>
              <c:pt idx="350">
                <c:v>40641</c:v>
              </c:pt>
              <c:pt idx="351">
                <c:v>40644</c:v>
              </c:pt>
              <c:pt idx="352">
                <c:v>40645</c:v>
              </c:pt>
              <c:pt idx="353">
                <c:v>40646</c:v>
              </c:pt>
              <c:pt idx="354">
                <c:v>40647</c:v>
              </c:pt>
              <c:pt idx="355">
                <c:v>40648</c:v>
              </c:pt>
              <c:pt idx="356">
                <c:v>40651</c:v>
              </c:pt>
              <c:pt idx="357">
                <c:v>40652</c:v>
              </c:pt>
              <c:pt idx="358">
                <c:v>40653</c:v>
              </c:pt>
              <c:pt idx="359">
                <c:v>40654</c:v>
              </c:pt>
              <c:pt idx="360">
                <c:v>40658</c:v>
              </c:pt>
              <c:pt idx="361">
                <c:v>40659</c:v>
              </c:pt>
              <c:pt idx="362">
                <c:v>40660</c:v>
              </c:pt>
              <c:pt idx="363">
                <c:v>40661</c:v>
              </c:pt>
              <c:pt idx="364">
                <c:v>40662</c:v>
              </c:pt>
              <c:pt idx="365">
                <c:v>40665</c:v>
              </c:pt>
              <c:pt idx="366">
                <c:v>40666</c:v>
              </c:pt>
              <c:pt idx="367">
                <c:v>40667</c:v>
              </c:pt>
              <c:pt idx="368">
                <c:v>40668</c:v>
              </c:pt>
              <c:pt idx="369">
                <c:v>40669</c:v>
              </c:pt>
              <c:pt idx="370">
                <c:v>40672</c:v>
              </c:pt>
              <c:pt idx="371">
                <c:v>40673</c:v>
              </c:pt>
              <c:pt idx="372">
                <c:v>40674</c:v>
              </c:pt>
              <c:pt idx="373">
                <c:v>40675</c:v>
              </c:pt>
              <c:pt idx="374">
                <c:v>40676</c:v>
              </c:pt>
              <c:pt idx="375">
                <c:v>40679</c:v>
              </c:pt>
              <c:pt idx="376">
                <c:v>40680</c:v>
              </c:pt>
              <c:pt idx="377">
                <c:v>40681</c:v>
              </c:pt>
              <c:pt idx="378">
                <c:v>40682</c:v>
              </c:pt>
              <c:pt idx="379">
                <c:v>40683</c:v>
              </c:pt>
              <c:pt idx="380">
                <c:v>40686</c:v>
              </c:pt>
              <c:pt idx="381">
                <c:v>40687</c:v>
              </c:pt>
              <c:pt idx="382">
                <c:v>40688</c:v>
              </c:pt>
              <c:pt idx="383">
                <c:v>40689</c:v>
              </c:pt>
              <c:pt idx="384">
                <c:v>40690</c:v>
              </c:pt>
              <c:pt idx="385">
                <c:v>40694</c:v>
              </c:pt>
              <c:pt idx="386">
                <c:v>40695</c:v>
              </c:pt>
              <c:pt idx="387">
                <c:v>40696</c:v>
              </c:pt>
              <c:pt idx="388">
                <c:v>40697</c:v>
              </c:pt>
              <c:pt idx="389">
                <c:v>40700</c:v>
              </c:pt>
              <c:pt idx="390">
                <c:v>40701</c:v>
              </c:pt>
              <c:pt idx="391">
                <c:v>40702</c:v>
              </c:pt>
              <c:pt idx="392">
                <c:v>40703</c:v>
              </c:pt>
              <c:pt idx="393">
                <c:v>40704</c:v>
              </c:pt>
              <c:pt idx="394">
                <c:v>40707</c:v>
              </c:pt>
              <c:pt idx="395">
                <c:v>40708</c:v>
              </c:pt>
              <c:pt idx="396">
                <c:v>40709</c:v>
              </c:pt>
              <c:pt idx="397">
                <c:v>40710</c:v>
              </c:pt>
              <c:pt idx="398">
                <c:v>40711</c:v>
              </c:pt>
              <c:pt idx="399">
                <c:v>40714</c:v>
              </c:pt>
              <c:pt idx="400">
                <c:v>40715</c:v>
              </c:pt>
              <c:pt idx="401">
                <c:v>40716</c:v>
              </c:pt>
              <c:pt idx="402">
                <c:v>40717</c:v>
              </c:pt>
              <c:pt idx="403">
                <c:v>40718</c:v>
              </c:pt>
              <c:pt idx="404">
                <c:v>40721</c:v>
              </c:pt>
              <c:pt idx="405">
                <c:v>40722</c:v>
              </c:pt>
              <c:pt idx="406">
                <c:v>40723</c:v>
              </c:pt>
              <c:pt idx="407">
                <c:v>40724</c:v>
              </c:pt>
              <c:pt idx="408">
                <c:v>40725</c:v>
              </c:pt>
              <c:pt idx="409">
                <c:v>40729</c:v>
              </c:pt>
              <c:pt idx="410">
                <c:v>40730</c:v>
              </c:pt>
              <c:pt idx="411">
                <c:v>40731</c:v>
              </c:pt>
              <c:pt idx="412">
                <c:v>40732</c:v>
              </c:pt>
              <c:pt idx="413">
                <c:v>40735</c:v>
              </c:pt>
              <c:pt idx="414">
                <c:v>40736</c:v>
              </c:pt>
              <c:pt idx="415">
                <c:v>40737</c:v>
              </c:pt>
              <c:pt idx="416">
                <c:v>40738</c:v>
              </c:pt>
              <c:pt idx="417">
                <c:v>40739</c:v>
              </c:pt>
              <c:pt idx="418">
                <c:v>40742</c:v>
              </c:pt>
              <c:pt idx="419">
                <c:v>40743</c:v>
              </c:pt>
              <c:pt idx="420">
                <c:v>40744</c:v>
              </c:pt>
              <c:pt idx="421">
                <c:v>40745</c:v>
              </c:pt>
              <c:pt idx="422">
                <c:v>40746</c:v>
              </c:pt>
              <c:pt idx="423">
                <c:v>40749</c:v>
              </c:pt>
              <c:pt idx="424">
                <c:v>40750</c:v>
              </c:pt>
              <c:pt idx="425">
                <c:v>40751</c:v>
              </c:pt>
              <c:pt idx="426">
                <c:v>40752</c:v>
              </c:pt>
              <c:pt idx="427">
                <c:v>40753</c:v>
              </c:pt>
              <c:pt idx="428">
                <c:v>40756</c:v>
              </c:pt>
              <c:pt idx="429">
                <c:v>40757</c:v>
              </c:pt>
              <c:pt idx="430">
                <c:v>40758</c:v>
              </c:pt>
              <c:pt idx="431">
                <c:v>40759</c:v>
              </c:pt>
              <c:pt idx="432">
                <c:v>40760</c:v>
              </c:pt>
              <c:pt idx="433">
                <c:v>40763</c:v>
              </c:pt>
              <c:pt idx="434">
                <c:v>40764</c:v>
              </c:pt>
              <c:pt idx="435">
                <c:v>40765</c:v>
              </c:pt>
              <c:pt idx="436">
                <c:v>40766</c:v>
              </c:pt>
              <c:pt idx="437">
                <c:v>40767</c:v>
              </c:pt>
              <c:pt idx="438">
                <c:v>40770</c:v>
              </c:pt>
              <c:pt idx="439">
                <c:v>40771</c:v>
              </c:pt>
              <c:pt idx="440">
                <c:v>40772</c:v>
              </c:pt>
              <c:pt idx="441">
                <c:v>40773</c:v>
              </c:pt>
              <c:pt idx="442">
                <c:v>40774</c:v>
              </c:pt>
              <c:pt idx="443">
                <c:v>40777</c:v>
              </c:pt>
              <c:pt idx="444">
                <c:v>40778</c:v>
              </c:pt>
              <c:pt idx="445">
                <c:v>40779</c:v>
              </c:pt>
              <c:pt idx="446">
                <c:v>40780</c:v>
              </c:pt>
              <c:pt idx="447">
                <c:v>40781</c:v>
              </c:pt>
              <c:pt idx="448">
                <c:v>40784</c:v>
              </c:pt>
              <c:pt idx="449">
                <c:v>40785</c:v>
              </c:pt>
              <c:pt idx="450">
                <c:v>40786</c:v>
              </c:pt>
              <c:pt idx="451">
                <c:v>40787</c:v>
              </c:pt>
              <c:pt idx="452">
                <c:v>40788</c:v>
              </c:pt>
              <c:pt idx="453">
                <c:v>40792</c:v>
              </c:pt>
              <c:pt idx="454">
                <c:v>40793</c:v>
              </c:pt>
              <c:pt idx="455">
                <c:v>40794</c:v>
              </c:pt>
              <c:pt idx="456">
                <c:v>40795</c:v>
              </c:pt>
              <c:pt idx="457">
                <c:v>40798</c:v>
              </c:pt>
              <c:pt idx="458">
                <c:v>40799</c:v>
              </c:pt>
              <c:pt idx="459">
                <c:v>40800</c:v>
              </c:pt>
              <c:pt idx="460">
                <c:v>40801</c:v>
              </c:pt>
              <c:pt idx="461">
                <c:v>40802</c:v>
              </c:pt>
              <c:pt idx="462">
                <c:v>40805</c:v>
              </c:pt>
              <c:pt idx="463">
                <c:v>40806</c:v>
              </c:pt>
              <c:pt idx="464">
                <c:v>40807</c:v>
              </c:pt>
              <c:pt idx="465">
                <c:v>40808</c:v>
              </c:pt>
              <c:pt idx="466">
                <c:v>40809</c:v>
              </c:pt>
              <c:pt idx="467">
                <c:v>40812</c:v>
              </c:pt>
              <c:pt idx="468">
                <c:v>40813</c:v>
              </c:pt>
              <c:pt idx="469">
                <c:v>40814</c:v>
              </c:pt>
              <c:pt idx="470">
                <c:v>40815</c:v>
              </c:pt>
              <c:pt idx="471">
                <c:v>40816</c:v>
              </c:pt>
              <c:pt idx="472">
                <c:v>40819</c:v>
              </c:pt>
              <c:pt idx="473">
                <c:v>40820</c:v>
              </c:pt>
              <c:pt idx="474">
                <c:v>40821</c:v>
              </c:pt>
              <c:pt idx="475">
                <c:v>40822</c:v>
              </c:pt>
              <c:pt idx="476">
                <c:v>40823</c:v>
              </c:pt>
              <c:pt idx="477">
                <c:v>40826</c:v>
              </c:pt>
              <c:pt idx="478">
                <c:v>40827</c:v>
              </c:pt>
              <c:pt idx="479">
                <c:v>40828</c:v>
              </c:pt>
              <c:pt idx="480">
                <c:v>40829</c:v>
              </c:pt>
              <c:pt idx="481">
                <c:v>40830</c:v>
              </c:pt>
              <c:pt idx="482">
                <c:v>40833</c:v>
              </c:pt>
              <c:pt idx="483">
                <c:v>40834</c:v>
              </c:pt>
              <c:pt idx="484">
                <c:v>40835</c:v>
              </c:pt>
              <c:pt idx="485">
                <c:v>40836</c:v>
              </c:pt>
              <c:pt idx="486">
                <c:v>40837</c:v>
              </c:pt>
              <c:pt idx="487">
                <c:v>40840</c:v>
              </c:pt>
              <c:pt idx="488">
                <c:v>40841</c:v>
              </c:pt>
              <c:pt idx="489">
                <c:v>40842</c:v>
              </c:pt>
              <c:pt idx="490">
                <c:v>40843</c:v>
              </c:pt>
              <c:pt idx="491">
                <c:v>40844</c:v>
              </c:pt>
              <c:pt idx="492">
                <c:v>40847</c:v>
              </c:pt>
              <c:pt idx="493">
                <c:v>40848</c:v>
              </c:pt>
              <c:pt idx="494">
                <c:v>40849</c:v>
              </c:pt>
              <c:pt idx="495">
                <c:v>40850</c:v>
              </c:pt>
              <c:pt idx="496">
                <c:v>40851</c:v>
              </c:pt>
              <c:pt idx="497">
                <c:v>40854</c:v>
              </c:pt>
              <c:pt idx="498">
                <c:v>40855</c:v>
              </c:pt>
              <c:pt idx="499">
                <c:v>40856</c:v>
              </c:pt>
              <c:pt idx="500">
                <c:v>40857</c:v>
              </c:pt>
              <c:pt idx="501">
                <c:v>40858</c:v>
              </c:pt>
              <c:pt idx="502">
                <c:v>40861</c:v>
              </c:pt>
              <c:pt idx="503">
                <c:v>40862</c:v>
              </c:pt>
              <c:pt idx="504">
                <c:v>40863</c:v>
              </c:pt>
              <c:pt idx="505">
                <c:v>40864</c:v>
              </c:pt>
              <c:pt idx="506">
                <c:v>40865</c:v>
              </c:pt>
              <c:pt idx="507">
                <c:v>40868</c:v>
              </c:pt>
              <c:pt idx="508">
                <c:v>40869</c:v>
              </c:pt>
              <c:pt idx="509">
                <c:v>40870</c:v>
              </c:pt>
              <c:pt idx="510">
                <c:v>40872</c:v>
              </c:pt>
              <c:pt idx="511">
                <c:v>40875</c:v>
              </c:pt>
              <c:pt idx="512">
                <c:v>40876</c:v>
              </c:pt>
              <c:pt idx="513">
                <c:v>40877</c:v>
              </c:pt>
              <c:pt idx="514">
                <c:v>40878</c:v>
              </c:pt>
              <c:pt idx="515">
                <c:v>40879</c:v>
              </c:pt>
              <c:pt idx="516">
                <c:v>40882</c:v>
              </c:pt>
              <c:pt idx="517">
                <c:v>40883</c:v>
              </c:pt>
              <c:pt idx="518">
                <c:v>40884</c:v>
              </c:pt>
              <c:pt idx="519">
                <c:v>40885</c:v>
              </c:pt>
              <c:pt idx="520">
                <c:v>40886</c:v>
              </c:pt>
              <c:pt idx="521">
                <c:v>40889</c:v>
              </c:pt>
              <c:pt idx="522">
                <c:v>40890</c:v>
              </c:pt>
              <c:pt idx="523">
                <c:v>40891</c:v>
              </c:pt>
              <c:pt idx="524">
                <c:v>40892</c:v>
              </c:pt>
              <c:pt idx="525">
                <c:v>40893</c:v>
              </c:pt>
              <c:pt idx="526">
                <c:v>40896</c:v>
              </c:pt>
              <c:pt idx="527">
                <c:v>40897</c:v>
              </c:pt>
              <c:pt idx="528">
                <c:v>40898</c:v>
              </c:pt>
              <c:pt idx="529">
                <c:v>40899</c:v>
              </c:pt>
              <c:pt idx="530">
                <c:v>40900</c:v>
              </c:pt>
              <c:pt idx="531">
                <c:v>40904</c:v>
              </c:pt>
              <c:pt idx="532">
                <c:v>40905</c:v>
              </c:pt>
              <c:pt idx="533">
                <c:v>40906</c:v>
              </c:pt>
              <c:pt idx="534">
                <c:v>40907</c:v>
              </c:pt>
              <c:pt idx="535">
                <c:v>40911</c:v>
              </c:pt>
              <c:pt idx="536">
                <c:v>40912</c:v>
              </c:pt>
              <c:pt idx="537">
                <c:v>40913</c:v>
              </c:pt>
              <c:pt idx="538">
                <c:v>40914</c:v>
              </c:pt>
              <c:pt idx="539">
                <c:v>40917</c:v>
              </c:pt>
              <c:pt idx="540">
                <c:v>40918</c:v>
              </c:pt>
              <c:pt idx="541">
                <c:v>40919</c:v>
              </c:pt>
              <c:pt idx="542">
                <c:v>40920</c:v>
              </c:pt>
              <c:pt idx="543">
                <c:v>40921</c:v>
              </c:pt>
              <c:pt idx="544">
                <c:v>40925</c:v>
              </c:pt>
              <c:pt idx="545">
                <c:v>40926</c:v>
              </c:pt>
              <c:pt idx="546">
                <c:v>40927</c:v>
              </c:pt>
              <c:pt idx="547">
                <c:v>40928</c:v>
              </c:pt>
              <c:pt idx="548">
                <c:v>40931</c:v>
              </c:pt>
              <c:pt idx="549">
                <c:v>40932</c:v>
              </c:pt>
              <c:pt idx="550">
                <c:v>40933</c:v>
              </c:pt>
              <c:pt idx="551">
                <c:v>40934</c:v>
              </c:pt>
              <c:pt idx="552">
                <c:v>40935</c:v>
              </c:pt>
              <c:pt idx="553">
                <c:v>40938</c:v>
              </c:pt>
              <c:pt idx="554">
                <c:v>40939</c:v>
              </c:pt>
              <c:pt idx="555">
                <c:v>40940</c:v>
              </c:pt>
              <c:pt idx="556">
                <c:v>40941</c:v>
              </c:pt>
              <c:pt idx="557">
                <c:v>40942</c:v>
              </c:pt>
              <c:pt idx="558">
                <c:v>40945</c:v>
              </c:pt>
              <c:pt idx="559">
                <c:v>40946</c:v>
              </c:pt>
              <c:pt idx="560">
                <c:v>40947</c:v>
              </c:pt>
              <c:pt idx="561">
                <c:v>40948</c:v>
              </c:pt>
              <c:pt idx="562">
                <c:v>40949</c:v>
              </c:pt>
              <c:pt idx="563">
                <c:v>40952</c:v>
              </c:pt>
              <c:pt idx="564">
                <c:v>40953</c:v>
              </c:pt>
              <c:pt idx="565">
                <c:v>40954</c:v>
              </c:pt>
              <c:pt idx="566">
                <c:v>40955</c:v>
              </c:pt>
              <c:pt idx="567">
                <c:v>40956</c:v>
              </c:pt>
              <c:pt idx="568">
                <c:v>40960</c:v>
              </c:pt>
              <c:pt idx="569">
                <c:v>40961</c:v>
              </c:pt>
              <c:pt idx="570">
                <c:v>40962</c:v>
              </c:pt>
              <c:pt idx="571">
                <c:v>40963</c:v>
              </c:pt>
              <c:pt idx="572">
                <c:v>40966</c:v>
              </c:pt>
              <c:pt idx="573">
                <c:v>40967</c:v>
              </c:pt>
              <c:pt idx="574">
                <c:v>40968</c:v>
              </c:pt>
              <c:pt idx="575">
                <c:v>40969</c:v>
              </c:pt>
              <c:pt idx="576">
                <c:v>40970</c:v>
              </c:pt>
              <c:pt idx="577">
                <c:v>40973</c:v>
              </c:pt>
              <c:pt idx="578">
                <c:v>40974</c:v>
              </c:pt>
              <c:pt idx="579">
                <c:v>40975</c:v>
              </c:pt>
              <c:pt idx="580">
                <c:v>40976</c:v>
              </c:pt>
              <c:pt idx="581">
                <c:v>40977</c:v>
              </c:pt>
              <c:pt idx="582">
                <c:v>40980</c:v>
              </c:pt>
              <c:pt idx="583">
                <c:v>40981</c:v>
              </c:pt>
              <c:pt idx="584">
                <c:v>40982</c:v>
              </c:pt>
              <c:pt idx="585">
                <c:v>40983</c:v>
              </c:pt>
              <c:pt idx="586">
                <c:v>40984</c:v>
              </c:pt>
              <c:pt idx="587">
                <c:v>40987</c:v>
              </c:pt>
              <c:pt idx="588">
                <c:v>40988</c:v>
              </c:pt>
              <c:pt idx="589">
                <c:v>40989</c:v>
              </c:pt>
              <c:pt idx="590">
                <c:v>40990</c:v>
              </c:pt>
              <c:pt idx="591">
                <c:v>40991</c:v>
              </c:pt>
              <c:pt idx="592">
                <c:v>40994</c:v>
              </c:pt>
              <c:pt idx="593">
                <c:v>40995</c:v>
              </c:pt>
              <c:pt idx="594">
                <c:v>40996</c:v>
              </c:pt>
              <c:pt idx="595">
                <c:v>40997</c:v>
              </c:pt>
              <c:pt idx="596">
                <c:v>40998</c:v>
              </c:pt>
              <c:pt idx="597">
                <c:v>41001</c:v>
              </c:pt>
              <c:pt idx="598">
                <c:v>41002</c:v>
              </c:pt>
              <c:pt idx="599">
                <c:v>41003</c:v>
              </c:pt>
              <c:pt idx="600">
                <c:v>41004</c:v>
              </c:pt>
              <c:pt idx="601">
                <c:v>41008</c:v>
              </c:pt>
              <c:pt idx="602">
                <c:v>41009</c:v>
              </c:pt>
              <c:pt idx="603">
                <c:v>41010</c:v>
              </c:pt>
              <c:pt idx="604">
                <c:v>41011</c:v>
              </c:pt>
              <c:pt idx="605">
                <c:v>41012</c:v>
              </c:pt>
              <c:pt idx="606">
                <c:v>41015</c:v>
              </c:pt>
              <c:pt idx="607">
                <c:v>41016</c:v>
              </c:pt>
              <c:pt idx="608">
                <c:v>41017</c:v>
              </c:pt>
              <c:pt idx="609">
                <c:v>41018</c:v>
              </c:pt>
              <c:pt idx="610">
                <c:v>41019</c:v>
              </c:pt>
              <c:pt idx="611">
                <c:v>41022</c:v>
              </c:pt>
              <c:pt idx="612">
                <c:v>41023</c:v>
              </c:pt>
              <c:pt idx="613">
                <c:v>41024</c:v>
              </c:pt>
              <c:pt idx="614">
                <c:v>41025</c:v>
              </c:pt>
              <c:pt idx="615">
                <c:v>41026</c:v>
              </c:pt>
              <c:pt idx="616">
                <c:v>41029</c:v>
              </c:pt>
              <c:pt idx="617">
                <c:v>41030</c:v>
              </c:pt>
              <c:pt idx="618">
                <c:v>41031</c:v>
              </c:pt>
              <c:pt idx="619">
                <c:v>41032</c:v>
              </c:pt>
              <c:pt idx="620">
                <c:v>41033</c:v>
              </c:pt>
              <c:pt idx="621">
                <c:v>41036</c:v>
              </c:pt>
              <c:pt idx="622">
                <c:v>41037</c:v>
              </c:pt>
              <c:pt idx="623">
                <c:v>41038</c:v>
              </c:pt>
              <c:pt idx="624">
                <c:v>41039</c:v>
              </c:pt>
              <c:pt idx="625">
                <c:v>41040</c:v>
              </c:pt>
              <c:pt idx="626">
                <c:v>41043</c:v>
              </c:pt>
              <c:pt idx="627">
                <c:v>41044</c:v>
              </c:pt>
              <c:pt idx="628">
                <c:v>41045</c:v>
              </c:pt>
              <c:pt idx="629">
                <c:v>41046</c:v>
              </c:pt>
              <c:pt idx="630">
                <c:v>41047</c:v>
              </c:pt>
              <c:pt idx="631">
                <c:v>41050</c:v>
              </c:pt>
              <c:pt idx="632">
                <c:v>41051</c:v>
              </c:pt>
              <c:pt idx="633">
                <c:v>41052</c:v>
              </c:pt>
              <c:pt idx="634">
                <c:v>41053</c:v>
              </c:pt>
              <c:pt idx="635">
                <c:v>41054</c:v>
              </c:pt>
              <c:pt idx="636">
                <c:v>41058</c:v>
              </c:pt>
              <c:pt idx="637">
                <c:v>41059</c:v>
              </c:pt>
              <c:pt idx="638">
                <c:v>41060</c:v>
              </c:pt>
              <c:pt idx="639">
                <c:v>41061</c:v>
              </c:pt>
              <c:pt idx="640">
                <c:v>41064</c:v>
              </c:pt>
              <c:pt idx="641">
                <c:v>41065</c:v>
              </c:pt>
              <c:pt idx="642">
                <c:v>41066</c:v>
              </c:pt>
              <c:pt idx="643">
                <c:v>41067</c:v>
              </c:pt>
              <c:pt idx="644">
                <c:v>41068</c:v>
              </c:pt>
              <c:pt idx="645">
                <c:v>41071</c:v>
              </c:pt>
              <c:pt idx="646">
                <c:v>41072</c:v>
              </c:pt>
              <c:pt idx="647">
                <c:v>41073</c:v>
              </c:pt>
              <c:pt idx="648">
                <c:v>41074</c:v>
              </c:pt>
              <c:pt idx="649">
                <c:v>41075</c:v>
              </c:pt>
              <c:pt idx="650">
                <c:v>41078</c:v>
              </c:pt>
              <c:pt idx="651">
                <c:v>41079</c:v>
              </c:pt>
              <c:pt idx="652">
                <c:v>41080</c:v>
              </c:pt>
              <c:pt idx="653">
                <c:v>41081</c:v>
              </c:pt>
              <c:pt idx="654">
                <c:v>41082</c:v>
              </c:pt>
              <c:pt idx="655">
                <c:v>41085</c:v>
              </c:pt>
              <c:pt idx="656">
                <c:v>41086</c:v>
              </c:pt>
              <c:pt idx="657">
                <c:v>41087</c:v>
              </c:pt>
              <c:pt idx="658">
                <c:v>41088</c:v>
              </c:pt>
              <c:pt idx="659">
                <c:v>41089</c:v>
              </c:pt>
              <c:pt idx="660">
                <c:v>41092</c:v>
              </c:pt>
              <c:pt idx="661">
                <c:v>41093</c:v>
              </c:pt>
              <c:pt idx="662">
                <c:v>41095</c:v>
              </c:pt>
              <c:pt idx="663">
                <c:v>41096</c:v>
              </c:pt>
              <c:pt idx="664">
                <c:v>41099</c:v>
              </c:pt>
              <c:pt idx="665">
                <c:v>41100</c:v>
              </c:pt>
              <c:pt idx="666">
                <c:v>41101</c:v>
              </c:pt>
              <c:pt idx="667">
                <c:v>41102</c:v>
              </c:pt>
              <c:pt idx="668">
                <c:v>41103</c:v>
              </c:pt>
              <c:pt idx="669">
                <c:v>41106</c:v>
              </c:pt>
              <c:pt idx="670">
                <c:v>41107</c:v>
              </c:pt>
              <c:pt idx="671">
                <c:v>41108</c:v>
              </c:pt>
              <c:pt idx="672">
                <c:v>41109</c:v>
              </c:pt>
              <c:pt idx="673">
                <c:v>41110</c:v>
              </c:pt>
              <c:pt idx="674">
                <c:v>41113</c:v>
              </c:pt>
              <c:pt idx="675">
                <c:v>41114</c:v>
              </c:pt>
              <c:pt idx="676">
                <c:v>41115</c:v>
              </c:pt>
              <c:pt idx="677">
                <c:v>41116</c:v>
              </c:pt>
              <c:pt idx="678">
                <c:v>41117</c:v>
              </c:pt>
              <c:pt idx="679">
                <c:v>41120</c:v>
              </c:pt>
              <c:pt idx="680">
                <c:v>41121</c:v>
              </c:pt>
              <c:pt idx="681">
                <c:v>41122</c:v>
              </c:pt>
              <c:pt idx="682">
                <c:v>41123</c:v>
              </c:pt>
              <c:pt idx="683">
                <c:v>41124</c:v>
              </c:pt>
              <c:pt idx="684">
                <c:v>41127</c:v>
              </c:pt>
              <c:pt idx="685">
                <c:v>41128</c:v>
              </c:pt>
              <c:pt idx="686">
                <c:v>41129</c:v>
              </c:pt>
              <c:pt idx="687">
                <c:v>41130</c:v>
              </c:pt>
              <c:pt idx="688">
                <c:v>41131</c:v>
              </c:pt>
              <c:pt idx="689">
                <c:v>41134</c:v>
              </c:pt>
              <c:pt idx="690">
                <c:v>41135</c:v>
              </c:pt>
              <c:pt idx="691">
                <c:v>41136</c:v>
              </c:pt>
              <c:pt idx="692">
                <c:v>41137</c:v>
              </c:pt>
              <c:pt idx="693">
                <c:v>41138</c:v>
              </c:pt>
              <c:pt idx="694">
                <c:v>41141</c:v>
              </c:pt>
              <c:pt idx="695">
                <c:v>41142</c:v>
              </c:pt>
              <c:pt idx="696">
                <c:v>41143</c:v>
              </c:pt>
              <c:pt idx="697">
                <c:v>41144</c:v>
              </c:pt>
              <c:pt idx="698">
                <c:v>41145</c:v>
              </c:pt>
              <c:pt idx="699">
                <c:v>41148</c:v>
              </c:pt>
              <c:pt idx="700">
                <c:v>41149</c:v>
              </c:pt>
              <c:pt idx="701">
                <c:v>41150</c:v>
              </c:pt>
              <c:pt idx="702">
                <c:v>41151</c:v>
              </c:pt>
              <c:pt idx="703">
                <c:v>41152</c:v>
              </c:pt>
              <c:pt idx="704">
                <c:v>41156</c:v>
              </c:pt>
              <c:pt idx="705">
                <c:v>41157</c:v>
              </c:pt>
              <c:pt idx="706">
                <c:v>41158</c:v>
              </c:pt>
              <c:pt idx="707">
                <c:v>41159</c:v>
              </c:pt>
              <c:pt idx="708">
                <c:v>41162</c:v>
              </c:pt>
              <c:pt idx="709">
                <c:v>41163</c:v>
              </c:pt>
              <c:pt idx="710">
                <c:v>41164</c:v>
              </c:pt>
              <c:pt idx="711">
                <c:v>41165</c:v>
              </c:pt>
              <c:pt idx="712">
                <c:v>41166</c:v>
              </c:pt>
              <c:pt idx="713">
                <c:v>41169</c:v>
              </c:pt>
              <c:pt idx="714">
                <c:v>41170</c:v>
              </c:pt>
              <c:pt idx="715">
                <c:v>41171</c:v>
              </c:pt>
              <c:pt idx="716">
                <c:v>41172</c:v>
              </c:pt>
              <c:pt idx="717">
                <c:v>41173</c:v>
              </c:pt>
              <c:pt idx="718">
                <c:v>41176</c:v>
              </c:pt>
              <c:pt idx="719">
                <c:v>41177</c:v>
              </c:pt>
              <c:pt idx="720">
                <c:v>41178</c:v>
              </c:pt>
              <c:pt idx="721">
                <c:v>41179</c:v>
              </c:pt>
              <c:pt idx="722">
                <c:v>41180</c:v>
              </c:pt>
              <c:pt idx="723">
                <c:v>41183</c:v>
              </c:pt>
              <c:pt idx="724">
                <c:v>41184</c:v>
              </c:pt>
              <c:pt idx="725">
                <c:v>41185</c:v>
              </c:pt>
              <c:pt idx="726">
                <c:v>41186</c:v>
              </c:pt>
              <c:pt idx="727">
                <c:v>41187</c:v>
              </c:pt>
              <c:pt idx="728">
                <c:v>41190</c:v>
              </c:pt>
              <c:pt idx="729">
                <c:v>41191</c:v>
              </c:pt>
              <c:pt idx="730">
                <c:v>41192</c:v>
              </c:pt>
              <c:pt idx="731">
                <c:v>41193</c:v>
              </c:pt>
              <c:pt idx="732">
                <c:v>41194</c:v>
              </c:pt>
              <c:pt idx="733">
                <c:v>41197</c:v>
              </c:pt>
              <c:pt idx="734">
                <c:v>41198</c:v>
              </c:pt>
              <c:pt idx="735">
                <c:v>41199</c:v>
              </c:pt>
              <c:pt idx="736">
                <c:v>41200</c:v>
              </c:pt>
              <c:pt idx="737">
                <c:v>41201</c:v>
              </c:pt>
              <c:pt idx="738">
                <c:v>41204</c:v>
              </c:pt>
              <c:pt idx="739">
                <c:v>41205</c:v>
              </c:pt>
              <c:pt idx="740">
                <c:v>41206</c:v>
              </c:pt>
              <c:pt idx="741">
                <c:v>41207</c:v>
              </c:pt>
              <c:pt idx="742">
                <c:v>41208</c:v>
              </c:pt>
              <c:pt idx="743">
                <c:v>41213</c:v>
              </c:pt>
              <c:pt idx="744">
                <c:v>41214</c:v>
              </c:pt>
              <c:pt idx="745">
                <c:v>41215</c:v>
              </c:pt>
              <c:pt idx="746">
                <c:v>41218</c:v>
              </c:pt>
              <c:pt idx="747">
                <c:v>41219</c:v>
              </c:pt>
              <c:pt idx="748">
                <c:v>41220</c:v>
              </c:pt>
              <c:pt idx="749">
                <c:v>41221</c:v>
              </c:pt>
              <c:pt idx="750">
                <c:v>41222</c:v>
              </c:pt>
              <c:pt idx="751">
                <c:v>41225</c:v>
              </c:pt>
              <c:pt idx="752">
                <c:v>41226</c:v>
              </c:pt>
              <c:pt idx="753">
                <c:v>41227</c:v>
              </c:pt>
              <c:pt idx="754">
                <c:v>41228</c:v>
              </c:pt>
              <c:pt idx="755">
                <c:v>41229</c:v>
              </c:pt>
              <c:pt idx="756">
                <c:v>41232</c:v>
              </c:pt>
              <c:pt idx="757">
                <c:v>41233</c:v>
              </c:pt>
              <c:pt idx="758">
                <c:v>41234</c:v>
              </c:pt>
              <c:pt idx="759">
                <c:v>41236</c:v>
              </c:pt>
              <c:pt idx="760">
                <c:v>41239</c:v>
              </c:pt>
              <c:pt idx="761">
                <c:v>41240</c:v>
              </c:pt>
              <c:pt idx="762">
                <c:v>41241</c:v>
              </c:pt>
              <c:pt idx="763">
                <c:v>41242</c:v>
              </c:pt>
              <c:pt idx="764">
                <c:v>41243</c:v>
              </c:pt>
              <c:pt idx="765">
                <c:v>41246</c:v>
              </c:pt>
              <c:pt idx="766">
                <c:v>41247</c:v>
              </c:pt>
              <c:pt idx="767">
                <c:v>41248</c:v>
              </c:pt>
              <c:pt idx="768">
                <c:v>41249</c:v>
              </c:pt>
              <c:pt idx="769">
                <c:v>41250</c:v>
              </c:pt>
              <c:pt idx="770">
                <c:v>41253</c:v>
              </c:pt>
              <c:pt idx="771">
                <c:v>41254</c:v>
              </c:pt>
              <c:pt idx="772">
                <c:v>41255</c:v>
              </c:pt>
              <c:pt idx="773">
                <c:v>41256</c:v>
              </c:pt>
              <c:pt idx="774">
                <c:v>41257</c:v>
              </c:pt>
              <c:pt idx="775">
                <c:v>41260</c:v>
              </c:pt>
              <c:pt idx="776">
                <c:v>41261</c:v>
              </c:pt>
              <c:pt idx="777">
                <c:v>41262</c:v>
              </c:pt>
              <c:pt idx="778">
                <c:v>41263</c:v>
              </c:pt>
              <c:pt idx="779">
                <c:v>41264</c:v>
              </c:pt>
              <c:pt idx="780">
                <c:v>41267</c:v>
              </c:pt>
              <c:pt idx="781">
                <c:v>41269</c:v>
              </c:pt>
              <c:pt idx="782">
                <c:v>41270</c:v>
              </c:pt>
              <c:pt idx="783">
                <c:v>41271</c:v>
              </c:pt>
              <c:pt idx="784">
                <c:v>41274</c:v>
              </c:pt>
              <c:pt idx="785">
                <c:v>41276</c:v>
              </c:pt>
              <c:pt idx="786">
                <c:v>41277</c:v>
              </c:pt>
              <c:pt idx="787">
                <c:v>41278</c:v>
              </c:pt>
              <c:pt idx="788">
                <c:v>41281</c:v>
              </c:pt>
              <c:pt idx="789">
                <c:v>41282</c:v>
              </c:pt>
              <c:pt idx="790">
                <c:v>41283</c:v>
              </c:pt>
              <c:pt idx="791">
                <c:v>41284</c:v>
              </c:pt>
              <c:pt idx="792">
                <c:v>41285</c:v>
              </c:pt>
              <c:pt idx="793">
                <c:v>41288</c:v>
              </c:pt>
              <c:pt idx="794">
                <c:v>41289</c:v>
              </c:pt>
              <c:pt idx="795">
                <c:v>41290</c:v>
              </c:pt>
              <c:pt idx="796">
                <c:v>41291</c:v>
              </c:pt>
              <c:pt idx="797">
                <c:v>41292</c:v>
              </c:pt>
              <c:pt idx="798">
                <c:v>41296</c:v>
              </c:pt>
              <c:pt idx="799">
                <c:v>41297</c:v>
              </c:pt>
              <c:pt idx="800">
                <c:v>41298</c:v>
              </c:pt>
              <c:pt idx="801">
                <c:v>41299</c:v>
              </c:pt>
              <c:pt idx="802">
                <c:v>41302</c:v>
              </c:pt>
              <c:pt idx="803">
                <c:v>41303</c:v>
              </c:pt>
              <c:pt idx="804">
                <c:v>41304</c:v>
              </c:pt>
              <c:pt idx="805">
                <c:v>41305</c:v>
              </c:pt>
              <c:pt idx="806">
                <c:v>41306</c:v>
              </c:pt>
              <c:pt idx="807">
                <c:v>41309</c:v>
              </c:pt>
              <c:pt idx="808">
                <c:v>41310</c:v>
              </c:pt>
              <c:pt idx="809">
                <c:v>41311</c:v>
              </c:pt>
              <c:pt idx="810">
                <c:v>41312</c:v>
              </c:pt>
              <c:pt idx="811">
                <c:v>41313</c:v>
              </c:pt>
              <c:pt idx="812">
                <c:v>41316</c:v>
              </c:pt>
              <c:pt idx="813">
                <c:v>41317</c:v>
              </c:pt>
              <c:pt idx="814">
                <c:v>41318</c:v>
              </c:pt>
              <c:pt idx="815">
                <c:v>41319</c:v>
              </c:pt>
              <c:pt idx="816">
                <c:v>41320</c:v>
              </c:pt>
              <c:pt idx="817">
                <c:v>41324</c:v>
              </c:pt>
              <c:pt idx="818">
                <c:v>41325</c:v>
              </c:pt>
              <c:pt idx="819">
                <c:v>41326</c:v>
              </c:pt>
              <c:pt idx="820">
                <c:v>41327</c:v>
              </c:pt>
              <c:pt idx="821">
                <c:v>41330</c:v>
              </c:pt>
              <c:pt idx="822">
                <c:v>41331</c:v>
              </c:pt>
              <c:pt idx="823">
                <c:v>41332</c:v>
              </c:pt>
              <c:pt idx="824">
                <c:v>41333</c:v>
              </c:pt>
              <c:pt idx="825">
                <c:v>41334</c:v>
              </c:pt>
              <c:pt idx="826">
                <c:v>41337</c:v>
              </c:pt>
              <c:pt idx="827">
                <c:v>41338</c:v>
              </c:pt>
              <c:pt idx="828">
                <c:v>41339</c:v>
              </c:pt>
              <c:pt idx="829">
                <c:v>41340</c:v>
              </c:pt>
              <c:pt idx="830">
                <c:v>41341</c:v>
              </c:pt>
              <c:pt idx="831">
                <c:v>41344</c:v>
              </c:pt>
              <c:pt idx="832">
                <c:v>41345</c:v>
              </c:pt>
              <c:pt idx="833">
                <c:v>41346</c:v>
              </c:pt>
              <c:pt idx="834">
                <c:v>41347</c:v>
              </c:pt>
              <c:pt idx="835">
                <c:v>41348</c:v>
              </c:pt>
              <c:pt idx="836">
                <c:v>41351</c:v>
              </c:pt>
              <c:pt idx="837">
                <c:v>41352</c:v>
              </c:pt>
              <c:pt idx="838">
                <c:v>41353</c:v>
              </c:pt>
              <c:pt idx="839">
                <c:v>41354</c:v>
              </c:pt>
              <c:pt idx="840">
                <c:v>41355</c:v>
              </c:pt>
              <c:pt idx="841">
                <c:v>41358</c:v>
              </c:pt>
              <c:pt idx="842">
                <c:v>41359</c:v>
              </c:pt>
              <c:pt idx="843">
                <c:v>41360</c:v>
              </c:pt>
              <c:pt idx="844">
                <c:v>41361</c:v>
              </c:pt>
              <c:pt idx="845">
                <c:v>41365</c:v>
              </c:pt>
              <c:pt idx="846">
                <c:v>41366</c:v>
              </c:pt>
              <c:pt idx="847">
                <c:v>41367</c:v>
              </c:pt>
              <c:pt idx="848">
                <c:v>41368</c:v>
              </c:pt>
              <c:pt idx="849">
                <c:v>41369</c:v>
              </c:pt>
              <c:pt idx="850">
                <c:v>41372</c:v>
              </c:pt>
              <c:pt idx="851">
                <c:v>41373</c:v>
              </c:pt>
              <c:pt idx="852">
                <c:v>41374</c:v>
              </c:pt>
              <c:pt idx="853">
                <c:v>41375</c:v>
              </c:pt>
              <c:pt idx="854">
                <c:v>41376</c:v>
              </c:pt>
              <c:pt idx="855">
                <c:v>41379</c:v>
              </c:pt>
              <c:pt idx="856">
                <c:v>41380</c:v>
              </c:pt>
              <c:pt idx="857">
                <c:v>41381</c:v>
              </c:pt>
              <c:pt idx="858">
                <c:v>41382</c:v>
              </c:pt>
              <c:pt idx="859">
                <c:v>41383</c:v>
              </c:pt>
              <c:pt idx="860">
                <c:v>41386</c:v>
              </c:pt>
              <c:pt idx="861">
                <c:v>41387</c:v>
              </c:pt>
              <c:pt idx="862">
                <c:v>41388</c:v>
              </c:pt>
              <c:pt idx="863">
                <c:v>41389</c:v>
              </c:pt>
              <c:pt idx="864">
                <c:v>41390</c:v>
              </c:pt>
              <c:pt idx="865">
                <c:v>41393</c:v>
              </c:pt>
              <c:pt idx="866">
                <c:v>41394</c:v>
              </c:pt>
              <c:pt idx="867">
                <c:v>41395</c:v>
              </c:pt>
              <c:pt idx="868">
                <c:v>41396</c:v>
              </c:pt>
              <c:pt idx="869">
                <c:v>41397</c:v>
              </c:pt>
              <c:pt idx="870">
                <c:v>41400</c:v>
              </c:pt>
              <c:pt idx="871">
                <c:v>41401</c:v>
              </c:pt>
              <c:pt idx="872">
                <c:v>41402</c:v>
              </c:pt>
              <c:pt idx="873">
                <c:v>41403</c:v>
              </c:pt>
              <c:pt idx="874">
                <c:v>41404</c:v>
              </c:pt>
              <c:pt idx="875">
                <c:v>41407</c:v>
              </c:pt>
              <c:pt idx="876">
                <c:v>41408</c:v>
              </c:pt>
              <c:pt idx="877">
                <c:v>41409</c:v>
              </c:pt>
              <c:pt idx="878">
                <c:v>41410</c:v>
              </c:pt>
              <c:pt idx="879">
                <c:v>41411</c:v>
              </c:pt>
              <c:pt idx="880">
                <c:v>41414</c:v>
              </c:pt>
              <c:pt idx="881">
                <c:v>41415</c:v>
              </c:pt>
              <c:pt idx="882">
                <c:v>41416</c:v>
              </c:pt>
              <c:pt idx="883">
                <c:v>41417</c:v>
              </c:pt>
              <c:pt idx="884">
                <c:v>41418</c:v>
              </c:pt>
              <c:pt idx="885">
                <c:v>41422</c:v>
              </c:pt>
              <c:pt idx="886">
                <c:v>41423</c:v>
              </c:pt>
              <c:pt idx="887">
                <c:v>41424</c:v>
              </c:pt>
              <c:pt idx="888">
                <c:v>41425</c:v>
              </c:pt>
              <c:pt idx="889">
                <c:v>41428</c:v>
              </c:pt>
              <c:pt idx="890">
                <c:v>41429</c:v>
              </c:pt>
              <c:pt idx="891">
                <c:v>41430</c:v>
              </c:pt>
              <c:pt idx="892">
                <c:v>41431</c:v>
              </c:pt>
              <c:pt idx="893">
                <c:v>41432</c:v>
              </c:pt>
              <c:pt idx="894">
                <c:v>41435</c:v>
              </c:pt>
              <c:pt idx="895">
                <c:v>41436</c:v>
              </c:pt>
              <c:pt idx="896">
                <c:v>41437</c:v>
              </c:pt>
              <c:pt idx="897">
                <c:v>41438</c:v>
              </c:pt>
              <c:pt idx="898">
                <c:v>41439</c:v>
              </c:pt>
              <c:pt idx="899">
                <c:v>41442</c:v>
              </c:pt>
              <c:pt idx="900">
                <c:v>41443</c:v>
              </c:pt>
              <c:pt idx="901">
                <c:v>41444</c:v>
              </c:pt>
              <c:pt idx="902">
                <c:v>41445</c:v>
              </c:pt>
              <c:pt idx="903">
                <c:v>41446</c:v>
              </c:pt>
              <c:pt idx="904">
                <c:v>41449</c:v>
              </c:pt>
              <c:pt idx="905">
                <c:v>41450</c:v>
              </c:pt>
              <c:pt idx="906">
                <c:v>41451</c:v>
              </c:pt>
              <c:pt idx="907">
                <c:v>41452</c:v>
              </c:pt>
              <c:pt idx="908">
                <c:v>41453</c:v>
              </c:pt>
              <c:pt idx="909">
                <c:v>41456</c:v>
              </c:pt>
              <c:pt idx="910">
                <c:v>41457</c:v>
              </c:pt>
              <c:pt idx="911">
                <c:v>41458</c:v>
              </c:pt>
              <c:pt idx="912">
                <c:v>41460</c:v>
              </c:pt>
              <c:pt idx="913">
                <c:v>41463</c:v>
              </c:pt>
              <c:pt idx="914">
                <c:v>41464</c:v>
              </c:pt>
              <c:pt idx="915">
                <c:v>41465</c:v>
              </c:pt>
              <c:pt idx="916">
                <c:v>41466</c:v>
              </c:pt>
              <c:pt idx="917">
                <c:v>41467</c:v>
              </c:pt>
              <c:pt idx="918">
                <c:v>41470</c:v>
              </c:pt>
              <c:pt idx="919">
                <c:v>41471</c:v>
              </c:pt>
              <c:pt idx="920">
                <c:v>41472</c:v>
              </c:pt>
              <c:pt idx="921">
                <c:v>41473</c:v>
              </c:pt>
              <c:pt idx="922">
                <c:v>41474</c:v>
              </c:pt>
              <c:pt idx="923">
                <c:v>41477</c:v>
              </c:pt>
              <c:pt idx="924">
                <c:v>41478</c:v>
              </c:pt>
              <c:pt idx="925">
                <c:v>41479</c:v>
              </c:pt>
              <c:pt idx="926">
                <c:v>41480</c:v>
              </c:pt>
              <c:pt idx="927">
                <c:v>41481</c:v>
              </c:pt>
              <c:pt idx="928">
                <c:v>41484</c:v>
              </c:pt>
              <c:pt idx="929">
                <c:v>41485</c:v>
              </c:pt>
              <c:pt idx="930">
                <c:v>41486</c:v>
              </c:pt>
              <c:pt idx="931">
                <c:v>41487</c:v>
              </c:pt>
              <c:pt idx="932">
                <c:v>41488</c:v>
              </c:pt>
              <c:pt idx="933">
                <c:v>41491</c:v>
              </c:pt>
              <c:pt idx="934">
                <c:v>41492</c:v>
              </c:pt>
              <c:pt idx="935">
                <c:v>41493</c:v>
              </c:pt>
              <c:pt idx="936">
                <c:v>41494</c:v>
              </c:pt>
              <c:pt idx="937">
                <c:v>41495</c:v>
              </c:pt>
              <c:pt idx="938">
                <c:v>41498</c:v>
              </c:pt>
              <c:pt idx="939">
                <c:v>41499</c:v>
              </c:pt>
              <c:pt idx="940">
                <c:v>41500</c:v>
              </c:pt>
              <c:pt idx="941">
                <c:v>41501</c:v>
              </c:pt>
              <c:pt idx="942">
                <c:v>41502</c:v>
              </c:pt>
              <c:pt idx="943">
                <c:v>41505</c:v>
              </c:pt>
              <c:pt idx="944">
                <c:v>41506</c:v>
              </c:pt>
              <c:pt idx="945">
                <c:v>41507</c:v>
              </c:pt>
              <c:pt idx="946">
                <c:v>41508</c:v>
              </c:pt>
              <c:pt idx="947">
                <c:v>41509</c:v>
              </c:pt>
              <c:pt idx="948">
                <c:v>41512</c:v>
              </c:pt>
              <c:pt idx="949">
                <c:v>41513</c:v>
              </c:pt>
              <c:pt idx="950">
                <c:v>41514</c:v>
              </c:pt>
              <c:pt idx="951">
                <c:v>41515</c:v>
              </c:pt>
              <c:pt idx="952">
                <c:v>41516</c:v>
              </c:pt>
              <c:pt idx="953">
                <c:v>41520</c:v>
              </c:pt>
              <c:pt idx="954">
                <c:v>41521</c:v>
              </c:pt>
              <c:pt idx="955">
                <c:v>41522</c:v>
              </c:pt>
              <c:pt idx="956">
                <c:v>41523</c:v>
              </c:pt>
              <c:pt idx="957">
                <c:v>41526</c:v>
              </c:pt>
              <c:pt idx="958">
                <c:v>41527</c:v>
              </c:pt>
              <c:pt idx="959">
                <c:v>41528</c:v>
              </c:pt>
              <c:pt idx="960">
                <c:v>41529</c:v>
              </c:pt>
              <c:pt idx="961">
                <c:v>41530</c:v>
              </c:pt>
              <c:pt idx="962">
                <c:v>41533</c:v>
              </c:pt>
              <c:pt idx="963">
                <c:v>41534</c:v>
              </c:pt>
              <c:pt idx="964">
                <c:v>41535</c:v>
              </c:pt>
              <c:pt idx="965">
                <c:v>41536</c:v>
              </c:pt>
              <c:pt idx="966">
                <c:v>41537</c:v>
              </c:pt>
              <c:pt idx="967">
                <c:v>41540</c:v>
              </c:pt>
              <c:pt idx="968">
                <c:v>41541</c:v>
              </c:pt>
              <c:pt idx="969">
                <c:v>41542</c:v>
              </c:pt>
              <c:pt idx="970">
                <c:v>41543</c:v>
              </c:pt>
              <c:pt idx="971">
                <c:v>41544</c:v>
              </c:pt>
              <c:pt idx="972">
                <c:v>41547</c:v>
              </c:pt>
              <c:pt idx="973">
                <c:v>41548</c:v>
              </c:pt>
              <c:pt idx="974">
                <c:v>41549</c:v>
              </c:pt>
              <c:pt idx="975">
                <c:v>41550</c:v>
              </c:pt>
              <c:pt idx="976">
                <c:v>41551</c:v>
              </c:pt>
              <c:pt idx="977">
                <c:v>41554</c:v>
              </c:pt>
              <c:pt idx="978">
                <c:v>41555</c:v>
              </c:pt>
              <c:pt idx="979">
                <c:v>41556</c:v>
              </c:pt>
              <c:pt idx="980">
                <c:v>41557</c:v>
              </c:pt>
              <c:pt idx="981">
                <c:v>41558</c:v>
              </c:pt>
              <c:pt idx="982">
                <c:v>41561</c:v>
              </c:pt>
              <c:pt idx="983">
                <c:v>41562</c:v>
              </c:pt>
              <c:pt idx="984">
                <c:v>41563</c:v>
              </c:pt>
              <c:pt idx="985">
                <c:v>41564</c:v>
              </c:pt>
              <c:pt idx="986">
                <c:v>41565</c:v>
              </c:pt>
              <c:pt idx="987">
                <c:v>41568</c:v>
              </c:pt>
              <c:pt idx="988">
                <c:v>41569</c:v>
              </c:pt>
              <c:pt idx="989">
                <c:v>41570</c:v>
              </c:pt>
              <c:pt idx="990">
                <c:v>41571</c:v>
              </c:pt>
              <c:pt idx="991">
                <c:v>41572</c:v>
              </c:pt>
              <c:pt idx="992">
                <c:v>41575</c:v>
              </c:pt>
              <c:pt idx="993">
                <c:v>41576</c:v>
              </c:pt>
              <c:pt idx="994">
                <c:v>41577</c:v>
              </c:pt>
              <c:pt idx="995">
                <c:v>41578</c:v>
              </c:pt>
              <c:pt idx="996">
                <c:v>41579</c:v>
              </c:pt>
              <c:pt idx="997">
                <c:v>41582</c:v>
              </c:pt>
              <c:pt idx="998">
                <c:v>41583</c:v>
              </c:pt>
              <c:pt idx="999">
                <c:v>41584</c:v>
              </c:pt>
              <c:pt idx="1000">
                <c:v>41585</c:v>
              </c:pt>
              <c:pt idx="1001">
                <c:v>41586</c:v>
              </c:pt>
              <c:pt idx="1002">
                <c:v>41589</c:v>
              </c:pt>
              <c:pt idx="1003">
                <c:v>41590</c:v>
              </c:pt>
              <c:pt idx="1004">
                <c:v>41591</c:v>
              </c:pt>
              <c:pt idx="1005">
                <c:v>41592</c:v>
              </c:pt>
              <c:pt idx="1006">
                <c:v>41593</c:v>
              </c:pt>
              <c:pt idx="1007">
                <c:v>41596</c:v>
              </c:pt>
              <c:pt idx="1008">
                <c:v>41597</c:v>
              </c:pt>
              <c:pt idx="1009">
                <c:v>41598</c:v>
              </c:pt>
              <c:pt idx="1010">
                <c:v>41599</c:v>
              </c:pt>
              <c:pt idx="1011">
                <c:v>41600</c:v>
              </c:pt>
              <c:pt idx="1012">
                <c:v>41603</c:v>
              </c:pt>
              <c:pt idx="1013">
                <c:v>41604</c:v>
              </c:pt>
              <c:pt idx="1014">
                <c:v>41605</c:v>
              </c:pt>
              <c:pt idx="1015">
                <c:v>41607</c:v>
              </c:pt>
              <c:pt idx="1016">
                <c:v>41610</c:v>
              </c:pt>
              <c:pt idx="1017">
                <c:v>41611</c:v>
              </c:pt>
              <c:pt idx="1018">
                <c:v>41612</c:v>
              </c:pt>
              <c:pt idx="1019">
                <c:v>41613</c:v>
              </c:pt>
              <c:pt idx="1020">
                <c:v>41614</c:v>
              </c:pt>
              <c:pt idx="1021">
                <c:v>41617</c:v>
              </c:pt>
              <c:pt idx="1022">
                <c:v>41618</c:v>
              </c:pt>
              <c:pt idx="1023">
                <c:v>41619</c:v>
              </c:pt>
              <c:pt idx="1024">
                <c:v>41620</c:v>
              </c:pt>
              <c:pt idx="1025">
                <c:v>41621</c:v>
              </c:pt>
              <c:pt idx="1026">
                <c:v>41624</c:v>
              </c:pt>
              <c:pt idx="1027">
                <c:v>41625</c:v>
              </c:pt>
              <c:pt idx="1028">
                <c:v>41626</c:v>
              </c:pt>
              <c:pt idx="1029">
                <c:v>41627</c:v>
              </c:pt>
              <c:pt idx="1030">
                <c:v>41628</c:v>
              </c:pt>
              <c:pt idx="1031">
                <c:v>41631</c:v>
              </c:pt>
              <c:pt idx="1032">
                <c:v>41632</c:v>
              </c:pt>
              <c:pt idx="1033">
                <c:v>41634</c:v>
              </c:pt>
              <c:pt idx="1034">
                <c:v>41635</c:v>
              </c:pt>
              <c:pt idx="1035">
                <c:v>41638</c:v>
              </c:pt>
              <c:pt idx="1036">
                <c:v>41639</c:v>
              </c:pt>
              <c:pt idx="1037">
                <c:v>41641</c:v>
              </c:pt>
              <c:pt idx="1038">
                <c:v>41642</c:v>
              </c:pt>
              <c:pt idx="1039">
                <c:v>41645</c:v>
              </c:pt>
              <c:pt idx="1040">
                <c:v>41646</c:v>
              </c:pt>
              <c:pt idx="1041">
                <c:v>41647</c:v>
              </c:pt>
              <c:pt idx="1042">
                <c:v>41648</c:v>
              </c:pt>
              <c:pt idx="1043">
                <c:v>41649</c:v>
              </c:pt>
              <c:pt idx="1044">
                <c:v>41652</c:v>
              </c:pt>
              <c:pt idx="1045">
                <c:v>41653</c:v>
              </c:pt>
              <c:pt idx="1046">
                <c:v>41654</c:v>
              </c:pt>
              <c:pt idx="1047">
                <c:v>41655</c:v>
              </c:pt>
              <c:pt idx="1048">
                <c:v>41656</c:v>
              </c:pt>
              <c:pt idx="1049">
                <c:v>41660</c:v>
              </c:pt>
              <c:pt idx="1050">
                <c:v>41661</c:v>
              </c:pt>
              <c:pt idx="1051">
                <c:v>41662</c:v>
              </c:pt>
              <c:pt idx="1052">
                <c:v>41663</c:v>
              </c:pt>
              <c:pt idx="1053">
                <c:v>41666</c:v>
              </c:pt>
              <c:pt idx="1054">
                <c:v>41667</c:v>
              </c:pt>
              <c:pt idx="1055">
                <c:v>41668</c:v>
              </c:pt>
              <c:pt idx="1056">
                <c:v>41669</c:v>
              </c:pt>
              <c:pt idx="1057">
                <c:v>41670</c:v>
              </c:pt>
              <c:pt idx="1058">
                <c:v>41673</c:v>
              </c:pt>
              <c:pt idx="1059">
                <c:v>41674</c:v>
              </c:pt>
              <c:pt idx="1060">
                <c:v>41675</c:v>
              </c:pt>
              <c:pt idx="1061">
                <c:v>41676</c:v>
              </c:pt>
              <c:pt idx="1062">
                <c:v>41677</c:v>
              </c:pt>
              <c:pt idx="1063">
                <c:v>41680</c:v>
              </c:pt>
              <c:pt idx="1064">
                <c:v>41681</c:v>
              </c:pt>
              <c:pt idx="1065">
                <c:v>41682</c:v>
              </c:pt>
              <c:pt idx="1066">
                <c:v>41683</c:v>
              </c:pt>
              <c:pt idx="1067">
                <c:v>41684</c:v>
              </c:pt>
              <c:pt idx="1068">
                <c:v>41688</c:v>
              </c:pt>
              <c:pt idx="1069">
                <c:v>41689</c:v>
              </c:pt>
              <c:pt idx="1070">
                <c:v>41690</c:v>
              </c:pt>
              <c:pt idx="1071">
                <c:v>41691</c:v>
              </c:pt>
              <c:pt idx="1072">
                <c:v>41694</c:v>
              </c:pt>
              <c:pt idx="1073">
                <c:v>41695</c:v>
              </c:pt>
              <c:pt idx="1074">
                <c:v>41696</c:v>
              </c:pt>
              <c:pt idx="1075">
                <c:v>41697</c:v>
              </c:pt>
              <c:pt idx="1076">
                <c:v>41698</c:v>
              </c:pt>
              <c:pt idx="1077">
                <c:v>41701</c:v>
              </c:pt>
              <c:pt idx="1078">
                <c:v>41702</c:v>
              </c:pt>
              <c:pt idx="1079">
                <c:v>41703</c:v>
              </c:pt>
              <c:pt idx="1080">
                <c:v>41704</c:v>
              </c:pt>
              <c:pt idx="1081">
                <c:v>41705</c:v>
              </c:pt>
              <c:pt idx="1082">
                <c:v>41708</c:v>
              </c:pt>
              <c:pt idx="1083">
                <c:v>41709</c:v>
              </c:pt>
              <c:pt idx="1084">
                <c:v>41710</c:v>
              </c:pt>
              <c:pt idx="1085">
                <c:v>41711</c:v>
              </c:pt>
              <c:pt idx="1086">
                <c:v>41712</c:v>
              </c:pt>
              <c:pt idx="1087">
                <c:v>41715</c:v>
              </c:pt>
              <c:pt idx="1088">
                <c:v>41716</c:v>
              </c:pt>
              <c:pt idx="1089">
                <c:v>41717</c:v>
              </c:pt>
              <c:pt idx="1090">
                <c:v>41718</c:v>
              </c:pt>
              <c:pt idx="1091">
                <c:v>41719</c:v>
              </c:pt>
              <c:pt idx="1092">
                <c:v>41722</c:v>
              </c:pt>
              <c:pt idx="1093">
                <c:v>41723</c:v>
              </c:pt>
              <c:pt idx="1094">
                <c:v>41724</c:v>
              </c:pt>
              <c:pt idx="1095">
                <c:v>41725</c:v>
              </c:pt>
              <c:pt idx="1096">
                <c:v>41726</c:v>
              </c:pt>
              <c:pt idx="1097">
                <c:v>41729</c:v>
              </c:pt>
              <c:pt idx="1098">
                <c:v>41730</c:v>
              </c:pt>
              <c:pt idx="1099">
                <c:v>41731</c:v>
              </c:pt>
              <c:pt idx="1100">
                <c:v>41732</c:v>
              </c:pt>
              <c:pt idx="1101">
                <c:v>41733</c:v>
              </c:pt>
              <c:pt idx="1102">
                <c:v>41736</c:v>
              </c:pt>
              <c:pt idx="1103">
                <c:v>41737</c:v>
              </c:pt>
              <c:pt idx="1104">
                <c:v>41738</c:v>
              </c:pt>
              <c:pt idx="1105">
                <c:v>41739</c:v>
              </c:pt>
              <c:pt idx="1106">
                <c:v>41740</c:v>
              </c:pt>
              <c:pt idx="1107">
                <c:v>41743</c:v>
              </c:pt>
              <c:pt idx="1108">
                <c:v>41744</c:v>
              </c:pt>
              <c:pt idx="1109">
                <c:v>41745</c:v>
              </c:pt>
              <c:pt idx="1110">
                <c:v>41746</c:v>
              </c:pt>
              <c:pt idx="1111">
                <c:v>41750</c:v>
              </c:pt>
              <c:pt idx="1112">
                <c:v>41751</c:v>
              </c:pt>
              <c:pt idx="1113">
                <c:v>41752</c:v>
              </c:pt>
              <c:pt idx="1114">
                <c:v>41753</c:v>
              </c:pt>
              <c:pt idx="1115">
                <c:v>41754</c:v>
              </c:pt>
              <c:pt idx="1116">
                <c:v>41757</c:v>
              </c:pt>
              <c:pt idx="1117">
                <c:v>41758</c:v>
              </c:pt>
              <c:pt idx="1118">
                <c:v>41759</c:v>
              </c:pt>
              <c:pt idx="1119">
                <c:v>41760</c:v>
              </c:pt>
              <c:pt idx="1120">
                <c:v>41761</c:v>
              </c:pt>
              <c:pt idx="1121">
                <c:v>41764</c:v>
              </c:pt>
              <c:pt idx="1122">
                <c:v>41765</c:v>
              </c:pt>
              <c:pt idx="1123">
                <c:v>41766</c:v>
              </c:pt>
              <c:pt idx="1124">
                <c:v>41767</c:v>
              </c:pt>
              <c:pt idx="1125">
                <c:v>41768</c:v>
              </c:pt>
              <c:pt idx="1126">
                <c:v>41771</c:v>
              </c:pt>
              <c:pt idx="1127">
                <c:v>41772</c:v>
              </c:pt>
              <c:pt idx="1128">
                <c:v>41773</c:v>
              </c:pt>
              <c:pt idx="1129">
                <c:v>41774</c:v>
              </c:pt>
              <c:pt idx="1130">
                <c:v>41775</c:v>
              </c:pt>
              <c:pt idx="1131">
                <c:v>41778</c:v>
              </c:pt>
              <c:pt idx="1132">
                <c:v>41779</c:v>
              </c:pt>
              <c:pt idx="1133">
                <c:v>41780</c:v>
              </c:pt>
              <c:pt idx="1134">
                <c:v>41781</c:v>
              </c:pt>
              <c:pt idx="1135">
                <c:v>41782</c:v>
              </c:pt>
              <c:pt idx="1136">
                <c:v>41786</c:v>
              </c:pt>
              <c:pt idx="1137">
                <c:v>41787</c:v>
              </c:pt>
              <c:pt idx="1138">
                <c:v>41788</c:v>
              </c:pt>
              <c:pt idx="1139">
                <c:v>41789</c:v>
              </c:pt>
              <c:pt idx="1140">
                <c:v>41792</c:v>
              </c:pt>
              <c:pt idx="1141">
                <c:v>41793</c:v>
              </c:pt>
              <c:pt idx="1142">
                <c:v>41794</c:v>
              </c:pt>
              <c:pt idx="1143">
                <c:v>41795</c:v>
              </c:pt>
              <c:pt idx="1144">
                <c:v>41796</c:v>
              </c:pt>
              <c:pt idx="1145">
                <c:v>41799</c:v>
              </c:pt>
              <c:pt idx="1146">
                <c:v>41800</c:v>
              </c:pt>
              <c:pt idx="1147">
                <c:v>41801</c:v>
              </c:pt>
              <c:pt idx="1148">
                <c:v>41802</c:v>
              </c:pt>
              <c:pt idx="1149">
                <c:v>41803</c:v>
              </c:pt>
              <c:pt idx="1150">
                <c:v>41806</c:v>
              </c:pt>
              <c:pt idx="1151">
                <c:v>41807</c:v>
              </c:pt>
              <c:pt idx="1152">
                <c:v>41808</c:v>
              </c:pt>
              <c:pt idx="1153">
                <c:v>41809</c:v>
              </c:pt>
              <c:pt idx="1154">
                <c:v>41810</c:v>
              </c:pt>
              <c:pt idx="1155">
                <c:v>41813</c:v>
              </c:pt>
              <c:pt idx="1156">
                <c:v>41814</c:v>
              </c:pt>
              <c:pt idx="1157">
                <c:v>41815</c:v>
              </c:pt>
              <c:pt idx="1158">
                <c:v>41816</c:v>
              </c:pt>
              <c:pt idx="1159">
                <c:v>41817</c:v>
              </c:pt>
              <c:pt idx="1160">
                <c:v>41820</c:v>
              </c:pt>
              <c:pt idx="1161">
                <c:v>41821</c:v>
              </c:pt>
              <c:pt idx="1162">
                <c:v>41822</c:v>
              </c:pt>
              <c:pt idx="1163">
                <c:v>41823</c:v>
              </c:pt>
              <c:pt idx="1164">
                <c:v>41827</c:v>
              </c:pt>
              <c:pt idx="1165">
                <c:v>41828</c:v>
              </c:pt>
              <c:pt idx="1166">
                <c:v>41829</c:v>
              </c:pt>
              <c:pt idx="1167">
                <c:v>41830</c:v>
              </c:pt>
              <c:pt idx="1168">
                <c:v>41831</c:v>
              </c:pt>
              <c:pt idx="1169">
                <c:v>41834</c:v>
              </c:pt>
              <c:pt idx="1170">
                <c:v>41835</c:v>
              </c:pt>
              <c:pt idx="1171">
                <c:v>41836</c:v>
              </c:pt>
              <c:pt idx="1172">
                <c:v>41837</c:v>
              </c:pt>
              <c:pt idx="1173">
                <c:v>41838</c:v>
              </c:pt>
              <c:pt idx="1174">
                <c:v>41841</c:v>
              </c:pt>
              <c:pt idx="1175">
                <c:v>41842</c:v>
              </c:pt>
              <c:pt idx="1176">
                <c:v>41843</c:v>
              </c:pt>
              <c:pt idx="1177">
                <c:v>41844</c:v>
              </c:pt>
              <c:pt idx="1178">
                <c:v>41845</c:v>
              </c:pt>
              <c:pt idx="1179">
                <c:v>41848</c:v>
              </c:pt>
              <c:pt idx="1180">
                <c:v>41849</c:v>
              </c:pt>
              <c:pt idx="1181">
                <c:v>41850</c:v>
              </c:pt>
              <c:pt idx="1182">
                <c:v>41851</c:v>
              </c:pt>
              <c:pt idx="1183">
                <c:v>41852</c:v>
              </c:pt>
              <c:pt idx="1184">
                <c:v>41855</c:v>
              </c:pt>
              <c:pt idx="1185">
                <c:v>41856</c:v>
              </c:pt>
              <c:pt idx="1186">
                <c:v>41857</c:v>
              </c:pt>
              <c:pt idx="1187">
                <c:v>41858</c:v>
              </c:pt>
              <c:pt idx="1188">
                <c:v>41859</c:v>
              </c:pt>
              <c:pt idx="1189">
                <c:v>41862</c:v>
              </c:pt>
              <c:pt idx="1190">
                <c:v>41863</c:v>
              </c:pt>
              <c:pt idx="1191">
                <c:v>41864</c:v>
              </c:pt>
              <c:pt idx="1192">
                <c:v>41865</c:v>
              </c:pt>
              <c:pt idx="1193">
                <c:v>41866</c:v>
              </c:pt>
              <c:pt idx="1194">
                <c:v>41869</c:v>
              </c:pt>
              <c:pt idx="1195">
                <c:v>41870</c:v>
              </c:pt>
              <c:pt idx="1196">
                <c:v>41871</c:v>
              </c:pt>
              <c:pt idx="1197">
                <c:v>41872</c:v>
              </c:pt>
              <c:pt idx="1198">
                <c:v>41873</c:v>
              </c:pt>
              <c:pt idx="1199">
                <c:v>41876</c:v>
              </c:pt>
              <c:pt idx="1200">
                <c:v>41877</c:v>
              </c:pt>
              <c:pt idx="1201">
                <c:v>41878</c:v>
              </c:pt>
              <c:pt idx="1202">
                <c:v>41879</c:v>
              </c:pt>
              <c:pt idx="1203">
                <c:v>41880</c:v>
              </c:pt>
              <c:pt idx="1204">
                <c:v>41884</c:v>
              </c:pt>
              <c:pt idx="1205">
                <c:v>41885</c:v>
              </c:pt>
              <c:pt idx="1206">
                <c:v>41886</c:v>
              </c:pt>
              <c:pt idx="1207">
                <c:v>41887</c:v>
              </c:pt>
              <c:pt idx="1208">
                <c:v>41890</c:v>
              </c:pt>
              <c:pt idx="1209">
                <c:v>41891</c:v>
              </c:pt>
              <c:pt idx="1210">
                <c:v>41892</c:v>
              </c:pt>
              <c:pt idx="1211">
                <c:v>41893</c:v>
              </c:pt>
              <c:pt idx="1212">
                <c:v>41894</c:v>
              </c:pt>
              <c:pt idx="1213">
                <c:v>41897</c:v>
              </c:pt>
              <c:pt idx="1214">
                <c:v>41898</c:v>
              </c:pt>
              <c:pt idx="1215">
                <c:v>41899</c:v>
              </c:pt>
              <c:pt idx="1216">
                <c:v>41900</c:v>
              </c:pt>
              <c:pt idx="1217">
                <c:v>41901</c:v>
              </c:pt>
              <c:pt idx="1218">
                <c:v>41904</c:v>
              </c:pt>
              <c:pt idx="1219">
                <c:v>41905</c:v>
              </c:pt>
              <c:pt idx="1220">
                <c:v>41906</c:v>
              </c:pt>
              <c:pt idx="1221">
                <c:v>41907</c:v>
              </c:pt>
              <c:pt idx="1222">
                <c:v>41908</c:v>
              </c:pt>
              <c:pt idx="1223">
                <c:v>41911</c:v>
              </c:pt>
              <c:pt idx="1224">
                <c:v>41912</c:v>
              </c:pt>
              <c:pt idx="1225">
                <c:v>41913</c:v>
              </c:pt>
              <c:pt idx="1226">
                <c:v>41914</c:v>
              </c:pt>
              <c:pt idx="1227">
                <c:v>41915</c:v>
              </c:pt>
              <c:pt idx="1228">
                <c:v>41918</c:v>
              </c:pt>
              <c:pt idx="1229">
                <c:v>41919</c:v>
              </c:pt>
              <c:pt idx="1230">
                <c:v>41920</c:v>
              </c:pt>
              <c:pt idx="1231">
                <c:v>41921</c:v>
              </c:pt>
              <c:pt idx="1232">
                <c:v>41922</c:v>
              </c:pt>
              <c:pt idx="1233">
                <c:v>41925</c:v>
              </c:pt>
              <c:pt idx="1234">
                <c:v>41926</c:v>
              </c:pt>
              <c:pt idx="1235">
                <c:v>41927</c:v>
              </c:pt>
              <c:pt idx="1236">
                <c:v>41928</c:v>
              </c:pt>
              <c:pt idx="1237">
                <c:v>41929</c:v>
              </c:pt>
              <c:pt idx="1238">
                <c:v>41932</c:v>
              </c:pt>
              <c:pt idx="1239">
                <c:v>41933</c:v>
              </c:pt>
              <c:pt idx="1240">
                <c:v>41934</c:v>
              </c:pt>
              <c:pt idx="1241">
                <c:v>41935</c:v>
              </c:pt>
              <c:pt idx="1242">
                <c:v>41936</c:v>
              </c:pt>
              <c:pt idx="1243">
                <c:v>41939</c:v>
              </c:pt>
              <c:pt idx="1244">
                <c:v>41940</c:v>
              </c:pt>
              <c:pt idx="1245">
                <c:v>41941</c:v>
              </c:pt>
              <c:pt idx="1246">
                <c:v>41942</c:v>
              </c:pt>
              <c:pt idx="1247">
                <c:v>41943</c:v>
              </c:pt>
              <c:pt idx="1248">
                <c:v>41946</c:v>
              </c:pt>
              <c:pt idx="1249">
                <c:v>41947</c:v>
              </c:pt>
              <c:pt idx="1250">
                <c:v>41948</c:v>
              </c:pt>
              <c:pt idx="1251">
                <c:v>41949</c:v>
              </c:pt>
              <c:pt idx="1252">
                <c:v>41950</c:v>
              </c:pt>
              <c:pt idx="1253">
                <c:v>41953</c:v>
              </c:pt>
              <c:pt idx="1254">
                <c:v>41954</c:v>
              </c:pt>
              <c:pt idx="1255">
                <c:v>41955</c:v>
              </c:pt>
              <c:pt idx="1256">
                <c:v>41956</c:v>
              </c:pt>
              <c:pt idx="1257">
                <c:v>41957</c:v>
              </c:pt>
              <c:pt idx="1258">
                <c:v>41960</c:v>
              </c:pt>
              <c:pt idx="1259">
                <c:v>41961</c:v>
              </c:pt>
              <c:pt idx="1260">
                <c:v>41962</c:v>
              </c:pt>
              <c:pt idx="1261">
                <c:v>41963</c:v>
              </c:pt>
              <c:pt idx="1262">
                <c:v>41964</c:v>
              </c:pt>
              <c:pt idx="1263">
                <c:v>41967</c:v>
              </c:pt>
              <c:pt idx="1264">
                <c:v>41968</c:v>
              </c:pt>
              <c:pt idx="1265">
                <c:v>41969</c:v>
              </c:pt>
              <c:pt idx="1266">
                <c:v>41971</c:v>
              </c:pt>
              <c:pt idx="1267">
                <c:v>41974</c:v>
              </c:pt>
              <c:pt idx="1268">
                <c:v>41975</c:v>
              </c:pt>
              <c:pt idx="1269">
                <c:v>41976</c:v>
              </c:pt>
              <c:pt idx="1270">
                <c:v>41977</c:v>
              </c:pt>
              <c:pt idx="1271">
                <c:v>41978</c:v>
              </c:pt>
              <c:pt idx="1272">
                <c:v>41981</c:v>
              </c:pt>
              <c:pt idx="1273">
                <c:v>41982</c:v>
              </c:pt>
              <c:pt idx="1274">
                <c:v>41983</c:v>
              </c:pt>
              <c:pt idx="1275">
                <c:v>41984</c:v>
              </c:pt>
              <c:pt idx="1276">
                <c:v>41985</c:v>
              </c:pt>
              <c:pt idx="1277">
                <c:v>41988</c:v>
              </c:pt>
              <c:pt idx="1278">
                <c:v>41989</c:v>
              </c:pt>
              <c:pt idx="1279">
                <c:v>41990</c:v>
              </c:pt>
              <c:pt idx="1280">
                <c:v>41991</c:v>
              </c:pt>
              <c:pt idx="1281">
                <c:v>41992</c:v>
              </c:pt>
              <c:pt idx="1282">
                <c:v>41995</c:v>
              </c:pt>
              <c:pt idx="1283">
                <c:v>41996</c:v>
              </c:pt>
              <c:pt idx="1284">
                <c:v>41997</c:v>
              </c:pt>
              <c:pt idx="1285">
                <c:v>41999</c:v>
              </c:pt>
              <c:pt idx="1286">
                <c:v>42002</c:v>
              </c:pt>
              <c:pt idx="1287">
                <c:v>42003</c:v>
              </c:pt>
              <c:pt idx="1288">
                <c:v>42004</c:v>
              </c:pt>
              <c:pt idx="1289">
                <c:v>42006</c:v>
              </c:pt>
              <c:pt idx="1290">
                <c:v>42009</c:v>
              </c:pt>
              <c:pt idx="1291">
                <c:v>42010</c:v>
              </c:pt>
              <c:pt idx="1292">
                <c:v>42011</c:v>
              </c:pt>
              <c:pt idx="1293">
                <c:v>42012</c:v>
              </c:pt>
              <c:pt idx="1294">
                <c:v>42013</c:v>
              </c:pt>
              <c:pt idx="1295">
                <c:v>42016</c:v>
              </c:pt>
              <c:pt idx="1296">
                <c:v>42017</c:v>
              </c:pt>
              <c:pt idx="1297">
                <c:v>42018</c:v>
              </c:pt>
              <c:pt idx="1298">
                <c:v>42019</c:v>
              </c:pt>
              <c:pt idx="1299">
                <c:v>42020</c:v>
              </c:pt>
              <c:pt idx="1300">
                <c:v>42024</c:v>
              </c:pt>
              <c:pt idx="1301">
                <c:v>42025</c:v>
              </c:pt>
              <c:pt idx="1302">
                <c:v>42026</c:v>
              </c:pt>
              <c:pt idx="1303">
                <c:v>42027</c:v>
              </c:pt>
              <c:pt idx="1304">
                <c:v>42030</c:v>
              </c:pt>
              <c:pt idx="1305">
                <c:v>42031</c:v>
              </c:pt>
              <c:pt idx="1306">
                <c:v>42032</c:v>
              </c:pt>
              <c:pt idx="1307">
                <c:v>42033</c:v>
              </c:pt>
              <c:pt idx="1308">
                <c:v>42034</c:v>
              </c:pt>
              <c:pt idx="1309">
                <c:v>42037</c:v>
              </c:pt>
              <c:pt idx="1310">
                <c:v>42038</c:v>
              </c:pt>
              <c:pt idx="1311">
                <c:v>42039</c:v>
              </c:pt>
              <c:pt idx="1312">
                <c:v>42040</c:v>
              </c:pt>
              <c:pt idx="1313">
                <c:v>42041</c:v>
              </c:pt>
              <c:pt idx="1314">
                <c:v>42044</c:v>
              </c:pt>
              <c:pt idx="1315">
                <c:v>42045</c:v>
              </c:pt>
              <c:pt idx="1316">
                <c:v>42046</c:v>
              </c:pt>
              <c:pt idx="1317">
                <c:v>42047</c:v>
              </c:pt>
              <c:pt idx="1318">
                <c:v>42048</c:v>
              </c:pt>
              <c:pt idx="1319">
                <c:v>42052</c:v>
              </c:pt>
              <c:pt idx="1320">
                <c:v>42053</c:v>
              </c:pt>
              <c:pt idx="1321">
                <c:v>42054</c:v>
              </c:pt>
              <c:pt idx="1322">
                <c:v>42055</c:v>
              </c:pt>
              <c:pt idx="1323">
                <c:v>42058</c:v>
              </c:pt>
              <c:pt idx="1324">
                <c:v>42059</c:v>
              </c:pt>
              <c:pt idx="1325">
                <c:v>42060</c:v>
              </c:pt>
              <c:pt idx="1326">
                <c:v>42061</c:v>
              </c:pt>
              <c:pt idx="1327">
                <c:v>42062</c:v>
              </c:pt>
              <c:pt idx="1328">
                <c:v>42065</c:v>
              </c:pt>
              <c:pt idx="1329">
                <c:v>42066</c:v>
              </c:pt>
              <c:pt idx="1330">
                <c:v>42067</c:v>
              </c:pt>
              <c:pt idx="1331">
                <c:v>42068</c:v>
              </c:pt>
              <c:pt idx="1332">
                <c:v>42069</c:v>
              </c:pt>
              <c:pt idx="1333">
                <c:v>42072</c:v>
              </c:pt>
              <c:pt idx="1334">
                <c:v>42073</c:v>
              </c:pt>
              <c:pt idx="1335">
                <c:v>42074</c:v>
              </c:pt>
              <c:pt idx="1336">
                <c:v>42075</c:v>
              </c:pt>
              <c:pt idx="1337">
                <c:v>42076</c:v>
              </c:pt>
              <c:pt idx="1338">
                <c:v>42079</c:v>
              </c:pt>
              <c:pt idx="1339">
                <c:v>42080</c:v>
              </c:pt>
              <c:pt idx="1340">
                <c:v>42081</c:v>
              </c:pt>
              <c:pt idx="1341">
                <c:v>42082</c:v>
              </c:pt>
              <c:pt idx="1342">
                <c:v>42083</c:v>
              </c:pt>
              <c:pt idx="1343">
                <c:v>42086</c:v>
              </c:pt>
              <c:pt idx="1344">
                <c:v>42087</c:v>
              </c:pt>
              <c:pt idx="1345">
                <c:v>42088</c:v>
              </c:pt>
              <c:pt idx="1346">
                <c:v>42089</c:v>
              </c:pt>
              <c:pt idx="1347">
                <c:v>42090</c:v>
              </c:pt>
              <c:pt idx="1348">
                <c:v>42093</c:v>
              </c:pt>
              <c:pt idx="1349">
                <c:v>42094</c:v>
              </c:pt>
              <c:pt idx="1350">
                <c:v>42095</c:v>
              </c:pt>
              <c:pt idx="1351">
                <c:v>42096</c:v>
              </c:pt>
              <c:pt idx="1352">
                <c:v>42100</c:v>
              </c:pt>
              <c:pt idx="1353">
                <c:v>42101</c:v>
              </c:pt>
              <c:pt idx="1354">
                <c:v>42102</c:v>
              </c:pt>
              <c:pt idx="1355">
                <c:v>42103</c:v>
              </c:pt>
              <c:pt idx="1356">
                <c:v>42104</c:v>
              </c:pt>
              <c:pt idx="1357">
                <c:v>42107</c:v>
              </c:pt>
              <c:pt idx="1358">
                <c:v>42108</c:v>
              </c:pt>
              <c:pt idx="1359">
                <c:v>42109</c:v>
              </c:pt>
              <c:pt idx="1360">
                <c:v>42110</c:v>
              </c:pt>
              <c:pt idx="1361">
                <c:v>42111</c:v>
              </c:pt>
              <c:pt idx="1362">
                <c:v>42114</c:v>
              </c:pt>
              <c:pt idx="1363">
                <c:v>42115</c:v>
              </c:pt>
              <c:pt idx="1364">
                <c:v>42116</c:v>
              </c:pt>
              <c:pt idx="1365">
                <c:v>42117</c:v>
              </c:pt>
              <c:pt idx="1366">
                <c:v>42118</c:v>
              </c:pt>
              <c:pt idx="1367">
                <c:v>42121</c:v>
              </c:pt>
              <c:pt idx="1368">
                <c:v>42122</c:v>
              </c:pt>
              <c:pt idx="1369">
                <c:v>42123</c:v>
              </c:pt>
              <c:pt idx="1370">
                <c:v>42124</c:v>
              </c:pt>
              <c:pt idx="1371">
                <c:v>42125</c:v>
              </c:pt>
              <c:pt idx="1372">
                <c:v>42128</c:v>
              </c:pt>
              <c:pt idx="1373">
                <c:v>42129</c:v>
              </c:pt>
              <c:pt idx="1374">
                <c:v>42130</c:v>
              </c:pt>
              <c:pt idx="1375">
                <c:v>42131</c:v>
              </c:pt>
              <c:pt idx="1376">
                <c:v>42132</c:v>
              </c:pt>
              <c:pt idx="1377">
                <c:v>42135</c:v>
              </c:pt>
              <c:pt idx="1378">
                <c:v>42136</c:v>
              </c:pt>
              <c:pt idx="1379">
                <c:v>42137</c:v>
              </c:pt>
              <c:pt idx="1380">
                <c:v>42138</c:v>
              </c:pt>
              <c:pt idx="1381">
                <c:v>42139</c:v>
              </c:pt>
              <c:pt idx="1382">
                <c:v>42142</c:v>
              </c:pt>
              <c:pt idx="1383">
                <c:v>42143</c:v>
              </c:pt>
              <c:pt idx="1384">
                <c:v>42144</c:v>
              </c:pt>
              <c:pt idx="1385">
                <c:v>42145</c:v>
              </c:pt>
              <c:pt idx="1386">
                <c:v>42146</c:v>
              </c:pt>
              <c:pt idx="1387">
                <c:v>42150</c:v>
              </c:pt>
              <c:pt idx="1388">
                <c:v>42151</c:v>
              </c:pt>
              <c:pt idx="1389">
                <c:v>42152</c:v>
              </c:pt>
              <c:pt idx="1390">
                <c:v>42153</c:v>
              </c:pt>
              <c:pt idx="1391">
                <c:v>42156</c:v>
              </c:pt>
              <c:pt idx="1392">
                <c:v>42157</c:v>
              </c:pt>
              <c:pt idx="1393">
                <c:v>42158</c:v>
              </c:pt>
              <c:pt idx="1394">
                <c:v>42159</c:v>
              </c:pt>
              <c:pt idx="1395">
                <c:v>42160</c:v>
              </c:pt>
              <c:pt idx="1396">
                <c:v>42163</c:v>
              </c:pt>
              <c:pt idx="1397">
                <c:v>42164</c:v>
              </c:pt>
              <c:pt idx="1398">
                <c:v>42165</c:v>
              </c:pt>
              <c:pt idx="1399">
                <c:v>42166</c:v>
              </c:pt>
              <c:pt idx="1400">
                <c:v>42167</c:v>
              </c:pt>
              <c:pt idx="1401">
                <c:v>42170</c:v>
              </c:pt>
              <c:pt idx="1402">
                <c:v>42171</c:v>
              </c:pt>
              <c:pt idx="1403">
                <c:v>42172</c:v>
              </c:pt>
              <c:pt idx="1404">
                <c:v>42173</c:v>
              </c:pt>
              <c:pt idx="1405">
                <c:v>42174</c:v>
              </c:pt>
              <c:pt idx="1406">
                <c:v>42177</c:v>
              </c:pt>
              <c:pt idx="1407">
                <c:v>42178</c:v>
              </c:pt>
              <c:pt idx="1408">
                <c:v>42179</c:v>
              </c:pt>
              <c:pt idx="1409">
                <c:v>42180</c:v>
              </c:pt>
              <c:pt idx="1410">
                <c:v>42181</c:v>
              </c:pt>
              <c:pt idx="1411">
                <c:v>42184</c:v>
              </c:pt>
              <c:pt idx="1412">
                <c:v>42185</c:v>
              </c:pt>
              <c:pt idx="1413">
                <c:v>42186</c:v>
              </c:pt>
              <c:pt idx="1414">
                <c:v>42187</c:v>
              </c:pt>
              <c:pt idx="1415">
                <c:v>42191</c:v>
              </c:pt>
              <c:pt idx="1416">
                <c:v>42192</c:v>
              </c:pt>
              <c:pt idx="1417">
                <c:v>42193</c:v>
              </c:pt>
              <c:pt idx="1418">
                <c:v>42194</c:v>
              </c:pt>
              <c:pt idx="1419">
                <c:v>42195</c:v>
              </c:pt>
              <c:pt idx="1420">
                <c:v>42198</c:v>
              </c:pt>
              <c:pt idx="1421">
                <c:v>42199</c:v>
              </c:pt>
              <c:pt idx="1422">
                <c:v>42200</c:v>
              </c:pt>
              <c:pt idx="1423">
                <c:v>42201</c:v>
              </c:pt>
              <c:pt idx="1424">
                <c:v>42202</c:v>
              </c:pt>
              <c:pt idx="1425">
                <c:v>42205</c:v>
              </c:pt>
              <c:pt idx="1426">
                <c:v>42206</c:v>
              </c:pt>
              <c:pt idx="1427">
                <c:v>42207</c:v>
              </c:pt>
              <c:pt idx="1428">
                <c:v>42208</c:v>
              </c:pt>
              <c:pt idx="1429">
                <c:v>42209</c:v>
              </c:pt>
              <c:pt idx="1430">
                <c:v>42212</c:v>
              </c:pt>
              <c:pt idx="1431">
                <c:v>42213</c:v>
              </c:pt>
              <c:pt idx="1432">
                <c:v>42214</c:v>
              </c:pt>
              <c:pt idx="1433">
                <c:v>42215</c:v>
              </c:pt>
              <c:pt idx="1434">
                <c:v>42216</c:v>
              </c:pt>
              <c:pt idx="1435">
                <c:v>42219</c:v>
              </c:pt>
              <c:pt idx="1436">
                <c:v>42220</c:v>
              </c:pt>
              <c:pt idx="1437">
                <c:v>42221</c:v>
              </c:pt>
              <c:pt idx="1438">
                <c:v>42222</c:v>
              </c:pt>
              <c:pt idx="1439">
                <c:v>42223</c:v>
              </c:pt>
              <c:pt idx="1440">
                <c:v>42226</c:v>
              </c:pt>
              <c:pt idx="1441">
                <c:v>42227</c:v>
              </c:pt>
              <c:pt idx="1442">
                <c:v>42228</c:v>
              </c:pt>
              <c:pt idx="1443">
                <c:v>42229</c:v>
              </c:pt>
              <c:pt idx="1444">
                <c:v>42230</c:v>
              </c:pt>
              <c:pt idx="1445">
                <c:v>42233</c:v>
              </c:pt>
              <c:pt idx="1446">
                <c:v>42234</c:v>
              </c:pt>
              <c:pt idx="1447">
                <c:v>42235</c:v>
              </c:pt>
              <c:pt idx="1448">
                <c:v>42236</c:v>
              </c:pt>
              <c:pt idx="1449">
                <c:v>42237</c:v>
              </c:pt>
              <c:pt idx="1450">
                <c:v>42240</c:v>
              </c:pt>
              <c:pt idx="1451">
                <c:v>42241</c:v>
              </c:pt>
              <c:pt idx="1452">
                <c:v>42242</c:v>
              </c:pt>
              <c:pt idx="1453">
                <c:v>42243</c:v>
              </c:pt>
              <c:pt idx="1454">
                <c:v>42244</c:v>
              </c:pt>
              <c:pt idx="1455">
                <c:v>42247</c:v>
              </c:pt>
              <c:pt idx="1456">
                <c:v>42248</c:v>
              </c:pt>
              <c:pt idx="1457">
                <c:v>42249</c:v>
              </c:pt>
              <c:pt idx="1458">
                <c:v>42250</c:v>
              </c:pt>
              <c:pt idx="1459">
                <c:v>42251</c:v>
              </c:pt>
              <c:pt idx="1460">
                <c:v>42255</c:v>
              </c:pt>
              <c:pt idx="1461">
                <c:v>42256</c:v>
              </c:pt>
              <c:pt idx="1462">
                <c:v>42257</c:v>
              </c:pt>
              <c:pt idx="1463">
                <c:v>42258</c:v>
              </c:pt>
              <c:pt idx="1464">
                <c:v>42261</c:v>
              </c:pt>
              <c:pt idx="1465">
                <c:v>42262</c:v>
              </c:pt>
              <c:pt idx="1466">
                <c:v>42263</c:v>
              </c:pt>
              <c:pt idx="1467">
                <c:v>42264</c:v>
              </c:pt>
              <c:pt idx="1468">
                <c:v>42265</c:v>
              </c:pt>
              <c:pt idx="1469">
                <c:v>42268</c:v>
              </c:pt>
              <c:pt idx="1470">
                <c:v>42269</c:v>
              </c:pt>
              <c:pt idx="1471">
                <c:v>42270</c:v>
              </c:pt>
              <c:pt idx="1472">
                <c:v>42271</c:v>
              </c:pt>
              <c:pt idx="1473">
                <c:v>42272</c:v>
              </c:pt>
              <c:pt idx="1474">
                <c:v>42275</c:v>
              </c:pt>
              <c:pt idx="1475">
                <c:v>42276</c:v>
              </c:pt>
              <c:pt idx="1476">
                <c:v>42277</c:v>
              </c:pt>
              <c:pt idx="1477">
                <c:v>42278</c:v>
              </c:pt>
              <c:pt idx="1478">
                <c:v>42279</c:v>
              </c:pt>
              <c:pt idx="1479">
                <c:v>42282</c:v>
              </c:pt>
              <c:pt idx="1480">
                <c:v>42283</c:v>
              </c:pt>
              <c:pt idx="1481">
                <c:v>42284</c:v>
              </c:pt>
              <c:pt idx="1482">
                <c:v>42285</c:v>
              </c:pt>
              <c:pt idx="1483">
                <c:v>42286</c:v>
              </c:pt>
              <c:pt idx="1484">
                <c:v>42289</c:v>
              </c:pt>
              <c:pt idx="1485">
                <c:v>42290</c:v>
              </c:pt>
              <c:pt idx="1486">
                <c:v>42291</c:v>
              </c:pt>
              <c:pt idx="1487">
                <c:v>42292</c:v>
              </c:pt>
              <c:pt idx="1488">
                <c:v>42293</c:v>
              </c:pt>
              <c:pt idx="1489">
                <c:v>42296</c:v>
              </c:pt>
              <c:pt idx="1490">
                <c:v>42297</c:v>
              </c:pt>
              <c:pt idx="1491">
                <c:v>42298</c:v>
              </c:pt>
              <c:pt idx="1492">
                <c:v>42299</c:v>
              </c:pt>
              <c:pt idx="1493">
                <c:v>42300</c:v>
              </c:pt>
              <c:pt idx="1494">
                <c:v>42303</c:v>
              </c:pt>
              <c:pt idx="1495">
                <c:v>42304</c:v>
              </c:pt>
              <c:pt idx="1496">
                <c:v>42305</c:v>
              </c:pt>
              <c:pt idx="1497">
                <c:v>42306</c:v>
              </c:pt>
              <c:pt idx="1498">
                <c:v>42307</c:v>
              </c:pt>
              <c:pt idx="1499">
                <c:v>42310</c:v>
              </c:pt>
              <c:pt idx="1500">
                <c:v>42311</c:v>
              </c:pt>
              <c:pt idx="1501">
                <c:v>42312</c:v>
              </c:pt>
              <c:pt idx="1502">
                <c:v>42313</c:v>
              </c:pt>
              <c:pt idx="1503">
                <c:v>42314</c:v>
              </c:pt>
              <c:pt idx="1504">
                <c:v>42317</c:v>
              </c:pt>
              <c:pt idx="1505">
                <c:v>42318</c:v>
              </c:pt>
              <c:pt idx="1506">
                <c:v>42319</c:v>
              </c:pt>
              <c:pt idx="1507">
                <c:v>42320</c:v>
              </c:pt>
              <c:pt idx="1508">
                <c:v>42321</c:v>
              </c:pt>
              <c:pt idx="1509">
                <c:v>42324</c:v>
              </c:pt>
              <c:pt idx="1510">
                <c:v>42325</c:v>
              </c:pt>
              <c:pt idx="1511">
                <c:v>42326</c:v>
              </c:pt>
              <c:pt idx="1512">
                <c:v>42327</c:v>
              </c:pt>
              <c:pt idx="1513">
                <c:v>42328</c:v>
              </c:pt>
              <c:pt idx="1514">
                <c:v>42331</c:v>
              </c:pt>
              <c:pt idx="1515">
                <c:v>42332</c:v>
              </c:pt>
              <c:pt idx="1516">
                <c:v>42333</c:v>
              </c:pt>
              <c:pt idx="1517">
                <c:v>42335</c:v>
              </c:pt>
              <c:pt idx="1518">
                <c:v>42338</c:v>
              </c:pt>
              <c:pt idx="1519">
                <c:v>42339</c:v>
              </c:pt>
              <c:pt idx="1520">
                <c:v>42340</c:v>
              </c:pt>
              <c:pt idx="1521">
                <c:v>42341</c:v>
              </c:pt>
              <c:pt idx="1522">
                <c:v>42342</c:v>
              </c:pt>
              <c:pt idx="1523">
                <c:v>42345</c:v>
              </c:pt>
              <c:pt idx="1524">
                <c:v>42346</c:v>
              </c:pt>
              <c:pt idx="1525">
                <c:v>42347</c:v>
              </c:pt>
              <c:pt idx="1526">
                <c:v>42348</c:v>
              </c:pt>
              <c:pt idx="1527">
                <c:v>42349</c:v>
              </c:pt>
              <c:pt idx="1528">
                <c:v>42352</c:v>
              </c:pt>
              <c:pt idx="1529">
                <c:v>42353</c:v>
              </c:pt>
              <c:pt idx="1530">
                <c:v>42354</c:v>
              </c:pt>
              <c:pt idx="1531">
                <c:v>42355</c:v>
              </c:pt>
              <c:pt idx="1532">
                <c:v>42356</c:v>
              </c:pt>
              <c:pt idx="1533">
                <c:v>42359</c:v>
              </c:pt>
              <c:pt idx="1534">
                <c:v>42360</c:v>
              </c:pt>
              <c:pt idx="1535">
                <c:v>42361</c:v>
              </c:pt>
              <c:pt idx="1536">
                <c:v>42362</c:v>
              </c:pt>
              <c:pt idx="1537">
                <c:v>42366</c:v>
              </c:pt>
              <c:pt idx="1538">
                <c:v>42367</c:v>
              </c:pt>
              <c:pt idx="1539">
                <c:v>42368</c:v>
              </c:pt>
              <c:pt idx="1540">
                <c:v>42369</c:v>
              </c:pt>
              <c:pt idx="1541">
                <c:v>42373</c:v>
              </c:pt>
              <c:pt idx="1542">
                <c:v>42374</c:v>
              </c:pt>
              <c:pt idx="1543">
                <c:v>42375</c:v>
              </c:pt>
              <c:pt idx="1544">
                <c:v>42376</c:v>
              </c:pt>
              <c:pt idx="1545">
                <c:v>42377</c:v>
              </c:pt>
              <c:pt idx="1546">
                <c:v>42380</c:v>
              </c:pt>
              <c:pt idx="1547">
                <c:v>42381</c:v>
              </c:pt>
              <c:pt idx="1548">
                <c:v>42382</c:v>
              </c:pt>
              <c:pt idx="1549">
                <c:v>42383</c:v>
              </c:pt>
              <c:pt idx="1550">
                <c:v>42384</c:v>
              </c:pt>
              <c:pt idx="1551">
                <c:v>42388</c:v>
              </c:pt>
              <c:pt idx="1552">
                <c:v>42389</c:v>
              </c:pt>
              <c:pt idx="1553">
                <c:v>42390</c:v>
              </c:pt>
              <c:pt idx="1554">
                <c:v>42391</c:v>
              </c:pt>
              <c:pt idx="1555">
                <c:v>42394</c:v>
              </c:pt>
              <c:pt idx="1556">
                <c:v>42395</c:v>
              </c:pt>
              <c:pt idx="1557">
                <c:v>42396</c:v>
              </c:pt>
              <c:pt idx="1558">
                <c:v>42397</c:v>
              </c:pt>
              <c:pt idx="1559">
                <c:v>42398</c:v>
              </c:pt>
              <c:pt idx="1560">
                <c:v>42401</c:v>
              </c:pt>
              <c:pt idx="1561">
                <c:v>42402</c:v>
              </c:pt>
              <c:pt idx="1562">
                <c:v>42403</c:v>
              </c:pt>
              <c:pt idx="1563">
                <c:v>42404</c:v>
              </c:pt>
              <c:pt idx="1564">
                <c:v>42405</c:v>
              </c:pt>
              <c:pt idx="1565">
                <c:v>42408</c:v>
              </c:pt>
              <c:pt idx="1566">
                <c:v>42409</c:v>
              </c:pt>
              <c:pt idx="1567">
                <c:v>42410</c:v>
              </c:pt>
              <c:pt idx="1568">
                <c:v>42411</c:v>
              </c:pt>
              <c:pt idx="1569">
                <c:v>42412</c:v>
              </c:pt>
              <c:pt idx="1570">
                <c:v>42416</c:v>
              </c:pt>
              <c:pt idx="1571">
                <c:v>42417</c:v>
              </c:pt>
              <c:pt idx="1572">
                <c:v>42418</c:v>
              </c:pt>
              <c:pt idx="1573">
                <c:v>42419</c:v>
              </c:pt>
              <c:pt idx="1574">
                <c:v>42422</c:v>
              </c:pt>
              <c:pt idx="1575">
                <c:v>42423</c:v>
              </c:pt>
              <c:pt idx="1576">
                <c:v>42424</c:v>
              </c:pt>
              <c:pt idx="1577">
                <c:v>42425</c:v>
              </c:pt>
              <c:pt idx="1578">
                <c:v>42426</c:v>
              </c:pt>
              <c:pt idx="1579">
                <c:v>42429</c:v>
              </c:pt>
              <c:pt idx="1580">
                <c:v>42430</c:v>
              </c:pt>
              <c:pt idx="1581">
                <c:v>42431</c:v>
              </c:pt>
              <c:pt idx="1582">
                <c:v>42432</c:v>
              </c:pt>
              <c:pt idx="1583">
                <c:v>42433</c:v>
              </c:pt>
              <c:pt idx="1584">
                <c:v>42436</c:v>
              </c:pt>
              <c:pt idx="1585">
                <c:v>42437</c:v>
              </c:pt>
              <c:pt idx="1586">
                <c:v>42438</c:v>
              </c:pt>
              <c:pt idx="1587">
                <c:v>42439</c:v>
              </c:pt>
              <c:pt idx="1588">
                <c:v>42440</c:v>
              </c:pt>
              <c:pt idx="1589">
                <c:v>42443</c:v>
              </c:pt>
              <c:pt idx="1590">
                <c:v>42444</c:v>
              </c:pt>
              <c:pt idx="1591">
                <c:v>42445</c:v>
              </c:pt>
              <c:pt idx="1592">
                <c:v>42446</c:v>
              </c:pt>
              <c:pt idx="1593">
                <c:v>42447</c:v>
              </c:pt>
              <c:pt idx="1594">
                <c:v>42450</c:v>
              </c:pt>
              <c:pt idx="1595">
                <c:v>42451</c:v>
              </c:pt>
              <c:pt idx="1596">
                <c:v>42452</c:v>
              </c:pt>
              <c:pt idx="1597">
                <c:v>42453</c:v>
              </c:pt>
              <c:pt idx="1598">
                <c:v>42457</c:v>
              </c:pt>
              <c:pt idx="1599">
                <c:v>42458</c:v>
              </c:pt>
              <c:pt idx="1600">
                <c:v>42459</c:v>
              </c:pt>
              <c:pt idx="1601">
                <c:v>42460</c:v>
              </c:pt>
              <c:pt idx="1602">
                <c:v>42461</c:v>
              </c:pt>
              <c:pt idx="1603">
                <c:v>42464</c:v>
              </c:pt>
              <c:pt idx="1604">
                <c:v>42465</c:v>
              </c:pt>
              <c:pt idx="1605">
                <c:v>42466</c:v>
              </c:pt>
              <c:pt idx="1606">
                <c:v>42467</c:v>
              </c:pt>
              <c:pt idx="1607">
                <c:v>42468</c:v>
              </c:pt>
              <c:pt idx="1608">
                <c:v>42471</c:v>
              </c:pt>
              <c:pt idx="1609">
                <c:v>42472</c:v>
              </c:pt>
              <c:pt idx="1610">
                <c:v>42473</c:v>
              </c:pt>
              <c:pt idx="1611">
                <c:v>42474</c:v>
              </c:pt>
              <c:pt idx="1612">
                <c:v>42475</c:v>
              </c:pt>
              <c:pt idx="1613">
                <c:v>42478</c:v>
              </c:pt>
              <c:pt idx="1614">
                <c:v>42479</c:v>
              </c:pt>
              <c:pt idx="1615">
                <c:v>42480</c:v>
              </c:pt>
              <c:pt idx="1616">
                <c:v>42481</c:v>
              </c:pt>
              <c:pt idx="1617">
                <c:v>42482</c:v>
              </c:pt>
              <c:pt idx="1618">
                <c:v>42485</c:v>
              </c:pt>
              <c:pt idx="1619">
                <c:v>42486</c:v>
              </c:pt>
              <c:pt idx="1620">
                <c:v>42487</c:v>
              </c:pt>
              <c:pt idx="1621">
                <c:v>42488</c:v>
              </c:pt>
              <c:pt idx="1622">
                <c:v>42489</c:v>
              </c:pt>
              <c:pt idx="1623">
                <c:v>42492</c:v>
              </c:pt>
              <c:pt idx="1624">
                <c:v>42493</c:v>
              </c:pt>
              <c:pt idx="1625">
                <c:v>42494</c:v>
              </c:pt>
              <c:pt idx="1626">
                <c:v>42495</c:v>
              </c:pt>
              <c:pt idx="1627">
                <c:v>42496</c:v>
              </c:pt>
              <c:pt idx="1628">
                <c:v>42499</c:v>
              </c:pt>
              <c:pt idx="1629">
                <c:v>42500</c:v>
              </c:pt>
              <c:pt idx="1630">
                <c:v>42501</c:v>
              </c:pt>
              <c:pt idx="1631">
                <c:v>42502</c:v>
              </c:pt>
              <c:pt idx="1632">
                <c:v>42503</c:v>
              </c:pt>
              <c:pt idx="1633">
                <c:v>42506</c:v>
              </c:pt>
              <c:pt idx="1634">
                <c:v>42507</c:v>
              </c:pt>
              <c:pt idx="1635">
                <c:v>42508</c:v>
              </c:pt>
              <c:pt idx="1636">
                <c:v>42509</c:v>
              </c:pt>
              <c:pt idx="1637">
                <c:v>42510</c:v>
              </c:pt>
              <c:pt idx="1638">
                <c:v>42513</c:v>
              </c:pt>
              <c:pt idx="1639">
                <c:v>42514</c:v>
              </c:pt>
              <c:pt idx="1640">
                <c:v>42515</c:v>
              </c:pt>
              <c:pt idx="1641">
                <c:v>42516</c:v>
              </c:pt>
              <c:pt idx="1642">
                <c:v>42517</c:v>
              </c:pt>
              <c:pt idx="1643">
                <c:v>42521</c:v>
              </c:pt>
              <c:pt idx="1644">
                <c:v>42522</c:v>
              </c:pt>
              <c:pt idx="1645">
                <c:v>42523</c:v>
              </c:pt>
              <c:pt idx="1646">
                <c:v>42524</c:v>
              </c:pt>
              <c:pt idx="1647">
                <c:v>42527</c:v>
              </c:pt>
              <c:pt idx="1648">
                <c:v>42528</c:v>
              </c:pt>
              <c:pt idx="1649">
                <c:v>42529</c:v>
              </c:pt>
              <c:pt idx="1650">
                <c:v>42530</c:v>
              </c:pt>
              <c:pt idx="1651">
                <c:v>42531</c:v>
              </c:pt>
              <c:pt idx="1652">
                <c:v>42534</c:v>
              </c:pt>
              <c:pt idx="1653">
                <c:v>42535</c:v>
              </c:pt>
              <c:pt idx="1654">
                <c:v>42536</c:v>
              </c:pt>
              <c:pt idx="1655">
                <c:v>42537</c:v>
              </c:pt>
              <c:pt idx="1656">
                <c:v>42538</c:v>
              </c:pt>
              <c:pt idx="1657">
                <c:v>42541</c:v>
              </c:pt>
              <c:pt idx="1658">
                <c:v>42542</c:v>
              </c:pt>
              <c:pt idx="1659">
                <c:v>42543</c:v>
              </c:pt>
              <c:pt idx="1660">
                <c:v>42544</c:v>
              </c:pt>
              <c:pt idx="1661">
                <c:v>42545</c:v>
              </c:pt>
              <c:pt idx="1662">
                <c:v>42548</c:v>
              </c:pt>
              <c:pt idx="1663">
                <c:v>42549</c:v>
              </c:pt>
              <c:pt idx="1664">
                <c:v>42550</c:v>
              </c:pt>
              <c:pt idx="1665">
                <c:v>42551</c:v>
              </c:pt>
              <c:pt idx="1666">
                <c:v>42552</c:v>
              </c:pt>
              <c:pt idx="1667">
                <c:v>42556</c:v>
              </c:pt>
              <c:pt idx="1668">
                <c:v>42557</c:v>
              </c:pt>
              <c:pt idx="1669">
                <c:v>42558</c:v>
              </c:pt>
              <c:pt idx="1670">
                <c:v>42559</c:v>
              </c:pt>
              <c:pt idx="1671">
                <c:v>42562</c:v>
              </c:pt>
              <c:pt idx="1672">
                <c:v>42563</c:v>
              </c:pt>
              <c:pt idx="1673">
                <c:v>42564</c:v>
              </c:pt>
              <c:pt idx="1674">
                <c:v>42565</c:v>
              </c:pt>
              <c:pt idx="1675">
                <c:v>42566</c:v>
              </c:pt>
              <c:pt idx="1676">
                <c:v>42569</c:v>
              </c:pt>
              <c:pt idx="1677">
                <c:v>42570</c:v>
              </c:pt>
              <c:pt idx="1678">
                <c:v>42571</c:v>
              </c:pt>
              <c:pt idx="1679">
                <c:v>42572</c:v>
              </c:pt>
              <c:pt idx="1680">
                <c:v>42573</c:v>
              </c:pt>
              <c:pt idx="1681">
                <c:v>42576</c:v>
              </c:pt>
              <c:pt idx="1682">
                <c:v>42577</c:v>
              </c:pt>
              <c:pt idx="1683">
                <c:v>42578</c:v>
              </c:pt>
              <c:pt idx="1684">
                <c:v>42579</c:v>
              </c:pt>
              <c:pt idx="1685">
                <c:v>42580</c:v>
              </c:pt>
              <c:pt idx="1686">
                <c:v>42583</c:v>
              </c:pt>
              <c:pt idx="1687">
                <c:v>42584</c:v>
              </c:pt>
              <c:pt idx="1688">
                <c:v>42585</c:v>
              </c:pt>
              <c:pt idx="1689">
                <c:v>42586</c:v>
              </c:pt>
              <c:pt idx="1690">
                <c:v>42587</c:v>
              </c:pt>
              <c:pt idx="1691">
                <c:v>42590</c:v>
              </c:pt>
              <c:pt idx="1692">
                <c:v>42591</c:v>
              </c:pt>
              <c:pt idx="1693">
                <c:v>42592</c:v>
              </c:pt>
              <c:pt idx="1694">
                <c:v>42593</c:v>
              </c:pt>
              <c:pt idx="1695">
                <c:v>42594</c:v>
              </c:pt>
              <c:pt idx="1696">
                <c:v>42597</c:v>
              </c:pt>
              <c:pt idx="1697">
                <c:v>42598</c:v>
              </c:pt>
              <c:pt idx="1698">
                <c:v>42599</c:v>
              </c:pt>
              <c:pt idx="1699">
                <c:v>42600</c:v>
              </c:pt>
              <c:pt idx="1700">
                <c:v>42601</c:v>
              </c:pt>
              <c:pt idx="1701">
                <c:v>42604</c:v>
              </c:pt>
              <c:pt idx="1702">
                <c:v>42605</c:v>
              </c:pt>
              <c:pt idx="1703">
                <c:v>42606</c:v>
              </c:pt>
              <c:pt idx="1704">
                <c:v>42607</c:v>
              </c:pt>
              <c:pt idx="1705">
                <c:v>42608</c:v>
              </c:pt>
              <c:pt idx="1706">
                <c:v>42611</c:v>
              </c:pt>
              <c:pt idx="1707">
                <c:v>42612</c:v>
              </c:pt>
              <c:pt idx="1708">
                <c:v>42613</c:v>
              </c:pt>
              <c:pt idx="1709">
                <c:v>42614</c:v>
              </c:pt>
              <c:pt idx="1710">
                <c:v>42615</c:v>
              </c:pt>
              <c:pt idx="1711">
                <c:v>42619</c:v>
              </c:pt>
              <c:pt idx="1712">
                <c:v>42620</c:v>
              </c:pt>
              <c:pt idx="1713">
                <c:v>42621</c:v>
              </c:pt>
              <c:pt idx="1714">
                <c:v>42622</c:v>
              </c:pt>
              <c:pt idx="1715">
                <c:v>42625</c:v>
              </c:pt>
              <c:pt idx="1716">
                <c:v>42626</c:v>
              </c:pt>
              <c:pt idx="1717">
                <c:v>42627</c:v>
              </c:pt>
              <c:pt idx="1718">
                <c:v>42628</c:v>
              </c:pt>
              <c:pt idx="1719">
                <c:v>42629</c:v>
              </c:pt>
              <c:pt idx="1720">
                <c:v>42632</c:v>
              </c:pt>
              <c:pt idx="1721">
                <c:v>42633</c:v>
              </c:pt>
              <c:pt idx="1722">
                <c:v>42634</c:v>
              </c:pt>
              <c:pt idx="1723">
                <c:v>42635</c:v>
              </c:pt>
              <c:pt idx="1724">
                <c:v>42636</c:v>
              </c:pt>
              <c:pt idx="1725">
                <c:v>42639</c:v>
              </c:pt>
              <c:pt idx="1726">
                <c:v>42640</c:v>
              </c:pt>
              <c:pt idx="1727">
                <c:v>42641</c:v>
              </c:pt>
              <c:pt idx="1728">
                <c:v>42642</c:v>
              </c:pt>
              <c:pt idx="1729">
                <c:v>42643</c:v>
              </c:pt>
              <c:pt idx="1730">
                <c:v>42646</c:v>
              </c:pt>
              <c:pt idx="1731">
                <c:v>42647</c:v>
              </c:pt>
              <c:pt idx="1732">
                <c:v>42648</c:v>
              </c:pt>
              <c:pt idx="1733">
                <c:v>42649</c:v>
              </c:pt>
              <c:pt idx="1734">
                <c:v>42650</c:v>
              </c:pt>
              <c:pt idx="1735">
                <c:v>42653</c:v>
              </c:pt>
              <c:pt idx="1736">
                <c:v>42654</c:v>
              </c:pt>
              <c:pt idx="1737">
                <c:v>42655</c:v>
              </c:pt>
              <c:pt idx="1738">
                <c:v>42656</c:v>
              </c:pt>
              <c:pt idx="1739">
                <c:v>42657</c:v>
              </c:pt>
              <c:pt idx="1740">
                <c:v>42660</c:v>
              </c:pt>
              <c:pt idx="1741">
                <c:v>42661</c:v>
              </c:pt>
              <c:pt idx="1742">
                <c:v>42662</c:v>
              </c:pt>
              <c:pt idx="1743">
                <c:v>42663</c:v>
              </c:pt>
              <c:pt idx="1744">
                <c:v>42664</c:v>
              </c:pt>
              <c:pt idx="1745">
                <c:v>42667</c:v>
              </c:pt>
              <c:pt idx="1746">
                <c:v>42668</c:v>
              </c:pt>
              <c:pt idx="1747">
                <c:v>42669</c:v>
              </c:pt>
              <c:pt idx="1748">
                <c:v>42670</c:v>
              </c:pt>
              <c:pt idx="1749">
                <c:v>42671</c:v>
              </c:pt>
              <c:pt idx="1750">
                <c:v>42674</c:v>
              </c:pt>
              <c:pt idx="1751">
                <c:v>42675</c:v>
              </c:pt>
              <c:pt idx="1752">
                <c:v>42676</c:v>
              </c:pt>
              <c:pt idx="1753">
                <c:v>42677</c:v>
              </c:pt>
              <c:pt idx="1754">
                <c:v>42678</c:v>
              </c:pt>
              <c:pt idx="1755">
                <c:v>42681</c:v>
              </c:pt>
              <c:pt idx="1756">
                <c:v>42682</c:v>
              </c:pt>
              <c:pt idx="1757">
                <c:v>42683</c:v>
              </c:pt>
              <c:pt idx="1758">
                <c:v>42684</c:v>
              </c:pt>
              <c:pt idx="1759">
                <c:v>42685</c:v>
              </c:pt>
              <c:pt idx="1760">
                <c:v>42688</c:v>
              </c:pt>
              <c:pt idx="1761">
                <c:v>42689</c:v>
              </c:pt>
              <c:pt idx="1762">
                <c:v>42690</c:v>
              </c:pt>
              <c:pt idx="1763">
                <c:v>42691</c:v>
              </c:pt>
              <c:pt idx="1764">
                <c:v>42692</c:v>
              </c:pt>
              <c:pt idx="1765">
                <c:v>42695</c:v>
              </c:pt>
              <c:pt idx="1766">
                <c:v>42696</c:v>
              </c:pt>
              <c:pt idx="1767">
                <c:v>42697</c:v>
              </c:pt>
              <c:pt idx="1768">
                <c:v>42699</c:v>
              </c:pt>
              <c:pt idx="1769">
                <c:v>42702</c:v>
              </c:pt>
              <c:pt idx="1770">
                <c:v>42703</c:v>
              </c:pt>
              <c:pt idx="1771">
                <c:v>42704</c:v>
              </c:pt>
              <c:pt idx="1772">
                <c:v>42705</c:v>
              </c:pt>
              <c:pt idx="1773">
                <c:v>42706</c:v>
              </c:pt>
              <c:pt idx="1774">
                <c:v>42709</c:v>
              </c:pt>
              <c:pt idx="1775">
                <c:v>42710</c:v>
              </c:pt>
              <c:pt idx="1776">
                <c:v>42711</c:v>
              </c:pt>
              <c:pt idx="1777">
                <c:v>42712</c:v>
              </c:pt>
              <c:pt idx="1778">
                <c:v>42713</c:v>
              </c:pt>
              <c:pt idx="1779">
                <c:v>42716</c:v>
              </c:pt>
              <c:pt idx="1780">
                <c:v>42717</c:v>
              </c:pt>
              <c:pt idx="1781">
                <c:v>42718</c:v>
              </c:pt>
              <c:pt idx="1782">
                <c:v>42719</c:v>
              </c:pt>
              <c:pt idx="1783">
                <c:v>42720</c:v>
              </c:pt>
              <c:pt idx="1784">
                <c:v>42723</c:v>
              </c:pt>
              <c:pt idx="1785">
                <c:v>42724</c:v>
              </c:pt>
              <c:pt idx="1786">
                <c:v>42725</c:v>
              </c:pt>
              <c:pt idx="1787">
                <c:v>42726</c:v>
              </c:pt>
              <c:pt idx="1788">
                <c:v>42727</c:v>
              </c:pt>
              <c:pt idx="1789">
                <c:v>42731</c:v>
              </c:pt>
              <c:pt idx="1790">
                <c:v>42732</c:v>
              </c:pt>
              <c:pt idx="1791">
                <c:v>42733</c:v>
              </c:pt>
              <c:pt idx="1792">
                <c:v>42734</c:v>
              </c:pt>
              <c:pt idx="1793">
                <c:v>42738</c:v>
              </c:pt>
              <c:pt idx="1794">
                <c:v>42739</c:v>
              </c:pt>
              <c:pt idx="1795">
                <c:v>42740</c:v>
              </c:pt>
              <c:pt idx="1796">
                <c:v>42741</c:v>
              </c:pt>
              <c:pt idx="1797">
                <c:v>42744</c:v>
              </c:pt>
              <c:pt idx="1798">
                <c:v>42745</c:v>
              </c:pt>
              <c:pt idx="1799">
                <c:v>42746</c:v>
              </c:pt>
              <c:pt idx="1800">
                <c:v>42747</c:v>
              </c:pt>
              <c:pt idx="1801">
                <c:v>42748</c:v>
              </c:pt>
              <c:pt idx="1802">
                <c:v>42752</c:v>
              </c:pt>
              <c:pt idx="1803">
                <c:v>42753</c:v>
              </c:pt>
              <c:pt idx="1804">
                <c:v>42754</c:v>
              </c:pt>
              <c:pt idx="1805">
                <c:v>42755</c:v>
              </c:pt>
              <c:pt idx="1806">
                <c:v>42758</c:v>
              </c:pt>
              <c:pt idx="1807">
                <c:v>42759</c:v>
              </c:pt>
              <c:pt idx="1808">
                <c:v>42760</c:v>
              </c:pt>
              <c:pt idx="1809">
                <c:v>42761</c:v>
              </c:pt>
              <c:pt idx="1810">
                <c:v>42762</c:v>
              </c:pt>
              <c:pt idx="1811">
                <c:v>42765</c:v>
              </c:pt>
              <c:pt idx="1812">
                <c:v>42766</c:v>
              </c:pt>
              <c:pt idx="1813">
                <c:v>42767</c:v>
              </c:pt>
              <c:pt idx="1814">
                <c:v>42768</c:v>
              </c:pt>
              <c:pt idx="1815">
                <c:v>42769</c:v>
              </c:pt>
              <c:pt idx="1816">
                <c:v>42772</c:v>
              </c:pt>
              <c:pt idx="1817">
                <c:v>42773</c:v>
              </c:pt>
              <c:pt idx="1818">
                <c:v>42774</c:v>
              </c:pt>
              <c:pt idx="1819">
                <c:v>42775</c:v>
              </c:pt>
              <c:pt idx="1820">
                <c:v>42776</c:v>
              </c:pt>
              <c:pt idx="1821">
                <c:v>42779</c:v>
              </c:pt>
              <c:pt idx="1822">
                <c:v>42780</c:v>
              </c:pt>
              <c:pt idx="1823">
                <c:v>42781</c:v>
              </c:pt>
              <c:pt idx="1824">
                <c:v>42782</c:v>
              </c:pt>
              <c:pt idx="1825">
                <c:v>42783</c:v>
              </c:pt>
              <c:pt idx="1826">
                <c:v>42787</c:v>
              </c:pt>
              <c:pt idx="1827">
                <c:v>42788</c:v>
              </c:pt>
              <c:pt idx="1828">
                <c:v>42789</c:v>
              </c:pt>
              <c:pt idx="1829">
                <c:v>42790</c:v>
              </c:pt>
              <c:pt idx="1830">
                <c:v>42793</c:v>
              </c:pt>
              <c:pt idx="1831">
                <c:v>42794</c:v>
              </c:pt>
              <c:pt idx="1832">
                <c:v>42795</c:v>
              </c:pt>
              <c:pt idx="1833">
                <c:v>42796</c:v>
              </c:pt>
              <c:pt idx="1834">
                <c:v>42797</c:v>
              </c:pt>
              <c:pt idx="1835">
                <c:v>42800</c:v>
              </c:pt>
              <c:pt idx="1836">
                <c:v>42801</c:v>
              </c:pt>
              <c:pt idx="1837">
                <c:v>42802</c:v>
              </c:pt>
              <c:pt idx="1838">
                <c:v>42803</c:v>
              </c:pt>
              <c:pt idx="1839">
                <c:v>42804</c:v>
              </c:pt>
              <c:pt idx="1840">
                <c:v>42807</c:v>
              </c:pt>
              <c:pt idx="1841">
                <c:v>42808</c:v>
              </c:pt>
              <c:pt idx="1842">
                <c:v>42809</c:v>
              </c:pt>
              <c:pt idx="1843">
                <c:v>42810</c:v>
              </c:pt>
              <c:pt idx="1844">
                <c:v>42811</c:v>
              </c:pt>
              <c:pt idx="1845">
                <c:v>42814</c:v>
              </c:pt>
              <c:pt idx="1846">
                <c:v>42815</c:v>
              </c:pt>
              <c:pt idx="1847">
                <c:v>42816</c:v>
              </c:pt>
              <c:pt idx="1848">
                <c:v>42817</c:v>
              </c:pt>
              <c:pt idx="1849">
                <c:v>42818</c:v>
              </c:pt>
              <c:pt idx="1850">
                <c:v>42821</c:v>
              </c:pt>
              <c:pt idx="1851">
                <c:v>42822</c:v>
              </c:pt>
              <c:pt idx="1852">
                <c:v>42823</c:v>
              </c:pt>
              <c:pt idx="1853">
                <c:v>42824</c:v>
              </c:pt>
              <c:pt idx="1854">
                <c:v>42825</c:v>
              </c:pt>
              <c:pt idx="1855">
                <c:v>42828</c:v>
              </c:pt>
              <c:pt idx="1856">
                <c:v>42829</c:v>
              </c:pt>
              <c:pt idx="1857">
                <c:v>42830</c:v>
              </c:pt>
              <c:pt idx="1858">
                <c:v>42831</c:v>
              </c:pt>
              <c:pt idx="1859">
                <c:v>42832</c:v>
              </c:pt>
              <c:pt idx="1860">
                <c:v>42835</c:v>
              </c:pt>
              <c:pt idx="1861">
                <c:v>42836</c:v>
              </c:pt>
              <c:pt idx="1862">
                <c:v>42837</c:v>
              </c:pt>
              <c:pt idx="1863">
                <c:v>42838</c:v>
              </c:pt>
              <c:pt idx="1864">
                <c:v>42842</c:v>
              </c:pt>
              <c:pt idx="1865">
                <c:v>42843</c:v>
              </c:pt>
              <c:pt idx="1866">
                <c:v>42844</c:v>
              </c:pt>
              <c:pt idx="1867">
                <c:v>42845</c:v>
              </c:pt>
              <c:pt idx="1868">
                <c:v>42846</c:v>
              </c:pt>
              <c:pt idx="1869">
                <c:v>42849</c:v>
              </c:pt>
              <c:pt idx="1870">
                <c:v>42850</c:v>
              </c:pt>
              <c:pt idx="1871">
                <c:v>42851</c:v>
              </c:pt>
              <c:pt idx="1872">
                <c:v>42852</c:v>
              </c:pt>
              <c:pt idx="1873">
                <c:v>42853</c:v>
              </c:pt>
              <c:pt idx="1874">
                <c:v>42856</c:v>
              </c:pt>
              <c:pt idx="1875">
                <c:v>42857</c:v>
              </c:pt>
              <c:pt idx="1876">
                <c:v>42858</c:v>
              </c:pt>
              <c:pt idx="1877">
                <c:v>42859</c:v>
              </c:pt>
              <c:pt idx="1878">
                <c:v>42860</c:v>
              </c:pt>
              <c:pt idx="1879">
                <c:v>42863</c:v>
              </c:pt>
              <c:pt idx="1880">
                <c:v>42864</c:v>
              </c:pt>
              <c:pt idx="1881">
                <c:v>42865</c:v>
              </c:pt>
              <c:pt idx="1882">
                <c:v>42866</c:v>
              </c:pt>
              <c:pt idx="1883">
                <c:v>42867</c:v>
              </c:pt>
              <c:pt idx="1884">
                <c:v>42870</c:v>
              </c:pt>
              <c:pt idx="1885">
                <c:v>42871</c:v>
              </c:pt>
              <c:pt idx="1886">
                <c:v>42872</c:v>
              </c:pt>
              <c:pt idx="1887">
                <c:v>42873</c:v>
              </c:pt>
              <c:pt idx="1888">
                <c:v>42874</c:v>
              </c:pt>
              <c:pt idx="1889">
                <c:v>42877</c:v>
              </c:pt>
              <c:pt idx="1890">
                <c:v>42878</c:v>
              </c:pt>
              <c:pt idx="1891">
                <c:v>42879</c:v>
              </c:pt>
              <c:pt idx="1892">
                <c:v>42880</c:v>
              </c:pt>
              <c:pt idx="1893">
                <c:v>42881</c:v>
              </c:pt>
              <c:pt idx="1894">
                <c:v>42885</c:v>
              </c:pt>
              <c:pt idx="1895">
                <c:v>42886</c:v>
              </c:pt>
              <c:pt idx="1896">
                <c:v>42887</c:v>
              </c:pt>
              <c:pt idx="1897">
                <c:v>42888</c:v>
              </c:pt>
              <c:pt idx="1898">
                <c:v>42891</c:v>
              </c:pt>
              <c:pt idx="1899">
                <c:v>42892</c:v>
              </c:pt>
              <c:pt idx="1900">
                <c:v>42893</c:v>
              </c:pt>
              <c:pt idx="1901">
                <c:v>42894</c:v>
              </c:pt>
              <c:pt idx="1902">
                <c:v>42895</c:v>
              </c:pt>
              <c:pt idx="1903">
                <c:v>42898</c:v>
              </c:pt>
              <c:pt idx="1904">
                <c:v>42899</c:v>
              </c:pt>
              <c:pt idx="1905">
                <c:v>42900</c:v>
              </c:pt>
              <c:pt idx="1906">
                <c:v>42901</c:v>
              </c:pt>
              <c:pt idx="1907">
                <c:v>42902</c:v>
              </c:pt>
              <c:pt idx="1908">
                <c:v>42905</c:v>
              </c:pt>
              <c:pt idx="1909">
                <c:v>42906</c:v>
              </c:pt>
              <c:pt idx="1910">
                <c:v>42907</c:v>
              </c:pt>
              <c:pt idx="1911">
                <c:v>42908</c:v>
              </c:pt>
              <c:pt idx="1912">
                <c:v>42909</c:v>
              </c:pt>
              <c:pt idx="1913">
                <c:v>42912</c:v>
              </c:pt>
              <c:pt idx="1914">
                <c:v>42913</c:v>
              </c:pt>
              <c:pt idx="1915">
                <c:v>42914</c:v>
              </c:pt>
              <c:pt idx="1916">
                <c:v>42915</c:v>
              </c:pt>
              <c:pt idx="1917">
                <c:v>42916</c:v>
              </c:pt>
              <c:pt idx="1918">
                <c:v>42919</c:v>
              </c:pt>
              <c:pt idx="1919">
                <c:v>42921</c:v>
              </c:pt>
              <c:pt idx="1920">
                <c:v>42922</c:v>
              </c:pt>
              <c:pt idx="1921">
                <c:v>42923</c:v>
              </c:pt>
              <c:pt idx="1922">
                <c:v>42926</c:v>
              </c:pt>
              <c:pt idx="1923">
                <c:v>42927</c:v>
              </c:pt>
              <c:pt idx="1924">
                <c:v>42928</c:v>
              </c:pt>
              <c:pt idx="1925">
                <c:v>42929</c:v>
              </c:pt>
              <c:pt idx="1926">
                <c:v>42930</c:v>
              </c:pt>
              <c:pt idx="1927">
                <c:v>42933</c:v>
              </c:pt>
              <c:pt idx="1928">
                <c:v>42934</c:v>
              </c:pt>
              <c:pt idx="1929">
                <c:v>42935</c:v>
              </c:pt>
              <c:pt idx="1930">
                <c:v>42936</c:v>
              </c:pt>
              <c:pt idx="1931">
                <c:v>42937</c:v>
              </c:pt>
              <c:pt idx="1932">
                <c:v>42940</c:v>
              </c:pt>
              <c:pt idx="1933">
                <c:v>42941</c:v>
              </c:pt>
              <c:pt idx="1934">
                <c:v>42942</c:v>
              </c:pt>
              <c:pt idx="1935">
                <c:v>42943</c:v>
              </c:pt>
              <c:pt idx="1936">
                <c:v>42944</c:v>
              </c:pt>
              <c:pt idx="1937">
                <c:v>42947</c:v>
              </c:pt>
              <c:pt idx="1938">
                <c:v>42948</c:v>
              </c:pt>
              <c:pt idx="1939">
                <c:v>42949</c:v>
              </c:pt>
              <c:pt idx="1940">
                <c:v>42950</c:v>
              </c:pt>
              <c:pt idx="1941">
                <c:v>42951</c:v>
              </c:pt>
              <c:pt idx="1942">
                <c:v>42954</c:v>
              </c:pt>
              <c:pt idx="1943">
                <c:v>42955</c:v>
              </c:pt>
              <c:pt idx="1944">
                <c:v>42956</c:v>
              </c:pt>
              <c:pt idx="1945">
                <c:v>42957</c:v>
              </c:pt>
              <c:pt idx="1946">
                <c:v>42958</c:v>
              </c:pt>
              <c:pt idx="1947">
                <c:v>42961</c:v>
              </c:pt>
              <c:pt idx="1948">
                <c:v>42962</c:v>
              </c:pt>
              <c:pt idx="1949">
                <c:v>42963</c:v>
              </c:pt>
              <c:pt idx="1950">
                <c:v>42964</c:v>
              </c:pt>
              <c:pt idx="1951">
                <c:v>42965</c:v>
              </c:pt>
              <c:pt idx="1952">
                <c:v>42968</c:v>
              </c:pt>
              <c:pt idx="1953">
                <c:v>42969</c:v>
              </c:pt>
              <c:pt idx="1954">
                <c:v>42970</c:v>
              </c:pt>
              <c:pt idx="1955">
                <c:v>42971</c:v>
              </c:pt>
              <c:pt idx="1956">
                <c:v>42972</c:v>
              </c:pt>
              <c:pt idx="1957">
                <c:v>42975</c:v>
              </c:pt>
              <c:pt idx="1958">
                <c:v>42976</c:v>
              </c:pt>
              <c:pt idx="1959">
                <c:v>42977</c:v>
              </c:pt>
              <c:pt idx="1960">
                <c:v>42978</c:v>
              </c:pt>
              <c:pt idx="1961">
                <c:v>42979</c:v>
              </c:pt>
              <c:pt idx="1962">
                <c:v>42983</c:v>
              </c:pt>
              <c:pt idx="1963">
                <c:v>42984</c:v>
              </c:pt>
              <c:pt idx="1964">
                <c:v>42985</c:v>
              </c:pt>
              <c:pt idx="1965">
                <c:v>42986</c:v>
              </c:pt>
              <c:pt idx="1966">
                <c:v>42989</c:v>
              </c:pt>
              <c:pt idx="1967">
                <c:v>42990</c:v>
              </c:pt>
              <c:pt idx="1968">
                <c:v>42991</c:v>
              </c:pt>
              <c:pt idx="1969">
                <c:v>42992</c:v>
              </c:pt>
              <c:pt idx="1970">
                <c:v>42993</c:v>
              </c:pt>
              <c:pt idx="1971">
                <c:v>42996</c:v>
              </c:pt>
              <c:pt idx="1972">
                <c:v>42997</c:v>
              </c:pt>
              <c:pt idx="1973">
                <c:v>42998</c:v>
              </c:pt>
              <c:pt idx="1974">
                <c:v>42999</c:v>
              </c:pt>
              <c:pt idx="1975">
                <c:v>43000</c:v>
              </c:pt>
              <c:pt idx="1976">
                <c:v>43003</c:v>
              </c:pt>
              <c:pt idx="1977">
                <c:v>43004</c:v>
              </c:pt>
              <c:pt idx="1978">
                <c:v>43005</c:v>
              </c:pt>
              <c:pt idx="1979">
                <c:v>43006</c:v>
              </c:pt>
              <c:pt idx="1980">
                <c:v>43007</c:v>
              </c:pt>
              <c:pt idx="1981">
                <c:v>43010</c:v>
              </c:pt>
              <c:pt idx="1982">
                <c:v>43011</c:v>
              </c:pt>
              <c:pt idx="1983">
                <c:v>43012</c:v>
              </c:pt>
              <c:pt idx="1984">
                <c:v>43013</c:v>
              </c:pt>
              <c:pt idx="1985">
                <c:v>43014</c:v>
              </c:pt>
              <c:pt idx="1986">
                <c:v>43017</c:v>
              </c:pt>
              <c:pt idx="1987">
                <c:v>43018</c:v>
              </c:pt>
              <c:pt idx="1988">
                <c:v>43019</c:v>
              </c:pt>
              <c:pt idx="1989">
                <c:v>43020</c:v>
              </c:pt>
              <c:pt idx="1990">
                <c:v>43021</c:v>
              </c:pt>
              <c:pt idx="1991">
                <c:v>43024</c:v>
              </c:pt>
              <c:pt idx="1992">
                <c:v>43025</c:v>
              </c:pt>
              <c:pt idx="1993">
                <c:v>43026</c:v>
              </c:pt>
              <c:pt idx="1994">
                <c:v>43027</c:v>
              </c:pt>
              <c:pt idx="1995">
                <c:v>43028</c:v>
              </c:pt>
              <c:pt idx="1996">
                <c:v>43031</c:v>
              </c:pt>
              <c:pt idx="1997">
                <c:v>43032</c:v>
              </c:pt>
              <c:pt idx="1998">
                <c:v>43033</c:v>
              </c:pt>
              <c:pt idx="1999">
                <c:v>43034</c:v>
              </c:pt>
              <c:pt idx="2000">
                <c:v>43035</c:v>
              </c:pt>
              <c:pt idx="2001">
                <c:v>43038</c:v>
              </c:pt>
              <c:pt idx="2002">
                <c:v>43039</c:v>
              </c:pt>
              <c:pt idx="2003">
                <c:v>43040</c:v>
              </c:pt>
              <c:pt idx="2004">
                <c:v>43041</c:v>
              </c:pt>
              <c:pt idx="2005">
                <c:v>43042</c:v>
              </c:pt>
              <c:pt idx="2006">
                <c:v>43045</c:v>
              </c:pt>
              <c:pt idx="2007">
                <c:v>43046</c:v>
              </c:pt>
              <c:pt idx="2008">
                <c:v>43047</c:v>
              </c:pt>
              <c:pt idx="2009">
                <c:v>43048</c:v>
              </c:pt>
              <c:pt idx="2010">
                <c:v>43049</c:v>
              </c:pt>
              <c:pt idx="2011">
                <c:v>43052</c:v>
              </c:pt>
              <c:pt idx="2012">
                <c:v>43053</c:v>
              </c:pt>
              <c:pt idx="2013">
                <c:v>43054</c:v>
              </c:pt>
              <c:pt idx="2014">
                <c:v>43055</c:v>
              </c:pt>
              <c:pt idx="2015">
                <c:v>43056</c:v>
              </c:pt>
              <c:pt idx="2016">
                <c:v>43059</c:v>
              </c:pt>
              <c:pt idx="2017">
                <c:v>43060</c:v>
              </c:pt>
              <c:pt idx="2018">
                <c:v>43061</c:v>
              </c:pt>
              <c:pt idx="2019">
                <c:v>43063</c:v>
              </c:pt>
              <c:pt idx="2020">
                <c:v>43066</c:v>
              </c:pt>
              <c:pt idx="2021">
                <c:v>43067</c:v>
              </c:pt>
              <c:pt idx="2022">
                <c:v>43068</c:v>
              </c:pt>
              <c:pt idx="2023">
                <c:v>43069</c:v>
              </c:pt>
              <c:pt idx="2024">
                <c:v>43070</c:v>
              </c:pt>
              <c:pt idx="2025">
                <c:v>43073</c:v>
              </c:pt>
              <c:pt idx="2026">
                <c:v>43074</c:v>
              </c:pt>
              <c:pt idx="2027">
                <c:v>43075</c:v>
              </c:pt>
              <c:pt idx="2028">
                <c:v>43076</c:v>
              </c:pt>
              <c:pt idx="2029">
                <c:v>43077</c:v>
              </c:pt>
              <c:pt idx="2030">
                <c:v>43080</c:v>
              </c:pt>
              <c:pt idx="2031">
                <c:v>43081</c:v>
              </c:pt>
              <c:pt idx="2032">
                <c:v>43082</c:v>
              </c:pt>
              <c:pt idx="2033">
                <c:v>43083</c:v>
              </c:pt>
              <c:pt idx="2034">
                <c:v>43084</c:v>
              </c:pt>
              <c:pt idx="2035">
                <c:v>43087</c:v>
              </c:pt>
              <c:pt idx="2036">
                <c:v>43088</c:v>
              </c:pt>
              <c:pt idx="2037">
                <c:v>43089</c:v>
              </c:pt>
              <c:pt idx="2038">
                <c:v>43090</c:v>
              </c:pt>
              <c:pt idx="2039">
                <c:v>43091</c:v>
              </c:pt>
              <c:pt idx="2040">
                <c:v>43095</c:v>
              </c:pt>
              <c:pt idx="2041">
                <c:v>43096</c:v>
              </c:pt>
              <c:pt idx="2042">
                <c:v>43097</c:v>
              </c:pt>
              <c:pt idx="2043">
                <c:v>43098</c:v>
              </c:pt>
              <c:pt idx="2044">
                <c:v>43102</c:v>
              </c:pt>
              <c:pt idx="2045">
                <c:v>43103</c:v>
              </c:pt>
              <c:pt idx="2046">
                <c:v>43104</c:v>
              </c:pt>
              <c:pt idx="2047">
                <c:v>43105</c:v>
              </c:pt>
              <c:pt idx="2048">
                <c:v>43108</c:v>
              </c:pt>
              <c:pt idx="2049">
                <c:v>43109</c:v>
              </c:pt>
              <c:pt idx="2050">
                <c:v>43110</c:v>
              </c:pt>
              <c:pt idx="2051">
                <c:v>43111</c:v>
              </c:pt>
              <c:pt idx="2052">
                <c:v>43112</c:v>
              </c:pt>
              <c:pt idx="2053">
                <c:v>43116</c:v>
              </c:pt>
              <c:pt idx="2054">
                <c:v>43117</c:v>
              </c:pt>
              <c:pt idx="2055">
                <c:v>43118</c:v>
              </c:pt>
              <c:pt idx="2056">
                <c:v>43119</c:v>
              </c:pt>
              <c:pt idx="2057">
                <c:v>43122</c:v>
              </c:pt>
              <c:pt idx="2058">
                <c:v>43123</c:v>
              </c:pt>
              <c:pt idx="2059">
                <c:v>43124</c:v>
              </c:pt>
              <c:pt idx="2060">
                <c:v>43125</c:v>
              </c:pt>
              <c:pt idx="2061">
                <c:v>43126</c:v>
              </c:pt>
              <c:pt idx="2062">
                <c:v>43129</c:v>
              </c:pt>
              <c:pt idx="2063">
                <c:v>43130</c:v>
              </c:pt>
              <c:pt idx="2064">
                <c:v>43131</c:v>
              </c:pt>
              <c:pt idx="2065">
                <c:v>43132</c:v>
              </c:pt>
              <c:pt idx="2066">
                <c:v>43133</c:v>
              </c:pt>
              <c:pt idx="2067">
                <c:v>43136</c:v>
              </c:pt>
              <c:pt idx="2068">
                <c:v>43137</c:v>
              </c:pt>
              <c:pt idx="2069">
                <c:v>43138</c:v>
              </c:pt>
              <c:pt idx="2070">
                <c:v>43139</c:v>
              </c:pt>
              <c:pt idx="2071">
                <c:v>43140</c:v>
              </c:pt>
              <c:pt idx="2072">
                <c:v>43143</c:v>
              </c:pt>
              <c:pt idx="2073">
                <c:v>43144</c:v>
              </c:pt>
              <c:pt idx="2074">
                <c:v>43145</c:v>
              </c:pt>
              <c:pt idx="2075">
                <c:v>43146</c:v>
              </c:pt>
              <c:pt idx="2076">
                <c:v>43147</c:v>
              </c:pt>
              <c:pt idx="2077">
                <c:v>43151</c:v>
              </c:pt>
              <c:pt idx="2078">
                <c:v>43152</c:v>
              </c:pt>
              <c:pt idx="2079">
                <c:v>43153</c:v>
              </c:pt>
              <c:pt idx="2080">
                <c:v>43154</c:v>
              </c:pt>
              <c:pt idx="2081">
                <c:v>43157</c:v>
              </c:pt>
              <c:pt idx="2082">
                <c:v>43158</c:v>
              </c:pt>
              <c:pt idx="2083">
                <c:v>43159</c:v>
              </c:pt>
              <c:pt idx="2084">
                <c:v>43160</c:v>
              </c:pt>
              <c:pt idx="2085">
                <c:v>43161</c:v>
              </c:pt>
              <c:pt idx="2086">
                <c:v>43164</c:v>
              </c:pt>
              <c:pt idx="2087">
                <c:v>43165</c:v>
              </c:pt>
              <c:pt idx="2088">
                <c:v>43166</c:v>
              </c:pt>
              <c:pt idx="2089">
                <c:v>43167</c:v>
              </c:pt>
              <c:pt idx="2090">
                <c:v>43168</c:v>
              </c:pt>
              <c:pt idx="2091">
                <c:v>43171</c:v>
              </c:pt>
              <c:pt idx="2092">
                <c:v>43172</c:v>
              </c:pt>
              <c:pt idx="2093">
                <c:v>43173</c:v>
              </c:pt>
              <c:pt idx="2094">
                <c:v>43174</c:v>
              </c:pt>
              <c:pt idx="2095">
                <c:v>43175</c:v>
              </c:pt>
              <c:pt idx="2096">
                <c:v>43178</c:v>
              </c:pt>
              <c:pt idx="2097">
                <c:v>43179</c:v>
              </c:pt>
              <c:pt idx="2098">
                <c:v>43180</c:v>
              </c:pt>
              <c:pt idx="2099">
                <c:v>43181</c:v>
              </c:pt>
              <c:pt idx="2100">
                <c:v>43182</c:v>
              </c:pt>
              <c:pt idx="2101">
                <c:v>43185</c:v>
              </c:pt>
              <c:pt idx="2102">
                <c:v>43186</c:v>
              </c:pt>
              <c:pt idx="2103">
                <c:v>43187</c:v>
              </c:pt>
              <c:pt idx="2104">
                <c:v>43188</c:v>
              </c:pt>
              <c:pt idx="2105">
                <c:v>43192</c:v>
              </c:pt>
              <c:pt idx="2106">
                <c:v>43193</c:v>
              </c:pt>
              <c:pt idx="2107">
                <c:v>43194</c:v>
              </c:pt>
              <c:pt idx="2108">
                <c:v>43195</c:v>
              </c:pt>
              <c:pt idx="2109">
                <c:v>43196</c:v>
              </c:pt>
              <c:pt idx="2110">
                <c:v>43199</c:v>
              </c:pt>
              <c:pt idx="2111">
                <c:v>43200</c:v>
              </c:pt>
              <c:pt idx="2112">
                <c:v>43201</c:v>
              </c:pt>
              <c:pt idx="2113">
                <c:v>43202</c:v>
              </c:pt>
              <c:pt idx="2114">
                <c:v>43203</c:v>
              </c:pt>
              <c:pt idx="2115">
                <c:v>43206</c:v>
              </c:pt>
              <c:pt idx="2116">
                <c:v>43207</c:v>
              </c:pt>
              <c:pt idx="2117">
                <c:v>43208</c:v>
              </c:pt>
              <c:pt idx="2118">
                <c:v>43209</c:v>
              </c:pt>
              <c:pt idx="2119">
                <c:v>43210</c:v>
              </c:pt>
              <c:pt idx="2120">
                <c:v>43213</c:v>
              </c:pt>
              <c:pt idx="2121">
                <c:v>43214</c:v>
              </c:pt>
              <c:pt idx="2122">
                <c:v>43215</c:v>
              </c:pt>
              <c:pt idx="2123">
                <c:v>43216</c:v>
              </c:pt>
              <c:pt idx="2124">
                <c:v>43217</c:v>
              </c:pt>
              <c:pt idx="2125">
                <c:v>43220</c:v>
              </c:pt>
              <c:pt idx="2126">
                <c:v>43221</c:v>
              </c:pt>
              <c:pt idx="2127">
                <c:v>43222</c:v>
              </c:pt>
              <c:pt idx="2128">
                <c:v>43223</c:v>
              </c:pt>
              <c:pt idx="2129">
                <c:v>43224</c:v>
              </c:pt>
              <c:pt idx="2130">
                <c:v>43227</c:v>
              </c:pt>
              <c:pt idx="2131">
                <c:v>43228</c:v>
              </c:pt>
              <c:pt idx="2132">
                <c:v>43229</c:v>
              </c:pt>
              <c:pt idx="2133">
                <c:v>43230</c:v>
              </c:pt>
              <c:pt idx="2134">
                <c:v>43231</c:v>
              </c:pt>
              <c:pt idx="2135">
                <c:v>43234</c:v>
              </c:pt>
              <c:pt idx="2136">
                <c:v>43235</c:v>
              </c:pt>
              <c:pt idx="2137">
                <c:v>43236</c:v>
              </c:pt>
              <c:pt idx="2138">
                <c:v>43237</c:v>
              </c:pt>
              <c:pt idx="2139">
                <c:v>43238</c:v>
              </c:pt>
              <c:pt idx="2140">
                <c:v>43241</c:v>
              </c:pt>
              <c:pt idx="2141">
                <c:v>43242</c:v>
              </c:pt>
              <c:pt idx="2142">
                <c:v>43243</c:v>
              </c:pt>
              <c:pt idx="2143">
                <c:v>43244</c:v>
              </c:pt>
              <c:pt idx="2144">
                <c:v>43245</c:v>
              </c:pt>
              <c:pt idx="2145">
                <c:v>43249</c:v>
              </c:pt>
              <c:pt idx="2146">
                <c:v>43250</c:v>
              </c:pt>
              <c:pt idx="2147">
                <c:v>43251</c:v>
              </c:pt>
              <c:pt idx="2148">
                <c:v>43252</c:v>
              </c:pt>
              <c:pt idx="2149">
                <c:v>43255</c:v>
              </c:pt>
              <c:pt idx="2150">
                <c:v>43256</c:v>
              </c:pt>
              <c:pt idx="2151">
                <c:v>43257</c:v>
              </c:pt>
              <c:pt idx="2152">
                <c:v>43258</c:v>
              </c:pt>
              <c:pt idx="2153">
                <c:v>43259</c:v>
              </c:pt>
              <c:pt idx="2154">
                <c:v>43262</c:v>
              </c:pt>
              <c:pt idx="2155">
                <c:v>43263</c:v>
              </c:pt>
              <c:pt idx="2156">
                <c:v>43264</c:v>
              </c:pt>
              <c:pt idx="2157">
                <c:v>43265</c:v>
              </c:pt>
              <c:pt idx="2158">
                <c:v>43266</c:v>
              </c:pt>
              <c:pt idx="2159">
                <c:v>43269</c:v>
              </c:pt>
              <c:pt idx="2160">
                <c:v>43270</c:v>
              </c:pt>
              <c:pt idx="2161">
                <c:v>43271</c:v>
              </c:pt>
              <c:pt idx="2162">
                <c:v>43272</c:v>
              </c:pt>
              <c:pt idx="2163">
                <c:v>43273</c:v>
              </c:pt>
              <c:pt idx="2164">
                <c:v>43276</c:v>
              </c:pt>
              <c:pt idx="2165">
                <c:v>43277</c:v>
              </c:pt>
              <c:pt idx="2166">
                <c:v>43278</c:v>
              </c:pt>
              <c:pt idx="2167">
                <c:v>43279</c:v>
              </c:pt>
              <c:pt idx="2168">
                <c:v>43280</c:v>
              </c:pt>
              <c:pt idx="2169">
                <c:v>43283</c:v>
              </c:pt>
              <c:pt idx="2170">
                <c:v>43284</c:v>
              </c:pt>
              <c:pt idx="2171">
                <c:v>43286</c:v>
              </c:pt>
              <c:pt idx="2172">
                <c:v>43287</c:v>
              </c:pt>
              <c:pt idx="2173">
                <c:v>43290</c:v>
              </c:pt>
              <c:pt idx="2174">
                <c:v>43291</c:v>
              </c:pt>
              <c:pt idx="2175">
                <c:v>43292</c:v>
              </c:pt>
              <c:pt idx="2176">
                <c:v>43293</c:v>
              </c:pt>
              <c:pt idx="2177">
                <c:v>43294</c:v>
              </c:pt>
              <c:pt idx="2178">
                <c:v>43297</c:v>
              </c:pt>
              <c:pt idx="2179">
                <c:v>43298</c:v>
              </c:pt>
              <c:pt idx="2180">
                <c:v>43299</c:v>
              </c:pt>
              <c:pt idx="2181">
                <c:v>43300</c:v>
              </c:pt>
              <c:pt idx="2182">
                <c:v>43301</c:v>
              </c:pt>
              <c:pt idx="2183">
                <c:v>43304</c:v>
              </c:pt>
              <c:pt idx="2184">
                <c:v>43305</c:v>
              </c:pt>
              <c:pt idx="2185">
                <c:v>43306</c:v>
              </c:pt>
              <c:pt idx="2186">
                <c:v>43307</c:v>
              </c:pt>
              <c:pt idx="2187">
                <c:v>43308</c:v>
              </c:pt>
              <c:pt idx="2188">
                <c:v>43311</c:v>
              </c:pt>
              <c:pt idx="2189">
                <c:v>43312</c:v>
              </c:pt>
              <c:pt idx="2190">
                <c:v>43313</c:v>
              </c:pt>
              <c:pt idx="2191">
                <c:v>43314</c:v>
              </c:pt>
              <c:pt idx="2192">
                <c:v>43315</c:v>
              </c:pt>
              <c:pt idx="2193">
                <c:v>43318</c:v>
              </c:pt>
              <c:pt idx="2194">
                <c:v>43319</c:v>
              </c:pt>
              <c:pt idx="2195">
                <c:v>43320</c:v>
              </c:pt>
              <c:pt idx="2196">
                <c:v>43321</c:v>
              </c:pt>
              <c:pt idx="2197">
                <c:v>43322</c:v>
              </c:pt>
              <c:pt idx="2198">
                <c:v>43325</c:v>
              </c:pt>
              <c:pt idx="2199">
                <c:v>43326</c:v>
              </c:pt>
              <c:pt idx="2200">
                <c:v>43327</c:v>
              </c:pt>
              <c:pt idx="2201">
                <c:v>43328</c:v>
              </c:pt>
              <c:pt idx="2202">
                <c:v>43329</c:v>
              </c:pt>
              <c:pt idx="2203">
                <c:v>43332</c:v>
              </c:pt>
              <c:pt idx="2204">
                <c:v>43333</c:v>
              </c:pt>
              <c:pt idx="2205">
                <c:v>43334</c:v>
              </c:pt>
              <c:pt idx="2206">
                <c:v>43335</c:v>
              </c:pt>
              <c:pt idx="2207">
                <c:v>43336</c:v>
              </c:pt>
              <c:pt idx="2208">
                <c:v>43339</c:v>
              </c:pt>
              <c:pt idx="2209">
                <c:v>43340</c:v>
              </c:pt>
              <c:pt idx="2210">
                <c:v>43341</c:v>
              </c:pt>
              <c:pt idx="2211">
                <c:v>43342</c:v>
              </c:pt>
              <c:pt idx="2212">
                <c:v>43343</c:v>
              </c:pt>
              <c:pt idx="2213">
                <c:v>43347</c:v>
              </c:pt>
              <c:pt idx="2214">
                <c:v>43348</c:v>
              </c:pt>
              <c:pt idx="2215">
                <c:v>43349</c:v>
              </c:pt>
              <c:pt idx="2216">
                <c:v>43350</c:v>
              </c:pt>
              <c:pt idx="2217">
                <c:v>43353</c:v>
              </c:pt>
              <c:pt idx="2218">
                <c:v>43354</c:v>
              </c:pt>
              <c:pt idx="2219">
                <c:v>43355</c:v>
              </c:pt>
              <c:pt idx="2220">
                <c:v>43356</c:v>
              </c:pt>
              <c:pt idx="2221">
                <c:v>43357</c:v>
              </c:pt>
              <c:pt idx="2222">
                <c:v>43360</c:v>
              </c:pt>
              <c:pt idx="2223">
                <c:v>43361</c:v>
              </c:pt>
              <c:pt idx="2224">
                <c:v>43362</c:v>
              </c:pt>
              <c:pt idx="2225">
                <c:v>43363</c:v>
              </c:pt>
              <c:pt idx="2226">
                <c:v>43364</c:v>
              </c:pt>
              <c:pt idx="2227">
                <c:v>43367</c:v>
              </c:pt>
              <c:pt idx="2228">
                <c:v>43368</c:v>
              </c:pt>
              <c:pt idx="2229">
                <c:v>43369</c:v>
              </c:pt>
              <c:pt idx="2230">
                <c:v>43370</c:v>
              </c:pt>
              <c:pt idx="2231">
                <c:v>43371</c:v>
              </c:pt>
              <c:pt idx="2232">
                <c:v>43374</c:v>
              </c:pt>
              <c:pt idx="2233">
                <c:v>43375</c:v>
              </c:pt>
              <c:pt idx="2234">
                <c:v>43376</c:v>
              </c:pt>
              <c:pt idx="2235">
                <c:v>43377</c:v>
              </c:pt>
              <c:pt idx="2236">
                <c:v>43378</c:v>
              </c:pt>
              <c:pt idx="2237">
                <c:v>43381</c:v>
              </c:pt>
              <c:pt idx="2238">
                <c:v>43382</c:v>
              </c:pt>
              <c:pt idx="2239">
                <c:v>43383</c:v>
              </c:pt>
              <c:pt idx="2240">
                <c:v>43384</c:v>
              </c:pt>
              <c:pt idx="2241">
                <c:v>43385</c:v>
              </c:pt>
              <c:pt idx="2242">
                <c:v>43388</c:v>
              </c:pt>
              <c:pt idx="2243">
                <c:v>43389</c:v>
              </c:pt>
              <c:pt idx="2244">
                <c:v>43390</c:v>
              </c:pt>
              <c:pt idx="2245">
                <c:v>43391</c:v>
              </c:pt>
              <c:pt idx="2246">
                <c:v>43392</c:v>
              </c:pt>
              <c:pt idx="2247">
                <c:v>43395</c:v>
              </c:pt>
              <c:pt idx="2248">
                <c:v>43396</c:v>
              </c:pt>
              <c:pt idx="2249">
                <c:v>43397</c:v>
              </c:pt>
              <c:pt idx="2250">
                <c:v>43398</c:v>
              </c:pt>
              <c:pt idx="2251">
                <c:v>43399</c:v>
              </c:pt>
              <c:pt idx="2252">
                <c:v>43402</c:v>
              </c:pt>
              <c:pt idx="2253">
                <c:v>43403</c:v>
              </c:pt>
              <c:pt idx="2254">
                <c:v>43404</c:v>
              </c:pt>
              <c:pt idx="2255">
                <c:v>43405</c:v>
              </c:pt>
              <c:pt idx="2256">
                <c:v>43406</c:v>
              </c:pt>
              <c:pt idx="2257">
                <c:v>43409</c:v>
              </c:pt>
              <c:pt idx="2258">
                <c:v>43410</c:v>
              </c:pt>
              <c:pt idx="2259">
                <c:v>43411</c:v>
              </c:pt>
              <c:pt idx="2260">
                <c:v>43412</c:v>
              </c:pt>
              <c:pt idx="2261">
                <c:v>43413</c:v>
              </c:pt>
              <c:pt idx="2262">
                <c:v>43416</c:v>
              </c:pt>
              <c:pt idx="2263">
                <c:v>43417</c:v>
              </c:pt>
              <c:pt idx="2264">
                <c:v>43418</c:v>
              </c:pt>
              <c:pt idx="2265">
                <c:v>43419</c:v>
              </c:pt>
              <c:pt idx="2266">
                <c:v>43420</c:v>
              </c:pt>
              <c:pt idx="2267">
                <c:v>43423</c:v>
              </c:pt>
              <c:pt idx="2268">
                <c:v>43424</c:v>
              </c:pt>
              <c:pt idx="2269">
                <c:v>43425</c:v>
              </c:pt>
              <c:pt idx="2270">
                <c:v>43427</c:v>
              </c:pt>
              <c:pt idx="2271">
                <c:v>43430</c:v>
              </c:pt>
              <c:pt idx="2272">
                <c:v>43431</c:v>
              </c:pt>
              <c:pt idx="2273">
                <c:v>43432</c:v>
              </c:pt>
              <c:pt idx="2274">
                <c:v>43433</c:v>
              </c:pt>
              <c:pt idx="2275">
                <c:v>43434</c:v>
              </c:pt>
              <c:pt idx="2276">
                <c:v>43437</c:v>
              </c:pt>
              <c:pt idx="2277">
                <c:v>43438</c:v>
              </c:pt>
              <c:pt idx="2278">
                <c:v>43440</c:v>
              </c:pt>
              <c:pt idx="2279">
                <c:v>43441</c:v>
              </c:pt>
              <c:pt idx="2280">
                <c:v>43444</c:v>
              </c:pt>
              <c:pt idx="2281">
                <c:v>43445</c:v>
              </c:pt>
              <c:pt idx="2282">
                <c:v>43446</c:v>
              </c:pt>
              <c:pt idx="2283">
                <c:v>43447</c:v>
              </c:pt>
              <c:pt idx="2284">
                <c:v>43448</c:v>
              </c:pt>
              <c:pt idx="2285">
                <c:v>43451</c:v>
              </c:pt>
              <c:pt idx="2286">
                <c:v>43452</c:v>
              </c:pt>
              <c:pt idx="2287">
                <c:v>43453</c:v>
              </c:pt>
              <c:pt idx="2288">
                <c:v>43454</c:v>
              </c:pt>
              <c:pt idx="2289">
                <c:v>43455</c:v>
              </c:pt>
              <c:pt idx="2290">
                <c:v>43458</c:v>
              </c:pt>
              <c:pt idx="2291">
                <c:v>43460</c:v>
              </c:pt>
              <c:pt idx="2292">
                <c:v>43461</c:v>
              </c:pt>
              <c:pt idx="2293">
                <c:v>43462</c:v>
              </c:pt>
              <c:pt idx="2294">
                <c:v>43465</c:v>
              </c:pt>
              <c:pt idx="2295">
                <c:v>43467</c:v>
              </c:pt>
              <c:pt idx="2296">
                <c:v>43468</c:v>
              </c:pt>
              <c:pt idx="2297">
                <c:v>43469</c:v>
              </c:pt>
              <c:pt idx="2298">
                <c:v>43472</c:v>
              </c:pt>
              <c:pt idx="2299">
                <c:v>43473</c:v>
              </c:pt>
              <c:pt idx="2300">
                <c:v>43474</c:v>
              </c:pt>
              <c:pt idx="2301">
                <c:v>43475</c:v>
              </c:pt>
              <c:pt idx="2302">
                <c:v>43476</c:v>
              </c:pt>
              <c:pt idx="2303">
                <c:v>43479</c:v>
              </c:pt>
              <c:pt idx="2304">
                <c:v>43480</c:v>
              </c:pt>
              <c:pt idx="2305">
                <c:v>43481</c:v>
              </c:pt>
              <c:pt idx="2306">
                <c:v>43482</c:v>
              </c:pt>
              <c:pt idx="2307">
                <c:v>43483</c:v>
              </c:pt>
              <c:pt idx="2308">
                <c:v>43487</c:v>
              </c:pt>
              <c:pt idx="2309">
                <c:v>43488</c:v>
              </c:pt>
              <c:pt idx="2310">
                <c:v>43489</c:v>
              </c:pt>
              <c:pt idx="2311">
                <c:v>43490</c:v>
              </c:pt>
              <c:pt idx="2312">
                <c:v>43493</c:v>
              </c:pt>
              <c:pt idx="2313">
                <c:v>43494</c:v>
              </c:pt>
              <c:pt idx="2314">
                <c:v>43495</c:v>
              </c:pt>
              <c:pt idx="2315">
                <c:v>43496</c:v>
              </c:pt>
              <c:pt idx="2316">
                <c:v>43497</c:v>
              </c:pt>
              <c:pt idx="2317">
                <c:v>43500</c:v>
              </c:pt>
              <c:pt idx="2318">
                <c:v>43501</c:v>
              </c:pt>
              <c:pt idx="2319">
                <c:v>43502</c:v>
              </c:pt>
              <c:pt idx="2320">
                <c:v>43503</c:v>
              </c:pt>
              <c:pt idx="2321">
                <c:v>43504</c:v>
              </c:pt>
              <c:pt idx="2322">
                <c:v>43507</c:v>
              </c:pt>
              <c:pt idx="2323">
                <c:v>43508</c:v>
              </c:pt>
              <c:pt idx="2324">
                <c:v>43509</c:v>
              </c:pt>
              <c:pt idx="2325">
                <c:v>43510</c:v>
              </c:pt>
              <c:pt idx="2326">
                <c:v>43511</c:v>
              </c:pt>
              <c:pt idx="2327">
                <c:v>43515</c:v>
              </c:pt>
              <c:pt idx="2328">
                <c:v>43516</c:v>
              </c:pt>
              <c:pt idx="2329">
                <c:v>43517</c:v>
              </c:pt>
              <c:pt idx="2330">
                <c:v>43518</c:v>
              </c:pt>
              <c:pt idx="2331">
                <c:v>43521</c:v>
              </c:pt>
              <c:pt idx="2332">
                <c:v>43522</c:v>
              </c:pt>
              <c:pt idx="2333">
                <c:v>43523</c:v>
              </c:pt>
              <c:pt idx="2334">
                <c:v>43524</c:v>
              </c:pt>
              <c:pt idx="2335">
                <c:v>43525</c:v>
              </c:pt>
              <c:pt idx="2336">
                <c:v>43528</c:v>
              </c:pt>
              <c:pt idx="2337">
                <c:v>43529</c:v>
              </c:pt>
              <c:pt idx="2338">
                <c:v>43530</c:v>
              </c:pt>
              <c:pt idx="2339">
                <c:v>43531</c:v>
              </c:pt>
              <c:pt idx="2340">
                <c:v>43532</c:v>
              </c:pt>
              <c:pt idx="2341">
                <c:v>43535</c:v>
              </c:pt>
              <c:pt idx="2342">
                <c:v>43536</c:v>
              </c:pt>
              <c:pt idx="2343">
                <c:v>43537</c:v>
              </c:pt>
              <c:pt idx="2344">
                <c:v>43538</c:v>
              </c:pt>
              <c:pt idx="2345">
                <c:v>43539</c:v>
              </c:pt>
              <c:pt idx="2346">
                <c:v>43542</c:v>
              </c:pt>
              <c:pt idx="2347">
                <c:v>43543</c:v>
              </c:pt>
              <c:pt idx="2348">
                <c:v>43544</c:v>
              </c:pt>
              <c:pt idx="2349">
                <c:v>43545</c:v>
              </c:pt>
              <c:pt idx="2350">
                <c:v>43546</c:v>
              </c:pt>
              <c:pt idx="2351">
                <c:v>43549</c:v>
              </c:pt>
              <c:pt idx="2352">
                <c:v>43550</c:v>
              </c:pt>
              <c:pt idx="2353">
                <c:v>43551</c:v>
              </c:pt>
              <c:pt idx="2354">
                <c:v>43552</c:v>
              </c:pt>
              <c:pt idx="2355">
                <c:v>43553</c:v>
              </c:pt>
              <c:pt idx="2356">
                <c:v>43556</c:v>
              </c:pt>
              <c:pt idx="2357">
                <c:v>43557</c:v>
              </c:pt>
              <c:pt idx="2358">
                <c:v>43558</c:v>
              </c:pt>
              <c:pt idx="2359">
                <c:v>43559</c:v>
              </c:pt>
              <c:pt idx="2360">
                <c:v>43560</c:v>
              </c:pt>
              <c:pt idx="2361">
                <c:v>43563</c:v>
              </c:pt>
              <c:pt idx="2362">
                <c:v>43564</c:v>
              </c:pt>
              <c:pt idx="2363">
                <c:v>43565</c:v>
              </c:pt>
              <c:pt idx="2364">
                <c:v>43566</c:v>
              </c:pt>
              <c:pt idx="2365">
                <c:v>43567</c:v>
              </c:pt>
              <c:pt idx="2366">
                <c:v>43570</c:v>
              </c:pt>
              <c:pt idx="2367">
                <c:v>43571</c:v>
              </c:pt>
              <c:pt idx="2368">
                <c:v>43572</c:v>
              </c:pt>
              <c:pt idx="2369">
                <c:v>43573</c:v>
              </c:pt>
              <c:pt idx="2370">
                <c:v>43577</c:v>
              </c:pt>
              <c:pt idx="2371">
                <c:v>43578</c:v>
              </c:pt>
              <c:pt idx="2372">
                <c:v>43579</c:v>
              </c:pt>
              <c:pt idx="2373">
                <c:v>43580</c:v>
              </c:pt>
              <c:pt idx="2374">
                <c:v>43581</c:v>
              </c:pt>
              <c:pt idx="2375">
                <c:v>43584</c:v>
              </c:pt>
              <c:pt idx="2376">
                <c:v>43585</c:v>
              </c:pt>
              <c:pt idx="2377">
                <c:v>43586</c:v>
              </c:pt>
              <c:pt idx="2378">
                <c:v>43587</c:v>
              </c:pt>
              <c:pt idx="2379">
                <c:v>43588</c:v>
              </c:pt>
              <c:pt idx="2380">
                <c:v>43591</c:v>
              </c:pt>
              <c:pt idx="2381">
                <c:v>43592</c:v>
              </c:pt>
              <c:pt idx="2382">
                <c:v>43593</c:v>
              </c:pt>
              <c:pt idx="2383">
                <c:v>43594</c:v>
              </c:pt>
              <c:pt idx="2384">
                <c:v>43595</c:v>
              </c:pt>
              <c:pt idx="2385">
                <c:v>43598</c:v>
              </c:pt>
              <c:pt idx="2386">
                <c:v>43599</c:v>
              </c:pt>
              <c:pt idx="2387">
                <c:v>43600</c:v>
              </c:pt>
              <c:pt idx="2388">
                <c:v>43601</c:v>
              </c:pt>
              <c:pt idx="2389">
                <c:v>43602</c:v>
              </c:pt>
              <c:pt idx="2390">
                <c:v>43605</c:v>
              </c:pt>
              <c:pt idx="2391">
                <c:v>43606</c:v>
              </c:pt>
              <c:pt idx="2392">
                <c:v>43607</c:v>
              </c:pt>
              <c:pt idx="2393">
                <c:v>43608</c:v>
              </c:pt>
              <c:pt idx="2394">
                <c:v>43609</c:v>
              </c:pt>
              <c:pt idx="2395">
                <c:v>43613</c:v>
              </c:pt>
              <c:pt idx="2396">
                <c:v>43614</c:v>
              </c:pt>
              <c:pt idx="2397">
                <c:v>43615</c:v>
              </c:pt>
              <c:pt idx="2398">
                <c:v>43616</c:v>
              </c:pt>
              <c:pt idx="2399">
                <c:v>43619</c:v>
              </c:pt>
              <c:pt idx="2400">
                <c:v>43620</c:v>
              </c:pt>
              <c:pt idx="2401">
                <c:v>43621</c:v>
              </c:pt>
              <c:pt idx="2402">
                <c:v>43622</c:v>
              </c:pt>
              <c:pt idx="2403">
                <c:v>43623</c:v>
              </c:pt>
              <c:pt idx="2404">
                <c:v>43626</c:v>
              </c:pt>
              <c:pt idx="2405">
                <c:v>43627</c:v>
              </c:pt>
              <c:pt idx="2406">
                <c:v>43628</c:v>
              </c:pt>
              <c:pt idx="2407">
                <c:v>43629</c:v>
              </c:pt>
              <c:pt idx="2408">
                <c:v>43630</c:v>
              </c:pt>
              <c:pt idx="2409">
                <c:v>43633</c:v>
              </c:pt>
              <c:pt idx="2410">
                <c:v>43634</c:v>
              </c:pt>
              <c:pt idx="2411">
                <c:v>43635</c:v>
              </c:pt>
              <c:pt idx="2412">
                <c:v>43636</c:v>
              </c:pt>
              <c:pt idx="2413">
                <c:v>43637</c:v>
              </c:pt>
              <c:pt idx="2414">
                <c:v>43640</c:v>
              </c:pt>
              <c:pt idx="2415">
                <c:v>43641</c:v>
              </c:pt>
              <c:pt idx="2416">
                <c:v>43642</c:v>
              </c:pt>
              <c:pt idx="2417">
                <c:v>43643</c:v>
              </c:pt>
              <c:pt idx="2418">
                <c:v>43644</c:v>
              </c:pt>
              <c:pt idx="2419">
                <c:v>43647</c:v>
              </c:pt>
              <c:pt idx="2420">
                <c:v>43648</c:v>
              </c:pt>
              <c:pt idx="2421">
                <c:v>43649</c:v>
              </c:pt>
              <c:pt idx="2422">
                <c:v>43651</c:v>
              </c:pt>
              <c:pt idx="2423">
                <c:v>43654</c:v>
              </c:pt>
              <c:pt idx="2424">
                <c:v>43655</c:v>
              </c:pt>
              <c:pt idx="2425">
                <c:v>43656</c:v>
              </c:pt>
              <c:pt idx="2426">
                <c:v>43657</c:v>
              </c:pt>
              <c:pt idx="2427">
                <c:v>43658</c:v>
              </c:pt>
              <c:pt idx="2428">
                <c:v>43661</c:v>
              </c:pt>
              <c:pt idx="2429">
                <c:v>43662</c:v>
              </c:pt>
              <c:pt idx="2430">
                <c:v>43663</c:v>
              </c:pt>
              <c:pt idx="2431">
                <c:v>43664</c:v>
              </c:pt>
              <c:pt idx="2432">
                <c:v>43665</c:v>
              </c:pt>
              <c:pt idx="2433">
                <c:v>43668</c:v>
              </c:pt>
              <c:pt idx="2434">
                <c:v>43669</c:v>
              </c:pt>
              <c:pt idx="2435">
                <c:v>43670</c:v>
              </c:pt>
              <c:pt idx="2436">
                <c:v>43671</c:v>
              </c:pt>
              <c:pt idx="2437">
                <c:v>43672</c:v>
              </c:pt>
              <c:pt idx="2438">
                <c:v>43675</c:v>
              </c:pt>
              <c:pt idx="2439">
                <c:v>43676</c:v>
              </c:pt>
              <c:pt idx="2440">
                <c:v>43677</c:v>
              </c:pt>
              <c:pt idx="2441">
                <c:v>43678</c:v>
              </c:pt>
              <c:pt idx="2442">
                <c:v>43679</c:v>
              </c:pt>
              <c:pt idx="2443">
                <c:v>43682</c:v>
              </c:pt>
              <c:pt idx="2444">
                <c:v>43683</c:v>
              </c:pt>
              <c:pt idx="2445">
                <c:v>43684</c:v>
              </c:pt>
              <c:pt idx="2446">
                <c:v>43685</c:v>
              </c:pt>
              <c:pt idx="2447">
                <c:v>43686</c:v>
              </c:pt>
              <c:pt idx="2448">
                <c:v>43689</c:v>
              </c:pt>
              <c:pt idx="2449">
                <c:v>43690</c:v>
              </c:pt>
              <c:pt idx="2450">
                <c:v>43691</c:v>
              </c:pt>
              <c:pt idx="2451">
                <c:v>43692</c:v>
              </c:pt>
              <c:pt idx="2452">
                <c:v>43693</c:v>
              </c:pt>
              <c:pt idx="2453">
                <c:v>43696</c:v>
              </c:pt>
              <c:pt idx="2454">
                <c:v>43697</c:v>
              </c:pt>
              <c:pt idx="2455">
                <c:v>43698</c:v>
              </c:pt>
              <c:pt idx="2456">
                <c:v>43699</c:v>
              </c:pt>
              <c:pt idx="2457">
                <c:v>43700</c:v>
              </c:pt>
              <c:pt idx="2458">
                <c:v>43703</c:v>
              </c:pt>
              <c:pt idx="2459">
                <c:v>43704</c:v>
              </c:pt>
              <c:pt idx="2460">
                <c:v>43705</c:v>
              </c:pt>
              <c:pt idx="2461">
                <c:v>43706</c:v>
              </c:pt>
              <c:pt idx="2462">
                <c:v>43707</c:v>
              </c:pt>
              <c:pt idx="2463">
                <c:v>43711</c:v>
              </c:pt>
              <c:pt idx="2464">
                <c:v>43712</c:v>
              </c:pt>
              <c:pt idx="2465">
                <c:v>43713</c:v>
              </c:pt>
              <c:pt idx="2466">
                <c:v>43714</c:v>
              </c:pt>
              <c:pt idx="2467">
                <c:v>43717</c:v>
              </c:pt>
              <c:pt idx="2468">
                <c:v>43718</c:v>
              </c:pt>
              <c:pt idx="2469">
                <c:v>43719</c:v>
              </c:pt>
              <c:pt idx="2470">
                <c:v>43720</c:v>
              </c:pt>
              <c:pt idx="2471">
                <c:v>43721</c:v>
              </c:pt>
              <c:pt idx="2472">
                <c:v>43724</c:v>
              </c:pt>
              <c:pt idx="2473">
                <c:v>43725</c:v>
              </c:pt>
              <c:pt idx="2474">
                <c:v>43726</c:v>
              </c:pt>
              <c:pt idx="2475">
                <c:v>43727</c:v>
              </c:pt>
              <c:pt idx="2476">
                <c:v>43728</c:v>
              </c:pt>
              <c:pt idx="2477">
                <c:v>43731</c:v>
              </c:pt>
              <c:pt idx="2478">
                <c:v>43732</c:v>
              </c:pt>
              <c:pt idx="2479">
                <c:v>43733</c:v>
              </c:pt>
              <c:pt idx="2480">
                <c:v>43734</c:v>
              </c:pt>
              <c:pt idx="2481">
                <c:v>43735</c:v>
              </c:pt>
              <c:pt idx="2482">
                <c:v>43738</c:v>
              </c:pt>
              <c:pt idx="2483">
                <c:v>43739</c:v>
              </c:pt>
              <c:pt idx="2484">
                <c:v>43740</c:v>
              </c:pt>
              <c:pt idx="2485">
                <c:v>43741</c:v>
              </c:pt>
              <c:pt idx="2486">
                <c:v>43742</c:v>
              </c:pt>
              <c:pt idx="2487">
                <c:v>43745</c:v>
              </c:pt>
              <c:pt idx="2488">
                <c:v>43746</c:v>
              </c:pt>
              <c:pt idx="2489">
                <c:v>43747</c:v>
              </c:pt>
              <c:pt idx="2490">
                <c:v>43748</c:v>
              </c:pt>
              <c:pt idx="2491">
                <c:v>43749</c:v>
              </c:pt>
              <c:pt idx="2492">
                <c:v>43752</c:v>
              </c:pt>
              <c:pt idx="2493">
                <c:v>43753</c:v>
              </c:pt>
              <c:pt idx="2494">
                <c:v>43754</c:v>
              </c:pt>
              <c:pt idx="2495">
                <c:v>43755</c:v>
              </c:pt>
              <c:pt idx="2496">
                <c:v>43756</c:v>
              </c:pt>
              <c:pt idx="2497">
                <c:v>43759</c:v>
              </c:pt>
              <c:pt idx="2498">
                <c:v>43760</c:v>
              </c:pt>
              <c:pt idx="2499">
                <c:v>43761</c:v>
              </c:pt>
              <c:pt idx="2500">
                <c:v>43762</c:v>
              </c:pt>
              <c:pt idx="2501">
                <c:v>43763</c:v>
              </c:pt>
              <c:pt idx="2502">
                <c:v>43766</c:v>
              </c:pt>
              <c:pt idx="2503">
                <c:v>43767</c:v>
              </c:pt>
              <c:pt idx="2504">
                <c:v>43768</c:v>
              </c:pt>
              <c:pt idx="2505">
                <c:v>43769</c:v>
              </c:pt>
              <c:pt idx="2506">
                <c:v>43770</c:v>
              </c:pt>
              <c:pt idx="2507">
                <c:v>43773</c:v>
              </c:pt>
              <c:pt idx="2508">
                <c:v>43774</c:v>
              </c:pt>
              <c:pt idx="2509">
                <c:v>43775</c:v>
              </c:pt>
              <c:pt idx="2510">
                <c:v>43776</c:v>
              </c:pt>
              <c:pt idx="2511">
                <c:v>43777</c:v>
              </c:pt>
              <c:pt idx="2512">
                <c:v>43780</c:v>
              </c:pt>
              <c:pt idx="2513">
                <c:v>43781</c:v>
              </c:pt>
              <c:pt idx="2514">
                <c:v>43782</c:v>
              </c:pt>
              <c:pt idx="2515">
                <c:v>43783</c:v>
              </c:pt>
              <c:pt idx="2516">
                <c:v>43784</c:v>
              </c:pt>
              <c:pt idx="2517">
                <c:v>43713</c:v>
              </c:pt>
              <c:pt idx="2518">
                <c:v>43714</c:v>
              </c:pt>
              <c:pt idx="2519">
                <c:v>43717</c:v>
              </c:pt>
              <c:pt idx="2520">
                <c:v>43718</c:v>
              </c:pt>
              <c:pt idx="2521">
                <c:v>43719</c:v>
              </c:pt>
              <c:pt idx="2522">
                <c:v>43720</c:v>
              </c:pt>
              <c:pt idx="2523">
                <c:v>43721</c:v>
              </c:pt>
              <c:pt idx="2524">
                <c:v>43724</c:v>
              </c:pt>
              <c:pt idx="2525">
                <c:v>43725</c:v>
              </c:pt>
              <c:pt idx="2526">
                <c:v>43726</c:v>
              </c:pt>
              <c:pt idx="2527">
                <c:v>43727</c:v>
              </c:pt>
              <c:pt idx="2528">
                <c:v>43728</c:v>
              </c:pt>
              <c:pt idx="2529">
                <c:v>43731</c:v>
              </c:pt>
              <c:pt idx="2530">
                <c:v>43732</c:v>
              </c:pt>
              <c:pt idx="2531">
                <c:v>43733</c:v>
              </c:pt>
              <c:pt idx="2532">
                <c:v>43734</c:v>
              </c:pt>
              <c:pt idx="2533">
                <c:v>43735</c:v>
              </c:pt>
              <c:pt idx="2534">
                <c:v>43738</c:v>
              </c:pt>
              <c:pt idx="2535">
                <c:v>43739</c:v>
              </c:pt>
              <c:pt idx="2536">
                <c:v>43740</c:v>
              </c:pt>
              <c:pt idx="2537">
                <c:v>43741</c:v>
              </c:pt>
              <c:pt idx="2538">
                <c:v>43742</c:v>
              </c:pt>
              <c:pt idx="2539">
                <c:v>43745</c:v>
              </c:pt>
              <c:pt idx="2540">
                <c:v>43746</c:v>
              </c:pt>
              <c:pt idx="2541">
                <c:v>43747</c:v>
              </c:pt>
              <c:pt idx="2542">
                <c:v>43748</c:v>
              </c:pt>
              <c:pt idx="2543">
                <c:v>43749</c:v>
              </c:pt>
              <c:pt idx="2544">
                <c:v>43752</c:v>
              </c:pt>
              <c:pt idx="2545">
                <c:v>43753</c:v>
              </c:pt>
              <c:pt idx="2546">
                <c:v>43754</c:v>
              </c:pt>
              <c:pt idx="2547">
                <c:v>43755</c:v>
              </c:pt>
              <c:pt idx="2548">
                <c:v>43756</c:v>
              </c:pt>
              <c:pt idx="2549">
                <c:v>43759</c:v>
              </c:pt>
              <c:pt idx="2550">
                <c:v>43760</c:v>
              </c:pt>
              <c:pt idx="2551">
                <c:v>43761</c:v>
              </c:pt>
              <c:pt idx="2552">
                <c:v>43762</c:v>
              </c:pt>
              <c:pt idx="2553">
                <c:v>43763</c:v>
              </c:pt>
              <c:pt idx="2554">
                <c:v>43766</c:v>
              </c:pt>
              <c:pt idx="2555">
                <c:v>43767</c:v>
              </c:pt>
              <c:pt idx="2556">
                <c:v>43768</c:v>
              </c:pt>
              <c:pt idx="2557">
                <c:v>43769</c:v>
              </c:pt>
              <c:pt idx="2558">
                <c:v>43770</c:v>
              </c:pt>
              <c:pt idx="2559">
                <c:v>43773</c:v>
              </c:pt>
              <c:pt idx="2560">
                <c:v>43774</c:v>
              </c:pt>
              <c:pt idx="2561">
                <c:v>43775</c:v>
              </c:pt>
              <c:pt idx="2562">
                <c:v>43776</c:v>
              </c:pt>
              <c:pt idx="2563">
                <c:v>43777</c:v>
              </c:pt>
              <c:pt idx="2564">
                <c:v>43780</c:v>
              </c:pt>
              <c:pt idx="2565">
                <c:v>43781</c:v>
              </c:pt>
              <c:pt idx="2566">
                <c:v>43782</c:v>
              </c:pt>
              <c:pt idx="2567">
                <c:v>43783</c:v>
              </c:pt>
              <c:pt idx="2568">
                <c:v>43784</c:v>
              </c:pt>
            </c:numLit>
          </c:cat>
          <c:val>
            <c:numLit>
              <c:formatCode>General</c:formatCode>
              <c:ptCount val="2569"/>
              <c:pt idx="0">
                <c:v>2.61</c:v>
              </c:pt>
              <c:pt idx="1">
                <c:v>2.54</c:v>
              </c:pt>
              <c:pt idx="2">
                <c:v>2.42</c:v>
              </c:pt>
              <c:pt idx="3">
                <c:v>2.4700000000000002</c:v>
              </c:pt>
              <c:pt idx="4">
                <c:v>2.44</c:v>
              </c:pt>
              <c:pt idx="5">
                <c:v>2.44</c:v>
              </c:pt>
              <c:pt idx="6">
                <c:v>2.44</c:v>
              </c:pt>
              <c:pt idx="7">
                <c:v>2.35</c:v>
              </c:pt>
              <c:pt idx="8">
                <c:v>2.42</c:v>
              </c:pt>
              <c:pt idx="9">
                <c:v>2.4300000000000002</c:v>
              </c:pt>
              <c:pt idx="10">
                <c:v>2.4700000000000002</c:v>
              </c:pt>
              <c:pt idx="11">
                <c:v>2.41</c:v>
              </c:pt>
              <c:pt idx="12">
                <c:v>2.5299999999999998</c:v>
              </c:pt>
              <c:pt idx="13">
                <c:v>2.63</c:v>
              </c:pt>
              <c:pt idx="14">
                <c:v>2.65</c:v>
              </c:pt>
              <c:pt idx="15">
                <c:v>2.75</c:v>
              </c:pt>
              <c:pt idx="16">
                <c:v>2.59</c:v>
              </c:pt>
              <c:pt idx="17">
                <c:v>2.61</c:v>
              </c:pt>
              <c:pt idx="18">
                <c:v>2.77</c:v>
              </c:pt>
              <c:pt idx="19">
                <c:v>2.79</c:v>
              </c:pt>
              <c:pt idx="20">
                <c:v>2.76</c:v>
              </c:pt>
              <c:pt idx="21">
                <c:v>2.71</c:v>
              </c:pt>
              <c:pt idx="22">
                <c:v>2.83</c:v>
              </c:pt>
              <c:pt idx="23">
                <c:v>2.83</c:v>
              </c:pt>
              <c:pt idx="24">
                <c:v>2.74</c:v>
              </c:pt>
              <c:pt idx="25">
                <c:v>2.7</c:v>
              </c:pt>
              <c:pt idx="26">
                <c:v>2.76</c:v>
              </c:pt>
              <c:pt idx="27">
                <c:v>2.69</c:v>
              </c:pt>
              <c:pt idx="28">
                <c:v>2.6</c:v>
              </c:pt>
              <c:pt idx="29">
                <c:v>2.61</c:v>
              </c:pt>
              <c:pt idx="30">
                <c:v>2.62</c:v>
              </c:pt>
              <c:pt idx="31">
                <c:v>2.83</c:v>
              </c:pt>
              <c:pt idx="32">
                <c:v>2.75</c:v>
              </c:pt>
              <c:pt idx="33">
                <c:v>2.67</c:v>
              </c:pt>
              <c:pt idx="34">
                <c:v>2.7</c:v>
              </c:pt>
              <c:pt idx="35">
                <c:v>2.71</c:v>
              </c:pt>
              <c:pt idx="36">
                <c:v>2.69</c:v>
              </c:pt>
              <c:pt idx="37">
                <c:v>2.69</c:v>
              </c:pt>
              <c:pt idx="38">
                <c:v>2.7</c:v>
              </c:pt>
              <c:pt idx="39">
                <c:v>2.59</c:v>
              </c:pt>
              <c:pt idx="40">
                <c:v>2.4900000000000002</c:v>
              </c:pt>
              <c:pt idx="41">
                <c:v>2.44</c:v>
              </c:pt>
              <c:pt idx="42">
                <c:v>2.42</c:v>
              </c:pt>
              <c:pt idx="43">
                <c:v>2.31</c:v>
              </c:pt>
              <c:pt idx="44">
                <c:v>2.3199999999999998</c:v>
              </c:pt>
              <c:pt idx="45">
                <c:v>2.31</c:v>
              </c:pt>
              <c:pt idx="46">
                <c:v>2.2999999999999998</c:v>
              </c:pt>
              <c:pt idx="47">
                <c:v>2.36</c:v>
              </c:pt>
              <c:pt idx="48">
                <c:v>2.4500000000000002</c:v>
              </c:pt>
              <c:pt idx="49">
                <c:v>2.48</c:v>
              </c:pt>
              <c:pt idx="50">
                <c:v>2.6</c:v>
              </c:pt>
              <c:pt idx="51">
                <c:v>2.4700000000000002</c:v>
              </c:pt>
              <c:pt idx="52">
                <c:v>2.38</c:v>
              </c:pt>
              <c:pt idx="53">
                <c:v>2.2799999999999998</c:v>
              </c:pt>
              <c:pt idx="54">
                <c:v>2.33</c:v>
              </c:pt>
              <c:pt idx="55">
                <c:v>2.3199999999999998</c:v>
              </c:pt>
              <c:pt idx="56">
                <c:v>2.46</c:v>
              </c:pt>
              <c:pt idx="57">
                <c:v>2.41</c:v>
              </c:pt>
              <c:pt idx="58">
                <c:v>2.48</c:v>
              </c:pt>
              <c:pt idx="59">
                <c:v>2.5099999999999998</c:v>
              </c:pt>
              <c:pt idx="60">
                <c:v>2.4900000000000002</c:v>
              </c:pt>
              <c:pt idx="61">
                <c:v>2.5099999999999998</c:v>
              </c:pt>
              <c:pt idx="62">
                <c:v>2.58</c:v>
              </c:pt>
              <c:pt idx="63">
                <c:v>2.54</c:v>
              </c:pt>
              <c:pt idx="64">
                <c:v>2.5299999999999998</c:v>
              </c:pt>
              <c:pt idx="65">
                <c:v>2.68</c:v>
              </c:pt>
              <c:pt idx="66">
                <c:v>2.5499999999999998</c:v>
              </c:pt>
              <c:pt idx="67">
                <c:v>2.58</c:v>
              </c:pt>
              <c:pt idx="68">
                <c:v>2.69</c:v>
              </c:pt>
              <c:pt idx="69">
                <c:v>2.73</c:v>
              </c:pt>
              <c:pt idx="70">
                <c:v>2.71</c:v>
              </c:pt>
              <c:pt idx="71">
                <c:v>2.71</c:v>
              </c:pt>
              <c:pt idx="72">
                <c:v>2.73</c:v>
              </c:pt>
              <c:pt idx="73">
                <c:v>2.82</c:v>
              </c:pt>
              <c:pt idx="74">
                <c:v>2.81</c:v>
              </c:pt>
              <c:pt idx="75">
                <c:v>2.83</c:v>
              </c:pt>
              <c:pt idx="76">
                <c:v>2.83</c:v>
              </c:pt>
              <c:pt idx="77">
                <c:v>2.88</c:v>
              </c:pt>
              <c:pt idx="78">
                <c:v>2.9</c:v>
              </c:pt>
              <c:pt idx="79">
                <c:v>2.91</c:v>
              </c:pt>
              <c:pt idx="80">
                <c:v>2.92</c:v>
              </c:pt>
              <c:pt idx="81">
                <c:v>2.88</c:v>
              </c:pt>
              <c:pt idx="82">
                <c:v>2.86</c:v>
              </c:pt>
              <c:pt idx="83">
                <c:v>2.88</c:v>
              </c:pt>
              <c:pt idx="84">
                <c:v>3.01</c:v>
              </c:pt>
              <c:pt idx="85">
                <c:v>3.03</c:v>
              </c:pt>
              <c:pt idx="86">
                <c:v>2.95</c:v>
              </c:pt>
              <c:pt idx="87">
                <c:v>2.93</c:v>
              </c:pt>
              <c:pt idx="88">
                <c:v>2.97</c:v>
              </c:pt>
              <c:pt idx="89">
                <c:v>2.99</c:v>
              </c:pt>
              <c:pt idx="90">
                <c:v>2.99</c:v>
              </c:pt>
              <c:pt idx="91">
                <c:v>3.01</c:v>
              </c:pt>
              <c:pt idx="92">
                <c:v>3.08</c:v>
              </c:pt>
              <c:pt idx="93">
                <c:v>3.15</c:v>
              </c:pt>
              <c:pt idx="94">
                <c:v>3.54</c:v>
              </c:pt>
              <c:pt idx="95">
                <c:v>3.92</c:v>
              </c:pt>
              <c:pt idx="96">
                <c:v>3.95</c:v>
              </c:pt>
              <c:pt idx="97">
                <c:v>3.9</c:v>
              </c:pt>
              <c:pt idx="98">
                <c:v>3.87</c:v>
              </c:pt>
              <c:pt idx="99">
                <c:v>3.87</c:v>
              </c:pt>
              <c:pt idx="100">
                <c:v>3.87</c:v>
              </c:pt>
              <c:pt idx="101">
                <c:v>3.89</c:v>
              </c:pt>
              <c:pt idx="102">
                <c:v>3.87</c:v>
              </c:pt>
              <c:pt idx="103">
                <c:v>3.87</c:v>
              </c:pt>
              <c:pt idx="104">
                <c:v>4.0999999999999996</c:v>
              </c:pt>
              <c:pt idx="105">
                <c:v>4.1900000000000004</c:v>
              </c:pt>
              <c:pt idx="106">
                <c:v>4.1500000000000004</c:v>
              </c:pt>
              <c:pt idx="107">
                <c:v>4.2300000000000004</c:v>
              </c:pt>
              <c:pt idx="108">
                <c:v>4.29</c:v>
              </c:pt>
              <c:pt idx="109">
                <c:v>4.2300000000000004</c:v>
              </c:pt>
              <c:pt idx="110">
                <c:v>4.3099999999999996</c:v>
              </c:pt>
              <c:pt idx="111">
                <c:v>4.43</c:v>
              </c:pt>
              <c:pt idx="112">
                <c:v>4.43</c:v>
              </c:pt>
              <c:pt idx="113">
                <c:v>4.46</c:v>
              </c:pt>
              <c:pt idx="114">
                <c:v>4.3899999999999997</c:v>
              </c:pt>
              <c:pt idx="115">
                <c:v>4.74</c:v>
              </c:pt>
              <c:pt idx="116">
                <c:v>4.9800000000000004</c:v>
              </c:pt>
              <c:pt idx="117">
                <c:v>4.7699999999999996</c:v>
              </c:pt>
              <c:pt idx="118">
                <c:v>5.12</c:v>
              </c:pt>
              <c:pt idx="119">
                <c:v>5.28</c:v>
              </c:pt>
              <c:pt idx="120">
                <c:v>5.44</c:v>
              </c:pt>
              <c:pt idx="121">
                <c:v>5.32</c:v>
              </c:pt>
              <c:pt idx="122">
                <c:v>5.32</c:v>
              </c:pt>
              <c:pt idx="123">
                <c:v>5.16</c:v>
              </c:pt>
              <c:pt idx="124">
                <c:v>5.14</c:v>
              </c:pt>
              <c:pt idx="125">
                <c:v>5.16</c:v>
              </c:pt>
              <c:pt idx="126">
                <c:v>4.83</c:v>
              </c:pt>
              <c:pt idx="127">
                <c:v>4.8600000000000003</c:v>
              </c:pt>
              <c:pt idx="128">
                <c:v>4.9000000000000004</c:v>
              </c:pt>
              <c:pt idx="129">
                <c:v>4.88</c:v>
              </c:pt>
              <c:pt idx="130">
                <c:v>4.78</c:v>
              </c:pt>
              <c:pt idx="131">
                <c:v>5.13</c:v>
              </c:pt>
              <c:pt idx="132">
                <c:v>5.19</c:v>
              </c:pt>
              <c:pt idx="133">
                <c:v>5.0199999999999996</c:v>
              </c:pt>
              <c:pt idx="134">
                <c:v>5.45</c:v>
              </c:pt>
              <c:pt idx="135">
                <c:v>5.24</c:v>
              </c:pt>
              <c:pt idx="136">
                <c:v>4.97</c:v>
              </c:pt>
              <c:pt idx="137">
                <c:v>4.96</c:v>
              </c:pt>
              <c:pt idx="138">
                <c:v>4.71</c:v>
              </c:pt>
              <c:pt idx="139">
                <c:v>4.7</c:v>
              </c:pt>
              <c:pt idx="140">
                <c:v>4.8099999999999996</c:v>
              </c:pt>
              <c:pt idx="141">
                <c:v>4.8899999999999997</c:v>
              </c:pt>
              <c:pt idx="142">
                <c:v>5.03</c:v>
              </c:pt>
              <c:pt idx="143">
                <c:v>5.21</c:v>
              </c:pt>
              <c:pt idx="144">
                <c:v>5.16</c:v>
              </c:pt>
              <c:pt idx="145">
                <c:v>5.26</c:v>
              </c:pt>
              <c:pt idx="146">
                <c:v>5.49</c:v>
              </c:pt>
              <c:pt idx="147">
                <c:v>5.28</c:v>
              </c:pt>
              <c:pt idx="148">
                <c:v>5.16</c:v>
              </c:pt>
              <c:pt idx="149">
                <c:v>5.2</c:v>
              </c:pt>
              <c:pt idx="150">
                <c:v>5.1100000000000003</c:v>
              </c:pt>
              <c:pt idx="151">
                <c:v>5.49</c:v>
              </c:pt>
              <c:pt idx="152">
                <c:v>5.39</c:v>
              </c:pt>
              <c:pt idx="153">
                <c:v>5.27</c:v>
              </c:pt>
              <c:pt idx="154">
                <c:v>5.0199999999999996</c:v>
              </c:pt>
              <c:pt idx="155">
                <c:v>4.79</c:v>
              </c:pt>
              <c:pt idx="156">
                <c:v>4.97</c:v>
              </c:pt>
              <c:pt idx="157">
                <c:v>4.82</c:v>
              </c:pt>
              <c:pt idx="158">
                <c:v>4.92</c:v>
              </c:pt>
              <c:pt idx="159">
                <c:v>5</c:v>
              </c:pt>
              <c:pt idx="160">
                <c:v>5.01</c:v>
              </c:pt>
              <c:pt idx="161">
                <c:v>4.9000000000000004</c:v>
              </c:pt>
              <c:pt idx="162">
                <c:v>5</c:v>
              </c:pt>
              <c:pt idx="163">
                <c:v>4.99</c:v>
              </c:pt>
              <c:pt idx="164">
                <c:v>4.91</c:v>
              </c:pt>
              <c:pt idx="165">
                <c:v>4.54</c:v>
              </c:pt>
              <c:pt idx="166">
                <c:v>4.2300000000000004</c:v>
              </c:pt>
              <c:pt idx="167">
                <c:v>4.3</c:v>
              </c:pt>
              <c:pt idx="168">
                <c:v>4.25</c:v>
              </c:pt>
              <c:pt idx="169">
                <c:v>4.43</c:v>
              </c:pt>
              <c:pt idx="170">
                <c:v>4.7</c:v>
              </c:pt>
              <c:pt idx="171">
                <c:v>5.0199999999999996</c:v>
              </c:pt>
              <c:pt idx="172">
                <c:v>4.9400000000000004</c:v>
              </c:pt>
              <c:pt idx="173">
                <c:v>4.79</c:v>
              </c:pt>
              <c:pt idx="174">
                <c:v>4.8</c:v>
              </c:pt>
              <c:pt idx="175">
                <c:v>4.91</c:v>
              </c:pt>
              <c:pt idx="176">
                <c:v>5.03</c:v>
              </c:pt>
              <c:pt idx="177">
                <c:v>5.07</c:v>
              </c:pt>
              <c:pt idx="178">
                <c:v>5.41</c:v>
              </c:pt>
              <c:pt idx="179">
                <c:v>5.37</c:v>
              </c:pt>
              <c:pt idx="180">
                <c:v>5.29</c:v>
              </c:pt>
              <c:pt idx="181">
                <c:v>5.52</c:v>
              </c:pt>
              <c:pt idx="182">
                <c:v>5.39</c:v>
              </c:pt>
              <c:pt idx="183">
                <c:v>5.12</c:v>
              </c:pt>
              <c:pt idx="184">
                <c:v>5.0199999999999996</c:v>
              </c:pt>
              <c:pt idx="185">
                <c:v>5</c:v>
              </c:pt>
              <c:pt idx="186">
                <c:v>4.9000000000000004</c:v>
              </c:pt>
              <c:pt idx="187">
                <c:v>5.1100000000000003</c:v>
              </c:pt>
              <c:pt idx="188">
                <c:v>4.91</c:v>
              </c:pt>
              <c:pt idx="189">
                <c:v>4.6500000000000004</c:v>
              </c:pt>
              <c:pt idx="190">
                <c:v>4.54</c:v>
              </c:pt>
              <c:pt idx="191">
                <c:v>4.32</c:v>
              </c:pt>
              <c:pt idx="192">
                <c:v>4.16</c:v>
              </c:pt>
              <c:pt idx="193">
                <c:v>4.5199999999999996</c:v>
              </c:pt>
              <c:pt idx="194">
                <c:v>4.3</c:v>
              </c:pt>
              <c:pt idx="195">
                <c:v>4.55</c:v>
              </c:pt>
              <c:pt idx="196">
                <c:v>4.43</c:v>
              </c:pt>
              <c:pt idx="197">
                <c:v>4.54</c:v>
              </c:pt>
              <c:pt idx="198">
                <c:v>4.8499999999999996</c:v>
              </c:pt>
              <c:pt idx="199">
                <c:v>4.6399999999999997</c:v>
              </c:pt>
              <c:pt idx="200">
                <c:v>5.0999999999999996</c:v>
              </c:pt>
              <c:pt idx="201">
                <c:v>4.93</c:v>
              </c:pt>
              <c:pt idx="202">
                <c:v>4.7</c:v>
              </c:pt>
              <c:pt idx="203">
                <c:v>4.83</c:v>
              </c:pt>
              <c:pt idx="204">
                <c:v>5.0599999999999996</c:v>
              </c:pt>
              <c:pt idx="205">
                <c:v>5.12</c:v>
              </c:pt>
              <c:pt idx="206">
                <c:v>5.07</c:v>
              </c:pt>
              <c:pt idx="207">
                <c:v>5.12</c:v>
              </c:pt>
              <c:pt idx="208">
                <c:v>5.0599999999999996</c:v>
              </c:pt>
              <c:pt idx="209">
                <c:v>5.22</c:v>
              </c:pt>
              <c:pt idx="210">
                <c:v>5.24</c:v>
              </c:pt>
              <c:pt idx="211">
                <c:v>5.22</c:v>
              </c:pt>
              <c:pt idx="212">
                <c:v>5.26</c:v>
              </c:pt>
              <c:pt idx="213">
                <c:v>5.19</c:v>
              </c:pt>
              <c:pt idx="214">
                <c:v>5.43</c:v>
              </c:pt>
              <c:pt idx="215">
                <c:v>5.32</c:v>
              </c:pt>
              <c:pt idx="216">
                <c:v>5.34</c:v>
              </c:pt>
              <c:pt idx="217">
                <c:v>5.35</c:v>
              </c:pt>
              <c:pt idx="218">
                <c:v>5.35</c:v>
              </c:pt>
              <c:pt idx="219">
                <c:v>5.46</c:v>
              </c:pt>
              <c:pt idx="220">
                <c:v>5.37</c:v>
              </c:pt>
              <c:pt idx="221">
                <c:v>5.89</c:v>
              </c:pt>
              <c:pt idx="222">
                <c:v>5.76</c:v>
              </c:pt>
              <c:pt idx="223">
                <c:v>5.68</c:v>
              </c:pt>
              <c:pt idx="224">
                <c:v>5.8</c:v>
              </c:pt>
              <c:pt idx="225">
                <c:v>5.8</c:v>
              </c:pt>
              <c:pt idx="226">
                <c:v>5.8</c:v>
              </c:pt>
              <c:pt idx="227">
                <c:v>6.05</c:v>
              </c:pt>
              <c:pt idx="228">
                <c:v>6.13</c:v>
              </c:pt>
              <c:pt idx="229">
                <c:v>6.12</c:v>
              </c:pt>
              <c:pt idx="230">
                <c:v>6.31</c:v>
              </c:pt>
              <c:pt idx="231">
                <c:v>6.44</c:v>
              </c:pt>
              <c:pt idx="232">
                <c:v>6.4</c:v>
              </c:pt>
              <c:pt idx="233">
                <c:v>6.26</c:v>
              </c:pt>
              <c:pt idx="234">
                <c:v>6.19</c:v>
              </c:pt>
              <c:pt idx="235">
                <c:v>6.26</c:v>
              </c:pt>
              <c:pt idx="236">
                <c:v>6.27</c:v>
              </c:pt>
              <c:pt idx="237">
                <c:v>6.29</c:v>
              </c:pt>
              <c:pt idx="238">
                <c:v>6.26</c:v>
              </c:pt>
              <c:pt idx="239">
                <c:v>6.39</c:v>
              </c:pt>
              <c:pt idx="240">
                <c:v>6.3</c:v>
              </c:pt>
              <c:pt idx="241">
                <c:v>6.56</c:v>
              </c:pt>
              <c:pt idx="242">
                <c:v>6.62</c:v>
              </c:pt>
              <c:pt idx="243">
                <c:v>7.02</c:v>
              </c:pt>
              <c:pt idx="244">
                <c:v>7.07</c:v>
              </c:pt>
              <c:pt idx="245">
                <c:v>7.03</c:v>
              </c:pt>
              <c:pt idx="246">
                <c:v>7.03</c:v>
              </c:pt>
              <c:pt idx="247">
                <c:v>6.9</c:v>
              </c:pt>
              <c:pt idx="248">
                <c:v>6.64</c:v>
              </c:pt>
              <c:pt idx="249">
                <c:v>6.32</c:v>
              </c:pt>
              <c:pt idx="250">
                <c:v>6.17</c:v>
              </c:pt>
              <c:pt idx="251">
                <c:v>6.02</c:v>
              </c:pt>
              <c:pt idx="252">
                <c:v>5.92</c:v>
              </c:pt>
              <c:pt idx="253">
                <c:v>6.22</c:v>
              </c:pt>
              <c:pt idx="254">
                <c:v>6.25</c:v>
              </c:pt>
              <c:pt idx="255">
                <c:v>6.2</c:v>
              </c:pt>
              <c:pt idx="256">
                <c:v>6.1</c:v>
              </c:pt>
              <c:pt idx="257">
                <c:v>6.13</c:v>
              </c:pt>
              <c:pt idx="258">
                <c:v>6.12</c:v>
              </c:pt>
              <c:pt idx="259">
                <c:v>6.25</c:v>
              </c:pt>
              <c:pt idx="260">
                <c:v>6.31</c:v>
              </c:pt>
              <c:pt idx="261">
                <c:v>6.4</c:v>
              </c:pt>
              <c:pt idx="262">
                <c:v>6.52</c:v>
              </c:pt>
              <c:pt idx="263">
                <c:v>6.52</c:v>
              </c:pt>
              <c:pt idx="264">
                <c:v>6.57</c:v>
              </c:pt>
              <c:pt idx="265">
                <c:v>6.63</c:v>
              </c:pt>
              <c:pt idx="266">
                <c:v>6.75</c:v>
              </c:pt>
              <c:pt idx="267">
                <c:v>6.82</c:v>
              </c:pt>
              <c:pt idx="268">
                <c:v>6.93</c:v>
              </c:pt>
              <c:pt idx="269">
                <c:v>6.92</c:v>
              </c:pt>
              <c:pt idx="270">
                <c:v>6.96</c:v>
              </c:pt>
              <c:pt idx="271">
                <c:v>6.97</c:v>
              </c:pt>
              <c:pt idx="272">
                <c:v>6.94</c:v>
              </c:pt>
              <c:pt idx="273">
                <c:v>6.82</c:v>
              </c:pt>
              <c:pt idx="274">
                <c:v>6.96</c:v>
              </c:pt>
              <c:pt idx="275">
                <c:v>7.02</c:v>
              </c:pt>
              <c:pt idx="276">
                <c:v>6.89</c:v>
              </c:pt>
              <c:pt idx="277">
                <c:v>6.82</c:v>
              </c:pt>
              <c:pt idx="278">
                <c:v>6.79</c:v>
              </c:pt>
              <c:pt idx="279">
                <c:v>6.72</c:v>
              </c:pt>
              <c:pt idx="280">
                <c:v>6.62</c:v>
              </c:pt>
              <c:pt idx="281">
                <c:v>6.49</c:v>
              </c:pt>
              <c:pt idx="282">
                <c:v>6.44</c:v>
              </c:pt>
              <c:pt idx="283">
                <c:v>6.75</c:v>
              </c:pt>
              <c:pt idx="284">
                <c:v>6.56</c:v>
              </c:pt>
              <c:pt idx="285">
                <c:v>6.85</c:v>
              </c:pt>
              <c:pt idx="286">
                <c:v>6.9</c:v>
              </c:pt>
              <c:pt idx="287">
                <c:v>6.96</c:v>
              </c:pt>
              <c:pt idx="288">
                <c:v>7.02</c:v>
              </c:pt>
              <c:pt idx="289">
                <c:v>7.08</c:v>
              </c:pt>
              <c:pt idx="290">
                <c:v>7.08</c:v>
              </c:pt>
              <c:pt idx="291">
                <c:v>7.06</c:v>
              </c:pt>
              <c:pt idx="292">
                <c:v>7.11</c:v>
              </c:pt>
              <c:pt idx="293">
                <c:v>7.22</c:v>
              </c:pt>
              <c:pt idx="294">
                <c:v>6.95</c:v>
              </c:pt>
              <c:pt idx="295">
                <c:v>6.54</c:v>
              </c:pt>
              <c:pt idx="296">
                <c:v>6.26</c:v>
              </c:pt>
              <c:pt idx="297">
                <c:v>6.59</c:v>
              </c:pt>
              <c:pt idx="298">
                <c:v>6.6</c:v>
              </c:pt>
              <c:pt idx="299">
                <c:v>6.86</c:v>
              </c:pt>
              <c:pt idx="300">
                <c:v>7.06</c:v>
              </c:pt>
              <c:pt idx="301">
                <c:v>6.9</c:v>
              </c:pt>
              <c:pt idx="302">
                <c:v>7.08</c:v>
              </c:pt>
              <c:pt idx="303">
                <c:v>7.36</c:v>
              </c:pt>
              <c:pt idx="304">
                <c:v>7.34</c:v>
              </c:pt>
              <c:pt idx="305">
                <c:v>7.38</c:v>
              </c:pt>
              <c:pt idx="306">
                <c:v>7.38</c:v>
              </c:pt>
              <c:pt idx="307">
                <c:v>7.46</c:v>
              </c:pt>
              <c:pt idx="308">
                <c:v>7.8</c:v>
              </c:pt>
              <c:pt idx="309">
                <c:v>7.2</c:v>
              </c:pt>
              <c:pt idx="310">
                <c:v>6.83</c:v>
              </c:pt>
              <c:pt idx="311">
                <c:v>6.81</c:v>
              </c:pt>
              <c:pt idx="312">
                <c:v>7.1</c:v>
              </c:pt>
              <c:pt idx="313">
                <c:v>7.09</c:v>
              </c:pt>
              <c:pt idx="314">
                <c:v>6.86</c:v>
              </c:pt>
              <c:pt idx="315">
                <c:v>6.83</c:v>
              </c:pt>
              <c:pt idx="316">
                <c:v>6.87</c:v>
              </c:pt>
              <c:pt idx="317">
                <c:v>6.66</c:v>
              </c:pt>
              <c:pt idx="318">
                <c:v>6.6</c:v>
              </c:pt>
              <c:pt idx="319">
                <c:v>6.22</c:v>
              </c:pt>
              <c:pt idx="320">
                <c:v>6.41</c:v>
              </c:pt>
              <c:pt idx="321">
                <c:v>6.61</c:v>
              </c:pt>
              <c:pt idx="322">
                <c:v>6.54</c:v>
              </c:pt>
              <c:pt idx="323">
                <c:v>6.55</c:v>
              </c:pt>
              <c:pt idx="324">
                <c:v>6.9</c:v>
              </c:pt>
              <c:pt idx="325">
                <c:v>7.15</c:v>
              </c:pt>
              <c:pt idx="326">
                <c:v>6.91</c:v>
              </c:pt>
              <c:pt idx="327">
                <c:v>6.87</c:v>
              </c:pt>
              <c:pt idx="328">
                <c:v>7.19</c:v>
              </c:pt>
              <c:pt idx="329">
                <c:v>6.81</c:v>
              </c:pt>
              <c:pt idx="330">
                <c:v>6.79</c:v>
              </c:pt>
              <c:pt idx="331">
                <c:v>6.54</c:v>
              </c:pt>
              <c:pt idx="332">
                <c:v>6.29</c:v>
              </c:pt>
              <c:pt idx="333">
                <c:v>6.04</c:v>
              </c:pt>
              <c:pt idx="334">
                <c:v>6.13</c:v>
              </c:pt>
              <c:pt idx="335">
                <c:v>6.54</c:v>
              </c:pt>
              <c:pt idx="336">
                <c:v>7.14</c:v>
              </c:pt>
              <c:pt idx="337">
                <c:v>7.45</c:v>
              </c:pt>
              <c:pt idx="338">
                <c:v>7.39</c:v>
              </c:pt>
              <c:pt idx="339">
                <c:v>7.3</c:v>
              </c:pt>
              <c:pt idx="340">
                <c:v>7.35</c:v>
              </c:pt>
              <c:pt idx="341">
                <c:v>7.45</c:v>
              </c:pt>
              <c:pt idx="342">
                <c:v>7.69</c:v>
              </c:pt>
              <c:pt idx="343">
                <c:v>7.69</c:v>
              </c:pt>
              <c:pt idx="344">
                <c:v>7.72</c:v>
              </c:pt>
              <c:pt idx="345">
                <c:v>7.79</c:v>
              </c:pt>
              <c:pt idx="346">
                <c:v>7.79</c:v>
              </c:pt>
              <c:pt idx="347">
                <c:v>7.73</c:v>
              </c:pt>
              <c:pt idx="348">
                <c:v>7.73</c:v>
              </c:pt>
              <c:pt idx="349">
                <c:v>7.64</c:v>
              </c:pt>
              <c:pt idx="350">
                <c:v>7.34</c:v>
              </c:pt>
              <c:pt idx="351">
                <c:v>6.92</c:v>
              </c:pt>
              <c:pt idx="352">
                <c:v>6.78</c:v>
              </c:pt>
              <c:pt idx="353">
                <c:v>6.64</c:v>
              </c:pt>
              <c:pt idx="354">
                <c:v>6.81</c:v>
              </c:pt>
              <c:pt idx="355">
                <c:v>6.84</c:v>
              </c:pt>
              <c:pt idx="356">
                <c:v>6.5</c:v>
              </c:pt>
              <c:pt idx="357">
                <c:v>6.65</c:v>
              </c:pt>
              <c:pt idx="358">
                <c:v>6.74</c:v>
              </c:pt>
              <c:pt idx="359">
                <c:v>7.03</c:v>
              </c:pt>
              <c:pt idx="360">
                <c:v>6.96</c:v>
              </c:pt>
              <c:pt idx="361">
                <c:v>7.38</c:v>
              </c:pt>
              <c:pt idx="362">
                <c:v>7.33</c:v>
              </c:pt>
              <c:pt idx="363">
                <c:v>7.57</c:v>
              </c:pt>
              <c:pt idx="364">
                <c:v>7.97</c:v>
              </c:pt>
              <c:pt idx="365">
                <c:v>7.57</c:v>
              </c:pt>
              <c:pt idx="366">
                <c:v>7.32</c:v>
              </c:pt>
              <c:pt idx="367">
                <c:v>7.68</c:v>
              </c:pt>
              <c:pt idx="368">
                <c:v>7.73</c:v>
              </c:pt>
              <c:pt idx="369">
                <c:v>7.82</c:v>
              </c:pt>
              <c:pt idx="370">
                <c:v>7.95</c:v>
              </c:pt>
              <c:pt idx="371">
                <c:v>8.51</c:v>
              </c:pt>
              <c:pt idx="372">
                <c:v>8.3000000000000007</c:v>
              </c:pt>
              <c:pt idx="373">
                <c:v>8.5</c:v>
              </c:pt>
              <c:pt idx="374">
                <c:v>8.42</c:v>
              </c:pt>
              <c:pt idx="375">
                <c:v>8.0399999999999991</c:v>
              </c:pt>
              <c:pt idx="376">
                <c:v>7.97</c:v>
              </c:pt>
              <c:pt idx="377">
                <c:v>8</c:v>
              </c:pt>
              <c:pt idx="378">
                <c:v>8.19</c:v>
              </c:pt>
              <c:pt idx="379">
                <c:v>8.1999999999999993</c:v>
              </c:pt>
              <c:pt idx="380">
                <c:v>8.07</c:v>
              </c:pt>
              <c:pt idx="381">
                <c:v>7.89</c:v>
              </c:pt>
              <c:pt idx="382">
                <c:v>8</c:v>
              </c:pt>
              <c:pt idx="383">
                <c:v>8.25</c:v>
              </c:pt>
              <c:pt idx="384">
                <c:v>7.97</c:v>
              </c:pt>
              <c:pt idx="385">
                <c:v>8.2200000000000006</c:v>
              </c:pt>
              <c:pt idx="386">
                <c:v>7.97</c:v>
              </c:pt>
              <c:pt idx="387">
                <c:v>7.79</c:v>
              </c:pt>
              <c:pt idx="388">
                <c:v>7.67</c:v>
              </c:pt>
              <c:pt idx="389">
                <c:v>7.57</c:v>
              </c:pt>
              <c:pt idx="390">
                <c:v>7.56</c:v>
              </c:pt>
              <c:pt idx="391">
                <c:v>7.46</c:v>
              </c:pt>
              <c:pt idx="392">
                <c:v>7.63</c:v>
              </c:pt>
              <c:pt idx="393">
                <c:v>7.32</c:v>
              </c:pt>
              <c:pt idx="394">
                <c:v>7.33</c:v>
              </c:pt>
              <c:pt idx="395">
                <c:v>7.79</c:v>
              </c:pt>
              <c:pt idx="396">
                <c:v>7.99</c:v>
              </c:pt>
              <c:pt idx="397">
                <c:v>8.17</c:v>
              </c:pt>
              <c:pt idx="398">
                <c:v>8.19</c:v>
              </c:pt>
              <c:pt idx="399">
                <c:v>8.26</c:v>
              </c:pt>
              <c:pt idx="400">
                <c:v>8.26</c:v>
              </c:pt>
              <c:pt idx="401">
                <c:v>7.92</c:v>
              </c:pt>
              <c:pt idx="402">
                <c:v>8.3699999999999992</c:v>
              </c:pt>
              <c:pt idx="403">
                <c:v>8.6199999999999992</c:v>
              </c:pt>
              <c:pt idx="404">
                <c:v>8.7799999999999994</c:v>
              </c:pt>
              <c:pt idx="405">
                <c:v>9.18</c:v>
              </c:pt>
              <c:pt idx="406">
                <c:v>9.31</c:v>
              </c:pt>
              <c:pt idx="407">
                <c:v>9.44</c:v>
              </c:pt>
              <c:pt idx="408">
                <c:v>9.74</c:v>
              </c:pt>
              <c:pt idx="409">
                <c:v>9.98</c:v>
              </c:pt>
              <c:pt idx="410">
                <c:v>9.89</c:v>
              </c:pt>
              <c:pt idx="411">
                <c:v>10.210000000000001</c:v>
              </c:pt>
              <c:pt idx="412">
                <c:v>10.09</c:v>
              </c:pt>
              <c:pt idx="413">
                <c:v>9.66</c:v>
              </c:pt>
              <c:pt idx="414">
                <c:v>9.69</c:v>
              </c:pt>
              <c:pt idx="415">
                <c:v>10.08</c:v>
              </c:pt>
              <c:pt idx="416">
                <c:v>9.8000000000000007</c:v>
              </c:pt>
              <c:pt idx="417">
                <c:v>9.81</c:v>
              </c:pt>
              <c:pt idx="418">
                <c:v>9.7899999999999991</c:v>
              </c:pt>
              <c:pt idx="419">
                <c:v>10.31</c:v>
              </c:pt>
              <c:pt idx="420">
                <c:v>10.23</c:v>
              </c:pt>
              <c:pt idx="421">
                <c:v>10.4</c:v>
              </c:pt>
              <c:pt idx="422">
                <c:v>10.39</c:v>
              </c:pt>
              <c:pt idx="423">
                <c:v>10.36</c:v>
              </c:pt>
              <c:pt idx="424">
                <c:v>10.11</c:v>
              </c:pt>
              <c:pt idx="425">
                <c:v>9.67</c:v>
              </c:pt>
              <c:pt idx="426">
                <c:v>9.84</c:v>
              </c:pt>
              <c:pt idx="427">
                <c:v>9.7799999999999994</c:v>
              </c:pt>
              <c:pt idx="428">
                <c:v>9.74</c:v>
              </c:pt>
              <c:pt idx="429">
                <c:v>9.4700000000000006</c:v>
              </c:pt>
              <c:pt idx="430">
                <c:v>10.06</c:v>
              </c:pt>
              <c:pt idx="431">
                <c:v>9.44</c:v>
              </c:pt>
              <c:pt idx="432">
                <c:v>9.5399999999999991</c:v>
              </c:pt>
              <c:pt idx="433">
                <c:v>8.8800000000000008</c:v>
              </c:pt>
              <c:pt idx="434">
                <c:v>9.35</c:v>
              </c:pt>
              <c:pt idx="435">
                <c:v>8.89</c:v>
              </c:pt>
              <c:pt idx="436">
                <c:v>8.8699999999999992</c:v>
              </c:pt>
              <c:pt idx="437">
                <c:v>8.1300000000000008</c:v>
              </c:pt>
              <c:pt idx="438">
                <c:v>8.09</c:v>
              </c:pt>
              <c:pt idx="439">
                <c:v>7.87</c:v>
              </c:pt>
              <c:pt idx="440">
                <c:v>7.81</c:v>
              </c:pt>
              <c:pt idx="441">
                <c:v>7.6</c:v>
              </c:pt>
              <c:pt idx="442">
                <c:v>7.64</c:v>
              </c:pt>
              <c:pt idx="443">
                <c:v>7.46</c:v>
              </c:pt>
              <c:pt idx="444">
                <c:v>8.16</c:v>
              </c:pt>
              <c:pt idx="445">
                <c:v>8.5299999999999994</c:v>
              </c:pt>
              <c:pt idx="446">
                <c:v>8.16</c:v>
              </c:pt>
              <c:pt idx="447">
                <c:v>8.2899999999999991</c:v>
              </c:pt>
              <c:pt idx="448">
                <c:v>8.7100000000000009</c:v>
              </c:pt>
              <c:pt idx="449">
                <c:v>9.08</c:v>
              </c:pt>
              <c:pt idx="450">
                <c:v>9.15</c:v>
              </c:pt>
              <c:pt idx="451">
                <c:v>8.94</c:v>
              </c:pt>
              <c:pt idx="452">
                <c:v>8.69</c:v>
              </c:pt>
              <c:pt idx="453">
                <c:v>8.76</c:v>
              </c:pt>
              <c:pt idx="454">
                <c:v>9.18</c:v>
              </c:pt>
              <c:pt idx="455">
                <c:v>8.99</c:v>
              </c:pt>
              <c:pt idx="456">
                <c:v>8.69</c:v>
              </c:pt>
              <c:pt idx="457">
                <c:v>8.73</c:v>
              </c:pt>
              <c:pt idx="458">
                <c:v>8.57</c:v>
              </c:pt>
              <c:pt idx="459">
                <c:v>8.5399999999999991</c:v>
              </c:pt>
              <c:pt idx="460">
                <c:v>8.57</c:v>
              </c:pt>
              <c:pt idx="461">
                <c:v>9.11</c:v>
              </c:pt>
              <c:pt idx="462">
                <c:v>8.9499999999999993</c:v>
              </c:pt>
              <c:pt idx="463">
                <c:v>9.23</c:v>
              </c:pt>
              <c:pt idx="464">
                <c:v>8.9</c:v>
              </c:pt>
              <c:pt idx="465">
                <c:v>8.6300000000000008</c:v>
              </c:pt>
              <c:pt idx="466">
                <c:v>8.7899999999999991</c:v>
              </c:pt>
              <c:pt idx="467">
                <c:v>8.7899999999999991</c:v>
              </c:pt>
              <c:pt idx="468">
                <c:v>8.6300000000000008</c:v>
              </c:pt>
              <c:pt idx="469">
                <c:v>8.33</c:v>
              </c:pt>
              <c:pt idx="470">
                <c:v>8.42</c:v>
              </c:pt>
              <c:pt idx="471">
                <c:v>8.66</c:v>
              </c:pt>
              <c:pt idx="472">
                <c:v>8.5500000000000007</c:v>
              </c:pt>
              <c:pt idx="473">
                <c:v>9.56</c:v>
              </c:pt>
              <c:pt idx="474">
                <c:v>9.74</c:v>
              </c:pt>
              <c:pt idx="475">
                <c:v>9.86</c:v>
              </c:pt>
              <c:pt idx="476">
                <c:v>9.8699999999999992</c:v>
              </c:pt>
              <c:pt idx="477">
                <c:v>9.76</c:v>
              </c:pt>
              <c:pt idx="478">
                <c:v>9.9</c:v>
              </c:pt>
              <c:pt idx="479">
                <c:v>9.86</c:v>
              </c:pt>
              <c:pt idx="480">
                <c:v>9.98</c:v>
              </c:pt>
              <c:pt idx="481">
                <c:v>10.1</c:v>
              </c:pt>
              <c:pt idx="482">
                <c:v>9.43</c:v>
              </c:pt>
              <c:pt idx="483">
                <c:v>9.75</c:v>
              </c:pt>
              <c:pt idx="484">
                <c:v>9.25</c:v>
              </c:pt>
              <c:pt idx="485">
                <c:v>9.2100000000000009</c:v>
              </c:pt>
              <c:pt idx="486">
                <c:v>9.58</c:v>
              </c:pt>
              <c:pt idx="487">
                <c:v>9.69</c:v>
              </c:pt>
              <c:pt idx="488">
                <c:v>9.39</c:v>
              </c:pt>
              <c:pt idx="489">
                <c:v>9.2799999999999994</c:v>
              </c:pt>
              <c:pt idx="490">
                <c:v>9.74</c:v>
              </c:pt>
              <c:pt idx="491">
                <c:v>9.49</c:v>
              </c:pt>
              <c:pt idx="492">
                <c:v>9.32</c:v>
              </c:pt>
              <c:pt idx="493">
                <c:v>8.93</c:v>
              </c:pt>
              <c:pt idx="494">
                <c:v>9.43</c:v>
              </c:pt>
              <c:pt idx="495">
                <c:v>9.91</c:v>
              </c:pt>
              <c:pt idx="496">
                <c:v>9.9499999999999993</c:v>
              </c:pt>
              <c:pt idx="497">
                <c:v>9.91</c:v>
              </c:pt>
              <c:pt idx="498">
                <c:v>10.06</c:v>
              </c:pt>
              <c:pt idx="499">
                <c:v>9.66</c:v>
              </c:pt>
              <c:pt idx="500">
                <c:v>9.66</c:v>
              </c:pt>
              <c:pt idx="501">
                <c:v>9.7899999999999991</c:v>
              </c:pt>
              <c:pt idx="502">
                <c:v>10.11</c:v>
              </c:pt>
              <c:pt idx="503">
                <c:v>10.18</c:v>
              </c:pt>
              <c:pt idx="504">
                <c:v>10.050000000000001</c:v>
              </c:pt>
              <c:pt idx="505">
                <c:v>10.050000000000001</c:v>
              </c:pt>
              <c:pt idx="506">
                <c:v>10.45</c:v>
              </c:pt>
              <c:pt idx="507">
                <c:v>10.43</c:v>
              </c:pt>
              <c:pt idx="508">
                <c:v>10.18</c:v>
              </c:pt>
              <c:pt idx="509">
                <c:v>9.86</c:v>
              </c:pt>
              <c:pt idx="510">
                <c:v>9.6</c:v>
              </c:pt>
              <c:pt idx="511">
                <c:v>10.36</c:v>
              </c:pt>
              <c:pt idx="512">
                <c:v>10.49</c:v>
              </c:pt>
              <c:pt idx="513">
                <c:v>10.93</c:v>
              </c:pt>
              <c:pt idx="514">
                <c:v>10.5</c:v>
              </c:pt>
              <c:pt idx="515">
                <c:v>10.74</c:v>
              </c:pt>
              <c:pt idx="516">
                <c:v>11.13</c:v>
              </c:pt>
              <c:pt idx="517">
                <c:v>11.21</c:v>
              </c:pt>
              <c:pt idx="518">
                <c:v>11.1</c:v>
              </c:pt>
              <c:pt idx="519">
                <c:v>10.47</c:v>
              </c:pt>
              <c:pt idx="520">
                <c:v>11.18</c:v>
              </c:pt>
              <c:pt idx="521">
                <c:v>10.97</c:v>
              </c:pt>
              <c:pt idx="522">
                <c:v>10.74</c:v>
              </c:pt>
              <c:pt idx="523">
                <c:v>10.98</c:v>
              </c:pt>
              <c:pt idx="524">
                <c:v>11</c:v>
              </c:pt>
              <c:pt idx="525">
                <c:v>10.92</c:v>
              </c:pt>
              <c:pt idx="526">
                <c:v>10.85</c:v>
              </c:pt>
              <c:pt idx="527">
                <c:v>11.4</c:v>
              </c:pt>
              <c:pt idx="528">
                <c:v>11.6</c:v>
              </c:pt>
              <c:pt idx="529">
                <c:v>11.47</c:v>
              </c:pt>
              <c:pt idx="530">
                <c:v>11.44</c:v>
              </c:pt>
              <c:pt idx="531">
                <c:v>11.27</c:v>
              </c:pt>
              <c:pt idx="532">
                <c:v>11</c:v>
              </c:pt>
              <c:pt idx="533">
                <c:v>11.15</c:v>
              </c:pt>
              <c:pt idx="534">
                <c:v>10.98</c:v>
              </c:pt>
              <c:pt idx="535">
                <c:v>10.77</c:v>
              </c:pt>
              <c:pt idx="536">
                <c:v>10.62</c:v>
              </c:pt>
              <c:pt idx="537">
                <c:v>10.53</c:v>
              </c:pt>
              <c:pt idx="538">
                <c:v>10.5</c:v>
              </c:pt>
              <c:pt idx="539">
                <c:v>10.27</c:v>
              </c:pt>
              <c:pt idx="540">
                <c:v>10.33</c:v>
              </c:pt>
              <c:pt idx="541">
                <c:v>10.36</c:v>
              </c:pt>
              <c:pt idx="542">
                <c:v>10.27</c:v>
              </c:pt>
              <c:pt idx="543">
                <c:v>10.17</c:v>
              </c:pt>
              <c:pt idx="544">
                <c:v>10.050000000000001</c:v>
              </c:pt>
              <c:pt idx="545">
                <c:v>9.9700000000000006</c:v>
              </c:pt>
              <c:pt idx="546">
                <c:v>9.9600000000000009</c:v>
              </c:pt>
              <c:pt idx="547">
                <c:v>9.8000000000000007</c:v>
              </c:pt>
              <c:pt idx="548">
                <c:v>9.6199999999999992</c:v>
              </c:pt>
              <c:pt idx="549">
                <c:v>9.93</c:v>
              </c:pt>
              <c:pt idx="550">
                <c:v>10.130000000000001</c:v>
              </c:pt>
              <c:pt idx="551">
                <c:v>10.06</c:v>
              </c:pt>
              <c:pt idx="552">
                <c:v>10.210000000000001</c:v>
              </c:pt>
              <c:pt idx="553">
                <c:v>10.199999999999999</c:v>
              </c:pt>
              <c:pt idx="554">
                <c:v>10.25</c:v>
              </c:pt>
              <c:pt idx="555">
                <c:v>10.43</c:v>
              </c:pt>
              <c:pt idx="556">
                <c:v>10.15</c:v>
              </c:pt>
              <c:pt idx="557">
                <c:v>10.24</c:v>
              </c:pt>
              <c:pt idx="558">
                <c:v>10.75</c:v>
              </c:pt>
              <c:pt idx="559">
                <c:v>10.51</c:v>
              </c:pt>
              <c:pt idx="560">
                <c:v>10.93</c:v>
              </c:pt>
              <c:pt idx="561">
                <c:v>10.92</c:v>
              </c:pt>
              <c:pt idx="562">
                <c:v>10.81</c:v>
              </c:pt>
              <c:pt idx="563">
                <c:v>11.05</c:v>
              </c:pt>
              <c:pt idx="564">
                <c:v>11.02</c:v>
              </c:pt>
              <c:pt idx="565">
                <c:v>10.97</c:v>
              </c:pt>
              <c:pt idx="566">
                <c:v>10.93</c:v>
              </c:pt>
              <c:pt idx="567">
                <c:v>10.78</c:v>
              </c:pt>
              <c:pt idx="568">
                <c:v>10.34</c:v>
              </c:pt>
              <c:pt idx="569">
                <c:v>10.19</c:v>
              </c:pt>
              <c:pt idx="570">
                <c:v>10.61</c:v>
              </c:pt>
              <c:pt idx="571">
                <c:v>10.63</c:v>
              </c:pt>
              <c:pt idx="572">
                <c:v>10.52</c:v>
              </c:pt>
              <c:pt idx="573">
                <c:v>10.58</c:v>
              </c:pt>
              <c:pt idx="574">
                <c:v>10.25</c:v>
              </c:pt>
              <c:pt idx="575">
                <c:v>10.07</c:v>
              </c:pt>
              <c:pt idx="576">
                <c:v>10.119999999999999</c:v>
              </c:pt>
              <c:pt idx="577">
                <c:v>10.11</c:v>
              </c:pt>
              <c:pt idx="578">
                <c:v>10.02</c:v>
              </c:pt>
              <c:pt idx="579">
                <c:v>9.93</c:v>
              </c:pt>
              <c:pt idx="580">
                <c:v>10.029999999999999</c:v>
              </c:pt>
              <c:pt idx="581">
                <c:v>10.27</c:v>
              </c:pt>
              <c:pt idx="582">
                <c:v>10.26</c:v>
              </c:pt>
              <c:pt idx="583">
                <c:v>10.47</c:v>
              </c:pt>
              <c:pt idx="584">
                <c:v>10.39</c:v>
              </c:pt>
              <c:pt idx="585">
                <c:v>10.56</c:v>
              </c:pt>
              <c:pt idx="586">
                <c:v>10.47</c:v>
              </c:pt>
              <c:pt idx="587">
                <c:v>10.48</c:v>
              </c:pt>
              <c:pt idx="588">
                <c:v>10.43</c:v>
              </c:pt>
              <c:pt idx="589">
                <c:v>10.55</c:v>
              </c:pt>
              <c:pt idx="590">
                <c:v>10.55</c:v>
              </c:pt>
              <c:pt idx="591">
                <c:v>10.66</c:v>
              </c:pt>
              <c:pt idx="592">
                <c:v>11.22</c:v>
              </c:pt>
              <c:pt idx="593">
                <c:v>10.98</c:v>
              </c:pt>
              <c:pt idx="594">
                <c:v>10.85</c:v>
              </c:pt>
              <c:pt idx="595">
                <c:v>10.75</c:v>
              </c:pt>
              <c:pt idx="596">
                <c:v>10.72</c:v>
              </c:pt>
              <c:pt idx="597">
                <c:v>10.79</c:v>
              </c:pt>
              <c:pt idx="598">
                <c:v>10.54</c:v>
              </c:pt>
              <c:pt idx="599">
                <c:v>10.24</c:v>
              </c:pt>
              <c:pt idx="600">
                <c:v>9.9499999999999993</c:v>
              </c:pt>
              <c:pt idx="601">
                <c:v>9.41</c:v>
              </c:pt>
              <c:pt idx="602">
                <c:v>8.9</c:v>
              </c:pt>
              <c:pt idx="603">
                <c:v>9.11</c:v>
              </c:pt>
              <c:pt idx="604">
                <c:v>9.24</c:v>
              </c:pt>
              <c:pt idx="605">
                <c:v>9.1300000000000008</c:v>
              </c:pt>
              <c:pt idx="606">
                <c:v>9.19</c:v>
              </c:pt>
              <c:pt idx="607">
                <c:v>9.24</c:v>
              </c:pt>
              <c:pt idx="608">
                <c:v>9.23</c:v>
              </c:pt>
              <c:pt idx="609">
                <c:v>9.17</c:v>
              </c:pt>
              <c:pt idx="610">
                <c:v>9.94</c:v>
              </c:pt>
              <c:pt idx="611">
                <c:v>9.4499999999999993</c:v>
              </c:pt>
              <c:pt idx="612">
                <c:v>9.75</c:v>
              </c:pt>
              <c:pt idx="613">
                <c:v>9.83</c:v>
              </c:pt>
              <c:pt idx="614">
                <c:v>9.6999999999999993</c:v>
              </c:pt>
              <c:pt idx="615">
                <c:v>9.98</c:v>
              </c:pt>
              <c:pt idx="616">
                <c:v>9.74</c:v>
              </c:pt>
              <c:pt idx="617">
                <c:v>9.64</c:v>
              </c:pt>
              <c:pt idx="618">
                <c:v>10</c:v>
              </c:pt>
              <c:pt idx="619">
                <c:v>9.5</c:v>
              </c:pt>
              <c:pt idx="620">
                <c:v>9.35</c:v>
              </c:pt>
              <c:pt idx="621">
                <c:v>9.4</c:v>
              </c:pt>
              <c:pt idx="622">
                <c:v>9.26</c:v>
              </c:pt>
              <c:pt idx="623">
                <c:v>9.14</c:v>
              </c:pt>
              <c:pt idx="624">
                <c:v>9.06</c:v>
              </c:pt>
              <c:pt idx="625">
                <c:v>8.89</c:v>
              </c:pt>
              <c:pt idx="626">
                <c:v>8.66</c:v>
              </c:pt>
              <c:pt idx="627">
                <c:v>8.7200000000000006</c:v>
              </c:pt>
              <c:pt idx="628">
                <c:v>8.6</c:v>
              </c:pt>
              <c:pt idx="629">
                <c:v>8.17</c:v>
              </c:pt>
              <c:pt idx="630">
                <c:v>8.15</c:v>
              </c:pt>
              <c:pt idx="631">
                <c:v>8.14</c:v>
              </c:pt>
              <c:pt idx="632">
                <c:v>8.01</c:v>
              </c:pt>
              <c:pt idx="633">
                <c:v>7.93</c:v>
              </c:pt>
              <c:pt idx="634">
                <c:v>8.17</c:v>
              </c:pt>
              <c:pt idx="635">
                <c:v>8</c:v>
              </c:pt>
              <c:pt idx="636">
                <c:v>8</c:v>
              </c:pt>
              <c:pt idx="637">
                <c:v>7.97</c:v>
              </c:pt>
              <c:pt idx="638">
                <c:v>7.83</c:v>
              </c:pt>
              <c:pt idx="639">
                <c:v>7.56</c:v>
              </c:pt>
              <c:pt idx="640">
                <c:v>7.7</c:v>
              </c:pt>
              <c:pt idx="641">
                <c:v>7.7</c:v>
              </c:pt>
              <c:pt idx="642">
                <c:v>8.07</c:v>
              </c:pt>
              <c:pt idx="643">
                <c:v>7.96</c:v>
              </c:pt>
              <c:pt idx="644">
                <c:v>8.1</c:v>
              </c:pt>
              <c:pt idx="645">
                <c:v>7.91</c:v>
              </c:pt>
              <c:pt idx="646">
                <c:v>8.07</c:v>
              </c:pt>
              <c:pt idx="647">
                <c:v>7.93</c:v>
              </c:pt>
              <c:pt idx="648">
                <c:v>7.83</c:v>
              </c:pt>
              <c:pt idx="649">
                <c:v>8.3000000000000007</c:v>
              </c:pt>
              <c:pt idx="650">
                <c:v>8.2200000000000006</c:v>
              </c:pt>
              <c:pt idx="651">
                <c:v>8.5399999999999991</c:v>
              </c:pt>
              <c:pt idx="652">
                <c:v>8.5500000000000007</c:v>
              </c:pt>
              <c:pt idx="653">
                <c:v>8.3000000000000007</c:v>
              </c:pt>
              <c:pt idx="654">
                <c:v>8.32</c:v>
              </c:pt>
              <c:pt idx="655">
                <c:v>8.1300000000000008</c:v>
              </c:pt>
              <c:pt idx="656">
                <c:v>7.99</c:v>
              </c:pt>
              <c:pt idx="657">
                <c:v>8.09</c:v>
              </c:pt>
              <c:pt idx="658">
                <c:v>8.2200000000000006</c:v>
              </c:pt>
              <c:pt idx="659">
                <c:v>8.66</c:v>
              </c:pt>
              <c:pt idx="660">
                <c:v>8.68</c:v>
              </c:pt>
              <c:pt idx="661">
                <c:v>8.83</c:v>
              </c:pt>
              <c:pt idx="662">
                <c:v>8.44</c:v>
              </c:pt>
              <c:pt idx="663">
                <c:v>8.41</c:v>
              </c:pt>
              <c:pt idx="664">
                <c:v>8.6</c:v>
              </c:pt>
              <c:pt idx="665">
                <c:v>8.65</c:v>
              </c:pt>
              <c:pt idx="666">
                <c:v>8.81</c:v>
              </c:pt>
              <c:pt idx="667">
                <c:v>8.9</c:v>
              </c:pt>
              <c:pt idx="668">
                <c:v>8.9700000000000006</c:v>
              </c:pt>
              <c:pt idx="669">
                <c:v>9.08</c:v>
              </c:pt>
              <c:pt idx="670">
                <c:v>9.1</c:v>
              </c:pt>
              <c:pt idx="671">
                <c:v>9.16</c:v>
              </c:pt>
              <c:pt idx="672">
                <c:v>9.1999999999999993</c:v>
              </c:pt>
              <c:pt idx="673">
                <c:v>9.18</c:v>
              </c:pt>
              <c:pt idx="674">
                <c:v>8.85</c:v>
              </c:pt>
              <c:pt idx="675">
                <c:v>8.77</c:v>
              </c:pt>
              <c:pt idx="676">
                <c:v>8.9499999999999993</c:v>
              </c:pt>
              <c:pt idx="677">
                <c:v>9.01</c:v>
              </c:pt>
              <c:pt idx="678">
                <c:v>9.43</c:v>
              </c:pt>
              <c:pt idx="679">
                <c:v>9.1999999999999993</c:v>
              </c:pt>
              <c:pt idx="680">
                <c:v>9.2200000000000006</c:v>
              </c:pt>
              <c:pt idx="681">
                <c:v>9.14</c:v>
              </c:pt>
              <c:pt idx="682">
                <c:v>9.4499999999999993</c:v>
              </c:pt>
              <c:pt idx="683">
                <c:v>9.57</c:v>
              </c:pt>
              <c:pt idx="684">
                <c:v>9.39</c:v>
              </c:pt>
              <c:pt idx="685">
                <c:v>9.1999999999999993</c:v>
              </c:pt>
              <c:pt idx="686">
                <c:v>9.2100000000000009</c:v>
              </c:pt>
              <c:pt idx="687">
                <c:v>9.3000000000000007</c:v>
              </c:pt>
              <c:pt idx="688">
                <c:v>9.08</c:v>
              </c:pt>
              <c:pt idx="689">
                <c:v>9.01</c:v>
              </c:pt>
              <c:pt idx="690">
                <c:v>8.66</c:v>
              </c:pt>
              <c:pt idx="691">
                <c:v>8.56</c:v>
              </c:pt>
              <c:pt idx="692">
                <c:v>8.8000000000000007</c:v>
              </c:pt>
              <c:pt idx="693">
                <c:v>8.8000000000000007</c:v>
              </c:pt>
              <c:pt idx="694">
                <c:v>8.57</c:v>
              </c:pt>
              <c:pt idx="695">
                <c:v>8.52</c:v>
              </c:pt>
              <c:pt idx="696">
                <c:v>8.4700000000000006</c:v>
              </c:pt>
              <c:pt idx="697">
                <c:v>8.39</c:v>
              </c:pt>
              <c:pt idx="698">
                <c:v>8.34</c:v>
              </c:pt>
              <c:pt idx="699">
                <c:v>8.35</c:v>
              </c:pt>
              <c:pt idx="700">
                <c:v>8.3699999999999992</c:v>
              </c:pt>
              <c:pt idx="701">
                <c:v>8.84</c:v>
              </c:pt>
              <c:pt idx="702">
                <c:v>8.59</c:v>
              </c:pt>
              <c:pt idx="703">
                <c:v>8.59</c:v>
              </c:pt>
              <c:pt idx="704">
                <c:v>8.67</c:v>
              </c:pt>
              <c:pt idx="705">
                <c:v>8.5299999999999994</c:v>
              </c:pt>
              <c:pt idx="706">
                <c:v>8.6300000000000008</c:v>
              </c:pt>
              <c:pt idx="707">
                <c:v>8.5500000000000007</c:v>
              </c:pt>
              <c:pt idx="708">
                <c:v>8.32</c:v>
              </c:pt>
              <c:pt idx="709">
                <c:v>8.39</c:v>
              </c:pt>
              <c:pt idx="710">
                <c:v>8.61</c:v>
              </c:pt>
              <c:pt idx="711">
                <c:v>9.06</c:v>
              </c:pt>
              <c:pt idx="712">
                <c:v>9.2100000000000009</c:v>
              </c:pt>
              <c:pt idx="713">
                <c:v>9.1199999999999992</c:v>
              </c:pt>
              <c:pt idx="714">
                <c:v>9.11</c:v>
              </c:pt>
              <c:pt idx="715">
                <c:v>9.19</c:v>
              </c:pt>
              <c:pt idx="716">
                <c:v>9.1999999999999993</c:v>
              </c:pt>
              <c:pt idx="717">
                <c:v>9.2100000000000009</c:v>
              </c:pt>
              <c:pt idx="718">
                <c:v>9.43</c:v>
              </c:pt>
              <c:pt idx="719">
                <c:v>9.2100000000000009</c:v>
              </c:pt>
              <c:pt idx="720">
                <c:v>9.3000000000000007</c:v>
              </c:pt>
              <c:pt idx="721">
                <c:v>9.43</c:v>
              </c:pt>
              <c:pt idx="722">
                <c:v>9.44</c:v>
              </c:pt>
              <c:pt idx="723">
                <c:v>9.44</c:v>
              </c:pt>
              <c:pt idx="724">
                <c:v>9.3800000000000008</c:v>
              </c:pt>
              <c:pt idx="725">
                <c:v>9.3000000000000007</c:v>
              </c:pt>
              <c:pt idx="726">
                <c:v>9.26</c:v>
              </c:pt>
              <c:pt idx="727">
                <c:v>9.1999999999999993</c:v>
              </c:pt>
              <c:pt idx="728">
                <c:v>9.1999999999999993</c:v>
              </c:pt>
              <c:pt idx="729">
                <c:v>9.08</c:v>
              </c:pt>
              <c:pt idx="730">
                <c:v>9.16</c:v>
              </c:pt>
              <c:pt idx="731">
                <c:v>9.16</c:v>
              </c:pt>
              <c:pt idx="732">
                <c:v>9.17</c:v>
              </c:pt>
              <c:pt idx="733">
                <c:v>9.18</c:v>
              </c:pt>
              <c:pt idx="734">
                <c:v>9.08</c:v>
              </c:pt>
              <c:pt idx="735">
                <c:v>8.7899999999999991</c:v>
              </c:pt>
              <c:pt idx="736">
                <c:v>8.83</c:v>
              </c:pt>
              <c:pt idx="737">
                <c:v>8.4</c:v>
              </c:pt>
              <c:pt idx="738">
                <c:v>8.42</c:v>
              </c:pt>
              <c:pt idx="739">
                <c:v>8.25</c:v>
              </c:pt>
              <c:pt idx="740">
                <c:v>8.0299999999999994</c:v>
              </c:pt>
              <c:pt idx="741">
                <c:v>10.06</c:v>
              </c:pt>
              <c:pt idx="742">
                <c:v>9.8000000000000007</c:v>
              </c:pt>
              <c:pt idx="743">
                <c:v>9.89</c:v>
              </c:pt>
              <c:pt idx="744">
                <c:v>9.7899999999999991</c:v>
              </c:pt>
              <c:pt idx="745">
                <c:v>9.6</c:v>
              </c:pt>
              <c:pt idx="746">
                <c:v>9.82</c:v>
              </c:pt>
              <c:pt idx="747">
                <c:v>9.75</c:v>
              </c:pt>
              <c:pt idx="748">
                <c:v>9.43</c:v>
              </c:pt>
              <c:pt idx="749">
                <c:v>9.39</c:v>
              </c:pt>
              <c:pt idx="750">
                <c:v>9.73</c:v>
              </c:pt>
              <c:pt idx="751">
                <c:v>9.82</c:v>
              </c:pt>
              <c:pt idx="752">
                <c:v>9.74</c:v>
              </c:pt>
              <c:pt idx="753">
                <c:v>9.26</c:v>
              </c:pt>
              <c:pt idx="754">
                <c:v>8.9700000000000006</c:v>
              </c:pt>
              <c:pt idx="755">
                <c:v>8.7100000000000009</c:v>
              </c:pt>
              <c:pt idx="756">
                <c:v>8.8800000000000008</c:v>
              </c:pt>
              <c:pt idx="757">
                <c:v>8.8699999999999992</c:v>
              </c:pt>
              <c:pt idx="758">
                <c:v>8.86</c:v>
              </c:pt>
              <c:pt idx="759">
                <c:v>9.0299999999999994</c:v>
              </c:pt>
              <c:pt idx="760">
                <c:v>8.7100000000000009</c:v>
              </c:pt>
              <c:pt idx="761">
                <c:v>8.74</c:v>
              </c:pt>
              <c:pt idx="762">
                <c:v>8.5299999999999994</c:v>
              </c:pt>
              <c:pt idx="763">
                <c:v>8.59</c:v>
              </c:pt>
              <c:pt idx="764">
                <c:v>8.56</c:v>
              </c:pt>
              <c:pt idx="765">
                <c:v>8.5500000000000007</c:v>
              </c:pt>
              <c:pt idx="766">
                <c:v>8.5399999999999991</c:v>
              </c:pt>
              <c:pt idx="767">
                <c:v>8.4600000000000009</c:v>
              </c:pt>
              <c:pt idx="768">
                <c:v>8.51</c:v>
              </c:pt>
              <c:pt idx="769">
                <c:v>8.61</c:v>
              </c:pt>
              <c:pt idx="770">
                <c:v>8.74</c:v>
              </c:pt>
              <c:pt idx="771">
                <c:v>8.84</c:v>
              </c:pt>
              <c:pt idx="772">
                <c:v>8.76</c:v>
              </c:pt>
              <c:pt idx="773">
                <c:v>8.7100000000000009</c:v>
              </c:pt>
              <c:pt idx="774">
                <c:v>8.81</c:v>
              </c:pt>
              <c:pt idx="775">
                <c:v>9.01</c:v>
              </c:pt>
              <c:pt idx="776">
                <c:v>9.35</c:v>
              </c:pt>
              <c:pt idx="777">
                <c:v>9.51</c:v>
              </c:pt>
              <c:pt idx="778">
                <c:v>9.6999999999999993</c:v>
              </c:pt>
              <c:pt idx="779">
                <c:v>9.5299999999999994</c:v>
              </c:pt>
              <c:pt idx="780">
                <c:v>9.33</c:v>
              </c:pt>
              <c:pt idx="781">
                <c:v>9.42</c:v>
              </c:pt>
              <c:pt idx="782">
                <c:v>9.1199999999999992</c:v>
              </c:pt>
              <c:pt idx="783">
                <c:v>8.7899999999999991</c:v>
              </c:pt>
              <c:pt idx="784">
                <c:v>9.75</c:v>
              </c:pt>
              <c:pt idx="785">
                <c:v>10.49</c:v>
              </c:pt>
              <c:pt idx="786">
                <c:v>10.31</c:v>
              </c:pt>
              <c:pt idx="787">
                <c:v>10.15</c:v>
              </c:pt>
              <c:pt idx="788">
                <c:v>10.09</c:v>
              </c:pt>
              <c:pt idx="789">
                <c:v>10.119999999999999</c:v>
              </c:pt>
              <c:pt idx="790">
                <c:v>10.23</c:v>
              </c:pt>
              <c:pt idx="791">
                <c:v>10.220000000000001</c:v>
              </c:pt>
              <c:pt idx="792">
                <c:v>10.119999999999999</c:v>
              </c:pt>
              <c:pt idx="793">
                <c:v>10.08</c:v>
              </c:pt>
              <c:pt idx="794">
                <c:v>10.02</c:v>
              </c:pt>
              <c:pt idx="795">
                <c:v>9.7899999999999991</c:v>
              </c:pt>
              <c:pt idx="796">
                <c:v>9.93</c:v>
              </c:pt>
              <c:pt idx="797">
                <c:v>9.8800000000000008</c:v>
              </c:pt>
              <c:pt idx="798">
                <c:v>9.7100000000000009</c:v>
              </c:pt>
              <c:pt idx="799">
                <c:v>9.8000000000000007</c:v>
              </c:pt>
              <c:pt idx="800">
                <c:v>9.7899999999999991</c:v>
              </c:pt>
              <c:pt idx="801">
                <c:v>9.7899999999999991</c:v>
              </c:pt>
              <c:pt idx="802">
                <c:v>9.7799999999999994</c:v>
              </c:pt>
              <c:pt idx="803">
                <c:v>9.92</c:v>
              </c:pt>
              <c:pt idx="804">
                <c:v>9.8000000000000007</c:v>
              </c:pt>
              <c:pt idx="805">
                <c:v>9.76</c:v>
              </c:pt>
              <c:pt idx="806">
                <c:v>10.3</c:v>
              </c:pt>
              <c:pt idx="807">
                <c:v>9.85</c:v>
              </c:pt>
              <c:pt idx="808">
                <c:v>10.35</c:v>
              </c:pt>
              <c:pt idx="809">
                <c:v>10.49</c:v>
              </c:pt>
              <c:pt idx="810">
                <c:v>10.5</c:v>
              </c:pt>
              <c:pt idx="811">
                <c:v>10.61</c:v>
              </c:pt>
              <c:pt idx="812">
                <c:v>11.15</c:v>
              </c:pt>
              <c:pt idx="813">
                <c:v>11.48</c:v>
              </c:pt>
              <c:pt idx="814">
                <c:v>11.67</c:v>
              </c:pt>
              <c:pt idx="815">
                <c:v>11.56</c:v>
              </c:pt>
              <c:pt idx="816">
                <c:v>11.7</c:v>
              </c:pt>
              <c:pt idx="817">
                <c:v>11.79</c:v>
              </c:pt>
              <c:pt idx="818">
                <c:v>11.77</c:v>
              </c:pt>
              <c:pt idx="819">
                <c:v>11.72</c:v>
              </c:pt>
              <c:pt idx="820">
                <c:v>11.8</c:v>
              </c:pt>
              <c:pt idx="821">
                <c:v>11.71</c:v>
              </c:pt>
              <c:pt idx="822">
                <c:v>11.72</c:v>
              </c:pt>
              <c:pt idx="823">
                <c:v>11.71</c:v>
              </c:pt>
              <c:pt idx="824">
                <c:v>11.74</c:v>
              </c:pt>
              <c:pt idx="825">
                <c:v>11.77</c:v>
              </c:pt>
              <c:pt idx="826">
                <c:v>11.83</c:v>
              </c:pt>
              <c:pt idx="827">
                <c:v>12.21</c:v>
              </c:pt>
              <c:pt idx="828">
                <c:v>12.21</c:v>
              </c:pt>
              <c:pt idx="829">
                <c:v>12.06</c:v>
              </c:pt>
              <c:pt idx="830">
                <c:v>12.14</c:v>
              </c:pt>
              <c:pt idx="831">
                <c:v>12.1</c:v>
              </c:pt>
              <c:pt idx="832">
                <c:v>12.05</c:v>
              </c:pt>
              <c:pt idx="833">
                <c:v>12.18</c:v>
              </c:pt>
              <c:pt idx="834">
                <c:v>12.19</c:v>
              </c:pt>
              <c:pt idx="835">
                <c:v>12.19</c:v>
              </c:pt>
              <c:pt idx="836">
                <c:v>12.1</c:v>
              </c:pt>
              <c:pt idx="837">
                <c:v>12.13</c:v>
              </c:pt>
              <c:pt idx="838">
                <c:v>12.51</c:v>
              </c:pt>
              <c:pt idx="839">
                <c:v>12.11</c:v>
              </c:pt>
              <c:pt idx="840">
                <c:v>12.35</c:v>
              </c:pt>
              <c:pt idx="841">
                <c:v>12.4</c:v>
              </c:pt>
              <c:pt idx="842">
                <c:v>12.61</c:v>
              </c:pt>
              <c:pt idx="843">
                <c:v>12.65</c:v>
              </c:pt>
              <c:pt idx="844">
                <c:v>12.71</c:v>
              </c:pt>
              <c:pt idx="845">
                <c:v>12.12</c:v>
              </c:pt>
              <c:pt idx="846">
                <c:v>11.91</c:v>
              </c:pt>
              <c:pt idx="847">
                <c:v>11.79</c:v>
              </c:pt>
              <c:pt idx="848">
                <c:v>11.63</c:v>
              </c:pt>
              <c:pt idx="849">
                <c:v>11.73</c:v>
              </c:pt>
              <c:pt idx="850">
                <c:v>11.74</c:v>
              </c:pt>
              <c:pt idx="851">
                <c:v>11.74</c:v>
              </c:pt>
              <c:pt idx="852">
                <c:v>11.9</c:v>
              </c:pt>
              <c:pt idx="853">
                <c:v>11.89</c:v>
              </c:pt>
              <c:pt idx="854">
                <c:v>12.02</c:v>
              </c:pt>
              <c:pt idx="855">
                <c:v>11.64</c:v>
              </c:pt>
              <c:pt idx="856">
                <c:v>11.52</c:v>
              </c:pt>
              <c:pt idx="857">
                <c:v>11.12</c:v>
              </c:pt>
              <c:pt idx="858">
                <c:v>10.84</c:v>
              </c:pt>
              <c:pt idx="859">
                <c:v>10.9</c:v>
              </c:pt>
              <c:pt idx="860">
                <c:v>10.82</c:v>
              </c:pt>
              <c:pt idx="861">
                <c:v>11.45</c:v>
              </c:pt>
              <c:pt idx="862">
                <c:v>11.31</c:v>
              </c:pt>
              <c:pt idx="863">
                <c:v>11.44</c:v>
              </c:pt>
              <c:pt idx="864">
                <c:v>11.3</c:v>
              </c:pt>
              <c:pt idx="865">
                <c:v>11.75</c:v>
              </c:pt>
              <c:pt idx="866">
                <c:v>11.85</c:v>
              </c:pt>
              <c:pt idx="867">
                <c:v>11.91</c:v>
              </c:pt>
              <c:pt idx="868">
                <c:v>11.98</c:v>
              </c:pt>
              <c:pt idx="869">
                <c:v>12.26</c:v>
              </c:pt>
              <c:pt idx="870">
                <c:v>13.46</c:v>
              </c:pt>
              <c:pt idx="871">
                <c:v>14.06</c:v>
              </c:pt>
              <c:pt idx="872">
                <c:v>14.02</c:v>
              </c:pt>
              <c:pt idx="873">
                <c:v>13.98</c:v>
              </c:pt>
              <c:pt idx="874">
                <c:v>13.85</c:v>
              </c:pt>
              <c:pt idx="875">
                <c:v>13.82</c:v>
              </c:pt>
              <c:pt idx="876">
                <c:v>14.08</c:v>
              </c:pt>
              <c:pt idx="877">
                <c:v>13.98</c:v>
              </c:pt>
              <c:pt idx="878">
                <c:v>13.86</c:v>
              </c:pt>
              <c:pt idx="879">
                <c:v>14.18</c:v>
              </c:pt>
              <c:pt idx="880">
                <c:v>13.77</c:v>
              </c:pt>
              <c:pt idx="881">
                <c:v>14.13</c:v>
              </c:pt>
              <c:pt idx="882">
                <c:v>14.52</c:v>
              </c:pt>
              <c:pt idx="883">
                <c:v>14.76</c:v>
              </c:pt>
              <c:pt idx="884">
                <c:v>14.89</c:v>
              </c:pt>
              <c:pt idx="885">
                <c:v>15.09</c:v>
              </c:pt>
              <c:pt idx="886">
                <c:v>14.99</c:v>
              </c:pt>
              <c:pt idx="887">
                <c:v>15.37</c:v>
              </c:pt>
              <c:pt idx="888">
                <c:v>15.29</c:v>
              </c:pt>
              <c:pt idx="889">
                <c:v>15.88</c:v>
              </c:pt>
              <c:pt idx="890">
                <c:v>16.47</c:v>
              </c:pt>
              <c:pt idx="891">
                <c:v>16.260000000000002</c:v>
              </c:pt>
              <c:pt idx="892">
                <c:v>16.12</c:v>
              </c:pt>
              <c:pt idx="893">
                <c:v>16.27</c:v>
              </c:pt>
              <c:pt idx="894">
                <c:v>16.84</c:v>
              </c:pt>
              <c:pt idx="895">
                <c:v>16.920000000000002</c:v>
              </c:pt>
              <c:pt idx="896">
                <c:v>16.95</c:v>
              </c:pt>
              <c:pt idx="897">
                <c:v>17.010000000000002</c:v>
              </c:pt>
              <c:pt idx="898">
                <c:v>16.670000000000002</c:v>
              </c:pt>
              <c:pt idx="899">
                <c:v>17.11</c:v>
              </c:pt>
              <c:pt idx="900">
                <c:v>17.489999999999998</c:v>
              </c:pt>
              <c:pt idx="901">
                <c:v>17.329999999999998</c:v>
              </c:pt>
              <c:pt idx="902">
                <c:v>16.59</c:v>
              </c:pt>
              <c:pt idx="903">
                <c:v>16.399999999999999</c:v>
              </c:pt>
              <c:pt idx="904">
                <c:v>16.16</c:v>
              </c:pt>
              <c:pt idx="905">
                <c:v>16.54</c:v>
              </c:pt>
              <c:pt idx="906">
                <c:v>16.93</c:v>
              </c:pt>
              <c:pt idx="907">
                <c:v>17.239999999999998</c:v>
              </c:pt>
              <c:pt idx="908">
                <c:v>17.420000000000002</c:v>
              </c:pt>
              <c:pt idx="909">
                <c:v>17.079999999999998</c:v>
              </c:pt>
              <c:pt idx="910">
                <c:v>17.3</c:v>
              </c:pt>
              <c:pt idx="911">
                <c:v>17.3</c:v>
              </c:pt>
              <c:pt idx="912">
                <c:v>18.010000000000002</c:v>
              </c:pt>
              <c:pt idx="913">
                <c:v>17.86</c:v>
              </c:pt>
              <c:pt idx="914">
                <c:v>17.690000000000001</c:v>
              </c:pt>
              <c:pt idx="915">
                <c:v>17.7</c:v>
              </c:pt>
              <c:pt idx="916">
                <c:v>18.010000000000002</c:v>
              </c:pt>
              <c:pt idx="917">
                <c:v>18.079999999999998</c:v>
              </c:pt>
              <c:pt idx="918">
                <c:v>18.239999999999998</c:v>
              </c:pt>
              <c:pt idx="919">
                <c:v>17.68</c:v>
              </c:pt>
              <c:pt idx="920">
                <c:v>17.670000000000002</c:v>
              </c:pt>
              <c:pt idx="921">
                <c:v>17.66</c:v>
              </c:pt>
              <c:pt idx="922">
                <c:v>17.53</c:v>
              </c:pt>
              <c:pt idx="923">
                <c:v>17.850000000000001</c:v>
              </c:pt>
              <c:pt idx="924">
                <c:v>17.75</c:v>
              </c:pt>
              <c:pt idx="925">
                <c:v>17.559999999999999</c:v>
              </c:pt>
              <c:pt idx="926">
                <c:v>17.89</c:v>
              </c:pt>
              <c:pt idx="927">
                <c:v>17.34</c:v>
              </c:pt>
              <c:pt idx="928">
                <c:v>17.559999999999999</c:v>
              </c:pt>
              <c:pt idx="929">
                <c:v>17.670000000000002</c:v>
              </c:pt>
              <c:pt idx="930">
                <c:v>16.84</c:v>
              </c:pt>
              <c:pt idx="931">
                <c:v>16.690000000000001</c:v>
              </c:pt>
              <c:pt idx="932">
                <c:v>16.48</c:v>
              </c:pt>
              <c:pt idx="933">
                <c:v>17.04</c:v>
              </c:pt>
              <c:pt idx="934">
                <c:v>17.04</c:v>
              </c:pt>
              <c:pt idx="935">
                <c:v>17.010000000000002</c:v>
              </c:pt>
              <c:pt idx="936">
                <c:v>17.39</c:v>
              </c:pt>
              <c:pt idx="937">
                <c:v>17.399999999999999</c:v>
              </c:pt>
              <c:pt idx="938">
                <c:v>17.55</c:v>
              </c:pt>
              <c:pt idx="939">
                <c:v>17.59</c:v>
              </c:pt>
              <c:pt idx="940">
                <c:v>17.8</c:v>
              </c:pt>
              <c:pt idx="941">
                <c:v>17.93</c:v>
              </c:pt>
              <c:pt idx="942">
                <c:v>18.010000000000002</c:v>
              </c:pt>
              <c:pt idx="943">
                <c:v>18.079999999999998</c:v>
              </c:pt>
              <c:pt idx="944">
                <c:v>18.18</c:v>
              </c:pt>
              <c:pt idx="945">
                <c:v>18.41</c:v>
              </c:pt>
              <c:pt idx="946">
                <c:v>19.260000000000002</c:v>
              </c:pt>
              <c:pt idx="947">
                <c:v>19.27</c:v>
              </c:pt>
              <c:pt idx="948">
                <c:v>19.600000000000001</c:v>
              </c:pt>
              <c:pt idx="949">
                <c:v>19.39</c:v>
              </c:pt>
              <c:pt idx="950">
                <c:v>19.54</c:v>
              </c:pt>
              <c:pt idx="951">
                <c:v>19.899999999999999</c:v>
              </c:pt>
              <c:pt idx="952">
                <c:v>19.829999999999998</c:v>
              </c:pt>
              <c:pt idx="953">
                <c:v>19.95</c:v>
              </c:pt>
              <c:pt idx="954">
                <c:v>20.36</c:v>
              </c:pt>
              <c:pt idx="955">
                <c:v>20.21</c:v>
              </c:pt>
              <c:pt idx="956">
                <c:v>19.899999999999999</c:v>
              </c:pt>
              <c:pt idx="957">
                <c:v>20.239999999999998</c:v>
              </c:pt>
              <c:pt idx="958">
                <c:v>20.170000000000002</c:v>
              </c:pt>
              <c:pt idx="959">
                <c:v>20.48</c:v>
              </c:pt>
              <c:pt idx="960">
                <c:v>20.309999999999999</c:v>
              </c:pt>
              <c:pt idx="961">
                <c:v>20.45</c:v>
              </c:pt>
              <c:pt idx="962">
                <c:v>20.67</c:v>
              </c:pt>
              <c:pt idx="963">
                <c:v>20.87</c:v>
              </c:pt>
              <c:pt idx="964">
                <c:v>21</c:v>
              </c:pt>
              <c:pt idx="965">
                <c:v>21.26</c:v>
              </c:pt>
              <c:pt idx="966">
                <c:v>21.21</c:v>
              </c:pt>
              <c:pt idx="967">
                <c:v>21.2</c:v>
              </c:pt>
              <c:pt idx="968">
                <c:v>21.25</c:v>
              </c:pt>
              <c:pt idx="969">
                <c:v>21.66</c:v>
              </c:pt>
              <c:pt idx="970">
                <c:v>21.66</c:v>
              </c:pt>
              <c:pt idx="971">
                <c:v>21.22</c:v>
              </c:pt>
              <c:pt idx="972">
                <c:v>21.18</c:v>
              </c:pt>
              <c:pt idx="973">
                <c:v>21.17</c:v>
              </c:pt>
              <c:pt idx="974">
                <c:v>21.09</c:v>
              </c:pt>
              <c:pt idx="975">
                <c:v>20.68</c:v>
              </c:pt>
              <c:pt idx="976">
                <c:v>21.44</c:v>
              </c:pt>
              <c:pt idx="977">
                <c:v>21.32</c:v>
              </c:pt>
              <c:pt idx="978">
                <c:v>22.08</c:v>
              </c:pt>
              <c:pt idx="979">
                <c:v>22.46</c:v>
              </c:pt>
              <c:pt idx="980">
                <c:v>22.78</c:v>
              </c:pt>
              <c:pt idx="981">
                <c:v>23.09</c:v>
              </c:pt>
              <c:pt idx="982">
                <c:v>23.54</c:v>
              </c:pt>
              <c:pt idx="983">
                <c:v>23.1</c:v>
              </c:pt>
              <c:pt idx="984">
                <c:v>23.41</c:v>
              </c:pt>
              <c:pt idx="985">
                <c:v>23.44</c:v>
              </c:pt>
              <c:pt idx="986">
                <c:v>23.6</c:v>
              </c:pt>
              <c:pt idx="987">
                <c:v>23.4</c:v>
              </c:pt>
              <c:pt idx="988">
                <c:v>23.42</c:v>
              </c:pt>
              <c:pt idx="989">
                <c:v>23.84</c:v>
              </c:pt>
              <c:pt idx="990">
                <c:v>24.58</c:v>
              </c:pt>
              <c:pt idx="991">
                <c:v>24.6</c:v>
              </c:pt>
              <c:pt idx="992">
                <c:v>25.25</c:v>
              </c:pt>
              <c:pt idx="993">
                <c:v>25.49</c:v>
              </c:pt>
              <c:pt idx="994">
                <c:v>26.09</c:v>
              </c:pt>
              <c:pt idx="995">
                <c:v>26.11</c:v>
              </c:pt>
              <c:pt idx="996">
                <c:v>25.06</c:v>
              </c:pt>
              <c:pt idx="997">
                <c:v>25.57</c:v>
              </c:pt>
              <c:pt idx="998">
                <c:v>24.39</c:v>
              </c:pt>
              <c:pt idx="999">
                <c:v>25.35</c:v>
              </c:pt>
              <c:pt idx="1000">
                <c:v>25.25</c:v>
              </c:pt>
              <c:pt idx="1001">
                <c:v>26.06</c:v>
              </c:pt>
              <c:pt idx="1002">
                <c:v>26.17</c:v>
              </c:pt>
              <c:pt idx="1003">
                <c:v>26.26</c:v>
              </c:pt>
              <c:pt idx="1004">
                <c:v>26.47</c:v>
              </c:pt>
              <c:pt idx="1005">
                <c:v>26.22</c:v>
              </c:pt>
              <c:pt idx="1006">
                <c:v>26.06</c:v>
              </c:pt>
              <c:pt idx="1007">
                <c:v>26.06</c:v>
              </c:pt>
              <c:pt idx="1008">
                <c:v>25.67</c:v>
              </c:pt>
              <c:pt idx="1009">
                <c:v>25.19</c:v>
              </c:pt>
              <c:pt idx="1010">
                <c:v>25.67</c:v>
              </c:pt>
              <c:pt idx="1011">
                <c:v>25.88</c:v>
              </c:pt>
              <c:pt idx="1012">
                <c:v>26.13</c:v>
              </c:pt>
              <c:pt idx="1013">
                <c:v>26.38</c:v>
              </c:pt>
              <c:pt idx="1014">
                <c:v>27.25</c:v>
              </c:pt>
              <c:pt idx="1015">
                <c:v>27.83</c:v>
              </c:pt>
              <c:pt idx="1016">
                <c:v>27.46</c:v>
              </c:pt>
              <c:pt idx="1017">
                <c:v>26.96</c:v>
              </c:pt>
              <c:pt idx="1018">
                <c:v>27.35</c:v>
              </c:pt>
              <c:pt idx="1019">
                <c:v>27.14</c:v>
              </c:pt>
              <c:pt idx="1020">
                <c:v>27.8</c:v>
              </c:pt>
              <c:pt idx="1021">
                <c:v>27.99</c:v>
              </c:pt>
              <c:pt idx="1022">
                <c:v>28.13</c:v>
              </c:pt>
              <c:pt idx="1023">
                <c:v>27.64</c:v>
              </c:pt>
              <c:pt idx="1024">
                <c:v>28.11</c:v>
              </c:pt>
              <c:pt idx="1025">
                <c:v>28.2</c:v>
              </c:pt>
              <c:pt idx="1026">
                <c:v>27.96</c:v>
              </c:pt>
              <c:pt idx="1027">
                <c:v>27.7</c:v>
              </c:pt>
              <c:pt idx="1028">
                <c:v>28.2</c:v>
              </c:pt>
              <c:pt idx="1029">
                <c:v>27.65</c:v>
              </c:pt>
              <c:pt idx="1030">
                <c:v>27.91</c:v>
              </c:pt>
              <c:pt idx="1031">
                <c:v>27.93</c:v>
              </c:pt>
              <c:pt idx="1032">
                <c:v>27.82</c:v>
              </c:pt>
              <c:pt idx="1033">
                <c:v>27.95</c:v>
              </c:pt>
              <c:pt idx="1034">
                <c:v>27.61</c:v>
              </c:pt>
              <c:pt idx="1035">
                <c:v>27.16</c:v>
              </c:pt>
              <c:pt idx="1036">
                <c:v>27.14</c:v>
              </c:pt>
              <c:pt idx="1037">
                <c:v>26.89</c:v>
              </c:pt>
              <c:pt idx="1038">
                <c:v>27.3</c:v>
              </c:pt>
              <c:pt idx="1039">
                <c:v>27.36</c:v>
              </c:pt>
              <c:pt idx="1040">
                <c:v>28.31</c:v>
              </c:pt>
              <c:pt idx="1041">
                <c:v>31.35</c:v>
              </c:pt>
              <c:pt idx="1042">
                <c:v>31.62</c:v>
              </c:pt>
              <c:pt idx="1043">
                <c:v>31.76</c:v>
              </c:pt>
              <c:pt idx="1044">
                <c:v>31.96</c:v>
              </c:pt>
              <c:pt idx="1045">
                <c:v>33</c:v>
              </c:pt>
              <c:pt idx="1046">
                <c:v>34.229999999999997</c:v>
              </c:pt>
              <c:pt idx="1047">
                <c:v>34.36</c:v>
              </c:pt>
              <c:pt idx="1048">
                <c:v>34.409999999999997</c:v>
              </c:pt>
              <c:pt idx="1049">
                <c:v>34.06</c:v>
              </c:pt>
              <c:pt idx="1050">
                <c:v>33.6</c:v>
              </c:pt>
              <c:pt idx="1051">
                <c:v>32.869999999999997</c:v>
              </c:pt>
              <c:pt idx="1052">
                <c:v>31.6</c:v>
              </c:pt>
              <c:pt idx="1053">
                <c:v>30.81</c:v>
              </c:pt>
              <c:pt idx="1054">
                <c:v>31.92</c:v>
              </c:pt>
              <c:pt idx="1055">
                <c:v>30.64</c:v>
              </c:pt>
              <c:pt idx="1056">
                <c:v>31.64</c:v>
              </c:pt>
              <c:pt idx="1057">
                <c:v>32.24</c:v>
              </c:pt>
              <c:pt idx="1058">
                <c:v>30.8</c:v>
              </c:pt>
              <c:pt idx="1059">
                <c:v>30.96</c:v>
              </c:pt>
              <c:pt idx="1060">
                <c:v>29.23</c:v>
              </c:pt>
              <c:pt idx="1061">
                <c:v>28.31</c:v>
              </c:pt>
              <c:pt idx="1062">
                <c:v>28.96</c:v>
              </c:pt>
              <c:pt idx="1063">
                <c:v>28.73</c:v>
              </c:pt>
              <c:pt idx="1064">
                <c:v>28.75</c:v>
              </c:pt>
              <c:pt idx="1065">
                <c:v>28.85</c:v>
              </c:pt>
              <c:pt idx="1066">
                <c:v>31.05</c:v>
              </c:pt>
              <c:pt idx="1067">
                <c:v>31.63</c:v>
              </c:pt>
              <c:pt idx="1068">
                <c:v>32.729999999999997</c:v>
              </c:pt>
              <c:pt idx="1069">
                <c:v>32.229999999999997</c:v>
              </c:pt>
              <c:pt idx="1070">
                <c:v>32.979999999999997</c:v>
              </c:pt>
              <c:pt idx="1071">
                <c:v>33.799999999999997</c:v>
              </c:pt>
              <c:pt idx="1072">
                <c:v>33.880000000000003</c:v>
              </c:pt>
              <c:pt idx="1073">
                <c:v>34.28</c:v>
              </c:pt>
              <c:pt idx="1074">
                <c:v>34.6</c:v>
              </c:pt>
              <c:pt idx="1075">
                <c:v>35.369999999999997</c:v>
              </c:pt>
              <c:pt idx="1076">
                <c:v>35.6</c:v>
              </c:pt>
              <c:pt idx="1077">
                <c:v>34.79</c:v>
              </c:pt>
              <c:pt idx="1078">
                <c:v>36.54</c:v>
              </c:pt>
              <c:pt idx="1079">
                <c:v>38.299999999999997</c:v>
              </c:pt>
              <c:pt idx="1080">
                <c:v>37.06</c:v>
              </c:pt>
              <c:pt idx="1081">
                <c:v>36.67</c:v>
              </c:pt>
              <c:pt idx="1082">
                <c:v>35.630000000000003</c:v>
              </c:pt>
              <c:pt idx="1083">
                <c:v>34.1</c:v>
              </c:pt>
              <c:pt idx="1084">
                <c:v>34.1</c:v>
              </c:pt>
              <c:pt idx="1085">
                <c:v>33.53</c:v>
              </c:pt>
              <c:pt idx="1086">
                <c:v>33.590000000000003</c:v>
              </c:pt>
              <c:pt idx="1087">
                <c:v>34.01</c:v>
              </c:pt>
              <c:pt idx="1088">
                <c:v>35.57</c:v>
              </c:pt>
              <c:pt idx="1089">
                <c:v>35.69</c:v>
              </c:pt>
              <c:pt idx="1090">
                <c:v>36.340000000000003</c:v>
              </c:pt>
              <c:pt idx="1091">
                <c:v>35.72</c:v>
              </c:pt>
              <c:pt idx="1092">
                <c:v>34.590000000000003</c:v>
              </c:pt>
              <c:pt idx="1093">
                <c:v>35.1</c:v>
              </c:pt>
              <c:pt idx="1094">
                <c:v>34.4</c:v>
              </c:pt>
              <c:pt idx="1095">
                <c:v>32.950000000000003</c:v>
              </c:pt>
              <c:pt idx="1096">
                <c:v>32.54</c:v>
              </c:pt>
              <c:pt idx="1097">
                <c:v>33.75</c:v>
              </c:pt>
              <c:pt idx="1098">
                <c:v>33.81</c:v>
              </c:pt>
              <c:pt idx="1099">
                <c:v>33.99</c:v>
              </c:pt>
              <c:pt idx="1100">
                <c:v>33.36</c:v>
              </c:pt>
              <c:pt idx="1101">
                <c:v>31.53</c:v>
              </c:pt>
              <c:pt idx="1102">
                <c:v>30.26</c:v>
              </c:pt>
              <c:pt idx="1103">
                <c:v>29.47</c:v>
              </c:pt>
              <c:pt idx="1104">
                <c:v>30.43</c:v>
              </c:pt>
              <c:pt idx="1105">
                <c:v>29.87</c:v>
              </c:pt>
              <c:pt idx="1106">
                <c:v>29.84</c:v>
              </c:pt>
              <c:pt idx="1107">
                <c:v>29.79</c:v>
              </c:pt>
              <c:pt idx="1108">
                <c:v>29.3</c:v>
              </c:pt>
              <c:pt idx="1109">
                <c:v>30.34</c:v>
              </c:pt>
              <c:pt idx="1110">
                <c:v>30.77</c:v>
              </c:pt>
              <c:pt idx="1111">
                <c:v>31.2</c:v>
              </c:pt>
              <c:pt idx="1112">
                <c:v>31.98</c:v>
              </c:pt>
              <c:pt idx="1113">
                <c:v>31.93</c:v>
              </c:pt>
              <c:pt idx="1114">
                <c:v>31.4</c:v>
              </c:pt>
              <c:pt idx="1115">
                <c:v>30.61</c:v>
              </c:pt>
              <c:pt idx="1116">
                <c:v>30.03</c:v>
              </c:pt>
              <c:pt idx="1117">
                <c:v>30.47</c:v>
              </c:pt>
              <c:pt idx="1118">
                <c:v>30.4</c:v>
              </c:pt>
              <c:pt idx="1119">
                <c:v>30.13</c:v>
              </c:pt>
              <c:pt idx="1120">
                <c:v>30.24</c:v>
              </c:pt>
              <c:pt idx="1121">
                <c:v>31.16</c:v>
              </c:pt>
              <c:pt idx="1122">
                <c:v>29.84</c:v>
              </c:pt>
              <c:pt idx="1123">
                <c:v>31.51</c:v>
              </c:pt>
              <c:pt idx="1124">
                <c:v>29.3</c:v>
              </c:pt>
              <c:pt idx="1125">
                <c:v>29.11</c:v>
              </c:pt>
              <c:pt idx="1126">
                <c:v>29.75</c:v>
              </c:pt>
              <c:pt idx="1127">
                <c:v>29.4</c:v>
              </c:pt>
              <c:pt idx="1128">
                <c:v>29.04</c:v>
              </c:pt>
              <c:pt idx="1129">
                <c:v>28.03</c:v>
              </c:pt>
              <c:pt idx="1130">
                <c:v>27.93</c:v>
              </c:pt>
              <c:pt idx="1131">
                <c:v>28.1</c:v>
              </c:pt>
              <c:pt idx="1132">
                <c:v>27.99</c:v>
              </c:pt>
              <c:pt idx="1133">
                <c:v>27.74</c:v>
              </c:pt>
              <c:pt idx="1134">
                <c:v>28.19</c:v>
              </c:pt>
              <c:pt idx="1135">
                <c:v>29.26</c:v>
              </c:pt>
              <c:pt idx="1136">
                <c:v>29.55</c:v>
              </c:pt>
              <c:pt idx="1137">
                <c:v>29.37</c:v>
              </c:pt>
              <c:pt idx="1138">
                <c:v>29.31</c:v>
              </c:pt>
              <c:pt idx="1139">
                <c:v>29.2</c:v>
              </c:pt>
              <c:pt idx="1140">
                <c:v>29.01</c:v>
              </c:pt>
              <c:pt idx="1141">
                <c:v>28.87</c:v>
              </c:pt>
              <c:pt idx="1142">
                <c:v>29.21</c:v>
              </c:pt>
              <c:pt idx="1143">
                <c:v>30.12</c:v>
              </c:pt>
              <c:pt idx="1144">
                <c:v>31.73</c:v>
              </c:pt>
              <c:pt idx="1145">
                <c:v>32.99</c:v>
              </c:pt>
              <c:pt idx="1146">
                <c:v>31.65</c:v>
              </c:pt>
              <c:pt idx="1147">
                <c:v>30.21</c:v>
              </c:pt>
              <c:pt idx="1148">
                <c:v>29.39</c:v>
              </c:pt>
              <c:pt idx="1149">
                <c:v>29.33</c:v>
              </c:pt>
              <c:pt idx="1150">
                <c:v>30.27</c:v>
              </c:pt>
              <c:pt idx="1151">
                <c:v>30.27</c:v>
              </c:pt>
              <c:pt idx="1152">
                <c:v>30.55</c:v>
              </c:pt>
              <c:pt idx="1153">
                <c:v>30.42</c:v>
              </c:pt>
              <c:pt idx="1154">
                <c:v>30.43</c:v>
              </c:pt>
              <c:pt idx="1155">
                <c:v>31.97</c:v>
              </c:pt>
              <c:pt idx="1156">
                <c:v>31.5</c:v>
              </c:pt>
              <c:pt idx="1157">
                <c:v>30.81</c:v>
              </c:pt>
              <c:pt idx="1158">
                <c:v>31.93</c:v>
              </c:pt>
              <c:pt idx="1159">
                <c:v>31.63</c:v>
              </c:pt>
              <c:pt idx="1160">
                <c:v>30.04</c:v>
              </c:pt>
              <c:pt idx="1161">
                <c:v>31.13</c:v>
              </c:pt>
              <c:pt idx="1162">
                <c:v>31.19</c:v>
              </c:pt>
              <c:pt idx="1163">
                <c:v>31.5</c:v>
              </c:pt>
              <c:pt idx="1164">
                <c:v>30.71</c:v>
              </c:pt>
              <c:pt idx="1165">
                <c:v>29.3</c:v>
              </c:pt>
              <c:pt idx="1166">
                <c:v>28.92</c:v>
              </c:pt>
              <c:pt idx="1167">
                <c:v>28.55</c:v>
              </c:pt>
              <c:pt idx="1168">
                <c:v>28.46</c:v>
              </c:pt>
              <c:pt idx="1169">
                <c:v>29.53</c:v>
              </c:pt>
              <c:pt idx="1170">
                <c:v>29.29</c:v>
              </c:pt>
              <c:pt idx="1171">
                <c:v>28.75</c:v>
              </c:pt>
              <c:pt idx="1172">
                <c:v>27.27</c:v>
              </c:pt>
              <c:pt idx="1173">
                <c:v>28.03</c:v>
              </c:pt>
              <c:pt idx="1174">
                <c:v>28.81</c:v>
              </c:pt>
              <c:pt idx="1175">
                <c:v>29.82</c:v>
              </c:pt>
              <c:pt idx="1176">
                <c:v>28.92</c:v>
              </c:pt>
              <c:pt idx="1177">
                <c:v>28.41</c:v>
              </c:pt>
              <c:pt idx="1178">
                <c:v>27.34</c:v>
              </c:pt>
              <c:pt idx="1179">
                <c:v>27.23</c:v>
              </c:pt>
              <c:pt idx="1180">
                <c:v>27.38</c:v>
              </c:pt>
              <c:pt idx="1181">
                <c:v>31.44</c:v>
              </c:pt>
              <c:pt idx="1182">
                <c:v>30.87</c:v>
              </c:pt>
              <c:pt idx="1183">
                <c:v>31.8</c:v>
              </c:pt>
              <c:pt idx="1184">
                <c:v>31.46</c:v>
              </c:pt>
              <c:pt idx="1185">
                <c:v>30.86</c:v>
              </c:pt>
              <c:pt idx="1186">
                <c:v>30.79</c:v>
              </c:pt>
              <c:pt idx="1187">
                <c:v>30.98</c:v>
              </c:pt>
              <c:pt idx="1188">
                <c:v>31.91</c:v>
              </c:pt>
              <c:pt idx="1189">
                <c:v>33.229999999999997</c:v>
              </c:pt>
              <c:pt idx="1190">
                <c:v>33</c:v>
              </c:pt>
              <c:pt idx="1191">
                <c:v>33.99</c:v>
              </c:pt>
              <c:pt idx="1192">
                <c:v>33.29</c:v>
              </c:pt>
              <c:pt idx="1193">
                <c:v>32.92</c:v>
              </c:pt>
              <c:pt idx="1194">
                <c:v>33.14</c:v>
              </c:pt>
              <c:pt idx="1195">
                <c:v>33.31</c:v>
              </c:pt>
              <c:pt idx="1196">
                <c:v>32.26</c:v>
              </c:pt>
              <c:pt idx="1197">
                <c:v>32.54</c:v>
              </c:pt>
              <c:pt idx="1198">
                <c:v>33.119999999999997</c:v>
              </c:pt>
              <c:pt idx="1199">
                <c:v>33.31</c:v>
              </c:pt>
              <c:pt idx="1200">
                <c:v>34.21</c:v>
              </c:pt>
              <c:pt idx="1201">
                <c:v>33.86</c:v>
              </c:pt>
              <c:pt idx="1202">
                <c:v>33.5</c:v>
              </c:pt>
              <c:pt idx="1203">
                <c:v>33.39</c:v>
              </c:pt>
              <c:pt idx="1204">
                <c:v>34.19</c:v>
              </c:pt>
              <c:pt idx="1205">
                <c:v>34.06</c:v>
              </c:pt>
              <c:pt idx="1206">
                <c:v>34.56</c:v>
              </c:pt>
              <c:pt idx="1207">
                <c:v>34.49</c:v>
              </c:pt>
              <c:pt idx="1208">
                <c:v>35.229999999999997</c:v>
              </c:pt>
              <c:pt idx="1209">
                <c:v>34.46</c:v>
              </c:pt>
              <c:pt idx="1210">
                <c:v>34.67</c:v>
              </c:pt>
              <c:pt idx="1211">
                <c:v>35.11</c:v>
              </c:pt>
              <c:pt idx="1212">
                <c:v>35.1</c:v>
              </c:pt>
              <c:pt idx="1213">
                <c:v>34.700000000000003</c:v>
              </c:pt>
              <c:pt idx="1214">
                <c:v>34.85</c:v>
              </c:pt>
              <c:pt idx="1215">
                <c:v>35.4</c:v>
              </c:pt>
              <c:pt idx="1216">
                <c:v>36.299999999999997</c:v>
              </c:pt>
              <c:pt idx="1217">
                <c:v>36.24</c:v>
              </c:pt>
              <c:pt idx="1218">
                <c:v>33.99</c:v>
              </c:pt>
              <c:pt idx="1219">
                <c:v>32.840000000000003</c:v>
              </c:pt>
              <c:pt idx="1220">
                <c:v>32.229999999999997</c:v>
              </c:pt>
              <c:pt idx="1221">
                <c:v>31.83</c:v>
              </c:pt>
              <c:pt idx="1222">
                <c:v>32.590000000000003</c:v>
              </c:pt>
              <c:pt idx="1223">
                <c:v>31.56</c:v>
              </c:pt>
              <c:pt idx="1224">
                <c:v>30.5</c:v>
              </c:pt>
              <c:pt idx="1225">
                <c:v>29.52</c:v>
              </c:pt>
              <c:pt idx="1226">
                <c:v>29.25</c:v>
              </c:pt>
              <c:pt idx="1227">
                <c:v>28.98</c:v>
              </c:pt>
              <c:pt idx="1228">
                <c:v>28.17</c:v>
              </c:pt>
              <c:pt idx="1229">
                <c:v>27.32</c:v>
              </c:pt>
              <c:pt idx="1230">
                <c:v>28.22</c:v>
              </c:pt>
              <c:pt idx="1231">
                <c:v>28.12</c:v>
              </c:pt>
              <c:pt idx="1232">
                <c:v>27.31</c:v>
              </c:pt>
              <c:pt idx="1233">
                <c:v>27.38</c:v>
              </c:pt>
              <c:pt idx="1234">
                <c:v>28.6</c:v>
              </c:pt>
              <c:pt idx="1235">
                <c:v>29.27</c:v>
              </c:pt>
              <c:pt idx="1236">
                <c:v>29.91</c:v>
              </c:pt>
              <c:pt idx="1237">
                <c:v>28.9</c:v>
              </c:pt>
              <c:pt idx="1238">
                <c:v>28.47</c:v>
              </c:pt>
              <c:pt idx="1239">
                <c:v>28.66</c:v>
              </c:pt>
              <c:pt idx="1240">
                <c:v>28.35</c:v>
              </c:pt>
              <c:pt idx="1241">
                <c:v>28.85</c:v>
              </c:pt>
              <c:pt idx="1242">
                <c:v>29.22</c:v>
              </c:pt>
              <c:pt idx="1243">
                <c:v>30.08</c:v>
              </c:pt>
              <c:pt idx="1244">
                <c:v>31.45</c:v>
              </c:pt>
              <c:pt idx="1245">
                <c:v>32.159999999999997</c:v>
              </c:pt>
              <c:pt idx="1246">
                <c:v>33.380000000000003</c:v>
              </c:pt>
              <c:pt idx="1247">
                <c:v>33.14</c:v>
              </c:pt>
              <c:pt idx="1248">
                <c:v>31.54</c:v>
              </c:pt>
              <c:pt idx="1249">
                <c:v>32.29</c:v>
              </c:pt>
              <c:pt idx="1250">
                <c:v>33.57</c:v>
              </c:pt>
              <c:pt idx="1251">
                <c:v>34.51</c:v>
              </c:pt>
              <c:pt idx="1252">
                <c:v>33.85</c:v>
              </c:pt>
              <c:pt idx="1253">
                <c:v>34.39</c:v>
              </c:pt>
              <c:pt idx="1254">
                <c:v>34.03</c:v>
              </c:pt>
              <c:pt idx="1255">
                <c:v>33.06</c:v>
              </c:pt>
              <c:pt idx="1256">
                <c:v>32.549999999999997</c:v>
              </c:pt>
              <c:pt idx="1257">
                <c:v>32.450000000000003</c:v>
              </c:pt>
              <c:pt idx="1258">
                <c:v>31.15</c:v>
              </c:pt>
              <c:pt idx="1259">
                <c:v>31.6</c:v>
              </c:pt>
              <c:pt idx="1260">
                <c:v>30.6</c:v>
              </c:pt>
              <c:pt idx="1261">
                <c:v>30.46</c:v>
              </c:pt>
              <c:pt idx="1262">
                <c:v>31.49</c:v>
              </c:pt>
              <c:pt idx="1263">
                <c:v>31.92</c:v>
              </c:pt>
              <c:pt idx="1264">
                <c:v>31.97</c:v>
              </c:pt>
              <c:pt idx="1265">
                <c:v>31.99</c:v>
              </c:pt>
              <c:pt idx="1266">
                <c:v>31.36</c:v>
              </c:pt>
              <c:pt idx="1267">
                <c:v>29.93</c:v>
              </c:pt>
              <c:pt idx="1268">
                <c:v>29.92</c:v>
              </c:pt>
              <c:pt idx="1269">
                <c:v>29.61</c:v>
              </c:pt>
              <c:pt idx="1270">
                <c:v>30.18</c:v>
              </c:pt>
              <c:pt idx="1271">
                <c:v>29.91</c:v>
              </c:pt>
              <c:pt idx="1272">
                <c:v>29.27</c:v>
              </c:pt>
              <c:pt idx="1273">
                <c:v>30.01</c:v>
              </c:pt>
              <c:pt idx="1274">
                <c:v>29.09</c:v>
              </c:pt>
              <c:pt idx="1275">
                <c:v>30</c:v>
              </c:pt>
              <c:pt idx="1276">
                <c:v>29.76</c:v>
              </c:pt>
              <c:pt idx="1277">
                <c:v>28.96</c:v>
              </c:pt>
              <c:pt idx="1278">
                <c:v>28.8</c:v>
              </c:pt>
              <c:pt idx="1279">
                <c:v>30</c:v>
              </c:pt>
              <c:pt idx="1280">
                <c:v>31.08</c:v>
              </c:pt>
              <c:pt idx="1281">
                <c:v>31.09</c:v>
              </c:pt>
              <c:pt idx="1282">
                <c:v>32.409999999999997</c:v>
              </c:pt>
              <c:pt idx="1283">
                <c:v>32.659999999999997</c:v>
              </c:pt>
              <c:pt idx="1284">
                <c:v>33.5</c:v>
              </c:pt>
              <c:pt idx="1285">
                <c:v>34.44</c:v>
              </c:pt>
              <c:pt idx="1286">
                <c:v>34.56</c:v>
              </c:pt>
              <c:pt idx="1287">
                <c:v>35.130000000000003</c:v>
              </c:pt>
              <c:pt idx="1288">
                <c:v>35.380000000000003</c:v>
              </c:pt>
              <c:pt idx="1289">
                <c:v>35.36</c:v>
              </c:pt>
              <c:pt idx="1290">
                <c:v>35.04</c:v>
              </c:pt>
              <c:pt idx="1291">
                <c:v>35.06</c:v>
              </c:pt>
              <c:pt idx="1292">
                <c:v>34.51</c:v>
              </c:pt>
              <c:pt idx="1293">
                <c:v>35.94</c:v>
              </c:pt>
              <c:pt idx="1294">
                <c:v>34.76</c:v>
              </c:pt>
              <c:pt idx="1295">
                <c:v>33.71</c:v>
              </c:pt>
              <c:pt idx="1296">
                <c:v>33.159999999999997</c:v>
              </c:pt>
              <c:pt idx="1297">
                <c:v>32.92</c:v>
              </c:pt>
              <c:pt idx="1298">
                <c:v>32.630000000000003</c:v>
              </c:pt>
              <c:pt idx="1299">
                <c:v>33.57</c:v>
              </c:pt>
              <c:pt idx="1300">
                <c:v>34.24</c:v>
              </c:pt>
              <c:pt idx="1301">
                <c:v>33.83</c:v>
              </c:pt>
              <c:pt idx="1302">
                <c:v>35.06</c:v>
              </c:pt>
              <c:pt idx="1303">
                <c:v>35.22</c:v>
              </c:pt>
              <c:pt idx="1304">
                <c:v>35.15</c:v>
              </c:pt>
              <c:pt idx="1305">
                <c:v>34.86</c:v>
              </c:pt>
              <c:pt idx="1306">
                <c:v>35.19</c:v>
              </c:pt>
              <c:pt idx="1307">
                <c:v>36.43</c:v>
              </c:pt>
              <c:pt idx="1308">
                <c:v>35.630000000000003</c:v>
              </c:pt>
              <c:pt idx="1309">
                <c:v>34.49</c:v>
              </c:pt>
              <c:pt idx="1310">
                <c:v>35.18</c:v>
              </c:pt>
              <c:pt idx="1311">
                <c:v>35.15</c:v>
              </c:pt>
              <c:pt idx="1312">
                <c:v>34.97</c:v>
              </c:pt>
              <c:pt idx="1313">
                <c:v>34.78</c:v>
              </c:pt>
              <c:pt idx="1314">
                <c:v>34.22</c:v>
              </c:pt>
              <c:pt idx="1315">
                <c:v>34.67</c:v>
              </c:pt>
              <c:pt idx="1316">
                <c:v>34.1</c:v>
              </c:pt>
              <c:pt idx="1317">
                <c:v>34.9</c:v>
              </c:pt>
              <c:pt idx="1318">
                <c:v>36.64</c:v>
              </c:pt>
              <c:pt idx="1319">
                <c:v>36.4</c:v>
              </c:pt>
              <c:pt idx="1320">
                <c:v>36.74</c:v>
              </c:pt>
              <c:pt idx="1321">
                <c:v>43.9</c:v>
              </c:pt>
              <c:pt idx="1322">
                <c:v>42.79</c:v>
              </c:pt>
              <c:pt idx="1323">
                <c:v>42.38</c:v>
              </c:pt>
              <c:pt idx="1324">
                <c:v>42.97</c:v>
              </c:pt>
              <c:pt idx="1325">
                <c:v>42.75</c:v>
              </c:pt>
              <c:pt idx="1326">
                <c:v>43.53</c:v>
              </c:pt>
              <c:pt idx="1327">
                <c:v>44.5</c:v>
              </c:pt>
              <c:pt idx="1328">
                <c:v>45.41</c:v>
              </c:pt>
              <c:pt idx="1329">
                <c:v>44.66</c:v>
              </c:pt>
              <c:pt idx="1330">
                <c:v>45.37</c:v>
              </c:pt>
              <c:pt idx="1331">
                <c:v>45.65</c:v>
              </c:pt>
              <c:pt idx="1332">
                <c:v>44.24</c:v>
              </c:pt>
              <c:pt idx="1333">
                <c:v>45.8</c:v>
              </c:pt>
              <c:pt idx="1334">
                <c:v>44.64</c:v>
              </c:pt>
              <c:pt idx="1335">
                <c:v>46.21</c:v>
              </c:pt>
              <c:pt idx="1336">
                <c:v>48.01</c:v>
              </c:pt>
              <c:pt idx="1337">
                <c:v>45.69</c:v>
              </c:pt>
              <c:pt idx="1338">
                <c:v>45.68</c:v>
              </c:pt>
              <c:pt idx="1339">
                <c:v>46.98</c:v>
              </c:pt>
              <c:pt idx="1340">
                <c:v>47.33</c:v>
              </c:pt>
              <c:pt idx="1341">
                <c:v>47.24</c:v>
              </c:pt>
              <c:pt idx="1342">
                <c:v>46.86</c:v>
              </c:pt>
              <c:pt idx="1343">
                <c:v>44.7</c:v>
              </c:pt>
              <c:pt idx="1344">
                <c:v>45.38</c:v>
              </c:pt>
              <c:pt idx="1345">
                <c:v>44.51</c:v>
              </c:pt>
              <c:pt idx="1346">
                <c:v>45.19</c:v>
              </c:pt>
              <c:pt idx="1347">
                <c:v>46.1</c:v>
              </c:pt>
              <c:pt idx="1348">
                <c:v>46.56</c:v>
              </c:pt>
              <c:pt idx="1349">
                <c:v>47.15</c:v>
              </c:pt>
              <c:pt idx="1350">
                <c:v>46.56</c:v>
              </c:pt>
              <c:pt idx="1351">
                <c:v>46.74</c:v>
              </c:pt>
              <c:pt idx="1352">
                <c:v>47.92</c:v>
              </c:pt>
              <c:pt idx="1353">
                <c:v>46.92</c:v>
              </c:pt>
              <c:pt idx="1354">
                <c:v>48.23</c:v>
              </c:pt>
              <c:pt idx="1355">
                <c:v>47.61</c:v>
              </c:pt>
              <c:pt idx="1356">
                <c:v>49</c:v>
              </c:pt>
              <c:pt idx="1357">
                <c:v>48.4</c:v>
              </c:pt>
              <c:pt idx="1358">
                <c:v>47.78</c:v>
              </c:pt>
              <c:pt idx="1359">
                <c:v>48.71</c:v>
              </c:pt>
              <c:pt idx="1360">
                <c:v>48.71</c:v>
              </c:pt>
              <c:pt idx="1361">
                <c:v>46.78</c:v>
              </c:pt>
              <c:pt idx="1362">
                <c:v>47.32</c:v>
              </c:pt>
              <c:pt idx="1363">
                <c:v>47.82</c:v>
              </c:pt>
              <c:pt idx="1364">
                <c:v>48.71</c:v>
              </c:pt>
              <c:pt idx="1365">
                <c:v>48.59</c:v>
              </c:pt>
              <c:pt idx="1366">
                <c:v>47.49</c:v>
              </c:pt>
              <c:pt idx="1367">
                <c:v>47</c:v>
              </c:pt>
              <c:pt idx="1368">
                <c:v>46.64</c:v>
              </c:pt>
              <c:pt idx="1369">
                <c:v>45.2</c:v>
              </c:pt>
              <c:pt idx="1370">
                <c:v>43.06</c:v>
              </c:pt>
              <c:pt idx="1371">
                <c:v>43.39</c:v>
              </c:pt>
              <c:pt idx="1372">
                <c:v>44.46</c:v>
              </c:pt>
              <c:pt idx="1373">
                <c:v>43.61</c:v>
              </c:pt>
              <c:pt idx="1374">
                <c:v>43.74</c:v>
              </c:pt>
              <c:pt idx="1375">
                <c:v>44.44</c:v>
              </c:pt>
              <c:pt idx="1376">
                <c:v>44.51</c:v>
              </c:pt>
              <c:pt idx="1377">
                <c:v>45.98</c:v>
              </c:pt>
              <c:pt idx="1378">
                <c:v>45.2</c:v>
              </c:pt>
              <c:pt idx="1379">
                <c:v>43.97</c:v>
              </c:pt>
              <c:pt idx="1380">
                <c:v>45.64</c:v>
              </c:pt>
              <c:pt idx="1381">
                <c:v>45.16</c:v>
              </c:pt>
              <c:pt idx="1382">
                <c:v>45.65</c:v>
              </c:pt>
              <c:pt idx="1383">
                <c:v>46.08</c:v>
              </c:pt>
              <c:pt idx="1384">
                <c:v>45.64</c:v>
              </c:pt>
              <c:pt idx="1385">
                <c:v>46.42</c:v>
              </c:pt>
              <c:pt idx="1386">
                <c:v>46.4</c:v>
              </c:pt>
              <c:pt idx="1387">
                <c:v>45.84</c:v>
              </c:pt>
              <c:pt idx="1388">
                <c:v>46.9</c:v>
              </c:pt>
              <c:pt idx="1389">
                <c:v>45.44</c:v>
              </c:pt>
              <c:pt idx="1390">
                <c:v>44.71</c:v>
              </c:pt>
              <c:pt idx="1391">
                <c:v>44.73</c:v>
              </c:pt>
              <c:pt idx="1392">
                <c:v>45.63</c:v>
              </c:pt>
              <c:pt idx="1393">
                <c:v>46.16</c:v>
              </c:pt>
              <c:pt idx="1394">
                <c:v>43.96</c:v>
              </c:pt>
              <c:pt idx="1395">
                <c:v>44.78</c:v>
              </c:pt>
              <c:pt idx="1396">
                <c:v>45.08</c:v>
              </c:pt>
              <c:pt idx="1397">
                <c:v>44.97</c:v>
              </c:pt>
              <c:pt idx="1398">
                <c:v>46.17</c:v>
              </c:pt>
              <c:pt idx="1399">
                <c:v>45.66</c:v>
              </c:pt>
              <c:pt idx="1400">
                <c:v>45.61</c:v>
              </c:pt>
              <c:pt idx="1401">
                <c:v>44.63</c:v>
              </c:pt>
              <c:pt idx="1402">
                <c:v>45.42</c:v>
              </c:pt>
              <c:pt idx="1403">
                <c:v>45.25</c:v>
              </c:pt>
              <c:pt idx="1404">
                <c:v>46.26</c:v>
              </c:pt>
              <c:pt idx="1405">
                <c:v>45.65</c:v>
              </c:pt>
              <c:pt idx="1406">
                <c:v>45.75</c:v>
              </c:pt>
              <c:pt idx="1407">
                <c:v>46.42</c:v>
              </c:pt>
              <c:pt idx="1408">
                <c:v>46.02</c:v>
              </c:pt>
              <c:pt idx="1409">
                <c:v>46.35</c:v>
              </c:pt>
              <c:pt idx="1410">
                <c:v>46.03</c:v>
              </c:pt>
              <c:pt idx="1411">
                <c:v>44.29</c:v>
              </c:pt>
              <c:pt idx="1412">
                <c:v>45.35</c:v>
              </c:pt>
              <c:pt idx="1413">
                <c:v>45.65</c:v>
              </c:pt>
              <c:pt idx="1414">
                <c:v>44.54</c:v>
              </c:pt>
              <c:pt idx="1415">
                <c:v>44.54</c:v>
              </c:pt>
              <c:pt idx="1416">
                <c:v>44.61</c:v>
              </c:pt>
              <c:pt idx="1417">
                <c:v>43.63</c:v>
              </c:pt>
              <c:pt idx="1418">
                <c:v>43.92</c:v>
              </c:pt>
              <c:pt idx="1419">
                <c:v>43.95</c:v>
              </c:pt>
              <c:pt idx="1420">
                <c:v>44.49</c:v>
              </c:pt>
              <c:pt idx="1421">
                <c:v>45.42</c:v>
              </c:pt>
              <c:pt idx="1422">
                <c:v>44.62</c:v>
              </c:pt>
              <c:pt idx="1423">
                <c:v>44.42</c:v>
              </c:pt>
              <c:pt idx="1424">
                <c:v>44.63</c:v>
              </c:pt>
              <c:pt idx="1425">
                <c:v>44.43</c:v>
              </c:pt>
              <c:pt idx="1426">
                <c:v>43.31</c:v>
              </c:pt>
              <c:pt idx="1427">
                <c:v>43</c:v>
              </c:pt>
              <c:pt idx="1428">
                <c:v>42.57</c:v>
              </c:pt>
              <c:pt idx="1429">
                <c:v>41.51</c:v>
              </c:pt>
              <c:pt idx="1430">
                <c:v>40.35</c:v>
              </c:pt>
              <c:pt idx="1431">
                <c:v>39.22</c:v>
              </c:pt>
              <c:pt idx="1432">
                <c:v>39.4</c:v>
              </c:pt>
              <c:pt idx="1433">
                <c:v>39.299999999999997</c:v>
              </c:pt>
              <c:pt idx="1434">
                <c:v>39.659999999999997</c:v>
              </c:pt>
              <c:pt idx="1435">
                <c:v>39.659999999999997</c:v>
              </c:pt>
              <c:pt idx="1436">
                <c:v>38.369999999999997</c:v>
              </c:pt>
              <c:pt idx="1437">
                <c:v>33.630000000000003</c:v>
              </c:pt>
              <c:pt idx="1438">
                <c:v>33.89</c:v>
              </c:pt>
              <c:pt idx="1439">
                <c:v>33.69</c:v>
              </c:pt>
              <c:pt idx="1440">
                <c:v>35.68</c:v>
              </c:pt>
              <c:pt idx="1441">
                <c:v>35.49</c:v>
              </c:pt>
              <c:pt idx="1442">
                <c:v>35.89</c:v>
              </c:pt>
              <c:pt idx="1443">
                <c:v>37.94</c:v>
              </c:pt>
              <c:pt idx="1444">
                <c:v>38.58</c:v>
              </c:pt>
              <c:pt idx="1445">
                <c:v>37.57</c:v>
              </c:pt>
              <c:pt idx="1446">
                <c:v>36.71</c:v>
              </c:pt>
              <c:pt idx="1447">
                <c:v>35.68</c:v>
              </c:pt>
              <c:pt idx="1448">
                <c:v>34.51</c:v>
              </c:pt>
              <c:pt idx="1449">
                <c:v>33.76</c:v>
              </c:pt>
              <c:pt idx="1450">
                <c:v>32.700000000000003</c:v>
              </c:pt>
              <c:pt idx="1451">
                <c:v>32.159999999999997</c:v>
              </c:pt>
              <c:pt idx="1452">
                <c:v>32.25</c:v>
              </c:pt>
              <c:pt idx="1453">
                <c:v>34.29</c:v>
              </c:pt>
              <c:pt idx="1454">
                <c:v>33.799999999999997</c:v>
              </c:pt>
              <c:pt idx="1455">
                <c:v>33.049999999999997</c:v>
              </c:pt>
              <c:pt idx="1456">
                <c:v>31.51</c:v>
              </c:pt>
              <c:pt idx="1457">
                <c:v>32.33</c:v>
              </c:pt>
              <c:pt idx="1458">
                <c:v>32.200000000000003</c:v>
              </c:pt>
              <c:pt idx="1459">
                <c:v>31.54</c:v>
              </c:pt>
              <c:pt idx="1460">
                <c:v>32.299999999999997</c:v>
              </c:pt>
              <c:pt idx="1461">
                <c:v>32.270000000000003</c:v>
              </c:pt>
              <c:pt idx="1462">
                <c:v>32.42</c:v>
              </c:pt>
              <c:pt idx="1463">
                <c:v>32.07</c:v>
              </c:pt>
              <c:pt idx="1464">
                <c:v>31.6</c:v>
              </c:pt>
              <c:pt idx="1465">
                <c:v>32.04</c:v>
              </c:pt>
              <c:pt idx="1466">
                <c:v>32.31</c:v>
              </c:pt>
              <c:pt idx="1467">
                <c:v>32.36</c:v>
              </c:pt>
              <c:pt idx="1468">
                <c:v>31.13</c:v>
              </c:pt>
              <c:pt idx="1469">
                <c:v>30.65</c:v>
              </c:pt>
              <c:pt idx="1470">
                <c:v>29.47</c:v>
              </c:pt>
              <c:pt idx="1471">
                <c:v>28.12</c:v>
              </c:pt>
              <c:pt idx="1472">
                <c:v>27.48</c:v>
              </c:pt>
              <c:pt idx="1473">
                <c:v>27.19</c:v>
              </c:pt>
              <c:pt idx="1474">
                <c:v>26.87</c:v>
              </c:pt>
              <c:pt idx="1475">
                <c:v>26.12</c:v>
              </c:pt>
              <c:pt idx="1476">
                <c:v>25.86</c:v>
              </c:pt>
              <c:pt idx="1477">
                <c:v>24.94</c:v>
              </c:pt>
              <c:pt idx="1478">
                <c:v>24.82</c:v>
              </c:pt>
              <c:pt idx="1479">
                <c:v>25.46</c:v>
              </c:pt>
              <c:pt idx="1480">
                <c:v>27.09</c:v>
              </c:pt>
              <c:pt idx="1481">
                <c:v>28.63</c:v>
              </c:pt>
              <c:pt idx="1482">
                <c:v>29.07</c:v>
              </c:pt>
              <c:pt idx="1483">
                <c:v>29.47</c:v>
              </c:pt>
              <c:pt idx="1484">
                <c:v>29.31</c:v>
              </c:pt>
              <c:pt idx="1485">
                <c:v>28.41</c:v>
              </c:pt>
              <c:pt idx="1486">
                <c:v>27.84</c:v>
              </c:pt>
              <c:pt idx="1487">
                <c:v>27.88</c:v>
              </c:pt>
              <c:pt idx="1488">
                <c:v>26.98</c:v>
              </c:pt>
              <c:pt idx="1489">
                <c:v>26.93</c:v>
              </c:pt>
              <c:pt idx="1490">
                <c:v>27</c:v>
              </c:pt>
              <c:pt idx="1491">
                <c:v>26.73</c:v>
              </c:pt>
              <c:pt idx="1492">
                <c:v>27.92</c:v>
              </c:pt>
              <c:pt idx="1493">
                <c:v>28.8</c:v>
              </c:pt>
              <c:pt idx="1494">
                <c:v>27.36</c:v>
              </c:pt>
              <c:pt idx="1495">
                <c:v>27.07</c:v>
              </c:pt>
              <c:pt idx="1496">
                <c:v>28.29</c:v>
              </c:pt>
              <c:pt idx="1497">
                <c:v>28.03</c:v>
              </c:pt>
              <c:pt idx="1498">
                <c:v>27.82</c:v>
              </c:pt>
              <c:pt idx="1499">
                <c:v>28.89</c:v>
              </c:pt>
              <c:pt idx="1500">
                <c:v>29.15</c:v>
              </c:pt>
              <c:pt idx="1501">
                <c:v>29.54</c:v>
              </c:pt>
              <c:pt idx="1502">
                <c:v>30.21</c:v>
              </c:pt>
              <c:pt idx="1503">
                <c:v>31.09</c:v>
              </c:pt>
              <c:pt idx="1504">
                <c:v>29.93</c:v>
              </c:pt>
              <c:pt idx="1505">
                <c:v>31.25</c:v>
              </c:pt>
              <c:pt idx="1506">
                <c:v>28.15</c:v>
              </c:pt>
              <c:pt idx="1507">
                <c:v>26.9</c:v>
              </c:pt>
              <c:pt idx="1508">
                <c:v>26.87</c:v>
              </c:pt>
              <c:pt idx="1509">
                <c:v>26.68</c:v>
              </c:pt>
              <c:pt idx="1510">
                <c:v>25.98</c:v>
              </c:pt>
              <c:pt idx="1511">
                <c:v>26.18</c:v>
              </c:pt>
              <c:pt idx="1512">
                <c:v>26.34</c:v>
              </c:pt>
              <c:pt idx="1513">
                <c:v>26.8</c:v>
              </c:pt>
              <c:pt idx="1514">
                <c:v>26.89</c:v>
              </c:pt>
              <c:pt idx="1515">
                <c:v>27.58</c:v>
              </c:pt>
              <c:pt idx="1516">
                <c:v>28.06</c:v>
              </c:pt>
              <c:pt idx="1517">
                <c:v>27.79</c:v>
              </c:pt>
              <c:pt idx="1518">
                <c:v>28.46</c:v>
              </c:pt>
              <c:pt idx="1519">
                <c:v>28.4</c:v>
              </c:pt>
              <c:pt idx="1520">
                <c:v>27.89</c:v>
              </c:pt>
              <c:pt idx="1521">
                <c:v>26.97</c:v>
              </c:pt>
              <c:pt idx="1522">
                <c:v>27.32</c:v>
              </c:pt>
              <c:pt idx="1523">
                <c:v>26.37</c:v>
              </c:pt>
              <c:pt idx="1524">
                <c:v>26.51</c:v>
              </c:pt>
              <c:pt idx="1525">
                <c:v>25.98</c:v>
              </c:pt>
              <c:pt idx="1526">
                <c:v>26.37</c:v>
              </c:pt>
              <c:pt idx="1527">
                <c:v>26.43</c:v>
              </c:pt>
              <c:pt idx="1528">
                <c:v>27.45</c:v>
              </c:pt>
              <c:pt idx="1529">
                <c:v>29.01</c:v>
              </c:pt>
              <c:pt idx="1530">
                <c:v>28.84</c:v>
              </c:pt>
              <c:pt idx="1531">
                <c:v>29.29</c:v>
              </c:pt>
              <c:pt idx="1532">
                <c:v>29.19</c:v>
              </c:pt>
              <c:pt idx="1533">
                <c:v>29.54</c:v>
              </c:pt>
              <c:pt idx="1534">
                <c:v>30.42</c:v>
              </c:pt>
              <c:pt idx="1535">
                <c:v>29.85</c:v>
              </c:pt>
              <c:pt idx="1536">
                <c:v>29.6</c:v>
              </c:pt>
              <c:pt idx="1537">
                <c:v>28.54</c:v>
              </c:pt>
              <c:pt idx="1538">
                <c:v>29.74</c:v>
              </c:pt>
              <c:pt idx="1539">
                <c:v>30.04</c:v>
              </c:pt>
              <c:pt idx="1540">
                <c:v>29.95</c:v>
              </c:pt>
              <c:pt idx="1541">
                <c:v>28.54</c:v>
              </c:pt>
              <c:pt idx="1542">
                <c:v>29.23</c:v>
              </c:pt>
              <c:pt idx="1543">
                <c:v>28.85</c:v>
              </c:pt>
              <c:pt idx="1544">
                <c:v>27.39</c:v>
              </c:pt>
              <c:pt idx="1545">
                <c:v>26.75</c:v>
              </c:pt>
              <c:pt idx="1546">
                <c:v>26.14</c:v>
              </c:pt>
              <c:pt idx="1547">
                <c:v>26.08</c:v>
              </c:pt>
              <c:pt idx="1548">
                <c:v>25.48</c:v>
              </c:pt>
              <c:pt idx="1549">
                <c:v>26.48</c:v>
              </c:pt>
              <c:pt idx="1550">
                <c:v>24.85</c:v>
              </c:pt>
              <c:pt idx="1551">
                <c:v>23.71</c:v>
              </c:pt>
              <c:pt idx="1552">
                <c:v>24.41</c:v>
              </c:pt>
              <c:pt idx="1553">
                <c:v>24.7</c:v>
              </c:pt>
              <c:pt idx="1554">
                <c:v>25.22</c:v>
              </c:pt>
              <c:pt idx="1555">
                <c:v>24.99</c:v>
              </c:pt>
              <c:pt idx="1556">
                <c:v>24.86</c:v>
              </c:pt>
              <c:pt idx="1557">
                <c:v>24.03</c:v>
              </c:pt>
              <c:pt idx="1558">
                <c:v>23.5</c:v>
              </c:pt>
              <c:pt idx="1559">
                <c:v>23.72</c:v>
              </c:pt>
              <c:pt idx="1560">
                <c:v>22.84</c:v>
              </c:pt>
              <c:pt idx="1561">
                <c:v>21.19</c:v>
              </c:pt>
              <c:pt idx="1562">
                <c:v>21.52</c:v>
              </c:pt>
              <c:pt idx="1563">
                <c:v>22.5</c:v>
              </c:pt>
              <c:pt idx="1564">
                <c:v>21.62</c:v>
              </c:pt>
              <c:pt idx="1565">
                <c:v>21.81</c:v>
              </c:pt>
              <c:pt idx="1566">
                <c:v>21.39</c:v>
              </c:pt>
              <c:pt idx="1567">
                <c:v>21.71</c:v>
              </c:pt>
              <c:pt idx="1568">
                <c:v>20.94</c:v>
              </c:pt>
              <c:pt idx="1569">
                <c:v>21.28</c:v>
              </c:pt>
              <c:pt idx="1570">
                <c:v>22.08</c:v>
              </c:pt>
              <c:pt idx="1571">
                <c:v>18.41</c:v>
              </c:pt>
              <c:pt idx="1572">
                <c:v>19.89</c:v>
              </c:pt>
              <c:pt idx="1573">
                <c:v>20.23</c:v>
              </c:pt>
              <c:pt idx="1574">
                <c:v>20.48</c:v>
              </c:pt>
              <c:pt idx="1575">
                <c:v>20.81</c:v>
              </c:pt>
              <c:pt idx="1576">
                <c:v>20.89</c:v>
              </c:pt>
              <c:pt idx="1577">
                <c:v>21.55</c:v>
              </c:pt>
              <c:pt idx="1578">
                <c:v>22.31</c:v>
              </c:pt>
              <c:pt idx="1579">
                <c:v>23.4</c:v>
              </c:pt>
              <c:pt idx="1580">
                <c:v>24.09</c:v>
              </c:pt>
              <c:pt idx="1581">
                <c:v>25.16</c:v>
              </c:pt>
              <c:pt idx="1582">
                <c:v>26.18</c:v>
              </c:pt>
              <c:pt idx="1583">
                <c:v>26.7</c:v>
              </c:pt>
              <c:pt idx="1584">
                <c:v>27.49</c:v>
              </c:pt>
              <c:pt idx="1585">
                <c:v>26.77</c:v>
              </c:pt>
              <c:pt idx="1586">
                <c:v>26.12</c:v>
              </c:pt>
              <c:pt idx="1587">
                <c:v>25.81</c:v>
              </c:pt>
              <c:pt idx="1588">
                <c:v>27.57</c:v>
              </c:pt>
              <c:pt idx="1589">
                <c:v>26.61</c:v>
              </c:pt>
              <c:pt idx="1590">
                <c:v>26</c:v>
              </c:pt>
              <c:pt idx="1591">
                <c:v>26.98</c:v>
              </c:pt>
              <c:pt idx="1592">
                <c:v>27.96</c:v>
              </c:pt>
              <c:pt idx="1593">
                <c:v>28.18</c:v>
              </c:pt>
              <c:pt idx="1594">
                <c:v>27.89</c:v>
              </c:pt>
              <c:pt idx="1595">
                <c:v>27.6</c:v>
              </c:pt>
              <c:pt idx="1596">
                <c:v>26.8</c:v>
              </c:pt>
              <c:pt idx="1597">
                <c:v>26.84</c:v>
              </c:pt>
              <c:pt idx="1598">
                <c:v>26.29</c:v>
              </c:pt>
              <c:pt idx="1599">
                <c:v>27.71</c:v>
              </c:pt>
              <c:pt idx="1600">
                <c:v>27.99</c:v>
              </c:pt>
              <c:pt idx="1601">
                <c:v>28.07</c:v>
              </c:pt>
              <c:pt idx="1602">
                <c:v>28.07</c:v>
              </c:pt>
              <c:pt idx="1603">
                <c:v>27.81</c:v>
              </c:pt>
              <c:pt idx="1604">
                <c:v>27.5</c:v>
              </c:pt>
              <c:pt idx="1605">
                <c:v>28.04</c:v>
              </c:pt>
              <c:pt idx="1606">
                <c:v>27.68</c:v>
              </c:pt>
              <c:pt idx="1607">
                <c:v>27.46</c:v>
              </c:pt>
              <c:pt idx="1608">
                <c:v>27.46</c:v>
              </c:pt>
              <c:pt idx="1609">
                <c:v>27.79</c:v>
              </c:pt>
              <c:pt idx="1610">
                <c:v>28.87</c:v>
              </c:pt>
              <c:pt idx="1611">
                <c:v>28.74</c:v>
              </c:pt>
              <c:pt idx="1612">
                <c:v>28.36</c:v>
              </c:pt>
              <c:pt idx="1613">
                <c:v>28.54</c:v>
              </c:pt>
              <c:pt idx="1614">
                <c:v>28.49</c:v>
              </c:pt>
              <c:pt idx="1615">
                <c:v>27.01</c:v>
              </c:pt>
              <c:pt idx="1616">
                <c:v>26.79</c:v>
              </c:pt>
              <c:pt idx="1617">
                <c:v>27.27</c:v>
              </c:pt>
              <c:pt idx="1618">
                <c:v>26.42</c:v>
              </c:pt>
              <c:pt idx="1619">
                <c:v>27.21</c:v>
              </c:pt>
              <c:pt idx="1620">
                <c:v>27.26</c:v>
              </c:pt>
              <c:pt idx="1621">
                <c:v>27.79</c:v>
              </c:pt>
              <c:pt idx="1622">
                <c:v>27.18</c:v>
              </c:pt>
              <c:pt idx="1623">
                <c:v>27.63</c:v>
              </c:pt>
              <c:pt idx="1624">
                <c:v>26.76</c:v>
              </c:pt>
              <c:pt idx="1625">
                <c:v>24.23</c:v>
              </c:pt>
              <c:pt idx="1626">
                <c:v>24.8</c:v>
              </c:pt>
              <c:pt idx="1627">
                <c:v>25.96</c:v>
              </c:pt>
              <c:pt idx="1628">
                <c:v>25.41</c:v>
              </c:pt>
              <c:pt idx="1629">
                <c:v>26.09</c:v>
              </c:pt>
              <c:pt idx="1630">
                <c:v>25.62</c:v>
              </c:pt>
              <c:pt idx="1631">
                <c:v>26.01</c:v>
              </c:pt>
              <c:pt idx="1632">
                <c:v>25.84</c:v>
              </c:pt>
              <c:pt idx="1633">
                <c:v>26.04</c:v>
              </c:pt>
              <c:pt idx="1634">
                <c:v>25.17</c:v>
              </c:pt>
              <c:pt idx="1635">
                <c:v>25.95</c:v>
              </c:pt>
              <c:pt idx="1636">
                <c:v>25.54</c:v>
              </c:pt>
              <c:pt idx="1637">
                <c:v>26.49</c:v>
              </c:pt>
              <c:pt idx="1638">
                <c:v>26.4</c:v>
              </c:pt>
              <c:pt idx="1639">
                <c:v>27.88</c:v>
              </c:pt>
              <c:pt idx="1640">
                <c:v>28.12</c:v>
              </c:pt>
              <c:pt idx="1641">
                <c:v>27.95</c:v>
              </c:pt>
              <c:pt idx="1642">
                <c:v>28.11</c:v>
              </c:pt>
              <c:pt idx="1643">
                <c:v>28.32</c:v>
              </c:pt>
              <c:pt idx="1644">
                <c:v>28.55</c:v>
              </c:pt>
              <c:pt idx="1645">
                <c:v>28.8</c:v>
              </c:pt>
              <c:pt idx="1646">
                <c:v>28.41</c:v>
              </c:pt>
              <c:pt idx="1647">
                <c:v>28.95</c:v>
              </c:pt>
              <c:pt idx="1648">
                <c:v>28.82</c:v>
              </c:pt>
              <c:pt idx="1649">
                <c:v>28.8</c:v>
              </c:pt>
              <c:pt idx="1650">
                <c:v>28.5</c:v>
              </c:pt>
              <c:pt idx="1651">
                <c:v>27.73</c:v>
              </c:pt>
              <c:pt idx="1652">
                <c:v>26.74</c:v>
              </c:pt>
              <c:pt idx="1653">
                <c:v>26.22</c:v>
              </c:pt>
              <c:pt idx="1654">
                <c:v>26.26</c:v>
              </c:pt>
              <c:pt idx="1655">
                <c:v>26.09</c:v>
              </c:pt>
              <c:pt idx="1656">
                <c:v>26.15</c:v>
              </c:pt>
              <c:pt idx="1657">
                <c:v>26.09</c:v>
              </c:pt>
              <c:pt idx="1658">
                <c:v>25.76</c:v>
              </c:pt>
              <c:pt idx="1659">
                <c:v>25.17</c:v>
              </c:pt>
              <c:pt idx="1660">
                <c:v>25.71</c:v>
              </c:pt>
              <c:pt idx="1661">
                <c:v>24.42</c:v>
              </c:pt>
              <c:pt idx="1662">
                <c:v>23.42</c:v>
              </c:pt>
              <c:pt idx="1663">
                <c:v>23.39</c:v>
              </c:pt>
              <c:pt idx="1664">
                <c:v>24.05</c:v>
              </c:pt>
              <c:pt idx="1665">
                <c:v>24.47</c:v>
              </c:pt>
              <c:pt idx="1666">
                <c:v>24.53</c:v>
              </c:pt>
              <c:pt idx="1667">
                <c:v>23.73</c:v>
              </c:pt>
              <c:pt idx="1668">
                <c:v>23.83</c:v>
              </c:pt>
              <c:pt idx="1669">
                <c:v>24.23</c:v>
              </c:pt>
              <c:pt idx="1670">
                <c:v>25.55</c:v>
              </c:pt>
              <c:pt idx="1671">
                <c:v>25.51</c:v>
              </c:pt>
              <c:pt idx="1672">
                <c:v>26.08</c:v>
              </c:pt>
              <c:pt idx="1673">
                <c:v>25.59</c:v>
              </c:pt>
              <c:pt idx="1674">
                <c:v>25.73</c:v>
              </c:pt>
              <c:pt idx="1675">
                <c:v>26.05</c:v>
              </c:pt>
              <c:pt idx="1676">
                <c:v>25.97</c:v>
              </c:pt>
              <c:pt idx="1677">
                <c:v>25.98</c:v>
              </c:pt>
              <c:pt idx="1678">
                <c:v>26.41</c:v>
              </c:pt>
              <c:pt idx="1679">
                <c:v>26.58</c:v>
              </c:pt>
              <c:pt idx="1680">
                <c:v>26.79</c:v>
              </c:pt>
              <c:pt idx="1681">
                <c:v>26.27</c:v>
              </c:pt>
              <c:pt idx="1682">
                <c:v>26.74</c:v>
              </c:pt>
              <c:pt idx="1683">
                <c:v>27.98</c:v>
              </c:pt>
              <c:pt idx="1684">
                <c:v>27.6</c:v>
              </c:pt>
              <c:pt idx="1685">
                <c:v>28.15</c:v>
              </c:pt>
              <c:pt idx="1686">
                <c:v>28.74</c:v>
              </c:pt>
              <c:pt idx="1687">
                <c:v>28.08</c:v>
              </c:pt>
              <c:pt idx="1688">
                <c:v>29.54</c:v>
              </c:pt>
              <c:pt idx="1689">
                <c:v>29.51</c:v>
              </c:pt>
              <c:pt idx="1690">
                <c:v>30.5</c:v>
              </c:pt>
              <c:pt idx="1691">
                <c:v>30.89</c:v>
              </c:pt>
              <c:pt idx="1692">
                <c:v>30.47</c:v>
              </c:pt>
              <c:pt idx="1693">
                <c:v>30.25</c:v>
              </c:pt>
              <c:pt idx="1694">
                <c:v>30.82</c:v>
              </c:pt>
              <c:pt idx="1695">
                <c:v>31.14</c:v>
              </c:pt>
              <c:pt idx="1696">
                <c:v>31.84</c:v>
              </c:pt>
              <c:pt idx="1697">
                <c:v>31.66</c:v>
              </c:pt>
              <c:pt idx="1698">
                <c:v>31.51</c:v>
              </c:pt>
              <c:pt idx="1699">
                <c:v>31.91</c:v>
              </c:pt>
              <c:pt idx="1700">
                <c:v>32.18</c:v>
              </c:pt>
              <c:pt idx="1701">
                <c:v>32.07</c:v>
              </c:pt>
              <c:pt idx="1702">
                <c:v>32.4</c:v>
              </c:pt>
              <c:pt idx="1703">
                <c:v>32.229999999999997</c:v>
              </c:pt>
              <c:pt idx="1704">
                <c:v>32.229999999999997</c:v>
              </c:pt>
              <c:pt idx="1705">
                <c:v>32.36</c:v>
              </c:pt>
              <c:pt idx="1706">
                <c:v>32.71</c:v>
              </c:pt>
              <c:pt idx="1707">
                <c:v>32.83</c:v>
              </c:pt>
              <c:pt idx="1708">
                <c:v>32.97</c:v>
              </c:pt>
              <c:pt idx="1709">
                <c:v>33.090000000000003</c:v>
              </c:pt>
              <c:pt idx="1710">
                <c:v>33.130000000000003</c:v>
              </c:pt>
              <c:pt idx="1711">
                <c:v>32.51</c:v>
              </c:pt>
              <c:pt idx="1712">
                <c:v>32.96</c:v>
              </c:pt>
              <c:pt idx="1713">
                <c:v>32.97</c:v>
              </c:pt>
              <c:pt idx="1714">
                <c:v>31.64</c:v>
              </c:pt>
              <c:pt idx="1715">
                <c:v>31.56</c:v>
              </c:pt>
              <c:pt idx="1716">
                <c:v>30.66</c:v>
              </c:pt>
              <c:pt idx="1717">
                <c:v>30.57</c:v>
              </c:pt>
              <c:pt idx="1718">
                <c:v>31.15</c:v>
              </c:pt>
              <c:pt idx="1719">
                <c:v>31.26</c:v>
              </c:pt>
              <c:pt idx="1720">
                <c:v>31.09</c:v>
              </c:pt>
              <c:pt idx="1721">
                <c:v>31.11</c:v>
              </c:pt>
              <c:pt idx="1722">
                <c:v>31.63</c:v>
              </c:pt>
              <c:pt idx="1723">
                <c:v>32.340000000000003</c:v>
              </c:pt>
              <c:pt idx="1724">
                <c:v>32.24</c:v>
              </c:pt>
              <c:pt idx="1725">
                <c:v>32</c:v>
              </c:pt>
              <c:pt idx="1726">
                <c:v>32.53</c:v>
              </c:pt>
              <c:pt idx="1727">
                <c:v>32.72</c:v>
              </c:pt>
              <c:pt idx="1728">
                <c:v>32.54</c:v>
              </c:pt>
              <c:pt idx="1729">
                <c:v>33.14</c:v>
              </c:pt>
              <c:pt idx="1730">
                <c:v>32.950000000000003</c:v>
              </c:pt>
              <c:pt idx="1731">
                <c:v>33.64</c:v>
              </c:pt>
              <c:pt idx="1732">
                <c:v>34.270000000000003</c:v>
              </c:pt>
              <c:pt idx="1733">
                <c:v>32.35</c:v>
              </c:pt>
              <c:pt idx="1734">
                <c:v>30.98</c:v>
              </c:pt>
              <c:pt idx="1735">
                <c:v>30.75</c:v>
              </c:pt>
              <c:pt idx="1736">
                <c:v>30.09</c:v>
              </c:pt>
              <c:pt idx="1737">
                <c:v>30.08</c:v>
              </c:pt>
              <c:pt idx="1738">
                <c:v>30.13</c:v>
              </c:pt>
              <c:pt idx="1739">
                <c:v>30.25</c:v>
              </c:pt>
              <c:pt idx="1740">
                <c:v>30.78</c:v>
              </c:pt>
              <c:pt idx="1741">
                <c:v>30.89</c:v>
              </c:pt>
              <c:pt idx="1742">
                <c:v>31.11</c:v>
              </c:pt>
              <c:pt idx="1743">
                <c:v>30.33</c:v>
              </c:pt>
              <c:pt idx="1744">
                <c:v>30.25</c:v>
              </c:pt>
              <c:pt idx="1745">
                <c:v>30.69</c:v>
              </c:pt>
              <c:pt idx="1746">
                <c:v>30.67</c:v>
              </c:pt>
              <c:pt idx="1747">
                <c:v>30.85</c:v>
              </c:pt>
              <c:pt idx="1748">
                <c:v>30.61</c:v>
              </c:pt>
              <c:pt idx="1749">
                <c:v>31.28</c:v>
              </c:pt>
              <c:pt idx="1750">
                <c:v>31.32</c:v>
              </c:pt>
              <c:pt idx="1751">
                <c:v>30.75</c:v>
              </c:pt>
              <c:pt idx="1752">
                <c:v>30.14</c:v>
              </c:pt>
              <c:pt idx="1753">
                <c:v>29.94</c:v>
              </c:pt>
              <c:pt idx="1754">
                <c:v>30.85</c:v>
              </c:pt>
              <c:pt idx="1755">
                <c:v>31.84</c:v>
              </c:pt>
              <c:pt idx="1756">
                <c:v>26.02</c:v>
              </c:pt>
              <c:pt idx="1757">
                <c:v>28.04</c:v>
              </c:pt>
              <c:pt idx="1758">
                <c:v>27.78</c:v>
              </c:pt>
              <c:pt idx="1759">
                <c:v>29.53</c:v>
              </c:pt>
              <c:pt idx="1760">
                <c:v>29.44</c:v>
              </c:pt>
              <c:pt idx="1761">
                <c:v>29.57</c:v>
              </c:pt>
              <c:pt idx="1762">
                <c:v>29.6</c:v>
              </c:pt>
              <c:pt idx="1763">
                <c:v>29.66</c:v>
              </c:pt>
              <c:pt idx="1764">
                <c:v>29.88</c:v>
              </c:pt>
              <c:pt idx="1765">
                <c:v>31.06</c:v>
              </c:pt>
              <c:pt idx="1766">
                <c:v>31.99</c:v>
              </c:pt>
              <c:pt idx="1767">
                <c:v>32.659999999999997</c:v>
              </c:pt>
              <c:pt idx="1768">
                <c:v>32.450000000000003</c:v>
              </c:pt>
              <c:pt idx="1769">
                <c:v>32.51</c:v>
              </c:pt>
              <c:pt idx="1770">
                <c:v>31.79</c:v>
              </c:pt>
              <c:pt idx="1771">
                <c:v>31.24</c:v>
              </c:pt>
              <c:pt idx="1772">
                <c:v>31.21</c:v>
              </c:pt>
              <c:pt idx="1773">
                <c:v>31.21</c:v>
              </c:pt>
              <c:pt idx="1774">
                <c:v>31.68</c:v>
              </c:pt>
              <c:pt idx="1775">
                <c:v>32.119999999999997</c:v>
              </c:pt>
              <c:pt idx="1776">
                <c:v>32.94</c:v>
              </c:pt>
              <c:pt idx="1777">
                <c:v>33.380000000000003</c:v>
              </c:pt>
              <c:pt idx="1778">
                <c:v>34.43</c:v>
              </c:pt>
              <c:pt idx="1779">
                <c:v>32.770000000000003</c:v>
              </c:pt>
              <c:pt idx="1780">
                <c:v>31.51</c:v>
              </c:pt>
              <c:pt idx="1781">
                <c:v>30.9</c:v>
              </c:pt>
              <c:pt idx="1782">
                <c:v>31.35</c:v>
              </c:pt>
              <c:pt idx="1783">
                <c:v>30.98</c:v>
              </c:pt>
              <c:pt idx="1784">
                <c:v>31.86</c:v>
              </c:pt>
              <c:pt idx="1785">
                <c:v>29.99</c:v>
              </c:pt>
              <c:pt idx="1786">
                <c:v>29.06</c:v>
              </c:pt>
              <c:pt idx="1787">
                <c:v>29.01</c:v>
              </c:pt>
              <c:pt idx="1788">
                <c:v>29.2</c:v>
              </c:pt>
              <c:pt idx="1789">
                <c:v>29.77</c:v>
              </c:pt>
              <c:pt idx="1790">
                <c:v>29.23</c:v>
              </c:pt>
              <c:pt idx="1791">
                <c:v>29.09</c:v>
              </c:pt>
              <c:pt idx="1792">
                <c:v>28.63</c:v>
              </c:pt>
              <c:pt idx="1793">
                <c:v>28.76</c:v>
              </c:pt>
              <c:pt idx="1794">
                <c:v>29.31</c:v>
              </c:pt>
              <c:pt idx="1795">
                <c:v>28.94</c:v>
              </c:pt>
              <c:pt idx="1796">
                <c:v>28.91</c:v>
              </c:pt>
              <c:pt idx="1797">
                <c:v>28.42</c:v>
              </c:pt>
              <c:pt idx="1798">
                <c:v>28.59</c:v>
              </c:pt>
              <c:pt idx="1799">
                <c:v>28.71</c:v>
              </c:pt>
              <c:pt idx="1800">
                <c:v>28.29</c:v>
              </c:pt>
              <c:pt idx="1801">
                <c:v>29.09</c:v>
              </c:pt>
              <c:pt idx="1802">
                <c:v>28.2</c:v>
              </c:pt>
              <c:pt idx="1803">
                <c:v>28.01</c:v>
              </c:pt>
              <c:pt idx="1804">
                <c:v>27.18</c:v>
              </c:pt>
              <c:pt idx="1805">
                <c:v>26.57</c:v>
              </c:pt>
              <c:pt idx="1806">
                <c:v>27.11</c:v>
              </c:pt>
              <c:pt idx="1807">
                <c:v>27.62</c:v>
              </c:pt>
              <c:pt idx="1808">
                <c:v>27.88</c:v>
              </c:pt>
              <c:pt idx="1809">
                <c:v>27.77</c:v>
              </c:pt>
              <c:pt idx="1810">
                <c:v>28.07</c:v>
              </c:pt>
              <c:pt idx="1811">
                <c:v>27.63</c:v>
              </c:pt>
              <c:pt idx="1812">
                <c:v>27.76</c:v>
              </c:pt>
              <c:pt idx="1813">
                <c:v>27.61</c:v>
              </c:pt>
              <c:pt idx="1814">
                <c:v>27.33</c:v>
              </c:pt>
              <c:pt idx="1815">
                <c:v>27.95</c:v>
              </c:pt>
              <c:pt idx="1816">
                <c:v>27.99</c:v>
              </c:pt>
              <c:pt idx="1817">
                <c:v>27.93</c:v>
              </c:pt>
              <c:pt idx="1818">
                <c:v>27.81</c:v>
              </c:pt>
              <c:pt idx="1819">
                <c:v>27.9</c:v>
              </c:pt>
              <c:pt idx="1820">
                <c:v>28.49</c:v>
              </c:pt>
              <c:pt idx="1821">
                <c:v>28.99</c:v>
              </c:pt>
              <c:pt idx="1822">
                <c:v>28.93</c:v>
              </c:pt>
              <c:pt idx="1823">
                <c:v>28.45</c:v>
              </c:pt>
              <c:pt idx="1824">
                <c:v>28.49</c:v>
              </c:pt>
              <c:pt idx="1825">
                <c:v>28.76</c:v>
              </c:pt>
              <c:pt idx="1826">
                <c:v>28.82</c:v>
              </c:pt>
              <c:pt idx="1827">
                <c:v>28.43</c:v>
              </c:pt>
              <c:pt idx="1828">
                <c:v>28.47</c:v>
              </c:pt>
              <c:pt idx="1829">
                <c:v>28.05</c:v>
              </c:pt>
              <c:pt idx="1830">
                <c:v>29.18</c:v>
              </c:pt>
              <c:pt idx="1831">
                <c:v>28.35</c:v>
              </c:pt>
              <c:pt idx="1832">
                <c:v>29.42</c:v>
              </c:pt>
              <c:pt idx="1833">
                <c:v>29.02</c:v>
              </c:pt>
              <c:pt idx="1834">
                <c:v>28.39</c:v>
              </c:pt>
              <c:pt idx="1835">
                <c:v>28.05</c:v>
              </c:pt>
              <c:pt idx="1836">
                <c:v>27.72</c:v>
              </c:pt>
              <c:pt idx="1837">
                <c:v>27.11</c:v>
              </c:pt>
              <c:pt idx="1838">
                <c:v>26.53</c:v>
              </c:pt>
              <c:pt idx="1839">
                <c:v>26.31</c:v>
              </c:pt>
              <c:pt idx="1840">
                <c:v>26.12</c:v>
              </c:pt>
              <c:pt idx="1841">
                <c:v>25.73</c:v>
              </c:pt>
              <c:pt idx="1842">
                <c:v>25.67</c:v>
              </c:pt>
              <c:pt idx="1843">
                <c:v>25.59</c:v>
              </c:pt>
              <c:pt idx="1844">
                <c:v>25.5</c:v>
              </c:pt>
              <c:pt idx="1845">
                <c:v>25.47</c:v>
              </c:pt>
              <c:pt idx="1846">
                <c:v>25.12</c:v>
              </c:pt>
              <c:pt idx="1847">
                <c:v>24.36</c:v>
              </c:pt>
              <c:pt idx="1848">
                <c:v>24.96</c:v>
              </c:pt>
              <c:pt idx="1849">
                <c:v>24.7</c:v>
              </c:pt>
              <c:pt idx="1850">
                <c:v>24.89</c:v>
              </c:pt>
              <c:pt idx="1851">
                <c:v>26.05</c:v>
              </c:pt>
              <c:pt idx="1852">
                <c:v>26.95</c:v>
              </c:pt>
              <c:pt idx="1853">
                <c:v>26.76</c:v>
              </c:pt>
              <c:pt idx="1854">
                <c:v>26.84</c:v>
              </c:pt>
              <c:pt idx="1855">
                <c:v>26.09</c:v>
              </c:pt>
              <c:pt idx="1856">
                <c:v>26.39</c:v>
              </c:pt>
              <c:pt idx="1857">
                <c:v>26.3</c:v>
              </c:pt>
              <c:pt idx="1858">
                <c:v>26.52</c:v>
              </c:pt>
              <c:pt idx="1859">
                <c:v>26.72</c:v>
              </c:pt>
              <c:pt idx="1860">
                <c:v>26.72</c:v>
              </c:pt>
              <c:pt idx="1861">
                <c:v>27.07</c:v>
              </c:pt>
              <c:pt idx="1862">
                <c:v>26.52</c:v>
              </c:pt>
              <c:pt idx="1863">
                <c:v>25.8</c:v>
              </c:pt>
              <c:pt idx="1864">
                <c:v>25.86</c:v>
              </c:pt>
              <c:pt idx="1865">
                <c:v>26.17</c:v>
              </c:pt>
              <c:pt idx="1866">
                <c:v>26.31</c:v>
              </c:pt>
              <c:pt idx="1867">
                <c:v>26.71</c:v>
              </c:pt>
              <c:pt idx="1868">
                <c:v>26.42</c:v>
              </c:pt>
              <c:pt idx="1869">
                <c:v>26.99</c:v>
              </c:pt>
              <c:pt idx="1870">
                <c:v>27.28</c:v>
              </c:pt>
              <c:pt idx="1871">
                <c:v>27.21</c:v>
              </c:pt>
              <c:pt idx="1872">
                <c:v>27.35</c:v>
              </c:pt>
              <c:pt idx="1873">
                <c:v>27.5</c:v>
              </c:pt>
              <c:pt idx="1874">
                <c:v>26.95</c:v>
              </c:pt>
              <c:pt idx="1875">
                <c:v>26.92</c:v>
              </c:pt>
              <c:pt idx="1876">
                <c:v>26.6</c:v>
              </c:pt>
              <c:pt idx="1877">
                <c:v>28.16</c:v>
              </c:pt>
              <c:pt idx="1878">
                <c:v>26.07</c:v>
              </c:pt>
              <c:pt idx="1879">
                <c:v>26.18</c:v>
              </c:pt>
              <c:pt idx="1880">
                <c:v>26.24</c:v>
              </c:pt>
              <c:pt idx="1881">
                <c:v>26.17</c:v>
              </c:pt>
              <c:pt idx="1882">
                <c:v>25.73</c:v>
              </c:pt>
              <c:pt idx="1883">
                <c:v>25.7</c:v>
              </c:pt>
              <c:pt idx="1884">
                <c:v>25.96</c:v>
              </c:pt>
              <c:pt idx="1885">
                <c:v>26.06</c:v>
              </c:pt>
              <c:pt idx="1886">
                <c:v>25.74</c:v>
              </c:pt>
              <c:pt idx="1887">
                <c:v>25.33</c:v>
              </c:pt>
              <c:pt idx="1888">
                <c:v>25.34</c:v>
              </c:pt>
              <c:pt idx="1889">
                <c:v>25.58</c:v>
              </c:pt>
              <c:pt idx="1890">
                <c:v>25.38</c:v>
              </c:pt>
              <c:pt idx="1891">
                <c:v>25.37</c:v>
              </c:pt>
              <c:pt idx="1892">
                <c:v>26.12</c:v>
              </c:pt>
              <c:pt idx="1893">
                <c:v>26.13</c:v>
              </c:pt>
              <c:pt idx="1894">
                <c:v>25.97</c:v>
              </c:pt>
              <c:pt idx="1895">
                <c:v>25.89</c:v>
              </c:pt>
              <c:pt idx="1896">
                <c:v>26.13</c:v>
              </c:pt>
              <c:pt idx="1897">
                <c:v>26.2</c:v>
              </c:pt>
              <c:pt idx="1898">
                <c:v>25.89</c:v>
              </c:pt>
              <c:pt idx="1899">
                <c:v>25.82</c:v>
              </c:pt>
              <c:pt idx="1900">
                <c:v>25.82</c:v>
              </c:pt>
              <c:pt idx="1901">
                <c:v>26.02</c:v>
              </c:pt>
              <c:pt idx="1902">
                <c:v>26.04</c:v>
              </c:pt>
              <c:pt idx="1903">
                <c:v>26.09</c:v>
              </c:pt>
              <c:pt idx="1904">
                <c:v>26.34</c:v>
              </c:pt>
              <c:pt idx="1905">
                <c:v>26.04</c:v>
              </c:pt>
              <c:pt idx="1906">
                <c:v>26.03</c:v>
              </c:pt>
              <c:pt idx="1907">
                <c:v>25.77</c:v>
              </c:pt>
              <c:pt idx="1908">
                <c:v>25.85</c:v>
              </c:pt>
              <c:pt idx="1909">
                <c:v>25.63</c:v>
              </c:pt>
              <c:pt idx="1910">
                <c:v>25.23</c:v>
              </c:pt>
              <c:pt idx="1911">
                <c:v>25.28</c:v>
              </c:pt>
              <c:pt idx="1912">
                <c:v>25.15</c:v>
              </c:pt>
              <c:pt idx="1913">
                <c:v>25.21</c:v>
              </c:pt>
              <c:pt idx="1914">
                <c:v>25.3</c:v>
              </c:pt>
              <c:pt idx="1915">
                <c:v>25.58</c:v>
              </c:pt>
              <c:pt idx="1916">
                <c:v>25.8</c:v>
              </c:pt>
              <c:pt idx="1917">
                <c:v>25.78</c:v>
              </c:pt>
              <c:pt idx="1918">
                <c:v>25.98</c:v>
              </c:pt>
              <c:pt idx="1919">
                <c:v>25.9</c:v>
              </c:pt>
              <c:pt idx="1920">
                <c:v>25.73</c:v>
              </c:pt>
              <c:pt idx="1921">
                <c:v>25.94</c:v>
              </c:pt>
              <c:pt idx="1922">
                <c:v>25.82</c:v>
              </c:pt>
              <c:pt idx="1923">
                <c:v>26.44</c:v>
              </c:pt>
              <c:pt idx="1924">
                <c:v>26.6</c:v>
              </c:pt>
              <c:pt idx="1925">
                <c:v>26.32</c:v>
              </c:pt>
              <c:pt idx="1926">
                <c:v>26.22</c:v>
              </c:pt>
              <c:pt idx="1927">
                <c:v>26.27</c:v>
              </c:pt>
              <c:pt idx="1928">
                <c:v>25.96</c:v>
              </c:pt>
              <c:pt idx="1929">
                <c:v>25.85</c:v>
              </c:pt>
              <c:pt idx="1930">
                <c:v>25.92</c:v>
              </c:pt>
              <c:pt idx="1931">
                <c:v>25.85</c:v>
              </c:pt>
              <c:pt idx="1932">
                <c:v>25.25</c:v>
              </c:pt>
              <c:pt idx="1933">
                <c:v>25.36</c:v>
              </c:pt>
              <c:pt idx="1934">
                <c:v>25.25</c:v>
              </c:pt>
              <c:pt idx="1935">
                <c:v>25.01</c:v>
              </c:pt>
              <c:pt idx="1936">
                <c:v>25.13</c:v>
              </c:pt>
              <c:pt idx="1937">
                <c:v>24.75</c:v>
              </c:pt>
              <c:pt idx="1938">
                <c:v>24.36</c:v>
              </c:pt>
              <c:pt idx="1939">
                <c:v>21.29</c:v>
              </c:pt>
              <c:pt idx="1940">
                <c:v>21.37</c:v>
              </c:pt>
              <c:pt idx="1941">
                <c:v>21.26</c:v>
              </c:pt>
              <c:pt idx="1942">
                <c:v>21.95</c:v>
              </c:pt>
              <c:pt idx="1943">
                <c:v>21.79</c:v>
              </c:pt>
              <c:pt idx="1944">
                <c:v>21.75</c:v>
              </c:pt>
              <c:pt idx="1945">
                <c:v>21.56</c:v>
              </c:pt>
              <c:pt idx="1946">
                <c:v>22.13</c:v>
              </c:pt>
              <c:pt idx="1947">
                <c:v>22.36</c:v>
              </c:pt>
              <c:pt idx="1948">
                <c:v>22.38</c:v>
              </c:pt>
              <c:pt idx="1949">
                <c:v>22.08</c:v>
              </c:pt>
              <c:pt idx="1950">
                <c:v>22.12</c:v>
              </c:pt>
              <c:pt idx="1951">
                <c:v>22.15</c:v>
              </c:pt>
              <c:pt idx="1952">
                <c:v>22.13</c:v>
              </c:pt>
              <c:pt idx="1953">
                <c:v>22.18</c:v>
              </c:pt>
              <c:pt idx="1954">
                <c:v>22</c:v>
              </c:pt>
              <c:pt idx="1955">
                <c:v>22.06</c:v>
              </c:pt>
              <c:pt idx="1956">
                <c:v>22.12</c:v>
              </c:pt>
              <c:pt idx="1957">
                <c:v>22.07</c:v>
              </c:pt>
              <c:pt idx="1958">
                <c:v>22.1</c:v>
              </c:pt>
              <c:pt idx="1959">
                <c:v>22.28</c:v>
              </c:pt>
              <c:pt idx="1960">
                <c:v>22.24</c:v>
              </c:pt>
              <c:pt idx="1961">
                <c:v>22.14</c:v>
              </c:pt>
              <c:pt idx="1962">
                <c:v>22.18</c:v>
              </c:pt>
              <c:pt idx="1963">
                <c:v>22.74</c:v>
              </c:pt>
              <c:pt idx="1964">
                <c:v>22.71</c:v>
              </c:pt>
              <c:pt idx="1965">
                <c:v>22.43</c:v>
              </c:pt>
              <c:pt idx="1966">
                <c:v>23.28</c:v>
              </c:pt>
              <c:pt idx="1967">
                <c:v>23.93</c:v>
              </c:pt>
              <c:pt idx="1968">
                <c:v>23.9</c:v>
              </c:pt>
              <c:pt idx="1969">
                <c:v>24.11</c:v>
              </c:pt>
              <c:pt idx="1970">
                <c:v>24.16</c:v>
              </c:pt>
              <c:pt idx="1971">
                <c:v>24.46</c:v>
              </c:pt>
              <c:pt idx="1972">
                <c:v>24.36</c:v>
              </c:pt>
              <c:pt idx="1973">
                <c:v>24.52</c:v>
              </c:pt>
              <c:pt idx="1974">
                <c:v>24.55</c:v>
              </c:pt>
              <c:pt idx="1975">
                <c:v>24.62</c:v>
              </c:pt>
              <c:pt idx="1976">
                <c:v>24.12</c:v>
              </c:pt>
              <c:pt idx="1977">
                <c:v>24.54</c:v>
              </c:pt>
              <c:pt idx="1978">
                <c:v>25.36</c:v>
              </c:pt>
              <c:pt idx="1979">
                <c:v>25.31</c:v>
              </c:pt>
              <c:pt idx="1980">
                <c:v>25.17</c:v>
              </c:pt>
              <c:pt idx="1981">
                <c:v>25.51</c:v>
              </c:pt>
              <c:pt idx="1982">
                <c:v>25.67</c:v>
              </c:pt>
              <c:pt idx="1983">
                <c:v>25.99</c:v>
              </c:pt>
              <c:pt idx="1984">
                <c:v>26.84</c:v>
              </c:pt>
              <c:pt idx="1985">
                <c:v>26.43</c:v>
              </c:pt>
              <c:pt idx="1986">
                <c:v>26.18</c:v>
              </c:pt>
              <c:pt idx="1987">
                <c:v>26.15</c:v>
              </c:pt>
              <c:pt idx="1988">
                <c:v>26.04</c:v>
              </c:pt>
              <c:pt idx="1989">
                <c:v>26.24</c:v>
              </c:pt>
              <c:pt idx="1990">
                <c:v>26.11</c:v>
              </c:pt>
              <c:pt idx="1991">
                <c:v>26.24</c:v>
              </c:pt>
              <c:pt idx="1992">
                <c:v>27.66</c:v>
              </c:pt>
              <c:pt idx="1993">
                <c:v>28.29</c:v>
              </c:pt>
              <c:pt idx="1994">
                <c:v>28.05</c:v>
              </c:pt>
              <c:pt idx="1995">
                <c:v>28.75</c:v>
              </c:pt>
              <c:pt idx="1996">
                <c:v>28.55</c:v>
              </c:pt>
              <c:pt idx="1997">
                <c:v>28.86</c:v>
              </c:pt>
              <c:pt idx="1998">
                <c:v>29.15</c:v>
              </c:pt>
              <c:pt idx="1999">
                <c:v>29.3</c:v>
              </c:pt>
              <c:pt idx="2000">
                <c:v>30.3</c:v>
              </c:pt>
              <c:pt idx="2001">
                <c:v>29.32</c:v>
              </c:pt>
              <c:pt idx="2002">
                <c:v>29.1</c:v>
              </c:pt>
              <c:pt idx="2003">
                <c:v>28.96</c:v>
              </c:pt>
              <c:pt idx="2004">
                <c:v>29.81</c:v>
              </c:pt>
              <c:pt idx="2005">
                <c:v>29.64</c:v>
              </c:pt>
              <c:pt idx="2006">
                <c:v>30.12</c:v>
              </c:pt>
              <c:pt idx="2007">
                <c:v>30.63</c:v>
              </c:pt>
              <c:pt idx="2008">
                <c:v>31.78</c:v>
              </c:pt>
              <c:pt idx="2009">
                <c:v>32.75</c:v>
              </c:pt>
              <c:pt idx="2010">
                <c:v>32.340000000000003</c:v>
              </c:pt>
              <c:pt idx="2011">
                <c:v>31.76</c:v>
              </c:pt>
              <c:pt idx="2012">
                <c:v>31.67</c:v>
              </c:pt>
              <c:pt idx="2013">
                <c:v>31.52</c:v>
              </c:pt>
              <c:pt idx="2014">
                <c:v>32.11</c:v>
              </c:pt>
              <c:pt idx="2015">
                <c:v>32.520000000000003</c:v>
              </c:pt>
              <c:pt idx="2016">
                <c:v>32.76</c:v>
              </c:pt>
              <c:pt idx="2017">
                <c:v>33.49</c:v>
              </c:pt>
              <c:pt idx="2018">
                <c:v>33.270000000000003</c:v>
              </c:pt>
              <c:pt idx="2019">
                <c:v>33.53</c:v>
              </c:pt>
              <c:pt idx="2020">
                <c:v>33.549999999999997</c:v>
              </c:pt>
              <c:pt idx="2021">
                <c:v>34.56</c:v>
              </c:pt>
              <c:pt idx="2022">
                <c:v>35.11</c:v>
              </c:pt>
              <c:pt idx="2023">
                <c:v>35.1</c:v>
              </c:pt>
              <c:pt idx="2024">
                <c:v>34.69</c:v>
              </c:pt>
              <c:pt idx="2025">
                <c:v>35.58</c:v>
              </c:pt>
              <c:pt idx="2026">
                <c:v>35.58</c:v>
              </c:pt>
              <c:pt idx="2027">
                <c:v>36.03</c:v>
              </c:pt>
              <c:pt idx="2028">
                <c:v>37.119999999999997</c:v>
              </c:pt>
              <c:pt idx="2029">
                <c:v>36.590000000000003</c:v>
              </c:pt>
              <c:pt idx="2030">
                <c:v>35.58</c:v>
              </c:pt>
              <c:pt idx="2031">
                <c:v>34.64</c:v>
              </c:pt>
              <c:pt idx="2032">
                <c:v>34.82</c:v>
              </c:pt>
              <c:pt idx="2033">
                <c:v>34.04</c:v>
              </c:pt>
              <c:pt idx="2034">
                <c:v>34.94</c:v>
              </c:pt>
              <c:pt idx="2035">
                <c:v>35.68</c:v>
              </c:pt>
              <c:pt idx="2036">
                <c:v>35.369999999999997</c:v>
              </c:pt>
              <c:pt idx="2037">
                <c:v>36.049999999999997</c:v>
              </c:pt>
              <c:pt idx="2038">
                <c:v>36.299999999999997</c:v>
              </c:pt>
              <c:pt idx="2039">
                <c:v>36.18</c:v>
              </c:pt>
              <c:pt idx="2040">
                <c:v>36.03</c:v>
              </c:pt>
              <c:pt idx="2041">
                <c:v>35.799999999999997</c:v>
              </c:pt>
              <c:pt idx="2042">
                <c:v>35.520000000000003</c:v>
              </c:pt>
              <c:pt idx="2043">
                <c:v>35.08</c:v>
              </c:pt>
              <c:pt idx="2044">
                <c:v>35.76</c:v>
              </c:pt>
              <c:pt idx="2045">
                <c:v>34.200000000000003</c:v>
              </c:pt>
              <c:pt idx="2046">
                <c:v>34.39</c:v>
              </c:pt>
              <c:pt idx="2047">
                <c:v>34.75</c:v>
              </c:pt>
              <c:pt idx="2048">
                <c:v>34.64</c:v>
              </c:pt>
              <c:pt idx="2049">
                <c:v>34.04</c:v>
              </c:pt>
              <c:pt idx="2050">
                <c:v>34.03</c:v>
              </c:pt>
              <c:pt idx="2051">
                <c:v>34.659999999999997</c:v>
              </c:pt>
              <c:pt idx="2052">
                <c:v>40.06</c:v>
              </c:pt>
              <c:pt idx="2053">
                <c:v>38.74</c:v>
              </c:pt>
              <c:pt idx="2054">
                <c:v>38.44</c:v>
              </c:pt>
              <c:pt idx="2055">
                <c:v>37.32</c:v>
              </c:pt>
              <c:pt idx="2056">
                <c:v>39.1</c:v>
              </c:pt>
              <c:pt idx="2057">
                <c:v>39.22</c:v>
              </c:pt>
              <c:pt idx="2058">
                <c:v>39.130000000000003</c:v>
              </c:pt>
              <c:pt idx="2059">
                <c:v>38.65</c:v>
              </c:pt>
              <c:pt idx="2060">
                <c:v>40.01</c:v>
              </c:pt>
              <c:pt idx="2061">
                <c:v>40.07</c:v>
              </c:pt>
              <c:pt idx="2062">
                <c:v>39.26</c:v>
              </c:pt>
              <c:pt idx="2063">
                <c:v>38.47</c:v>
              </c:pt>
              <c:pt idx="2064">
                <c:v>37.729999999999997</c:v>
              </c:pt>
              <c:pt idx="2065">
                <c:v>37.69</c:v>
              </c:pt>
              <c:pt idx="2066">
                <c:v>36.26</c:v>
              </c:pt>
              <c:pt idx="2067">
                <c:v>33.71</c:v>
              </c:pt>
              <c:pt idx="2068">
                <c:v>34.19</c:v>
              </c:pt>
              <c:pt idx="2069">
                <c:v>34.26</c:v>
              </c:pt>
              <c:pt idx="2070">
                <c:v>32.909999999999997</c:v>
              </c:pt>
              <c:pt idx="2071">
                <c:v>33.07</c:v>
              </c:pt>
              <c:pt idx="2072">
                <c:v>33.6</c:v>
              </c:pt>
              <c:pt idx="2073">
                <c:v>34.200000000000003</c:v>
              </c:pt>
              <c:pt idx="2074">
                <c:v>35.049999999999997</c:v>
              </c:pt>
              <c:pt idx="2075">
                <c:v>35.56</c:v>
              </c:pt>
              <c:pt idx="2076">
                <c:v>35.43</c:v>
              </c:pt>
              <c:pt idx="2077">
                <c:v>34.97</c:v>
              </c:pt>
              <c:pt idx="2078">
                <c:v>35.44</c:v>
              </c:pt>
              <c:pt idx="2079">
                <c:v>34.81</c:v>
              </c:pt>
              <c:pt idx="2080">
                <c:v>34.46</c:v>
              </c:pt>
              <c:pt idx="2081">
                <c:v>35.950000000000003</c:v>
              </c:pt>
              <c:pt idx="2082">
                <c:v>32.61</c:v>
              </c:pt>
              <c:pt idx="2083">
                <c:v>32.61</c:v>
              </c:pt>
              <c:pt idx="2084">
                <c:v>33.119999999999997</c:v>
              </c:pt>
              <c:pt idx="2085">
                <c:v>33.85</c:v>
              </c:pt>
              <c:pt idx="2086">
                <c:v>33.74</c:v>
              </c:pt>
              <c:pt idx="2087">
                <c:v>34.200000000000003</c:v>
              </c:pt>
              <c:pt idx="2088">
                <c:v>34.26</c:v>
              </c:pt>
              <c:pt idx="2089">
                <c:v>33.93</c:v>
              </c:pt>
              <c:pt idx="2090">
                <c:v>34.659999999999997</c:v>
              </c:pt>
              <c:pt idx="2091">
                <c:v>34.33</c:v>
              </c:pt>
              <c:pt idx="2092">
                <c:v>33.92</c:v>
              </c:pt>
              <c:pt idx="2093">
                <c:v>33.130000000000003</c:v>
              </c:pt>
              <c:pt idx="2094">
                <c:v>32.92</c:v>
              </c:pt>
              <c:pt idx="2095">
                <c:v>32.619999999999997</c:v>
              </c:pt>
              <c:pt idx="2096">
                <c:v>32.69</c:v>
              </c:pt>
              <c:pt idx="2097">
                <c:v>32.54</c:v>
              </c:pt>
              <c:pt idx="2098">
                <c:v>32.619999999999997</c:v>
              </c:pt>
              <c:pt idx="2099">
                <c:v>30.87</c:v>
              </c:pt>
              <c:pt idx="2100">
                <c:v>30.1</c:v>
              </c:pt>
              <c:pt idx="2101">
                <c:v>31.12</c:v>
              </c:pt>
              <c:pt idx="2102">
                <c:v>31.13</c:v>
              </c:pt>
              <c:pt idx="2103">
                <c:v>30.83</c:v>
              </c:pt>
              <c:pt idx="2104">
                <c:v>31.56</c:v>
              </c:pt>
              <c:pt idx="2105">
                <c:v>30.91</c:v>
              </c:pt>
              <c:pt idx="2106">
                <c:v>30.8</c:v>
              </c:pt>
              <c:pt idx="2107">
                <c:v>30.65</c:v>
              </c:pt>
              <c:pt idx="2108">
                <c:v>30.96</c:v>
              </c:pt>
              <c:pt idx="2109">
                <c:v>29.92</c:v>
              </c:pt>
              <c:pt idx="2110">
                <c:v>29.49</c:v>
              </c:pt>
              <c:pt idx="2111">
                <c:v>30.61</c:v>
              </c:pt>
              <c:pt idx="2112">
                <c:v>30.75</c:v>
              </c:pt>
              <c:pt idx="2113">
                <c:v>30.97</c:v>
              </c:pt>
              <c:pt idx="2114">
                <c:v>31.02</c:v>
              </c:pt>
              <c:pt idx="2115">
                <c:v>32.119999999999997</c:v>
              </c:pt>
              <c:pt idx="2116">
                <c:v>32.880000000000003</c:v>
              </c:pt>
              <c:pt idx="2117">
                <c:v>33.299999999999997</c:v>
              </c:pt>
              <c:pt idx="2118">
                <c:v>32.979999999999997</c:v>
              </c:pt>
              <c:pt idx="2119">
                <c:v>32.78</c:v>
              </c:pt>
              <c:pt idx="2120">
                <c:v>32.5</c:v>
              </c:pt>
              <c:pt idx="2121">
                <c:v>32.200000000000003</c:v>
              </c:pt>
              <c:pt idx="2122">
                <c:v>32.200000000000003</c:v>
              </c:pt>
              <c:pt idx="2123">
                <c:v>32.619999999999997</c:v>
              </c:pt>
              <c:pt idx="2124">
                <c:v>31.89</c:v>
              </c:pt>
              <c:pt idx="2125">
                <c:v>30.95</c:v>
              </c:pt>
              <c:pt idx="2126">
                <c:v>30.36</c:v>
              </c:pt>
              <c:pt idx="2127">
                <c:v>30.24</c:v>
              </c:pt>
              <c:pt idx="2128">
                <c:v>30.04</c:v>
              </c:pt>
              <c:pt idx="2129">
                <c:v>30.23</c:v>
              </c:pt>
              <c:pt idx="2130">
                <c:v>30.88</c:v>
              </c:pt>
              <c:pt idx="2131">
                <c:v>31.77</c:v>
              </c:pt>
              <c:pt idx="2132">
                <c:v>29.53</c:v>
              </c:pt>
              <c:pt idx="2133">
                <c:v>28.6</c:v>
              </c:pt>
              <c:pt idx="2134">
                <c:v>29.48</c:v>
              </c:pt>
              <c:pt idx="2135">
                <c:v>29.91</c:v>
              </c:pt>
              <c:pt idx="2136">
                <c:v>29.63</c:v>
              </c:pt>
              <c:pt idx="2137">
                <c:v>30.02</c:v>
              </c:pt>
              <c:pt idx="2138">
                <c:v>30.26</c:v>
              </c:pt>
              <c:pt idx="2139">
                <c:v>30.34</c:v>
              </c:pt>
              <c:pt idx="2140">
                <c:v>30.46</c:v>
              </c:pt>
              <c:pt idx="2141">
                <c:v>29.49</c:v>
              </c:pt>
              <c:pt idx="2142">
                <c:v>29.97</c:v>
              </c:pt>
              <c:pt idx="2143">
                <c:v>30.06</c:v>
              </c:pt>
              <c:pt idx="2144">
                <c:v>29.75</c:v>
              </c:pt>
              <c:pt idx="2145">
                <c:v>29.75</c:v>
              </c:pt>
              <c:pt idx="2146">
                <c:v>30.27</c:v>
              </c:pt>
              <c:pt idx="2147">
                <c:v>29.78</c:v>
              </c:pt>
              <c:pt idx="2148">
                <c:v>31.15</c:v>
              </c:pt>
              <c:pt idx="2149">
                <c:v>31.02</c:v>
              </c:pt>
              <c:pt idx="2150">
                <c:v>30.26</c:v>
              </c:pt>
              <c:pt idx="2151">
                <c:v>29.94</c:v>
              </c:pt>
              <c:pt idx="2152">
                <c:v>30.08</c:v>
              </c:pt>
              <c:pt idx="2153">
                <c:v>31.73</c:v>
              </c:pt>
              <c:pt idx="2154">
                <c:v>31.9</c:v>
              </c:pt>
              <c:pt idx="2155">
                <c:v>32.14</c:v>
              </c:pt>
              <c:pt idx="2156">
                <c:v>32.31</c:v>
              </c:pt>
              <c:pt idx="2157">
                <c:v>32.450000000000003</c:v>
              </c:pt>
              <c:pt idx="2158">
                <c:v>33.020000000000003</c:v>
              </c:pt>
              <c:pt idx="2159">
                <c:v>33.19</c:v>
              </c:pt>
              <c:pt idx="2160">
                <c:v>32.39</c:v>
              </c:pt>
              <c:pt idx="2161">
                <c:v>32.14</c:v>
              </c:pt>
              <c:pt idx="2162">
                <c:v>31.34</c:v>
              </c:pt>
              <c:pt idx="2163">
                <c:v>31.18</c:v>
              </c:pt>
              <c:pt idx="2164">
                <c:v>30.38</c:v>
              </c:pt>
              <c:pt idx="2165">
                <c:v>31.11</c:v>
              </c:pt>
              <c:pt idx="2166">
                <c:v>30.63</c:v>
              </c:pt>
              <c:pt idx="2167">
                <c:v>30.36</c:v>
              </c:pt>
              <c:pt idx="2168">
                <c:v>30.43</c:v>
              </c:pt>
              <c:pt idx="2169">
                <c:v>30.75</c:v>
              </c:pt>
              <c:pt idx="2170">
                <c:v>30.98</c:v>
              </c:pt>
              <c:pt idx="2171">
                <c:v>30.96</c:v>
              </c:pt>
              <c:pt idx="2172">
                <c:v>30.74</c:v>
              </c:pt>
              <c:pt idx="2173">
                <c:v>31.91</c:v>
              </c:pt>
              <c:pt idx="2174">
                <c:v>31.89</c:v>
              </c:pt>
              <c:pt idx="2175">
                <c:v>31.18</c:v>
              </c:pt>
              <c:pt idx="2176">
                <c:v>31.87</c:v>
              </c:pt>
              <c:pt idx="2177">
                <c:v>32.36</c:v>
              </c:pt>
              <c:pt idx="2178">
                <c:v>32.36</c:v>
              </c:pt>
              <c:pt idx="2179">
                <c:v>32.549999999999997</c:v>
              </c:pt>
              <c:pt idx="2180">
                <c:v>32.96</c:v>
              </c:pt>
              <c:pt idx="2181">
                <c:v>33.33</c:v>
              </c:pt>
              <c:pt idx="2182">
                <c:v>33.5</c:v>
              </c:pt>
              <c:pt idx="2183">
                <c:v>33.08</c:v>
              </c:pt>
              <c:pt idx="2184">
                <c:v>33</c:v>
              </c:pt>
              <c:pt idx="2185">
                <c:v>32.96</c:v>
              </c:pt>
              <c:pt idx="2186">
                <c:v>34.26</c:v>
              </c:pt>
              <c:pt idx="2187">
                <c:v>33.49</c:v>
              </c:pt>
              <c:pt idx="2188">
                <c:v>33.200000000000003</c:v>
              </c:pt>
              <c:pt idx="2189">
                <c:v>34.700000000000003</c:v>
              </c:pt>
              <c:pt idx="2190">
                <c:v>33.6</c:v>
              </c:pt>
              <c:pt idx="2191">
                <c:v>33.46</c:v>
              </c:pt>
              <c:pt idx="2192">
                <c:v>35.19</c:v>
              </c:pt>
              <c:pt idx="2193">
                <c:v>36.69</c:v>
              </c:pt>
              <c:pt idx="2194">
                <c:v>37.01</c:v>
              </c:pt>
              <c:pt idx="2195">
                <c:v>36.86</c:v>
              </c:pt>
              <c:pt idx="2196">
                <c:v>37.72</c:v>
              </c:pt>
              <c:pt idx="2197">
                <c:v>38.020000000000003</c:v>
              </c:pt>
              <c:pt idx="2198">
                <c:v>38.08</c:v>
              </c:pt>
              <c:pt idx="2199">
                <c:v>38.43</c:v>
              </c:pt>
              <c:pt idx="2200">
                <c:v>37.43</c:v>
              </c:pt>
              <c:pt idx="2201">
                <c:v>37.619999999999997</c:v>
              </c:pt>
              <c:pt idx="2202">
                <c:v>37.68</c:v>
              </c:pt>
              <c:pt idx="2203">
                <c:v>37.950000000000003</c:v>
              </c:pt>
              <c:pt idx="2204">
                <c:v>39</c:v>
              </c:pt>
              <c:pt idx="2205">
                <c:v>39.020000000000003</c:v>
              </c:pt>
              <c:pt idx="2206">
                <c:v>38.479999999999997</c:v>
              </c:pt>
              <c:pt idx="2207">
                <c:v>38.06</c:v>
              </c:pt>
              <c:pt idx="2208">
                <c:v>38.07</c:v>
              </c:pt>
              <c:pt idx="2209">
                <c:v>37.89</c:v>
              </c:pt>
              <c:pt idx="2210">
                <c:v>37.520000000000003</c:v>
              </c:pt>
              <c:pt idx="2211">
                <c:v>37.14</c:v>
              </c:pt>
              <c:pt idx="2212">
                <c:v>36.81</c:v>
              </c:pt>
              <c:pt idx="2213">
                <c:v>36.53</c:v>
              </c:pt>
              <c:pt idx="2214">
                <c:v>37.200000000000003</c:v>
              </c:pt>
              <c:pt idx="2215">
                <c:v>37.020000000000003</c:v>
              </c:pt>
              <c:pt idx="2216">
                <c:v>37.229999999999997</c:v>
              </c:pt>
              <c:pt idx="2217">
                <c:v>37.229999999999997</c:v>
              </c:pt>
              <c:pt idx="2218">
                <c:v>36.79</c:v>
              </c:pt>
              <c:pt idx="2219">
                <c:v>36.33</c:v>
              </c:pt>
              <c:pt idx="2220">
                <c:v>36.47</c:v>
              </c:pt>
              <c:pt idx="2221">
                <c:v>36.729999999999997</c:v>
              </c:pt>
              <c:pt idx="2222">
                <c:v>36.65</c:v>
              </c:pt>
              <c:pt idx="2223">
                <c:v>36.840000000000003</c:v>
              </c:pt>
              <c:pt idx="2224">
                <c:v>37.11</c:v>
              </c:pt>
              <c:pt idx="2225">
                <c:v>36.6</c:v>
              </c:pt>
              <c:pt idx="2226">
                <c:v>36.76</c:v>
              </c:pt>
              <c:pt idx="2227">
                <c:v>36.76</c:v>
              </c:pt>
              <c:pt idx="2228">
                <c:v>36.51</c:v>
              </c:pt>
              <c:pt idx="2229">
                <c:v>36.299999999999997</c:v>
              </c:pt>
              <c:pt idx="2230">
                <c:v>36.6</c:v>
              </c:pt>
              <c:pt idx="2231">
                <c:v>36.799999999999997</c:v>
              </c:pt>
              <c:pt idx="2232">
                <c:v>36.78</c:v>
              </c:pt>
              <c:pt idx="2233">
                <c:v>35.549999999999997</c:v>
              </c:pt>
              <c:pt idx="2234">
                <c:v>35.79</c:v>
              </c:pt>
              <c:pt idx="2235">
                <c:v>35.33</c:v>
              </c:pt>
              <c:pt idx="2236">
                <c:v>34.229999999999997</c:v>
              </c:pt>
              <c:pt idx="2237">
                <c:v>34.4</c:v>
              </c:pt>
              <c:pt idx="2238">
                <c:v>34.17</c:v>
              </c:pt>
              <c:pt idx="2239">
                <c:v>31.94</c:v>
              </c:pt>
              <c:pt idx="2240">
                <c:v>32.17</c:v>
              </c:pt>
              <c:pt idx="2241">
                <c:v>32.08</c:v>
              </c:pt>
              <c:pt idx="2242">
                <c:v>33.380000000000003</c:v>
              </c:pt>
              <c:pt idx="2243">
                <c:v>34.58</c:v>
              </c:pt>
              <c:pt idx="2244">
                <c:v>33.9</c:v>
              </c:pt>
              <c:pt idx="2245">
                <c:v>32.89</c:v>
              </c:pt>
              <c:pt idx="2246">
                <c:v>32.67</c:v>
              </c:pt>
              <c:pt idx="2247">
                <c:v>32.96</c:v>
              </c:pt>
              <c:pt idx="2248">
                <c:v>32.700000000000003</c:v>
              </c:pt>
              <c:pt idx="2249">
                <c:v>31.72</c:v>
              </c:pt>
              <c:pt idx="2250">
                <c:v>30.55</c:v>
              </c:pt>
              <c:pt idx="2251">
                <c:v>30.15</c:v>
              </c:pt>
              <c:pt idx="2252">
                <c:v>29.17</c:v>
              </c:pt>
              <c:pt idx="2253">
                <c:v>29.23</c:v>
              </c:pt>
              <c:pt idx="2254">
                <c:v>29.16</c:v>
              </c:pt>
              <c:pt idx="2255">
                <c:v>29.34</c:v>
              </c:pt>
              <c:pt idx="2256">
                <c:v>29.9</c:v>
              </c:pt>
              <c:pt idx="2257">
                <c:v>30.11</c:v>
              </c:pt>
              <c:pt idx="2258">
                <c:v>29</c:v>
              </c:pt>
              <c:pt idx="2259">
                <c:v>29.98</c:v>
              </c:pt>
              <c:pt idx="2260">
                <c:v>30.05</c:v>
              </c:pt>
              <c:pt idx="2261">
                <c:v>29.73</c:v>
              </c:pt>
              <c:pt idx="2262">
                <c:v>28.63</c:v>
              </c:pt>
              <c:pt idx="2263">
                <c:v>28.46</c:v>
              </c:pt>
              <c:pt idx="2264">
                <c:v>29.9</c:v>
              </c:pt>
              <c:pt idx="2265">
                <c:v>31.28</c:v>
              </c:pt>
              <c:pt idx="2266">
                <c:v>31.41</c:v>
              </c:pt>
              <c:pt idx="2267">
                <c:v>30</c:v>
              </c:pt>
              <c:pt idx="2268">
                <c:v>30.3</c:v>
              </c:pt>
              <c:pt idx="2269">
                <c:v>30.57</c:v>
              </c:pt>
              <c:pt idx="2270">
                <c:v>30.91</c:v>
              </c:pt>
              <c:pt idx="2271">
                <c:v>31.72</c:v>
              </c:pt>
              <c:pt idx="2272">
                <c:v>31.03</c:v>
              </c:pt>
              <c:pt idx="2273">
                <c:v>31.73</c:v>
              </c:pt>
              <c:pt idx="2274">
                <c:v>31.53</c:v>
              </c:pt>
              <c:pt idx="2275">
                <c:v>32.46</c:v>
              </c:pt>
              <c:pt idx="2276">
                <c:v>33.020000000000003</c:v>
              </c:pt>
              <c:pt idx="2277">
                <c:v>31.87</c:v>
              </c:pt>
              <c:pt idx="2278">
                <c:v>31.18</c:v>
              </c:pt>
              <c:pt idx="2279">
                <c:v>30.39</c:v>
              </c:pt>
              <c:pt idx="2280">
                <c:v>30.8</c:v>
              </c:pt>
              <c:pt idx="2281">
                <c:v>31.34</c:v>
              </c:pt>
              <c:pt idx="2282">
                <c:v>31.57</c:v>
              </c:pt>
              <c:pt idx="2283">
                <c:v>31.66</c:v>
              </c:pt>
              <c:pt idx="2284">
                <c:v>31.77</c:v>
              </c:pt>
              <c:pt idx="2285">
                <c:v>31.5</c:v>
              </c:pt>
              <c:pt idx="2286">
                <c:v>31.87</c:v>
              </c:pt>
              <c:pt idx="2287">
                <c:v>31.3</c:v>
              </c:pt>
              <c:pt idx="2288">
                <c:v>31.5</c:v>
              </c:pt>
              <c:pt idx="2289">
                <c:v>30.55</c:v>
              </c:pt>
              <c:pt idx="2290">
                <c:v>28.6</c:v>
              </c:pt>
              <c:pt idx="2291">
                <c:v>30.03</c:v>
              </c:pt>
              <c:pt idx="2292">
                <c:v>30.3</c:v>
              </c:pt>
              <c:pt idx="2293">
                <c:v>30.35</c:v>
              </c:pt>
              <c:pt idx="2294">
                <c:v>30.45</c:v>
              </c:pt>
              <c:pt idx="2295">
                <c:v>30.66</c:v>
              </c:pt>
              <c:pt idx="2296">
                <c:v>28.55</c:v>
              </c:pt>
              <c:pt idx="2297">
                <c:v>28.96</c:v>
              </c:pt>
              <c:pt idx="2298">
                <c:v>30.01</c:v>
              </c:pt>
              <c:pt idx="2299">
                <c:v>30.38</c:v>
              </c:pt>
              <c:pt idx="2300">
                <c:v>30.97</c:v>
              </c:pt>
              <c:pt idx="2301">
                <c:v>30.84</c:v>
              </c:pt>
              <c:pt idx="2302">
                <c:v>31.03</c:v>
              </c:pt>
              <c:pt idx="2303">
                <c:v>30.53</c:v>
              </c:pt>
              <c:pt idx="2304">
                <c:v>30.61</c:v>
              </c:pt>
              <c:pt idx="2305">
                <c:v>30.16</c:v>
              </c:pt>
              <c:pt idx="2306">
                <c:v>30.33</c:v>
              </c:pt>
              <c:pt idx="2307">
                <c:v>30.67</c:v>
              </c:pt>
              <c:pt idx="2308">
                <c:v>29.85</c:v>
              </c:pt>
              <c:pt idx="2309">
                <c:v>30.24</c:v>
              </c:pt>
              <c:pt idx="2310">
                <c:v>30.64</c:v>
              </c:pt>
              <c:pt idx="2311">
                <c:v>30.61</c:v>
              </c:pt>
              <c:pt idx="2312">
                <c:v>30.47</c:v>
              </c:pt>
              <c:pt idx="2313">
                <c:v>30.74</c:v>
              </c:pt>
              <c:pt idx="2314">
                <c:v>30.75</c:v>
              </c:pt>
              <c:pt idx="2315">
                <c:v>30.67</c:v>
              </c:pt>
              <c:pt idx="2316">
                <c:v>30.51</c:v>
              </c:pt>
              <c:pt idx="2317">
                <c:v>30.6</c:v>
              </c:pt>
              <c:pt idx="2318">
                <c:v>32.17</c:v>
              </c:pt>
              <c:pt idx="2319">
                <c:v>32.5</c:v>
              </c:pt>
              <c:pt idx="2320">
                <c:v>32.19</c:v>
              </c:pt>
              <c:pt idx="2321">
                <c:v>32.69</c:v>
              </c:pt>
              <c:pt idx="2322">
                <c:v>34</c:v>
              </c:pt>
              <c:pt idx="2323">
                <c:v>34.409999999999997</c:v>
              </c:pt>
              <c:pt idx="2324">
                <c:v>33.82</c:v>
              </c:pt>
              <c:pt idx="2325">
                <c:v>32.56</c:v>
              </c:pt>
              <c:pt idx="2326">
                <c:v>33.76</c:v>
              </c:pt>
              <c:pt idx="2327">
                <c:v>34.200000000000003</c:v>
              </c:pt>
              <c:pt idx="2328">
                <c:v>34.5</c:v>
              </c:pt>
              <c:pt idx="2329">
                <c:v>35.47</c:v>
              </c:pt>
              <c:pt idx="2330">
                <c:v>35.04</c:v>
              </c:pt>
              <c:pt idx="2331">
                <c:v>36.01</c:v>
              </c:pt>
              <c:pt idx="2332">
                <c:v>35.85</c:v>
              </c:pt>
              <c:pt idx="2333">
                <c:v>35.96</c:v>
              </c:pt>
              <c:pt idx="2334">
                <c:v>35.97</c:v>
              </c:pt>
              <c:pt idx="2335">
                <c:v>35.31</c:v>
              </c:pt>
              <c:pt idx="2336">
                <c:v>33.630000000000003</c:v>
              </c:pt>
              <c:pt idx="2337">
                <c:v>33.28</c:v>
              </c:pt>
              <c:pt idx="2338">
                <c:v>32.44</c:v>
              </c:pt>
              <c:pt idx="2339">
                <c:v>32.31</c:v>
              </c:pt>
              <c:pt idx="2340">
                <c:v>32.35</c:v>
              </c:pt>
              <c:pt idx="2341">
                <c:v>31.64</c:v>
              </c:pt>
              <c:pt idx="2342">
                <c:v>31.14</c:v>
              </c:pt>
              <c:pt idx="2343">
                <c:v>31.71</c:v>
              </c:pt>
              <c:pt idx="2344">
                <c:v>31.75</c:v>
              </c:pt>
              <c:pt idx="2345">
                <c:v>31.08</c:v>
              </c:pt>
              <c:pt idx="2346">
                <c:v>32.42</c:v>
              </c:pt>
              <c:pt idx="2347">
                <c:v>31.91</c:v>
              </c:pt>
              <c:pt idx="2348">
                <c:v>31.37</c:v>
              </c:pt>
              <c:pt idx="2349">
                <c:v>31.8</c:v>
              </c:pt>
              <c:pt idx="2350">
                <c:v>30.36</c:v>
              </c:pt>
              <c:pt idx="2351">
                <c:v>30.84</c:v>
              </c:pt>
              <c:pt idx="2352">
                <c:v>30.87</c:v>
              </c:pt>
              <c:pt idx="2353">
                <c:v>30.53</c:v>
              </c:pt>
              <c:pt idx="2354">
                <c:v>31.59</c:v>
              </c:pt>
              <c:pt idx="2355">
                <c:v>32.72</c:v>
              </c:pt>
              <c:pt idx="2356">
                <c:v>33.25</c:v>
              </c:pt>
              <c:pt idx="2357">
                <c:v>32.9</c:v>
              </c:pt>
              <c:pt idx="2358">
                <c:v>32.909999999999997</c:v>
              </c:pt>
              <c:pt idx="2359">
                <c:v>33.229999999999997</c:v>
              </c:pt>
              <c:pt idx="2360">
                <c:v>33.42</c:v>
              </c:pt>
              <c:pt idx="2361">
                <c:v>33.47</c:v>
              </c:pt>
              <c:pt idx="2362">
                <c:v>32.54</c:v>
              </c:pt>
              <c:pt idx="2363">
                <c:v>32.76</c:v>
              </c:pt>
              <c:pt idx="2364">
                <c:v>32.81</c:v>
              </c:pt>
              <c:pt idx="2365">
                <c:v>32.81</c:v>
              </c:pt>
              <c:pt idx="2366">
                <c:v>32.450000000000003</c:v>
              </c:pt>
              <c:pt idx="2367">
                <c:v>32.5</c:v>
              </c:pt>
              <c:pt idx="2368">
                <c:v>31.69</c:v>
              </c:pt>
              <c:pt idx="2369">
                <c:v>32.11</c:v>
              </c:pt>
              <c:pt idx="2370">
                <c:v>32.25</c:v>
              </c:pt>
              <c:pt idx="2371">
                <c:v>33.130000000000003</c:v>
              </c:pt>
              <c:pt idx="2372">
                <c:v>33.020000000000003</c:v>
              </c:pt>
              <c:pt idx="2373">
                <c:v>32.97</c:v>
              </c:pt>
              <c:pt idx="2374">
                <c:v>33.130000000000003</c:v>
              </c:pt>
              <c:pt idx="2375">
                <c:v>33.5</c:v>
              </c:pt>
              <c:pt idx="2376">
                <c:v>33.340000000000003</c:v>
              </c:pt>
              <c:pt idx="2377">
                <c:v>33.28</c:v>
              </c:pt>
              <c:pt idx="2378">
                <c:v>32.89</c:v>
              </c:pt>
              <c:pt idx="2379">
                <c:v>33.49</c:v>
              </c:pt>
              <c:pt idx="2380">
                <c:v>33.450000000000003</c:v>
              </c:pt>
              <c:pt idx="2381">
                <c:v>32.92</c:v>
              </c:pt>
              <c:pt idx="2382">
                <c:v>38.25</c:v>
              </c:pt>
              <c:pt idx="2383">
                <c:v>39.68</c:v>
              </c:pt>
              <c:pt idx="2384">
                <c:v>39.47</c:v>
              </c:pt>
              <c:pt idx="2385">
                <c:v>39.33</c:v>
              </c:pt>
              <c:pt idx="2386">
                <c:v>40.39</c:v>
              </c:pt>
              <c:pt idx="2387">
                <c:v>41.69</c:v>
              </c:pt>
              <c:pt idx="2388">
                <c:v>42.07</c:v>
              </c:pt>
              <c:pt idx="2389">
                <c:v>41.35</c:v>
              </c:pt>
              <c:pt idx="2390">
                <c:v>41.92</c:v>
              </c:pt>
              <c:pt idx="2391">
                <c:v>42.92</c:v>
              </c:pt>
              <c:pt idx="2392">
                <c:v>42.57</c:v>
              </c:pt>
              <c:pt idx="2393">
                <c:v>41.54</c:v>
              </c:pt>
              <c:pt idx="2394">
                <c:v>41.39</c:v>
              </c:pt>
              <c:pt idx="2395">
                <c:v>41.81</c:v>
              </c:pt>
              <c:pt idx="2396">
                <c:v>40.729999999999997</c:v>
              </c:pt>
              <c:pt idx="2397">
                <c:v>40.93</c:v>
              </c:pt>
              <c:pt idx="2398">
                <c:v>40.67</c:v>
              </c:pt>
              <c:pt idx="2399">
                <c:v>41.23</c:v>
              </c:pt>
              <c:pt idx="2400">
                <c:v>41.4</c:v>
              </c:pt>
              <c:pt idx="2401">
                <c:v>43.37</c:v>
              </c:pt>
              <c:pt idx="2402">
                <c:v>43.75</c:v>
              </c:pt>
              <c:pt idx="2403">
                <c:v>42.73</c:v>
              </c:pt>
              <c:pt idx="2404">
                <c:v>42.27</c:v>
              </c:pt>
              <c:pt idx="2405">
                <c:v>42.94</c:v>
              </c:pt>
              <c:pt idx="2406">
                <c:v>43.35</c:v>
              </c:pt>
              <c:pt idx="2407">
                <c:v>44.2</c:v>
              </c:pt>
              <c:pt idx="2408">
                <c:v>39.49</c:v>
              </c:pt>
              <c:pt idx="2409">
                <c:v>38.85</c:v>
              </c:pt>
              <c:pt idx="2410">
                <c:v>39.090000000000003</c:v>
              </c:pt>
              <c:pt idx="2411">
                <c:v>38.869999999999997</c:v>
              </c:pt>
              <c:pt idx="2412">
                <c:v>38.82</c:v>
              </c:pt>
              <c:pt idx="2413">
                <c:v>39.090000000000003</c:v>
              </c:pt>
              <c:pt idx="2414">
                <c:v>40.409999999999997</c:v>
              </c:pt>
              <c:pt idx="2415">
                <c:v>40.98</c:v>
              </c:pt>
              <c:pt idx="2416">
                <c:v>40.78</c:v>
              </c:pt>
              <c:pt idx="2417">
                <c:v>41.5</c:v>
              </c:pt>
              <c:pt idx="2418">
                <c:v>40.22</c:v>
              </c:pt>
              <c:pt idx="2419">
                <c:v>41.86</c:v>
              </c:pt>
              <c:pt idx="2420">
                <c:v>41</c:v>
              </c:pt>
              <c:pt idx="2421">
                <c:v>41.01</c:v>
              </c:pt>
              <c:pt idx="2422">
                <c:v>40.869999999999997</c:v>
              </c:pt>
              <c:pt idx="2423">
                <c:v>39.840000000000003</c:v>
              </c:pt>
              <c:pt idx="2424">
                <c:v>39.590000000000003</c:v>
              </c:pt>
              <c:pt idx="2425">
                <c:v>38.94</c:v>
              </c:pt>
              <c:pt idx="2426">
                <c:v>38.200000000000003</c:v>
              </c:pt>
              <c:pt idx="2427">
                <c:v>38.99</c:v>
              </c:pt>
              <c:pt idx="2428">
                <c:v>38.72</c:v>
              </c:pt>
              <c:pt idx="2429">
                <c:v>38.61</c:v>
              </c:pt>
              <c:pt idx="2430">
                <c:v>38.130000000000003</c:v>
              </c:pt>
              <c:pt idx="2431">
                <c:v>38</c:v>
              </c:pt>
              <c:pt idx="2432">
                <c:v>37.909999999999997</c:v>
              </c:pt>
              <c:pt idx="2433">
                <c:v>37.68</c:v>
              </c:pt>
              <c:pt idx="2434">
                <c:v>38</c:v>
              </c:pt>
              <c:pt idx="2435">
                <c:v>38.26</c:v>
              </c:pt>
              <c:pt idx="2436">
                <c:v>38.21</c:v>
              </c:pt>
              <c:pt idx="2437">
                <c:v>37.82</c:v>
              </c:pt>
              <c:pt idx="2438">
                <c:v>37.28</c:v>
              </c:pt>
              <c:pt idx="2439">
                <c:v>37.43</c:v>
              </c:pt>
              <c:pt idx="2440">
                <c:v>36.840000000000003</c:v>
              </c:pt>
              <c:pt idx="2441">
                <c:v>36.119999999999997</c:v>
              </c:pt>
              <c:pt idx="2442">
                <c:v>35.56</c:v>
              </c:pt>
              <c:pt idx="2443">
                <c:v>28</c:v>
              </c:pt>
              <c:pt idx="2444">
                <c:v>27.21</c:v>
              </c:pt>
              <c:pt idx="2445">
                <c:v>27.64</c:v>
              </c:pt>
              <c:pt idx="2446">
                <c:v>28.37</c:v>
              </c:pt>
              <c:pt idx="2447">
                <c:v>27.51</c:v>
              </c:pt>
              <c:pt idx="2448">
                <c:v>26.14</c:v>
              </c:pt>
              <c:pt idx="2449">
                <c:v>26.97</c:v>
              </c:pt>
              <c:pt idx="2450">
                <c:v>26.08</c:v>
              </c:pt>
              <c:pt idx="2451">
                <c:v>26.41</c:v>
              </c:pt>
              <c:pt idx="2452">
                <c:v>26.5</c:v>
              </c:pt>
              <c:pt idx="2453">
                <c:v>26.44</c:v>
              </c:pt>
              <c:pt idx="2454">
                <c:v>26.75</c:v>
              </c:pt>
              <c:pt idx="2455">
                <c:v>27.53</c:v>
              </c:pt>
              <c:pt idx="2456">
                <c:v>27.78</c:v>
              </c:pt>
              <c:pt idx="2457">
                <c:v>27.68</c:v>
              </c:pt>
              <c:pt idx="2458">
                <c:v>27.53</c:v>
              </c:pt>
              <c:pt idx="2459">
                <c:v>26.9</c:v>
              </c:pt>
              <c:pt idx="2460">
                <c:v>27.28</c:v>
              </c:pt>
              <c:pt idx="2461">
                <c:v>27.9</c:v>
              </c:pt>
              <c:pt idx="2462">
                <c:v>27.51</c:v>
              </c:pt>
              <c:pt idx="2463">
                <c:v>27.58</c:v>
              </c:pt>
              <c:pt idx="2464">
                <c:v>27.5</c:v>
              </c:pt>
              <c:pt idx="2465">
                <c:v>28.18</c:v>
              </c:pt>
              <c:pt idx="2466">
                <c:v>27.56</c:v>
              </c:pt>
              <c:pt idx="2467">
                <c:v>27.53</c:v>
              </c:pt>
              <c:pt idx="2468">
                <c:v>28.37</c:v>
              </c:pt>
              <c:pt idx="2469">
                <c:v>29.55</c:v>
              </c:pt>
              <c:pt idx="2470">
                <c:v>29.82</c:v>
              </c:pt>
              <c:pt idx="2471">
                <c:v>31.1</c:v>
              </c:pt>
              <c:pt idx="2472">
                <c:v>31.21</c:v>
              </c:pt>
              <c:pt idx="2473">
                <c:v>31.17</c:v>
              </c:pt>
              <c:pt idx="2474">
                <c:v>32.270000000000003</c:v>
              </c:pt>
              <c:pt idx="2475">
                <c:v>31.92</c:v>
              </c:pt>
              <c:pt idx="2476">
                <c:v>31.19</c:v>
              </c:pt>
              <c:pt idx="2477">
                <c:v>30.64</c:v>
              </c:pt>
              <c:pt idx="2478">
                <c:v>30.05</c:v>
              </c:pt>
              <c:pt idx="2479">
                <c:v>29.65</c:v>
              </c:pt>
              <c:pt idx="2480">
                <c:v>28.9</c:v>
              </c:pt>
              <c:pt idx="2481">
                <c:v>29</c:v>
              </c:pt>
              <c:pt idx="2482">
                <c:v>29.38</c:v>
              </c:pt>
              <c:pt idx="2483">
                <c:v>29.14</c:v>
              </c:pt>
              <c:pt idx="2484">
                <c:v>28.3</c:v>
              </c:pt>
              <c:pt idx="2485">
                <c:v>28.35</c:v>
              </c:pt>
              <c:pt idx="2486">
                <c:v>29.41</c:v>
              </c:pt>
              <c:pt idx="2487">
                <c:v>29.19</c:v>
              </c:pt>
              <c:pt idx="2488">
                <c:v>28.5</c:v>
              </c:pt>
              <c:pt idx="2489">
                <c:v>28.8</c:v>
              </c:pt>
              <c:pt idx="2490">
                <c:v>28.94</c:v>
              </c:pt>
              <c:pt idx="2491">
                <c:v>29.56</c:v>
              </c:pt>
              <c:pt idx="2492">
                <c:v>29.41</c:v>
              </c:pt>
              <c:pt idx="2493">
                <c:v>29.89</c:v>
              </c:pt>
              <c:pt idx="2494">
                <c:v>30.33</c:v>
              </c:pt>
              <c:pt idx="2495">
                <c:v>30.41</c:v>
              </c:pt>
              <c:pt idx="2496">
                <c:v>29.43</c:v>
              </c:pt>
              <c:pt idx="2497">
                <c:v>29.01</c:v>
              </c:pt>
              <c:pt idx="2498">
                <c:v>29.06</c:v>
              </c:pt>
              <c:pt idx="2499">
                <c:v>29.45</c:v>
              </c:pt>
              <c:pt idx="2500">
                <c:v>29.66</c:v>
              </c:pt>
              <c:pt idx="2501">
                <c:v>30.05</c:v>
              </c:pt>
              <c:pt idx="2502">
                <c:v>29.39</c:v>
              </c:pt>
              <c:pt idx="2503">
                <c:v>29.25</c:v>
              </c:pt>
              <c:pt idx="2504">
                <c:v>28.53</c:v>
              </c:pt>
              <c:pt idx="2505">
                <c:v>28.94</c:v>
              </c:pt>
              <c:pt idx="2506">
                <c:v>31.15</c:v>
              </c:pt>
              <c:pt idx="2507">
                <c:v>31.08</c:v>
              </c:pt>
              <c:pt idx="2508">
                <c:v>31.5</c:v>
              </c:pt>
              <c:pt idx="2509">
                <c:v>31.35</c:v>
              </c:pt>
              <c:pt idx="2510">
                <c:v>30.91</c:v>
              </c:pt>
              <c:pt idx="2511">
                <c:v>31.07</c:v>
              </c:pt>
              <c:pt idx="2512">
                <c:v>31.12</c:v>
              </c:pt>
              <c:pt idx="2513">
                <c:v>31.02</c:v>
              </c:pt>
              <c:pt idx="2514">
                <c:v>29.83</c:v>
              </c:pt>
              <c:pt idx="2515">
                <c:v>30.52</c:v>
              </c:pt>
              <c:pt idx="2516">
                <c:v>30.67</c:v>
              </c:pt>
              <c:pt idx="2517">
                <c:v>28.18</c:v>
              </c:pt>
              <c:pt idx="2518">
                <c:v>27.56</c:v>
              </c:pt>
              <c:pt idx="2519">
                <c:v>27.53</c:v>
              </c:pt>
              <c:pt idx="2520">
                <c:v>28.37</c:v>
              </c:pt>
              <c:pt idx="2521">
                <c:v>29.55</c:v>
              </c:pt>
              <c:pt idx="2522">
                <c:v>29.82</c:v>
              </c:pt>
              <c:pt idx="2523">
                <c:v>31.1</c:v>
              </c:pt>
              <c:pt idx="2524">
                <c:v>31.21</c:v>
              </c:pt>
              <c:pt idx="2525">
                <c:v>31.17</c:v>
              </c:pt>
              <c:pt idx="2526">
                <c:v>32.270000000000003</c:v>
              </c:pt>
              <c:pt idx="2527">
                <c:v>31.92</c:v>
              </c:pt>
              <c:pt idx="2528">
                <c:v>31.19</c:v>
              </c:pt>
              <c:pt idx="2529">
                <c:v>30.64</c:v>
              </c:pt>
              <c:pt idx="2530">
                <c:v>30.05</c:v>
              </c:pt>
              <c:pt idx="2531">
                <c:v>29.65</c:v>
              </c:pt>
              <c:pt idx="2532">
                <c:v>28.9</c:v>
              </c:pt>
              <c:pt idx="2533">
                <c:v>29</c:v>
              </c:pt>
              <c:pt idx="2534">
                <c:v>29.38</c:v>
              </c:pt>
              <c:pt idx="2535">
                <c:v>29.14</c:v>
              </c:pt>
              <c:pt idx="2536">
                <c:v>28.3</c:v>
              </c:pt>
              <c:pt idx="2537">
                <c:v>28.35</c:v>
              </c:pt>
              <c:pt idx="2538">
                <c:v>29.41</c:v>
              </c:pt>
              <c:pt idx="2539">
                <c:v>29.19</c:v>
              </c:pt>
              <c:pt idx="2540">
                <c:v>28.5</c:v>
              </c:pt>
              <c:pt idx="2541">
                <c:v>28.8</c:v>
              </c:pt>
              <c:pt idx="2542">
                <c:v>28.94</c:v>
              </c:pt>
              <c:pt idx="2543">
                <c:v>29.56</c:v>
              </c:pt>
              <c:pt idx="2544">
                <c:v>29.41</c:v>
              </c:pt>
              <c:pt idx="2545">
                <c:v>29.89</c:v>
              </c:pt>
              <c:pt idx="2546">
                <c:v>30.33</c:v>
              </c:pt>
              <c:pt idx="2547">
                <c:v>30.41</c:v>
              </c:pt>
              <c:pt idx="2548">
                <c:v>29.43</c:v>
              </c:pt>
              <c:pt idx="2549">
                <c:v>29.01</c:v>
              </c:pt>
              <c:pt idx="2550">
                <c:v>29.06</c:v>
              </c:pt>
              <c:pt idx="2551">
                <c:v>29.45</c:v>
              </c:pt>
              <c:pt idx="2552">
                <c:v>29.66</c:v>
              </c:pt>
              <c:pt idx="2553">
                <c:v>30.05</c:v>
              </c:pt>
              <c:pt idx="2554">
                <c:v>29.39</c:v>
              </c:pt>
              <c:pt idx="2555">
                <c:v>29.25</c:v>
              </c:pt>
              <c:pt idx="2556">
                <c:v>28.53</c:v>
              </c:pt>
              <c:pt idx="2557">
                <c:v>28.94</c:v>
              </c:pt>
              <c:pt idx="2558">
                <c:v>31.15</c:v>
              </c:pt>
              <c:pt idx="2559">
                <c:v>31.08</c:v>
              </c:pt>
              <c:pt idx="2560">
                <c:v>31.5</c:v>
              </c:pt>
              <c:pt idx="2561">
                <c:v>31.35</c:v>
              </c:pt>
              <c:pt idx="2562">
                <c:v>30.91</c:v>
              </c:pt>
              <c:pt idx="2563">
                <c:v>31.07</c:v>
              </c:pt>
              <c:pt idx="2564">
                <c:v>31.12</c:v>
              </c:pt>
              <c:pt idx="2565">
                <c:v>31.02</c:v>
              </c:pt>
              <c:pt idx="2566">
                <c:v>29.83</c:v>
              </c:pt>
              <c:pt idx="2567">
                <c:v>30.52</c:v>
              </c:pt>
              <c:pt idx="2568">
                <c:v>30.67</c:v>
              </c:pt>
            </c:numLit>
          </c:val>
          <c:smooth val="0"/>
          <c:extLst>
            <c:ext xmlns:c16="http://schemas.microsoft.com/office/drawing/2014/chart" uri="{C3380CC4-5D6E-409C-BE32-E72D297353CC}">
              <c16:uniqueId val="{00000000-5C06-48D7-B487-C4BAB98A3B11}"/>
            </c:ext>
          </c:extLst>
        </c:ser>
        <c:dLbls>
          <c:showLegendKey val="0"/>
          <c:showVal val="0"/>
          <c:showCatName val="0"/>
          <c:showSerName val="0"/>
          <c:showPercent val="0"/>
          <c:showBubbleSize val="0"/>
        </c:dLbls>
        <c:smooth val="0"/>
        <c:axId val="37689768"/>
        <c:axId val="3663598"/>
      </c:lineChart>
      <c:catAx>
        <c:axId val="37689768"/>
        <c:scaling>
          <c:orientation val="minMax"/>
        </c:scaling>
        <c:delete val="0"/>
        <c:axPos val="b"/>
        <c:numFmt formatCode="yy" sourceLinked="0"/>
        <c:majorTickMark val="none"/>
        <c:minorTickMark val="none"/>
        <c:tickLblPos val="low"/>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663598"/>
        <c:crosses val="autoZero"/>
        <c:auto val="1"/>
        <c:lblAlgn val="ctr"/>
        <c:lblOffset val="100"/>
        <c:noMultiLvlLbl val="1"/>
      </c:catAx>
      <c:valAx>
        <c:axId val="3663598"/>
        <c:scaling>
          <c:orientation val="minMax"/>
        </c:scaling>
        <c:delete val="0"/>
        <c:axPos val="l"/>
        <c:majorGridlines>
          <c:spPr>
            <a:ln w="9525" cap="flat" cmpd="sng">
              <a:solidFill>
                <a:schemeClr val="tx1">
                  <a:lumMod val="15000"/>
                  <a:lumOff val="85000"/>
                </a:schemeClr>
              </a:solidFill>
              <a:round/>
            </a:ln>
          </c:spPr>
        </c:majorGridlines>
        <c:numFmt formatCode="General" sourceLinked="1"/>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7689768"/>
        <c:crosses val="autoZero"/>
        <c:crossBetween val="between"/>
      </c:valAx>
      <c:spPr>
        <a:noFill/>
        <a:ln w="9525">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c:spPr>
      <c:txPr>
        <a:bodyPr rot="0" vert="horz"/>
        <a:lstStyle/>
        <a:p>
          <a:pPr>
            <a:defRPr lang="en-US" sz="1100" b="0" i="0" u="non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'Main Writeup'!$O$26</c:f>
              <c:strCache>
                <c:ptCount val="1"/>
                <c:pt idx="0">
                  <c:v>TEV/EBITDA</c:v>
                </c:pt>
              </c:strCache>
            </c:strRef>
          </c:tx>
          <c:spPr>
            <a:ln w="28575" cap="rnd" cmpd="sng">
              <a:solidFill>
                <a:schemeClr val="accent1"/>
              </a:solidFill>
              <a:round/>
            </a:ln>
          </c:spPr>
          <c:marker>
            <c:symbol val="none"/>
          </c:marker>
          <c:cat>
            <c:strRef>
              <c:f>'Main Writeup'!$P$22:$Y$22</c:f>
              <c:strCache>
                <c:ptCount val="10"/>
                <c:pt idx="0">
                  <c:v>10</c:v>
                </c:pt>
                <c:pt idx="1">
                  <c:v>11</c:v>
                </c:pt>
                <c:pt idx="2">
                  <c:v>12</c:v>
                </c:pt>
                <c:pt idx="3">
                  <c:v>13</c:v>
                </c:pt>
                <c:pt idx="4">
                  <c:v>14</c:v>
                </c:pt>
                <c:pt idx="5">
                  <c:v>15</c:v>
                </c:pt>
                <c:pt idx="6">
                  <c:v>16</c:v>
                </c:pt>
                <c:pt idx="7">
                  <c:v>17</c:v>
                </c:pt>
                <c:pt idx="8">
                  <c:v>18</c:v>
                </c:pt>
                <c:pt idx="9">
                  <c:v>19</c:v>
                </c:pt>
              </c:strCache>
            </c:strRef>
          </c:cat>
          <c:val>
            <c:numRef>
              <c:f>'Main Writeup'!$P$26:$Y$26</c:f>
              <c:numCache>
                <c:formatCode>_(* #,##0.00_);_(* \(#,##0.00\);_(* "-"??_);_(@_)</c:formatCode>
                <c:ptCount val="10"/>
                <c:pt idx="0">
                  <c:v>7.2140975926909645</c:v>
                </c:pt>
                <c:pt idx="1">
                  <c:v>12.367352204886389</c:v>
                </c:pt>
                <c:pt idx="2">
                  <c:v>12.46017586338774</c:v>
                </c:pt>
                <c:pt idx="3">
                  <c:v>18.076526647333047</c:v>
                </c:pt>
                <c:pt idx="4">
                  <c:v>11.029687972014075</c:v>
                </c:pt>
                <c:pt idx="5">
                  <c:v>13.340456341259966</c:v>
                </c:pt>
                <c:pt idx="6">
                  <c:v>10.813866613970943</c:v>
                </c:pt>
                <c:pt idx="7">
                  <c:v>15.338415236092754</c:v>
                </c:pt>
                <c:pt idx="8">
                  <c:v>12.940199776070818</c:v>
                </c:pt>
                <c:pt idx="9">
                  <c:v>25.116394430353147</c:v>
                </c:pt>
              </c:numCache>
            </c:numRef>
          </c:val>
          <c:smooth val="0"/>
          <c:extLst>
            <c:ext xmlns:c16="http://schemas.microsoft.com/office/drawing/2014/chart" uri="{C3380CC4-5D6E-409C-BE32-E72D297353CC}">
              <c16:uniqueId val="{00000000-D64A-4014-8F7C-FE60F98A1AAB}"/>
            </c:ext>
          </c:extLst>
        </c:ser>
        <c:dLbls>
          <c:showLegendKey val="0"/>
          <c:showVal val="0"/>
          <c:showCatName val="0"/>
          <c:showSerName val="0"/>
          <c:showPercent val="0"/>
          <c:showBubbleSize val="0"/>
        </c:dLbls>
        <c:smooth val="0"/>
        <c:axId val="32972388"/>
        <c:axId val="28316044"/>
      </c:lineChart>
      <c:catAx>
        <c:axId val="32972388"/>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28316044"/>
        <c:crosses val="autoZero"/>
        <c:auto val="1"/>
        <c:lblAlgn val="ctr"/>
        <c:lblOffset val="100"/>
        <c:noMultiLvlLbl val="0"/>
      </c:catAx>
      <c:valAx>
        <c:axId val="28316044"/>
        <c:scaling>
          <c:orientation val="minMax"/>
        </c:scaling>
        <c:delete val="0"/>
        <c:axPos val="l"/>
        <c:majorGridlines>
          <c:spPr>
            <a:ln w="9525" cap="flat" cmpd="sng">
              <a:solidFill>
                <a:schemeClr val="tx1">
                  <a:lumMod val="15000"/>
                  <a:lumOff val="85000"/>
                </a:schemeClr>
              </a:solidFill>
              <a:round/>
            </a:ln>
          </c:spPr>
        </c:majorGridlines>
        <c:numFmt formatCode="#,##0" sourceLinked="0"/>
        <c:majorTickMark val="none"/>
        <c:minorTickMark val="none"/>
        <c:tickLblPos val="nextTo"/>
        <c:spPr>
          <a:noFill/>
          <a:ln w="9525">
            <a:noFill/>
          </a:ln>
        </c:spPr>
        <c:txPr>
          <a:bodyPr/>
          <a:lstStyle/>
          <a:p>
            <a:pPr>
              <a:defRPr lang="en-US" sz="900" b="0" i="0" u="none" baseline="0">
                <a:solidFill>
                  <a:schemeClr val="tx1">
                    <a:lumMod val="65000"/>
                    <a:lumOff val="35000"/>
                  </a:schemeClr>
                </a:solidFill>
                <a:latin typeface="+mn-lt"/>
                <a:ea typeface="+mn-ea"/>
                <a:cs typeface="+mn-cs"/>
              </a:defRPr>
            </a:pPr>
            <a:endParaRPr lang="en-US"/>
          </a:p>
        </c:txPr>
        <c:crossAx val="32972388"/>
        <c:crosses val="autoZero"/>
        <c:crossBetween val="between"/>
      </c:valAx>
      <c:spPr>
        <a:noFill/>
        <a:ln w="9525">
          <a:noFill/>
        </a:ln>
      </c:spPr>
    </c:plotArea>
    <c:plotVisOnly val="1"/>
    <c:dispBlanksAs val="gap"/>
    <c:showDLblsOverMax val="0"/>
  </c:chart>
  <c:spPr>
    <a:solidFill>
      <a:schemeClr val="bg1"/>
    </a:solidFill>
    <a:ln w="9525" cap="flat" cmpd="sng">
      <a:solidFill>
        <a:schemeClr val="tx1">
          <a:lumMod val="15000"/>
          <a:lumOff val="85000"/>
        </a:schemeClr>
      </a:solidFill>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image" Target="../media/image5.png"/><Relationship Id="rId12" Type="http://schemas.openxmlformats.org/officeDocument/2006/relationships/image" Target="../media/image10.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11" Type="http://schemas.openxmlformats.org/officeDocument/2006/relationships/image" Target="../media/image9.png"/><Relationship Id="rId5" Type="http://schemas.openxmlformats.org/officeDocument/2006/relationships/image" Target="../media/image3.png"/><Relationship Id="rId10" Type="http://schemas.openxmlformats.org/officeDocument/2006/relationships/image" Target="../media/image8.png"/><Relationship Id="rId4" Type="http://schemas.openxmlformats.org/officeDocument/2006/relationships/chart" Target="../charts/chart4.xml"/><Relationship Id="rId9"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190500</xdr:colOff>
      <xdr:row>2</xdr:row>
      <xdr:rowOff>152400</xdr:rowOff>
    </xdr:from>
    <xdr:ext cx="2352675" cy="904875"/>
    <xdr:pic>
      <xdr:nvPicPr>
        <xdr:cNvPr id="6" name="Picture 5">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stretch>
          <a:fillRect/>
        </a:stretch>
      </xdr:blipFill>
      <xdr:spPr bwMode="auto">
        <a:xfrm>
          <a:off x="571500" y="523875"/>
          <a:ext cx="2352675" cy="904875"/>
        </a:xfrm>
        <a:prstGeom prst="rect">
          <a:avLst/>
        </a:prstGeom>
        <a:noFill/>
        <a:ln>
          <a:noFill/>
        </a:ln>
      </xdr:spPr>
    </xdr:pic>
    <xdr:clientData/>
  </xdr:oneCellAnchor>
  <xdr:oneCellAnchor>
    <xdr:from>
      <xdr:col>16</xdr:col>
      <xdr:colOff>304800</xdr:colOff>
      <xdr:row>33</xdr:row>
      <xdr:rowOff>38100</xdr:rowOff>
    </xdr:from>
    <xdr:ext cx="333375" cy="371475"/>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13839825" y="6991350"/>
          <a:ext cx="333375" cy="3714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9525</xdr:colOff>
      <xdr:row>21</xdr:row>
      <xdr:rowOff>142875</xdr:rowOff>
    </xdr:from>
    <xdr:to>
      <xdr:col>5</xdr:col>
      <xdr:colOff>104775</xdr:colOff>
      <xdr:row>33</xdr:row>
      <xdr:rowOff>114300</xdr:rowOff>
    </xdr:to>
    <xdr:graphicFrame macro="">
      <xdr:nvGraphicFramePr>
        <xdr:cNvPr id="41" name="Chart 1">
          <a:extLst>
            <a:ext uri="{FF2B5EF4-FFF2-40B4-BE49-F238E27FC236}">
              <a16:creationId xmlns:a16="http://schemas.microsoft.com/office/drawing/2014/main" id="{00000000-0008-0000-01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161924</xdr:colOff>
      <xdr:row>22</xdr:row>
      <xdr:rowOff>19050</xdr:rowOff>
    </xdr:from>
    <xdr:to>
      <xdr:col>9</xdr:col>
      <xdr:colOff>561974</xdr:colOff>
      <xdr:row>33</xdr:row>
      <xdr:rowOff>142875</xdr:rowOff>
    </xdr:to>
    <xdr:graphicFrame macro="">
      <xdr:nvGraphicFramePr>
        <xdr:cNvPr id="42" name="Chart 2">
          <a:extLst>
            <a:ext uri="{FF2B5EF4-FFF2-40B4-BE49-F238E27FC236}">
              <a16:creationId xmlns:a16="http://schemas.microsoft.com/office/drawing/2014/main" id="{00000000-0008-0000-01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171450</xdr:colOff>
      <xdr:row>34</xdr:row>
      <xdr:rowOff>47625</xdr:rowOff>
    </xdr:from>
    <xdr:to>
      <xdr:col>9</xdr:col>
      <xdr:colOff>561975</xdr:colOff>
      <xdr:row>45</xdr:row>
      <xdr:rowOff>142875</xdr:rowOff>
    </xdr:to>
    <xdr:graphicFrame macro="">
      <xdr:nvGraphicFramePr>
        <xdr:cNvPr id="43" name="Chart 3">
          <a:extLst>
            <a:ext uri="{FF2B5EF4-FFF2-40B4-BE49-F238E27FC236}">
              <a16:creationId xmlns:a16="http://schemas.microsoft.com/office/drawing/2014/main" id="{00000000-0008-0000-01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34</xdr:row>
      <xdr:rowOff>76200</xdr:rowOff>
    </xdr:from>
    <xdr:to>
      <xdr:col>5</xdr:col>
      <xdr:colOff>104775</xdr:colOff>
      <xdr:row>46</xdr:row>
      <xdr:rowOff>28575</xdr:rowOff>
    </xdr:to>
    <xdr:graphicFrame macro="">
      <xdr:nvGraphicFramePr>
        <xdr:cNvPr id="44" name="Chart 5">
          <a:extLst>
            <a:ext uri="{FF2B5EF4-FFF2-40B4-BE49-F238E27FC236}">
              <a16:creationId xmlns:a16="http://schemas.microsoft.com/office/drawing/2014/main" id="{00000000-0008-0000-01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333375</xdr:colOff>
      <xdr:row>46</xdr:row>
      <xdr:rowOff>47626</xdr:rowOff>
    </xdr:from>
    <xdr:to>
      <xdr:col>18</xdr:col>
      <xdr:colOff>177247</xdr:colOff>
      <xdr:row>55</xdr:row>
      <xdr:rowOff>111504</xdr:rowOff>
    </xdr:to>
    <xdr:pic>
      <xdr:nvPicPr>
        <xdr:cNvPr id="45" name="Picture 6">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5"/>
        <a:stretch>
          <a:fillRect/>
        </a:stretch>
      </xdr:blipFill>
      <xdr:spPr>
        <a:xfrm>
          <a:off x="12601575" y="8810625"/>
          <a:ext cx="3295650" cy="1781175"/>
        </a:xfrm>
        <a:prstGeom prst="rect">
          <a:avLst/>
        </a:prstGeom>
      </xdr:spPr>
    </xdr:pic>
    <xdr:clientData/>
  </xdr:twoCellAnchor>
  <xdr:twoCellAnchor editAs="oneCell">
    <xdr:from>
      <xdr:col>14</xdr:col>
      <xdr:colOff>173182</xdr:colOff>
      <xdr:row>66</xdr:row>
      <xdr:rowOff>103910</xdr:rowOff>
    </xdr:from>
    <xdr:to>
      <xdr:col>18</xdr:col>
      <xdr:colOff>21384</xdr:colOff>
      <xdr:row>76</xdr:row>
      <xdr:rowOff>16381</xdr:rowOff>
    </xdr:to>
    <xdr:pic>
      <xdr:nvPicPr>
        <xdr:cNvPr id="46" name="Picture 7">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6"/>
        <a:stretch>
          <a:fillRect/>
        </a:stretch>
      </xdr:blipFill>
      <xdr:spPr>
        <a:xfrm>
          <a:off x="12439650" y="12677775"/>
          <a:ext cx="3295650" cy="1819275"/>
        </a:xfrm>
        <a:prstGeom prst="rect">
          <a:avLst/>
        </a:prstGeom>
      </xdr:spPr>
    </xdr:pic>
    <xdr:clientData/>
  </xdr:twoCellAnchor>
  <xdr:twoCellAnchor editAs="oneCell">
    <xdr:from>
      <xdr:col>17</xdr:col>
      <xdr:colOff>828675</xdr:colOff>
      <xdr:row>100</xdr:row>
      <xdr:rowOff>152400</xdr:rowOff>
    </xdr:from>
    <xdr:to>
      <xdr:col>21</xdr:col>
      <xdr:colOff>152965</xdr:colOff>
      <xdr:row>108</xdr:row>
      <xdr:rowOff>143498</xdr:rowOff>
    </xdr:to>
    <xdr:pic>
      <xdr:nvPicPr>
        <xdr:cNvPr id="47" name="Picture 8">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7"/>
        <a:stretch>
          <a:fillRect/>
        </a:stretch>
      </xdr:blipFill>
      <xdr:spPr>
        <a:xfrm>
          <a:off x="15678150" y="19202400"/>
          <a:ext cx="2790825" cy="1514475"/>
        </a:xfrm>
        <a:prstGeom prst="rect">
          <a:avLst/>
        </a:prstGeom>
      </xdr:spPr>
    </xdr:pic>
    <xdr:clientData/>
  </xdr:twoCellAnchor>
  <xdr:twoCellAnchor editAs="oneCell">
    <xdr:from>
      <xdr:col>13</xdr:col>
      <xdr:colOff>419100</xdr:colOff>
      <xdr:row>100</xdr:row>
      <xdr:rowOff>19050</xdr:rowOff>
    </xdr:from>
    <xdr:to>
      <xdr:col>16</xdr:col>
      <xdr:colOff>846558</xdr:colOff>
      <xdr:row>108</xdr:row>
      <xdr:rowOff>161771</xdr:rowOff>
    </xdr:to>
    <xdr:pic>
      <xdr:nvPicPr>
        <xdr:cNvPr id="48" name="Picture 9">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a:stretch>
          <a:fillRect/>
        </a:stretch>
      </xdr:blipFill>
      <xdr:spPr>
        <a:xfrm>
          <a:off x="11830050" y="19069050"/>
          <a:ext cx="3000375" cy="1666875"/>
        </a:xfrm>
        <a:prstGeom prst="rect">
          <a:avLst/>
        </a:prstGeom>
      </xdr:spPr>
    </xdr:pic>
    <xdr:clientData/>
  </xdr:twoCellAnchor>
  <xdr:twoCellAnchor editAs="oneCell">
    <xdr:from>
      <xdr:col>20</xdr:col>
      <xdr:colOff>0</xdr:colOff>
      <xdr:row>45</xdr:row>
      <xdr:rowOff>0</xdr:rowOff>
    </xdr:from>
    <xdr:to>
      <xdr:col>23</xdr:col>
      <xdr:colOff>148466</xdr:colOff>
      <xdr:row>55</xdr:row>
      <xdr:rowOff>24769</xdr:rowOff>
    </xdr:to>
    <xdr:pic>
      <xdr:nvPicPr>
        <xdr:cNvPr id="49" name="Picture 10">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9"/>
        <a:stretch>
          <a:fillRect/>
        </a:stretch>
      </xdr:blipFill>
      <xdr:spPr>
        <a:xfrm>
          <a:off x="17449800" y="8572500"/>
          <a:ext cx="2752725" cy="1933575"/>
        </a:xfrm>
        <a:prstGeom prst="rect">
          <a:avLst/>
        </a:prstGeom>
      </xdr:spPr>
    </xdr:pic>
    <xdr:clientData/>
  </xdr:twoCellAnchor>
  <xdr:twoCellAnchor editAs="oneCell">
    <xdr:from>
      <xdr:col>20</xdr:col>
      <xdr:colOff>0</xdr:colOff>
      <xdr:row>65</xdr:row>
      <xdr:rowOff>122464</xdr:rowOff>
    </xdr:from>
    <xdr:to>
      <xdr:col>23</xdr:col>
      <xdr:colOff>53216</xdr:colOff>
      <xdr:row>75</xdr:row>
      <xdr:rowOff>99067</xdr:rowOff>
    </xdr:to>
    <xdr:pic>
      <xdr:nvPicPr>
        <xdr:cNvPr id="50" name="Picture 11">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0"/>
        <a:stretch>
          <a:fillRect/>
        </a:stretch>
      </xdr:blipFill>
      <xdr:spPr>
        <a:xfrm>
          <a:off x="17449800" y="12506325"/>
          <a:ext cx="2657475" cy="1885950"/>
        </a:xfrm>
        <a:prstGeom prst="rect">
          <a:avLst/>
        </a:prstGeom>
      </xdr:spPr>
    </xdr:pic>
    <xdr:clientData/>
  </xdr:twoCellAnchor>
  <xdr:twoCellAnchor editAs="oneCell">
    <xdr:from>
      <xdr:col>21</xdr:col>
      <xdr:colOff>600075</xdr:colOff>
      <xdr:row>101</xdr:row>
      <xdr:rowOff>66675</xdr:rowOff>
    </xdr:from>
    <xdr:to>
      <xdr:col>29</xdr:col>
      <xdr:colOff>323120</xdr:colOff>
      <xdr:row>107</xdr:row>
      <xdr:rowOff>179373</xdr:rowOff>
    </xdr:to>
    <xdr:pic>
      <xdr:nvPicPr>
        <xdr:cNvPr id="51" name="Picture 12">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11"/>
        <a:stretch>
          <a:fillRect/>
        </a:stretch>
      </xdr:blipFill>
      <xdr:spPr>
        <a:xfrm>
          <a:off x="18916650" y="19307175"/>
          <a:ext cx="6657975" cy="1257300"/>
        </a:xfrm>
        <a:prstGeom prst="rect">
          <a:avLst/>
        </a:prstGeom>
      </xdr:spPr>
    </xdr:pic>
    <xdr:clientData/>
  </xdr:twoCellAnchor>
  <xdr:twoCellAnchor editAs="oneCell">
    <xdr:from>
      <xdr:col>2</xdr:col>
      <xdr:colOff>0</xdr:colOff>
      <xdr:row>78</xdr:row>
      <xdr:rowOff>0</xdr:rowOff>
    </xdr:from>
    <xdr:to>
      <xdr:col>13</xdr:col>
      <xdr:colOff>0</xdr:colOff>
      <xdr:row>91</xdr:row>
      <xdr:rowOff>0</xdr:rowOff>
    </xdr:to>
    <xdr:pic>
      <xdr:nvPicPr>
        <xdr:cNvPr id="52" name="Picture 12">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12"/>
        <a:stretch>
          <a:fillRect/>
        </a:stretch>
      </xdr:blipFill>
      <xdr:spPr>
        <a:xfrm>
          <a:off x="2333625" y="14859000"/>
          <a:ext cx="9077325" cy="247650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0.53275</cdr:x>
      <cdr:y>0.148</cdr:y>
    </cdr:from>
    <cdr:to>
      <cdr:x>0.53275</cdr:x>
      <cdr:y>0.767</cdr:y>
    </cdr:to>
    <cdr:sp macro="" textlink="">
      <cdr:nvSpPr>
        <cdr:cNvPr id="2" name="Straight Connector 2">
          <a:extLst xmlns:a="http://schemas.openxmlformats.org/drawingml/2006/main">
            <a:ext uri="{FF2B5EF4-FFF2-40B4-BE49-F238E27FC236}">
              <a16:creationId xmlns:a16="http://schemas.microsoft.com/office/drawing/2014/main" id="{AA4AC7E3-2250-43A5-BA03-DC2C08F2C614}"/>
            </a:ext>
          </a:extLst>
        </cdr:cNvPr>
        <cdr:cNvSpPr/>
      </cdr:nvSpPr>
      <cdr:spPr>
        <a:xfrm xmlns:a="http://schemas.openxmlformats.org/drawingml/2006/main" flipV="1">
          <a:off x="2266950" y="333375"/>
          <a:ext cx="0" cy="140017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sp>
  </cdr:relSizeAnchor>
  <cdr:relSizeAnchor xmlns:cdr="http://schemas.openxmlformats.org/drawingml/2006/chartDrawing">
    <cdr:from>
      <cdr:x>1</cdr:x>
      <cdr:y>0.148</cdr:y>
    </cdr:from>
    <cdr:to>
      <cdr:x>1</cdr:x>
      <cdr:y>0.767</cdr:y>
    </cdr:to>
    <cdr:sp macro="" textlink="">
      <cdr:nvSpPr>
        <cdr:cNvPr id="3" name="Straight Connector 3">
          <a:extLst xmlns:a="http://schemas.openxmlformats.org/drawingml/2006/main">
            <a:ext uri="{FF2B5EF4-FFF2-40B4-BE49-F238E27FC236}">
              <a16:creationId xmlns:a16="http://schemas.microsoft.com/office/drawing/2014/main" id="{0965ECC6-78B2-474A-88C9-3179921A61B0}"/>
            </a:ext>
          </a:extLst>
        </cdr:cNvPr>
        <cdr:cNvSpPr/>
      </cdr:nvSpPr>
      <cdr:spPr>
        <a:xfrm xmlns:a="http://schemas.openxmlformats.org/drawingml/2006/main" flipV="1">
          <a:off x="4267200" y="333375"/>
          <a:ext cx="0" cy="140017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sp>
  </cdr:relSizeAnchor>
</c:userShapes>
</file>

<file path=xl/drawings/drawing4.xml><?xml version="1.0" encoding="utf-8"?>
<c:userShapes xmlns:c="http://schemas.openxmlformats.org/drawingml/2006/chart">
  <cdr:relSizeAnchor xmlns:cdr="http://schemas.openxmlformats.org/drawingml/2006/chartDrawing">
    <cdr:from>
      <cdr:x>0.51925</cdr:x>
      <cdr:y>0.17625</cdr:y>
    </cdr:from>
    <cdr:to>
      <cdr:x>0.51925</cdr:x>
      <cdr:y>0.79525</cdr:y>
    </cdr:to>
    <cdr:sp macro="" textlink="">
      <cdr:nvSpPr>
        <cdr:cNvPr id="2" name="Straight Connector 1">
          <a:extLst xmlns:a="http://schemas.openxmlformats.org/drawingml/2006/main">
            <a:ext uri="{FF2B5EF4-FFF2-40B4-BE49-F238E27FC236}">
              <a16:creationId xmlns:a16="http://schemas.microsoft.com/office/drawing/2014/main" id="{A7B904D3-4317-4E5E-B8D7-D30E0F5DDB68}"/>
            </a:ext>
          </a:extLst>
        </cdr:cNvPr>
        <cdr:cNvSpPr/>
      </cdr:nvSpPr>
      <cdr:spPr>
        <a:xfrm xmlns:a="http://schemas.openxmlformats.org/drawingml/2006/main" flipV="1">
          <a:off x="1752600" y="390525"/>
          <a:ext cx="0" cy="13716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sp>
  </cdr:relSizeAnchor>
</c:userShapes>
</file>

<file path=xl/drawings/drawing5.xml><?xml version="1.0" encoding="utf-8"?>
<xdr:wsDr xmlns:xdr="http://schemas.openxmlformats.org/drawingml/2006/spreadsheetDrawing" xmlns:a="http://schemas.openxmlformats.org/drawingml/2006/main">
  <xdr:oneCellAnchor>
    <xdr:from>
      <xdr:col>1</xdr:col>
      <xdr:colOff>304800</xdr:colOff>
      <xdr:row>2</xdr:row>
      <xdr:rowOff>85725</xdr:rowOff>
    </xdr:from>
    <xdr:ext cx="2390775" cy="914400"/>
    <xdr:pic>
      <xdr:nvPicPr>
        <xdr:cNvPr id="6" name="Picture 5">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1"/>
        <a:stretch>
          <a:fillRect/>
        </a:stretch>
      </xdr:blipFill>
      <xdr:spPr bwMode="auto">
        <a:xfrm>
          <a:off x="600075" y="447675"/>
          <a:ext cx="2390775" cy="914400"/>
        </a:xfrm>
        <a:prstGeom prst="rect">
          <a:avLst/>
        </a:prstGeom>
        <a:noFill/>
        <a:ln>
          <a:noFill/>
        </a:ln>
      </xdr:spPr>
    </xdr:pic>
    <xdr:clientData/>
  </xdr:oneCellAnchor>
  <xdr:oneCellAnchor>
    <xdr:from>
      <xdr:col>8</xdr:col>
      <xdr:colOff>228600</xdr:colOff>
      <xdr:row>32</xdr:row>
      <xdr:rowOff>38100</xdr:rowOff>
    </xdr:from>
    <xdr:ext cx="342900" cy="381000"/>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11668125" y="5876925"/>
          <a:ext cx="342900" cy="381000"/>
        </a:xfrm>
        <a:prstGeom prst="rect">
          <a:avLst/>
        </a:prstGeom>
      </xdr:spPr>
    </xdr:pic>
    <xdr:clientData/>
  </xdr:one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3">
  <rv s="0">
    <v>https://www.bing.com/financeapi/forcetrigger?t=a1nx1h&amp;q=XNAS%3aATRO&amp;form=skydnc</v>
    <v>Learn more on Bing</v>
  </rv>
  <rv s="1">
    <v>en-US</v>
    <v>a1nx1h</v>
    <v>268435456</v>
    <v>1</v>
    <v>Powered by Refinitiv</v>
    <v>0</v>
    <v>ASTRONICS CORPORATION (XNAS:ATRO)</v>
    <v>2</v>
    <v>3</v>
    <v>Finance</v>
    <v>4</v>
    <v>33.24</v>
    <v>6.99</v>
    <v>1.6176999999999999</v>
    <v>0.41</v>
    <v>3.8678999999999998E-2</v>
    <v>USD</v>
    <v>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v>
    <v>2800</v>
    <v>Nasdaq Stock Market</v>
    <v>XNAS</v>
    <v>XNAS</v>
    <v>130 Commerce Way, EAST AURORA, NY, 14052-2191 US</v>
    <v>11.54</v>
    <v>Aerospace &amp; Defense</v>
    <v>Stock</v>
    <v>44054.709537037037</v>
    <v>0</v>
    <v>10.82</v>
    <v>325769000</v>
    <v>ASTRONICS CORPORATION</v>
    <v>ASTRONICS CORPORATION</v>
    <v>10.82</v>
    <v>4.8080999999999996</v>
    <v>10.6</v>
    <v>11.01</v>
    <v>30755860</v>
    <v>ATRO</v>
    <v>ASTRONICS CORPORATION (XNAS:ATRO)</v>
    <v>186278</v>
    <v>256780</v>
    <v>1968</v>
  </rv>
  <rv s="2">
    <v>1</v>
  </rv>
</rvData>
</file>

<file path=xl/richData/rdrichvaluestructure.xml><?xml version="1.0" encoding="utf-8"?>
<rvStructures xmlns="http://schemas.microsoft.com/office/spreadsheetml/2017/richdata" count="3">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rvStructures>
</file>

<file path=xl/richData/rdsupportingpropertybag.xml><?xml version="1.0" encoding="utf-8"?>
<supportingPropertyBags xmlns="http://schemas.microsoft.com/office/spreadsheetml/2017/richdata2">
  <spbArrays count="1">
    <a count="42">
      <v t="s">%EntityServiceId</v>
      <v t="s">_Format</v>
      <v t="s">%EntityCulture</v>
      <v t="s">%IsRefreshable</v>
      <v t="s">%EntityId</v>
      <v t="s">_Icon</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_Display</v>
    </a>
  </spbArrays>
  <spbData count="5">
    <spb s="0">
      <v>0</v>
    </spb>
    <spb s="1">
      <v>0</v>
      <v>0</v>
      <v>0</v>
    </spb>
    <spb s="2">
      <v>1</v>
      <v>1</v>
      <v>1</v>
    </spb>
    <spb s="3">
      <v>1</v>
      <v>2</v>
      <v>2</v>
      <v>1</v>
      <v>3</v>
      <v>1</v>
      <v>1</v>
      <v>1</v>
      <v>4</v>
      <v>4</v>
      <v>5</v>
      <v>6</v>
      <v>1</v>
      <v>1</v>
      <v>1</v>
      <v>4</v>
      <v>7</v>
      <v>8</v>
      <v>9</v>
      <v>10</v>
      <v>4</v>
    </spb>
    <spb s="4">
      <v>Real-Time Nasdaq Last Sale</v>
      <v>from previous close</v>
      <v>from previous close</v>
      <v>Source: Nasdaq Last Sale</v>
      <v>GMT</v>
    </spb>
  </spbData>
</supportingPropertyBags>
</file>

<file path=xl/richData/rdsupportingpropertybagstructure.xml><?xml version="1.0" encoding="utf-8"?>
<spbStructures xmlns="http://schemas.microsoft.com/office/spreadsheetml/2017/richdata2" count="5">
  <s>
    <k n="^Order" t="spba"/>
  </s>
  <s>
    <k n="ShowInCardView" t="b"/>
    <k n="ShowInDotNotation" t="b"/>
    <k n="ShowInAutoComplete" t="b"/>
  </s>
  <s>
    <k n="ExchangeID" t="spb"/>
    <k n="UniqueName" t="spb"/>
    <k n="%ProviderInfo" t="spb"/>
  </s>
  <s>
    <k n="Low" t="i"/>
    <k n="P/E" t="i"/>
    <k n="Beta" t="i"/>
    <k n="High" t="i"/>
    <k n="Name" t="i"/>
    <k n="Open" t="i"/>
    <k n="Price" t="i"/>
    <k n="Change" t="i"/>
    <k n="Volume" t="i"/>
    <k n="Employees" t="i"/>
    <k n="Change (%)" t="i"/>
    <k n="Market cap" t="i"/>
    <k n="52 week low" t="i"/>
    <k n="52 week high" t="i"/>
    <k n="Previous close" t="i"/>
    <k n="Volume average" t="i"/>
    <k n="_DisplayString" t="i"/>
    <k n="Last trade time" t="i"/>
    <k n="%EntityServiceId" t="i"/>
    <k n="Year incorporated" t="i"/>
    <k n="Shares outstanding" t="i"/>
  </s>
  <s>
    <k n="Price" t="s"/>
    <k n="Change" t="s"/>
    <k n="Change (%)" t="s"/>
    <k n="ExchangeID" t="s"/>
    <k n="Last trade tim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165" formatCode="_([$$-409]* #,##0.00_);_([$$-409]* \(#,##0.00\);_([$$-409]* &quot;-&quot;??_);_(@_)"/>
    </x:dxf>
    <x:dxf>
      <x:numFmt numFmtId="4" formatCode="#,##0.00"/>
    </x:dxf>
    <x:dxf>
      <x:numFmt numFmtId="3" formatCode="#,##0"/>
    </x:dxf>
    <x:dxf>
      <x:numFmt numFmtId="14" formatCode="0.00%"/>
    </x:dxf>
    <x:dxf>
      <x:numFmt numFmtId="164" formatCode="_([$$-409]* #,##0_);_([$$-409]* \(#,##0\);_([$$-409]* &quot;-&quot;_);_(@_)"/>
    </x:dxf>
    <x:dxf>
      <x:numFmt numFmtId="27" formatCode="m/d/yyyy\ h:mm"/>
    </x:dxf>
    <x:dxf>
      <x:numFmt numFmtId="2" formatCode="0.00"/>
    </x:dxf>
    <x:dxf>
      <x:numFmt numFmtId="1" formatCode="0"/>
    </x:dxf>
  </dxfs>
  <richProperties>
    <rPr n="IsTitleField" t="b"/>
    <rPr n="ShouldShowInCell" t="b"/>
  </richProperties>
  <richStyles>
    <rSty dxfid="0"/>
    <rSty dxfid="1"/>
    <rSty>
      <rpv i="0">1</rpv>
    </rSty>
    <rSty dxfid="2"/>
    <rSty dxfid="3"/>
    <rSty dxfid="4"/>
    <rSty>
      <rpv i="1">1</rpv>
    </rSty>
    <rSty dxfid="5"/>
    <rSty dxfid="6"/>
    <rSty dxfid="7"/>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upport@canalyst.com?subject=Canalyst%20Support:%20Astronics%20Corporation%20ATRO%20US&amp;body=Model%20Version:%20Q1-2019.21" TargetMode="External"/><Relationship Id="rId1" Type="http://schemas.openxmlformats.org/officeDocument/2006/relationships/hyperlink" Target="mailto:support@canalyst.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ashrivastava@325capital.com"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oliverwyman.com/our-expertise/insights/2020/mar/COVID-19-Impact-On-Commercial-Aviation-Maintenance.html"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investors.astronics.com/" TargetMode="Externa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3" Type="http://schemas.openxmlformats.org/officeDocument/2006/relationships/hyperlink" Target="http://phx.corporate-ir.net/phoenix.zhtml?c=89434&amp;p=irol-newsArticle&amp;ID=2348003" TargetMode="External"/><Relationship Id="rId18" Type="http://schemas.openxmlformats.org/officeDocument/2006/relationships/hyperlink" Target="http://phx.corporate-ir.net/phoenix.zhtml?c=89434&amp;p=irol-newsArticle&amp;ID=2361966" TargetMode="External"/><Relationship Id="rId26" Type="http://schemas.openxmlformats.org/officeDocument/2006/relationships/hyperlink" Target="https://investors.astronics.com/news-events/press-releases/detail/262/astronics-corporation-reports-2018-fourth-quarter-and-full" TargetMode="External"/><Relationship Id="rId39" Type="http://schemas.openxmlformats.org/officeDocument/2006/relationships/hyperlink" Target="https://investors.astronics.com/news-events/press-releases/detail/300/astronics-corporation-reports-2019-third-quarter-financial" TargetMode="External"/><Relationship Id="rId21" Type="http://schemas.openxmlformats.org/officeDocument/2006/relationships/hyperlink" Target="https://investors.astronics.com/news-events/press-releases/detail/249/astronics-corporation-reports-2018-third-quarter-financial" TargetMode="External"/><Relationship Id="rId34" Type="http://schemas.openxmlformats.org/officeDocument/2006/relationships/hyperlink" Target="https://investors.astronics.com/news-events/press-releases/detail/274/astronics-corporation-reports-2019-first-quarter-financial" TargetMode="External"/><Relationship Id="rId42" Type="http://schemas.openxmlformats.org/officeDocument/2006/relationships/hyperlink" Target="https://investors.astronics.com/news-events/press-releases/detail/300/astronics-corporation-reports-2019-third-quarter-financial" TargetMode="External"/><Relationship Id="rId47" Type="http://schemas.openxmlformats.org/officeDocument/2006/relationships/hyperlink" Target="https://content.equisolve.net/_bd4b3c0a4e2ddee275f9ce97c53733b2/astronics/news/2020-02-26_Astronics_Corporation_Reports_2019_Fourth_Quarter__310.pdf" TargetMode="External"/><Relationship Id="rId50" Type="http://schemas.openxmlformats.org/officeDocument/2006/relationships/hyperlink" Target="https://www.sec.gov/ix?doc=/Archives/edgar/data/8063/000000806320000013/atro-20191231.htm" TargetMode="External"/><Relationship Id="rId55" Type="http://schemas.openxmlformats.org/officeDocument/2006/relationships/hyperlink" Target="https://content.equisolve.net/_bd4b3c0a4e2ddee275f9ce97c53733b2/astronics/news/2020-02-26_Astronics_Corporation_Reports_2019_Fourth_Quarter__310.pdf" TargetMode="External"/><Relationship Id="rId7" Type="http://schemas.openxmlformats.org/officeDocument/2006/relationships/hyperlink" Target="http://investors.astronics.com/phoenix.zhtml?c=89434&amp;p=irol-newsArticle&amp;ID=2334705" TargetMode="External"/><Relationship Id="rId2" Type="http://schemas.openxmlformats.org/officeDocument/2006/relationships/hyperlink" Target="http://investors.astronics.com/phoenix.zhtml?c=89434&amp;p=irol-newsArticle&amp;ID=2314843" TargetMode="External"/><Relationship Id="rId16" Type="http://schemas.openxmlformats.org/officeDocument/2006/relationships/hyperlink" Target="http://phx.corporate-ir.net/phoenix.zhtml?c=89434&amp;p=irol-newsArticle&amp;ID=2348003" TargetMode="External"/><Relationship Id="rId20" Type="http://schemas.openxmlformats.org/officeDocument/2006/relationships/hyperlink" Target="https://investors.astronics.com/news-events/press-releases/detail/249/astronics-corporation-reports-2018-third-quarter-financial" TargetMode="External"/><Relationship Id="rId29" Type="http://schemas.openxmlformats.org/officeDocument/2006/relationships/hyperlink" Target="https://investors.astronics.com/news-events/press-releases/detail/262/astronics-corporation-reports-2018-fourth-quarter-and-full" TargetMode="External"/><Relationship Id="rId41" Type="http://schemas.openxmlformats.org/officeDocument/2006/relationships/hyperlink" Target="https://investors.astronics.com/news-events/press-releases/detail/300/astronics-corporation-reports-2019-third-quarter-financial" TargetMode="External"/><Relationship Id="rId54" Type="http://schemas.openxmlformats.org/officeDocument/2006/relationships/hyperlink" Target="https://content.equisolve.net/_bd4b3c0a4e2ddee275f9ce97c53733b2/astronics/news/2020-02-26_Astronics_Corporation_Reports_2019_Fourth_Quarter__310.pdf" TargetMode="External"/><Relationship Id="rId1" Type="http://schemas.openxmlformats.org/officeDocument/2006/relationships/hyperlink" Target="https://www.sec.gov/Archives/edgar/data/8063/000000806317000042/atro-2017930x10q.htm" TargetMode="External"/><Relationship Id="rId6" Type="http://schemas.openxmlformats.org/officeDocument/2006/relationships/hyperlink" Target="http://investors.astronics.com/phoenix.zhtml?c=89434&amp;p=irol-newsArticle&amp;ID=2334705" TargetMode="External"/><Relationship Id="rId11" Type="http://schemas.openxmlformats.org/officeDocument/2006/relationships/hyperlink" Target="http://investors.astronics.com/phoenix.zhtml?c=89434&amp;p=irol-newsArticle&amp;ID=2314843" TargetMode="External"/><Relationship Id="rId24" Type="http://schemas.openxmlformats.org/officeDocument/2006/relationships/hyperlink" Target="https://investors.astronics.com/news-events/press-releases/detail/262/astronics-corporation-reports-2018-fourth-quarter-and-full" TargetMode="External"/><Relationship Id="rId32" Type="http://schemas.openxmlformats.org/officeDocument/2006/relationships/hyperlink" Target="https://investors.astronics.com/news-events/press-releases/detail/274/astronics-corporation-reports-2019-first-quarter-financial" TargetMode="External"/><Relationship Id="rId37" Type="http://schemas.openxmlformats.org/officeDocument/2006/relationships/hyperlink" Target="https://investors.astronics.com/news-events/press-releases/detail/284/astronics-corporation-reports-2019-second-quarter-financial" TargetMode="External"/><Relationship Id="rId40" Type="http://schemas.openxmlformats.org/officeDocument/2006/relationships/hyperlink" Target="https://investors.astronics.com/news-events/press-releases/detail/300/astronics-corporation-reports-2019-third-quarter-financial" TargetMode="External"/><Relationship Id="rId45" Type="http://schemas.openxmlformats.org/officeDocument/2006/relationships/hyperlink" Target="https://content.equisolve.net/_bd4b3c0a4e2ddee275f9ce97c53733b2/astronics/news/2020-02-26_Astronics_Corporation_Reports_2019_Fourth_Quarter__310.pdf" TargetMode="External"/><Relationship Id="rId53" Type="http://schemas.openxmlformats.org/officeDocument/2006/relationships/hyperlink" Target="https://content.equisolve.net/_bd4b3c0a4e2ddee275f9ce97c53733b2/astronics/news/2020-02-26_Astronics_Corporation_Reports_2019_Fourth_Quarter__310.pdf" TargetMode="External"/><Relationship Id="rId58" Type="http://schemas.openxmlformats.org/officeDocument/2006/relationships/hyperlink" Target="https://d1io3yog0oux5.cloudfront.net/_33c163dd5ba1048ddfb238a1b6bad70e/astronics/news/2020-07-31_Astronics_Corporation_Reports_2020_Second_Quarter__319.pdf" TargetMode="External"/><Relationship Id="rId5" Type="http://schemas.openxmlformats.org/officeDocument/2006/relationships/hyperlink" Target="http://investors.astronics.com/phoenix.zhtml?c=89434&amp;p=irol-newsArticle&amp;ID=2334705" TargetMode="External"/><Relationship Id="rId15" Type="http://schemas.openxmlformats.org/officeDocument/2006/relationships/hyperlink" Target="http://phx.corporate-ir.net/phoenix.zhtml?c=89434&amp;p=irol-newsArticle&amp;ID=2348003" TargetMode="External"/><Relationship Id="rId23" Type="http://schemas.openxmlformats.org/officeDocument/2006/relationships/hyperlink" Target="https://investors.astronics.com/news-events/press-releases/detail/262/astronics-corporation-reports-2018-fourth-quarter-and-full" TargetMode="External"/><Relationship Id="rId28" Type="http://schemas.openxmlformats.org/officeDocument/2006/relationships/hyperlink" Target="https://investors.astronics.com/news-events/press-releases/detail/262/astronics-corporation-reports-2018-fourth-quarter-and-full" TargetMode="External"/><Relationship Id="rId36" Type="http://schemas.openxmlformats.org/officeDocument/2006/relationships/hyperlink" Target="https://investors.astronics.com/news-events/press-releases/detail/284/astronics-corporation-reports-2019-second-quarter-financial" TargetMode="External"/><Relationship Id="rId49" Type="http://schemas.openxmlformats.org/officeDocument/2006/relationships/hyperlink" Target="https://content.equisolve.net/_bd4b3c0a4e2ddee275f9ce97c53733b2/astronics/news/2020-02-26_Astronics_Corporation_Reports_2019_Fourth_Quarter__310.pdf" TargetMode="External"/><Relationship Id="rId57" Type="http://schemas.openxmlformats.org/officeDocument/2006/relationships/hyperlink" Target="https://d1io3yog0oux5.cloudfront.net/_33c163dd5ba1048ddfb238a1b6bad70e/astronics/news/2020-07-31_Astronics_Corporation_Reports_2020_Second_Quarter__319.pdf" TargetMode="External"/><Relationship Id="rId61" Type="http://schemas.openxmlformats.org/officeDocument/2006/relationships/comments" Target="../comments6.xml"/><Relationship Id="rId10" Type="http://schemas.openxmlformats.org/officeDocument/2006/relationships/hyperlink" Target="http://investors.astronics.com/phoenix.zhtml?c=89434&amp;p=irol-newsArticle&amp;ID=2314843" TargetMode="External"/><Relationship Id="rId19" Type="http://schemas.openxmlformats.org/officeDocument/2006/relationships/hyperlink" Target="https://investors.astronics.com/news-events/press-releases/detail/249/astronics-corporation-reports-2018-third-quarter-financial" TargetMode="External"/><Relationship Id="rId31" Type="http://schemas.openxmlformats.org/officeDocument/2006/relationships/hyperlink" Target="https://investors.astronics.com/news-events/press-releases/detail/274/astronics-corporation-reports-2019-first-quarter-financial" TargetMode="External"/><Relationship Id="rId44" Type="http://schemas.openxmlformats.org/officeDocument/2006/relationships/hyperlink" Target="https://content.equisolve.net/_bd4b3c0a4e2ddee275f9ce97c53733b2/astronics/news/2020-02-26_Astronics_Corporation_Reports_2019_Fourth_Quarter__310.pdf" TargetMode="External"/><Relationship Id="rId52" Type="http://schemas.openxmlformats.org/officeDocument/2006/relationships/hyperlink" Target="https://investors.astronics.com/news-events/press-releases/detail/315/astronics-corporation-reports-2020-first-quarter-financial" TargetMode="External"/><Relationship Id="rId60" Type="http://schemas.openxmlformats.org/officeDocument/2006/relationships/vmlDrawing" Target="../drawings/vmlDrawing6.vml"/><Relationship Id="rId4" Type="http://schemas.openxmlformats.org/officeDocument/2006/relationships/hyperlink" Target="http://investors.astronics.com/phoenix.zhtml?c=89434&amp;p=irol-newsArticle&amp;ID=2334705" TargetMode="External"/><Relationship Id="rId9" Type="http://schemas.openxmlformats.org/officeDocument/2006/relationships/hyperlink" Target="http://investors.astronics.com/phoenix.zhtml?c=89434&amp;p=irol-newsArticle&amp;ID=2334705" TargetMode="External"/><Relationship Id="rId14" Type="http://schemas.openxmlformats.org/officeDocument/2006/relationships/hyperlink" Target="http://phx.corporate-ir.net/phoenix.zhtml?c=89434&amp;p=irol-newsArticle&amp;ID=2348003" TargetMode="External"/><Relationship Id="rId22" Type="http://schemas.openxmlformats.org/officeDocument/2006/relationships/hyperlink" Target="https://investors.astronics.com/news-events/press-releases/detail/249/astronics-corporation-reports-2018-third-quarter-financial" TargetMode="External"/><Relationship Id="rId27" Type="http://schemas.openxmlformats.org/officeDocument/2006/relationships/hyperlink" Target="https://investors.astronics.com/news-events/press-releases/detail/262/astronics-corporation-reports-2018-fourth-quarter-and-full" TargetMode="External"/><Relationship Id="rId30" Type="http://schemas.openxmlformats.org/officeDocument/2006/relationships/hyperlink" Target="https://investors.astronics.com/news-events/press-releases/detail/274/astronics-corporation-reports-2019-first-quarter-financial" TargetMode="External"/><Relationship Id="rId35" Type="http://schemas.openxmlformats.org/officeDocument/2006/relationships/hyperlink" Target="https://investors.astronics.com/news-events/press-releases/detail/274/astronics-corporation-reports-2019-first-quarter-financial" TargetMode="External"/><Relationship Id="rId43" Type="http://schemas.openxmlformats.org/officeDocument/2006/relationships/hyperlink" Target="https://content.equisolve.net/_bd4b3c0a4e2ddee275f9ce97c53733b2/astronics/news/2020-02-26_Astronics_Corporation_Reports_2019_Fourth_Quarter__310.pdf" TargetMode="External"/><Relationship Id="rId48" Type="http://schemas.openxmlformats.org/officeDocument/2006/relationships/hyperlink" Target="https://content.equisolve.net/_bd4b3c0a4e2ddee275f9ce97c53733b2/astronics/news/2020-02-26_Astronics_Corporation_Reports_2019_Fourth_Quarter__310.pdf" TargetMode="External"/><Relationship Id="rId56" Type="http://schemas.openxmlformats.org/officeDocument/2006/relationships/hyperlink" Target="https://d1io3yog0oux5.cloudfront.net/_33c163dd5ba1048ddfb238a1b6bad70e/astronics/news/2020-07-31_Astronics_Corporation_Reports_2020_Second_Quarter__319.pdf" TargetMode="External"/><Relationship Id="rId8" Type="http://schemas.openxmlformats.org/officeDocument/2006/relationships/hyperlink" Target="http://investors.astronics.com/phoenix.zhtml?c=89434&amp;p=irol-newsArticle&amp;ID=2334705" TargetMode="External"/><Relationship Id="rId51" Type="http://schemas.openxmlformats.org/officeDocument/2006/relationships/hyperlink" Target="https://www.sec.gov/ix?doc=/Archives/edgar/data/8063/000000806320000013/atro-20191231.htm" TargetMode="External"/><Relationship Id="rId3" Type="http://schemas.openxmlformats.org/officeDocument/2006/relationships/hyperlink" Target="http://investors.astronics.com/phoenix.zhtml?c=89434&amp;p=irol-newsArticle&amp;ID=2334705" TargetMode="External"/><Relationship Id="rId12" Type="http://schemas.openxmlformats.org/officeDocument/2006/relationships/hyperlink" Target="http://investors.astronics.com/phoenix.zhtml?c=89434&amp;p=irol-newsArticle&amp;ID=2314843" TargetMode="External"/><Relationship Id="rId17" Type="http://schemas.openxmlformats.org/officeDocument/2006/relationships/hyperlink" Target="http://phx.corporate-ir.net/phoenix.zhtml?c=89434&amp;p=irol-newsArticle&amp;ID=2361966" TargetMode="External"/><Relationship Id="rId25" Type="http://schemas.openxmlformats.org/officeDocument/2006/relationships/hyperlink" Target="https://investors.astronics.com/news-events/press-releases/detail/262/astronics-corporation-reports-2018-fourth-quarter-and-full" TargetMode="External"/><Relationship Id="rId33" Type="http://schemas.openxmlformats.org/officeDocument/2006/relationships/hyperlink" Target="https://investors.astronics.com/news-events/press-releases/detail/274/astronics-corporation-reports-2019-first-quarter-financial" TargetMode="External"/><Relationship Id="rId38" Type="http://schemas.openxmlformats.org/officeDocument/2006/relationships/hyperlink" Target="https://investors.astronics.com/news-events/press-releases/detail/300/astronics-corporation-reports-2019-third-quarter-financial" TargetMode="External"/><Relationship Id="rId46" Type="http://schemas.openxmlformats.org/officeDocument/2006/relationships/hyperlink" Target="https://investors.astronics.com/news-events/press-releases/detail/300/astronics-corporation-reports-2019-third-quarter-financial" TargetMode="External"/><Relationship Id="rId59"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phx.corporate-ir.net/phoenix.zhtml?c=89434&amp;p=irol-newsArticle&amp;ID=2361966" TargetMode="External"/><Relationship Id="rId13" Type="http://schemas.openxmlformats.org/officeDocument/2006/relationships/hyperlink" Target="https://investors.astronics.com/news-events/press-releases/detail/300/astronics-corporation-reports-2019-third-quarter-financial" TargetMode="External"/><Relationship Id="rId18" Type="http://schemas.openxmlformats.org/officeDocument/2006/relationships/hyperlink" Target="https://d1io3yog0oux5.cloudfront.net/_33c163dd5ba1048ddfb238a1b6bad70e/astronics/news/2020-07-31_Astronics_Corporation_Reports_2020_Second_Quarter__319.pdf" TargetMode="External"/><Relationship Id="rId3" Type="http://schemas.openxmlformats.org/officeDocument/2006/relationships/hyperlink" Target="http://phx.corporate-ir.net/phoenix.zhtml?c=89434&amp;p=irol-irhome" TargetMode="External"/><Relationship Id="rId21" Type="http://schemas.openxmlformats.org/officeDocument/2006/relationships/drawing" Target="../drawings/drawing5.xml"/><Relationship Id="rId7" Type="http://schemas.openxmlformats.org/officeDocument/2006/relationships/hyperlink" Target="http://phx.corporate-ir.net/phoenix.zhtml?c=89434&amp;p=irol-newsArticle&amp;ID=2348003" TargetMode="External"/><Relationship Id="rId12" Type="http://schemas.openxmlformats.org/officeDocument/2006/relationships/hyperlink" Target="https://investors.astronics.com/news-events/press-releases/detail/284/astronics-corporation-reports-2019-second-quarter-financial" TargetMode="External"/><Relationship Id="rId17" Type="http://schemas.openxmlformats.org/officeDocument/2006/relationships/hyperlink" Target="https://investors.astronics.com/news-events/press-releases/detail/315/astronics-corporation-reports-2020-first-quarter-financial" TargetMode="External"/><Relationship Id="rId2" Type="http://schemas.openxmlformats.org/officeDocument/2006/relationships/hyperlink" Target="http://phx.corporate-ir.net/phoenix.zhtml?c=89434&amp;p=irol-newsArticle&amp;ID=2247050" TargetMode="External"/><Relationship Id="rId16" Type="http://schemas.openxmlformats.org/officeDocument/2006/relationships/hyperlink" Target="https://investors.astronics.com/news-events/press-releases/detail/315/astronics-corporation-reports-2020-first-quarter-financial" TargetMode="External"/><Relationship Id="rId20" Type="http://schemas.openxmlformats.org/officeDocument/2006/relationships/printerSettings" Target="../printerSettings/printerSettings7.bin"/><Relationship Id="rId1" Type="http://schemas.openxmlformats.org/officeDocument/2006/relationships/hyperlink" Target="http://phx.corporate-ir.net/phoenix.zhtml?c=89434&amp;p=irol-newsArticle&amp;ID=2220473" TargetMode="External"/><Relationship Id="rId6" Type="http://schemas.openxmlformats.org/officeDocument/2006/relationships/hyperlink" Target="http://phx.corporate-ir.net/phoenix.zhtml?c=89434&amp;p=irol-newsArticle&amp;ID=2334705" TargetMode="External"/><Relationship Id="rId11" Type="http://schemas.openxmlformats.org/officeDocument/2006/relationships/hyperlink" Target="https://investors.astronics.com/news-events/press-releases/detail/274/astronics-corporation-reports-2019-first-quarter-financial" TargetMode="External"/><Relationship Id="rId5" Type="http://schemas.openxmlformats.org/officeDocument/2006/relationships/hyperlink" Target="http://phx.corporate-ir.net/phoenix.zhtml?c=89434&amp;p=irol-newsArticle&amp;ID=2314843" TargetMode="External"/><Relationship Id="rId15" Type="http://schemas.openxmlformats.org/officeDocument/2006/relationships/hyperlink" Target="https://content.equisolve.net/_bd4b3c0a4e2ddee275f9ce97c53733b2/astronics/news/2020-02-26_Astronics_Corporation_Reports_2019_Fourth_Quarter__310.pdf" TargetMode="External"/><Relationship Id="rId10" Type="http://schemas.openxmlformats.org/officeDocument/2006/relationships/hyperlink" Target="https://investors.astronics.com/news-events/press-releases/detail/262/astronics-corporation-reports-2018-fourth-quarter-and-full" TargetMode="External"/><Relationship Id="rId19" Type="http://schemas.openxmlformats.org/officeDocument/2006/relationships/hyperlink" Target="https://d1io3yog0oux5.cloudfront.net/_33c163dd5ba1048ddfb238a1b6bad70e/astronics/news/2020-07-31_Astronics_Corporation_Reports_2020_Second_Quarter__319.pdf" TargetMode="External"/><Relationship Id="rId4" Type="http://schemas.openxmlformats.org/officeDocument/2006/relationships/hyperlink" Target="http://phx.corporate-ir.net/phoenix.zhtml?c=89434&amp;p=irol-newsArticle&amp;ID=2290913" TargetMode="External"/><Relationship Id="rId9" Type="http://schemas.openxmlformats.org/officeDocument/2006/relationships/hyperlink" Target="https://investors.astronics.com/news-events/press-releases/detail/249/astronics-corporation-reports-2018-third-quarter-financial" TargetMode="External"/><Relationship Id="rId14" Type="http://schemas.openxmlformats.org/officeDocument/2006/relationships/hyperlink" Target="https://content.equisolve.net/_bd4b3c0a4e2ddee275f9ce97c53733b2/astronics/news/2020-02-26_Astronics_Corporation_Reports_2019_Fourth_Quarter__31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A08BB-165F-4182-838B-BB90ADB9D322}">
  <sheetPr codeName="Sheet5">
    <pageSetUpPr fitToPage="1"/>
  </sheetPr>
  <dimension ref="B2:W50"/>
  <sheetViews>
    <sheetView showGridLines="0" zoomScaleSheetLayoutView="100" zoomScalePageLayoutView="97" workbookViewId="0"/>
  </sheetViews>
  <sheetFormatPr defaultColWidth="8.85546875" defaultRowHeight="15"/>
  <cols>
    <col min="1" max="1" width="5.7109375" style="5" customWidth="1"/>
    <col min="2" max="2" width="7.85546875" style="5" customWidth="1"/>
    <col min="3" max="3" width="10.28515625" style="5" customWidth="1"/>
    <col min="4" max="4" width="13.7109375" style="5" customWidth="1"/>
    <col min="5" max="5" width="5.42578125" style="5" customWidth="1"/>
    <col min="6" max="6" width="13.7109375" style="5" customWidth="1"/>
    <col min="7" max="7" width="6.85546875" style="5" customWidth="1"/>
    <col min="8" max="8" width="31.7109375" style="5" customWidth="1"/>
    <col min="9" max="15" width="8.85546875" style="5"/>
    <col min="16" max="16" width="45.7109375" style="5" customWidth="1"/>
    <col min="17" max="16384" width="8.85546875" style="5"/>
  </cols>
  <sheetData>
    <row r="2" spans="2:17">
      <c r="B2" s="7"/>
      <c r="C2" s="7"/>
      <c r="D2" s="7"/>
      <c r="E2" s="7"/>
      <c r="F2" s="7"/>
      <c r="G2" s="7"/>
      <c r="H2" s="7"/>
      <c r="I2" s="7"/>
      <c r="J2" s="7"/>
      <c r="K2" s="7"/>
      <c r="L2" s="7"/>
      <c r="M2" s="7"/>
      <c r="N2" s="7"/>
      <c r="O2" s="7"/>
      <c r="P2" s="7"/>
      <c r="Q2" s="7"/>
    </row>
    <row r="3" spans="2:17">
      <c r="B3" s="7"/>
      <c r="C3" s="7"/>
      <c r="D3" s="7"/>
      <c r="E3" s="7"/>
      <c r="F3" s="7"/>
      <c r="G3" s="7"/>
      <c r="H3" s="7"/>
      <c r="I3" s="7"/>
      <c r="J3" s="7"/>
      <c r="K3" s="7"/>
      <c r="L3" s="7"/>
      <c r="M3" s="7"/>
      <c r="N3" s="7"/>
      <c r="O3" s="7"/>
      <c r="P3" s="7"/>
      <c r="Q3" s="7"/>
    </row>
    <row r="4" spans="2:17">
      <c r="B4" s="7"/>
      <c r="C4" s="7"/>
      <c r="D4" s="7"/>
      <c r="E4" s="7"/>
      <c r="F4" s="7"/>
      <c r="G4" s="7"/>
      <c r="H4" s="7"/>
      <c r="I4" s="7"/>
      <c r="J4" s="7"/>
      <c r="K4" s="7"/>
      <c r="L4" s="7"/>
      <c r="M4" s="7"/>
      <c r="N4" s="7"/>
      <c r="O4" s="7"/>
      <c r="P4" s="7"/>
      <c r="Q4" s="7"/>
    </row>
    <row r="5" spans="2:17">
      <c r="B5" s="7"/>
      <c r="C5" s="7"/>
      <c r="D5" s="7"/>
      <c r="E5" s="7"/>
      <c r="F5" s="7"/>
      <c r="G5" s="7"/>
      <c r="H5" s="7"/>
      <c r="I5" s="7"/>
      <c r="J5" s="7"/>
      <c r="K5" s="7"/>
      <c r="L5" s="7"/>
      <c r="M5" s="7"/>
      <c r="N5" s="7"/>
      <c r="O5" s="7"/>
      <c r="P5" s="7"/>
      <c r="Q5" s="7"/>
    </row>
    <row r="6" spans="2:17" ht="18.75">
      <c r="B6" s="7"/>
      <c r="C6" s="7"/>
      <c r="D6" s="7"/>
      <c r="E6" s="7"/>
      <c r="F6" s="7"/>
      <c r="G6" s="7"/>
      <c r="H6" s="7"/>
      <c r="I6" s="7"/>
      <c r="J6" s="7"/>
      <c r="K6" s="7"/>
      <c r="L6" s="7"/>
      <c r="M6" s="21" t="s">
        <v>77</v>
      </c>
      <c r="N6" s="7"/>
      <c r="O6" s="7"/>
      <c r="P6" s="7"/>
      <c r="Q6" s="7"/>
    </row>
    <row r="7" spans="2:17" ht="18.75">
      <c r="B7" s="7"/>
      <c r="C7" s="7"/>
      <c r="D7" s="7"/>
      <c r="E7" s="7"/>
      <c r="F7" s="7"/>
      <c r="G7" s="7"/>
      <c r="H7" s="7"/>
      <c r="I7" s="7"/>
      <c r="J7" s="7"/>
      <c r="K7" s="7"/>
      <c r="L7" s="7"/>
      <c r="M7" s="1025" t="s">
        <v>43</v>
      </c>
      <c r="N7" s="1025"/>
      <c r="O7" s="1025"/>
      <c r="P7" s="7"/>
      <c r="Q7" s="7"/>
    </row>
    <row r="8" spans="2:17" ht="28.5">
      <c r="B8" s="7"/>
      <c r="C8" s="7"/>
      <c r="D8" s="7"/>
      <c r="E8" s="7"/>
      <c r="F8" s="1014"/>
      <c r="G8" s="1014"/>
      <c r="H8" s="1014"/>
      <c r="I8" s="1014"/>
      <c r="J8" s="1014"/>
      <c r="K8" s="1014"/>
      <c r="L8" s="7"/>
      <c r="M8" s="7"/>
      <c r="N8" s="7"/>
      <c r="O8" s="7"/>
      <c r="P8" s="7"/>
      <c r="Q8" s="7"/>
    </row>
    <row r="9" spans="2:17" ht="18.75">
      <c r="B9" s="7"/>
      <c r="C9" s="14" t="s">
        <v>44</v>
      </c>
      <c r="D9" s="13"/>
      <c r="E9" s="13"/>
      <c r="F9" s="13"/>
      <c r="G9" s="13"/>
      <c r="H9" s="33" t="str">
        <f>Model!A1</f>
        <v>Astronics Corporation</v>
      </c>
      <c r="I9" s="13"/>
      <c r="J9" s="13"/>
      <c r="K9" s="13"/>
      <c r="L9" s="13"/>
      <c r="M9" s="14" t="s">
        <v>76</v>
      </c>
      <c r="N9" s="13"/>
      <c r="O9" s="13"/>
      <c r="P9" s="1024" t="s">
        <v>500</v>
      </c>
      <c r="Q9" s="7"/>
    </row>
    <row r="10" spans="2:17" ht="18.75">
      <c r="B10" s="7"/>
      <c r="C10" s="11"/>
      <c r="D10" s="7"/>
      <c r="E10" s="7"/>
      <c r="F10" s="7"/>
      <c r="G10" s="7"/>
      <c r="H10" s="7"/>
      <c r="I10" s="7"/>
      <c r="J10" s="7"/>
      <c r="K10" s="7"/>
      <c r="L10" s="7"/>
      <c r="M10" s="7"/>
      <c r="N10" s="7"/>
      <c r="O10" s="7"/>
      <c r="P10" s="1024"/>
      <c r="Q10" s="7"/>
    </row>
    <row r="11" spans="2:17" ht="18.75">
      <c r="B11" s="7"/>
      <c r="C11" s="14" t="s">
        <v>75</v>
      </c>
      <c r="D11" s="7"/>
      <c r="E11" s="7"/>
      <c r="F11" s="7"/>
      <c r="G11" s="7"/>
      <c r="H11" s="15">
        <f ca="1">OFFSET('Update Log'!$C$10,1,0,1,1)</f>
        <v>44047</v>
      </c>
      <c r="I11" s="7"/>
      <c r="J11" s="7"/>
      <c r="K11" s="7"/>
      <c r="L11" s="7"/>
      <c r="M11" s="7"/>
      <c r="N11" s="7"/>
      <c r="O11" s="7"/>
      <c r="P11" s="1024"/>
      <c r="Q11" s="7"/>
    </row>
    <row r="12" spans="2:17" ht="18.75">
      <c r="B12" s="7"/>
      <c r="C12" s="7"/>
      <c r="D12" s="7"/>
      <c r="E12" s="7"/>
      <c r="F12" s="7"/>
      <c r="G12" s="7"/>
      <c r="H12" s="16"/>
      <c r="I12" s="7"/>
      <c r="J12" s="7"/>
      <c r="K12" s="7"/>
      <c r="L12" s="7"/>
      <c r="M12" s="7"/>
      <c r="N12" s="7"/>
      <c r="O12" s="7"/>
      <c r="P12" s="1024"/>
      <c r="Q12" s="7"/>
    </row>
    <row r="13" spans="2:17" ht="18.75">
      <c r="B13" s="7"/>
      <c r="C13" s="14" t="s">
        <v>74</v>
      </c>
      <c r="D13" s="7"/>
      <c r="E13" s="7"/>
      <c r="F13" s="7"/>
      <c r="G13" s="7"/>
      <c r="H13" s="34" t="str">
        <f ca="1">OFFSET('Update Log'!$E$10,1,0,1,1)</f>
        <v>Quarterly (Earnings Report)</v>
      </c>
      <c r="I13" s="7"/>
      <c r="J13" s="7"/>
      <c r="K13" s="7"/>
      <c r="L13" s="7"/>
      <c r="M13" s="7"/>
      <c r="N13" s="7"/>
      <c r="O13" s="7"/>
      <c r="P13" s="1024"/>
      <c r="Q13" s="7"/>
    </row>
    <row r="14" spans="2:17">
      <c r="B14" s="7"/>
      <c r="C14" s="7"/>
      <c r="D14" s="7"/>
      <c r="E14" s="7"/>
      <c r="F14" s="7"/>
      <c r="G14" s="7"/>
      <c r="H14" s="7"/>
      <c r="I14" s="7"/>
      <c r="J14" s="7"/>
      <c r="K14" s="7"/>
      <c r="L14" s="7"/>
      <c r="M14" s="7"/>
      <c r="N14" s="7"/>
      <c r="O14" s="7"/>
      <c r="P14" s="1024"/>
      <c r="Q14" s="7"/>
    </row>
    <row r="15" spans="2:17" ht="18.75" customHeight="1">
      <c r="B15" s="7"/>
      <c r="C15" s="14" t="s">
        <v>353</v>
      </c>
      <c r="D15" s="13"/>
      <c r="E15" s="13"/>
      <c r="F15" s="13"/>
      <c r="G15" s="13"/>
      <c r="H15" s="12" t="s">
        <v>273</v>
      </c>
      <c r="I15" s="7"/>
      <c r="J15" s="9"/>
      <c r="K15" s="7"/>
      <c r="L15" s="7"/>
      <c r="M15" s="8"/>
      <c r="N15" s="7"/>
      <c r="O15" s="7"/>
      <c r="P15" s="1024"/>
      <c r="Q15" s="7"/>
    </row>
    <row r="16" spans="2:17" ht="15" customHeight="1">
      <c r="B16" s="7"/>
      <c r="C16" s="35"/>
      <c r="D16" s="8"/>
      <c r="E16" s="8"/>
      <c r="F16" s="8"/>
      <c r="G16" s="8"/>
      <c r="H16" s="78">
        <f>IF(FP.DataSourceName="Bloomberg",1,IF(FP.DataSourceName="Capital IQ",2,IF(FP.DataSourceName="FactSet",3,IF(FP.DataSourceName="Thomson",4))))</f>
        <v>1</v>
      </c>
      <c r="I16" s="10"/>
      <c r="J16" s="9"/>
      <c r="K16" s="7"/>
      <c r="L16" s="7"/>
      <c r="M16" s="8"/>
      <c r="N16" s="7"/>
      <c r="O16" s="7"/>
      <c r="P16" s="1024"/>
      <c r="Q16" s="7"/>
    </row>
    <row r="17" spans="2:23" s="76" customFormat="1" ht="18.75">
      <c r="B17" s="8"/>
      <c r="C17" s="11"/>
      <c r="D17" s="8"/>
      <c r="E17" s="8"/>
      <c r="F17" s="8"/>
      <c r="G17" s="8"/>
      <c r="H17" s="8"/>
      <c r="I17" s="10"/>
      <c r="J17" s="9"/>
      <c r="K17" s="7"/>
      <c r="L17" s="7"/>
      <c r="M17" s="7"/>
      <c r="N17" s="8"/>
      <c r="O17" s="8"/>
      <c r="P17" s="75"/>
      <c r="Q17" s="8"/>
      <c r="W17" s="5"/>
    </row>
    <row r="18" spans="2:23" s="76" customFormat="1" ht="18.75" customHeight="1">
      <c r="B18" s="8"/>
      <c r="C18" s="14" t="s">
        <v>354</v>
      </c>
      <c r="D18" s="13"/>
      <c r="E18" s="13"/>
      <c r="F18" s="13"/>
      <c r="G18" s="13"/>
      <c r="H18" s="12" t="s">
        <v>422</v>
      </c>
      <c r="I18" s="36"/>
      <c r="J18" s="36"/>
      <c r="K18" s="7"/>
      <c r="L18" s="7"/>
      <c r="M18" s="7"/>
      <c r="N18" s="8"/>
      <c r="O18" s="8"/>
      <c r="P18" s="75"/>
      <c r="Q18" s="8"/>
      <c r="W18" s="5"/>
    </row>
    <row r="19" spans="2:23" s="76" customFormat="1">
      <c r="B19" s="8"/>
      <c r="C19" s="35"/>
      <c r="D19" s="8"/>
      <c r="E19" s="8"/>
      <c r="F19" s="8"/>
      <c r="G19" s="8"/>
      <c r="H19" s="8"/>
      <c r="I19" s="10"/>
      <c r="J19" s="9"/>
      <c r="K19" s="7"/>
      <c r="L19" s="7"/>
      <c r="M19" s="7"/>
      <c r="N19" s="8"/>
      <c r="O19" s="8"/>
      <c r="P19" s="75"/>
      <c r="Q19" s="8"/>
      <c r="W19" s="5"/>
    </row>
    <row r="20" spans="2:23" s="76" customFormat="1" ht="18.75" customHeight="1">
      <c r="B20" s="8"/>
      <c r="C20" s="37" t="s">
        <v>355</v>
      </c>
      <c r="D20" s="8"/>
      <c r="E20" s="8"/>
      <c r="F20" s="131">
        <v>44049</v>
      </c>
      <c r="G20" s="8"/>
      <c r="H20" s="303">
        <v>10.119999999999999</v>
      </c>
      <c r="I20" s="10"/>
      <c r="J20" s="9"/>
      <c r="K20" s="7"/>
      <c r="L20" s="7"/>
      <c r="M20" s="7"/>
      <c r="N20" s="8"/>
      <c r="O20" s="8"/>
      <c r="P20" s="75"/>
      <c r="Q20" s="8"/>
      <c r="W20" s="5"/>
    </row>
    <row r="21" spans="2:23" s="76" customFormat="1">
      <c r="B21" s="8"/>
      <c r="C21" s="8"/>
      <c r="D21" s="7"/>
      <c r="E21" s="7"/>
      <c r="F21" s="7"/>
      <c r="G21" s="7"/>
      <c r="H21" s="7"/>
      <c r="I21" s="7"/>
      <c r="J21" s="7"/>
      <c r="K21" s="7"/>
      <c r="L21" s="7"/>
      <c r="M21" s="7"/>
      <c r="N21" s="8"/>
      <c r="O21" s="8"/>
      <c r="P21" s="8"/>
      <c r="Q21" s="8"/>
    </row>
    <row r="22" spans="2:23" ht="15.95" customHeight="1">
      <c r="B22" s="7"/>
      <c r="C22" s="1015" t="s">
        <v>332</v>
      </c>
      <c r="D22" s="1016"/>
      <c r="E22" s="1016"/>
      <c r="F22" s="1016"/>
      <c r="G22" s="1016"/>
      <c r="H22" s="1016"/>
      <c r="I22" s="1016"/>
      <c r="J22" s="1016"/>
      <c r="K22" s="1016"/>
      <c r="L22" s="1016"/>
      <c r="M22" s="1016"/>
      <c r="N22" s="1016"/>
      <c r="O22" s="1016"/>
      <c r="P22" s="1017"/>
      <c r="Q22" s="7"/>
    </row>
    <row r="23" spans="2:23" ht="15.95" customHeight="1">
      <c r="B23" s="7"/>
      <c r="C23" s="1018"/>
      <c r="D23" s="1019"/>
      <c r="E23" s="1019"/>
      <c r="F23" s="1019"/>
      <c r="G23" s="1019"/>
      <c r="H23" s="1019"/>
      <c r="I23" s="1019"/>
      <c r="J23" s="1019"/>
      <c r="K23" s="1019"/>
      <c r="L23" s="1019"/>
      <c r="M23" s="1019"/>
      <c r="N23" s="1019"/>
      <c r="O23" s="1019"/>
      <c r="P23" s="1020"/>
      <c r="Q23" s="7"/>
    </row>
    <row r="24" spans="2:23" ht="15.95" customHeight="1">
      <c r="B24" s="7"/>
      <c r="C24" s="1018"/>
      <c r="D24" s="1019"/>
      <c r="E24" s="1019"/>
      <c r="F24" s="1019"/>
      <c r="G24" s="1019"/>
      <c r="H24" s="1019"/>
      <c r="I24" s="1019"/>
      <c r="J24" s="1019"/>
      <c r="K24" s="1019"/>
      <c r="L24" s="1019"/>
      <c r="M24" s="1019"/>
      <c r="N24" s="1019"/>
      <c r="O24" s="1019"/>
      <c r="P24" s="1020"/>
      <c r="Q24" s="7"/>
    </row>
    <row r="25" spans="2:23" ht="15.95" customHeight="1">
      <c r="B25" s="7"/>
      <c r="C25" s="1018"/>
      <c r="D25" s="1019"/>
      <c r="E25" s="1019"/>
      <c r="F25" s="1019"/>
      <c r="G25" s="1019"/>
      <c r="H25" s="1019"/>
      <c r="I25" s="1019"/>
      <c r="J25" s="1019"/>
      <c r="K25" s="1019"/>
      <c r="L25" s="1019"/>
      <c r="M25" s="1019"/>
      <c r="N25" s="1019"/>
      <c r="O25" s="1019"/>
      <c r="P25" s="1020"/>
      <c r="Q25" s="7"/>
    </row>
    <row r="26" spans="2:23" ht="15.95" customHeight="1">
      <c r="B26" s="7"/>
      <c r="C26" s="1018"/>
      <c r="D26" s="1019"/>
      <c r="E26" s="1019"/>
      <c r="F26" s="1019"/>
      <c r="G26" s="1019"/>
      <c r="H26" s="1019"/>
      <c r="I26" s="1019"/>
      <c r="J26" s="1019"/>
      <c r="K26" s="1019"/>
      <c r="L26" s="1019"/>
      <c r="M26" s="1019"/>
      <c r="N26" s="1019"/>
      <c r="O26" s="1019"/>
      <c r="P26" s="1020"/>
      <c r="Q26" s="7"/>
    </row>
    <row r="27" spans="2:23" ht="15.95" customHeight="1">
      <c r="B27" s="7"/>
      <c r="C27" s="1018"/>
      <c r="D27" s="1019"/>
      <c r="E27" s="1019"/>
      <c r="F27" s="1019"/>
      <c r="G27" s="1019"/>
      <c r="H27" s="1019"/>
      <c r="I27" s="1019"/>
      <c r="J27" s="1019"/>
      <c r="K27" s="1019"/>
      <c r="L27" s="1019"/>
      <c r="M27" s="1019"/>
      <c r="N27" s="1019"/>
      <c r="O27" s="1019"/>
      <c r="P27" s="1020"/>
      <c r="Q27" s="7"/>
    </row>
    <row r="28" spans="2:23" ht="15.95" customHeight="1">
      <c r="B28" s="7"/>
      <c r="C28" s="1018"/>
      <c r="D28" s="1019"/>
      <c r="E28" s="1019"/>
      <c r="F28" s="1019"/>
      <c r="G28" s="1019"/>
      <c r="H28" s="1019"/>
      <c r="I28" s="1019"/>
      <c r="J28" s="1019"/>
      <c r="K28" s="1019"/>
      <c r="L28" s="1019"/>
      <c r="M28" s="1019"/>
      <c r="N28" s="1019"/>
      <c r="O28" s="1019"/>
      <c r="P28" s="1020"/>
      <c r="Q28" s="7"/>
    </row>
    <row r="29" spans="2:23" ht="15.95" customHeight="1">
      <c r="B29" s="7"/>
      <c r="C29" s="1018"/>
      <c r="D29" s="1019"/>
      <c r="E29" s="1019"/>
      <c r="F29" s="1019"/>
      <c r="G29" s="1019"/>
      <c r="H29" s="1019"/>
      <c r="I29" s="1019"/>
      <c r="J29" s="1019"/>
      <c r="K29" s="1019"/>
      <c r="L29" s="1019"/>
      <c r="M29" s="1019"/>
      <c r="N29" s="1019"/>
      <c r="O29" s="1019"/>
      <c r="P29" s="1020"/>
      <c r="Q29" s="7"/>
    </row>
    <row r="30" spans="2:23" ht="15.95" customHeight="1">
      <c r="B30" s="7"/>
      <c r="C30" s="1018"/>
      <c r="D30" s="1019"/>
      <c r="E30" s="1019"/>
      <c r="F30" s="1019"/>
      <c r="G30" s="1019"/>
      <c r="H30" s="1019"/>
      <c r="I30" s="1019"/>
      <c r="J30" s="1019"/>
      <c r="K30" s="1019"/>
      <c r="L30" s="1019"/>
      <c r="M30" s="1019"/>
      <c r="N30" s="1019"/>
      <c r="O30" s="1019"/>
      <c r="P30" s="1020"/>
      <c r="Q30" s="7"/>
    </row>
    <row r="31" spans="2:23" ht="15.95" customHeight="1">
      <c r="B31" s="7"/>
      <c r="C31" s="1018"/>
      <c r="D31" s="1019"/>
      <c r="E31" s="1019"/>
      <c r="F31" s="1019"/>
      <c r="G31" s="1019"/>
      <c r="H31" s="1019"/>
      <c r="I31" s="1019"/>
      <c r="J31" s="1019"/>
      <c r="K31" s="1019"/>
      <c r="L31" s="1019"/>
      <c r="M31" s="1019"/>
      <c r="N31" s="1019"/>
      <c r="O31" s="1019"/>
      <c r="P31" s="1020"/>
      <c r="Q31" s="7"/>
    </row>
    <row r="32" spans="2:23" ht="15.95" customHeight="1">
      <c r="B32" s="7"/>
      <c r="C32" s="1018"/>
      <c r="D32" s="1019"/>
      <c r="E32" s="1019"/>
      <c r="F32" s="1019"/>
      <c r="G32" s="1019"/>
      <c r="H32" s="1019"/>
      <c r="I32" s="1019"/>
      <c r="J32" s="1019"/>
      <c r="K32" s="1019"/>
      <c r="L32" s="1019"/>
      <c r="M32" s="1019"/>
      <c r="N32" s="1019"/>
      <c r="O32" s="1019"/>
      <c r="P32" s="1020"/>
      <c r="Q32" s="7"/>
    </row>
    <row r="33" spans="2:17" ht="15.95" customHeight="1">
      <c r="B33" s="7"/>
      <c r="C33" s="1018"/>
      <c r="D33" s="1019"/>
      <c r="E33" s="1019"/>
      <c r="F33" s="1019"/>
      <c r="G33" s="1019"/>
      <c r="H33" s="1019"/>
      <c r="I33" s="1019"/>
      <c r="J33" s="1019"/>
      <c r="K33" s="1019"/>
      <c r="L33" s="1019"/>
      <c r="M33" s="1019"/>
      <c r="N33" s="1019"/>
      <c r="O33" s="1019"/>
      <c r="P33" s="1020"/>
      <c r="Q33" s="7"/>
    </row>
    <row r="34" spans="2:17" ht="15.95" customHeight="1">
      <c r="B34" s="7"/>
      <c r="C34" s="1021"/>
      <c r="D34" s="1022"/>
      <c r="E34" s="1022"/>
      <c r="F34" s="1022"/>
      <c r="G34" s="1022"/>
      <c r="H34" s="1022"/>
      <c r="I34" s="1022"/>
      <c r="J34" s="1022"/>
      <c r="K34" s="1022"/>
      <c r="L34" s="1022"/>
      <c r="M34" s="1022"/>
      <c r="N34" s="1022"/>
      <c r="O34" s="1022"/>
      <c r="P34" s="1023"/>
      <c r="Q34" s="7"/>
    </row>
    <row r="35" spans="2:17">
      <c r="B35" s="7"/>
      <c r="C35" s="7"/>
      <c r="D35" s="7"/>
      <c r="E35" s="7"/>
      <c r="F35" s="7"/>
      <c r="G35" s="7"/>
      <c r="H35" s="7"/>
      <c r="I35" s="7"/>
      <c r="J35" s="7"/>
      <c r="K35" s="7"/>
      <c r="L35" s="7"/>
      <c r="M35" s="7"/>
      <c r="N35" s="7"/>
      <c r="O35" s="7"/>
      <c r="P35" s="7"/>
      <c r="Q35" s="7"/>
    </row>
    <row r="36" spans="2:17">
      <c r="B36" s="6"/>
      <c r="C36" s="6"/>
      <c r="D36" s="6"/>
      <c r="E36" s="6"/>
      <c r="F36" s="6"/>
      <c r="G36" s="6"/>
      <c r="H36" s="6"/>
      <c r="I36" s="6"/>
      <c r="J36" s="6"/>
      <c r="K36" s="6"/>
      <c r="L36" s="6"/>
      <c r="M36" s="6"/>
      <c r="N36" s="6"/>
      <c r="O36" s="6"/>
    </row>
    <row r="37" spans="2:17">
      <c r="B37" s="6"/>
      <c r="C37" s="6"/>
      <c r="D37" s="6"/>
      <c r="E37" s="6"/>
      <c r="F37" s="6"/>
      <c r="G37" s="6"/>
      <c r="H37" s="6"/>
      <c r="I37" s="6"/>
      <c r="J37" s="6"/>
      <c r="K37" s="6"/>
      <c r="L37" s="6"/>
      <c r="M37" s="6"/>
      <c r="N37" s="6"/>
      <c r="O37" s="6"/>
    </row>
    <row r="38" spans="2:17">
      <c r="B38" s="6"/>
      <c r="C38" s="6"/>
      <c r="D38" s="6"/>
      <c r="E38" s="6"/>
      <c r="F38" s="6"/>
      <c r="G38" s="6"/>
      <c r="H38" s="6"/>
      <c r="I38" s="6"/>
      <c r="J38" s="6"/>
      <c r="K38" s="6"/>
      <c r="L38" s="6"/>
      <c r="M38" s="6"/>
      <c r="N38" s="6"/>
      <c r="O38" s="6"/>
    </row>
    <row r="39" spans="2:17">
      <c r="B39" s="6"/>
      <c r="C39" s="6"/>
      <c r="D39" s="6"/>
      <c r="E39" s="6"/>
      <c r="F39" s="6"/>
      <c r="G39" s="6"/>
      <c r="H39" s="6"/>
      <c r="I39" s="6"/>
      <c r="J39" s="6"/>
      <c r="K39" s="6"/>
      <c r="L39" s="6"/>
      <c r="M39" s="6"/>
      <c r="N39" s="6"/>
      <c r="O39" s="6"/>
    </row>
    <row r="40" spans="2:17">
      <c r="B40" s="6"/>
      <c r="C40" s="6"/>
      <c r="D40" s="6"/>
      <c r="E40" s="6"/>
      <c r="F40" s="6"/>
      <c r="G40" s="6"/>
      <c r="H40" s="6"/>
      <c r="I40" s="6"/>
      <c r="J40" s="6"/>
      <c r="K40" s="6"/>
      <c r="L40" s="6"/>
      <c r="M40" s="6"/>
      <c r="N40" s="6"/>
      <c r="O40" s="6"/>
    </row>
    <row r="41" spans="2:17">
      <c r="B41" s="6"/>
      <c r="C41" s="6"/>
      <c r="D41" s="6"/>
      <c r="E41" s="6"/>
      <c r="F41" s="6"/>
      <c r="G41" s="6"/>
      <c r="H41" s="6"/>
      <c r="I41" s="6"/>
      <c r="J41" s="6"/>
      <c r="K41" s="6"/>
      <c r="L41" s="6"/>
      <c r="M41" s="6"/>
      <c r="N41" s="6"/>
      <c r="O41" s="6"/>
    </row>
    <row r="42" spans="2:17">
      <c r="B42" s="6"/>
      <c r="C42" s="6"/>
      <c r="D42" s="6"/>
      <c r="E42" s="6"/>
      <c r="F42" s="6"/>
      <c r="G42" s="6"/>
      <c r="H42" s="6"/>
      <c r="I42" s="6"/>
      <c r="J42" s="6"/>
      <c r="K42" s="6"/>
      <c r="L42" s="6"/>
      <c r="M42" s="6"/>
      <c r="N42" s="6"/>
      <c r="O42" s="6"/>
    </row>
    <row r="43" spans="2:17">
      <c r="B43" s="6"/>
      <c r="C43" s="6"/>
      <c r="D43" s="6"/>
      <c r="E43" s="6"/>
      <c r="F43" s="6"/>
      <c r="G43" s="6"/>
      <c r="H43" s="6"/>
      <c r="I43" s="6"/>
      <c r="J43" s="6"/>
      <c r="K43" s="6"/>
      <c r="L43" s="6"/>
      <c r="M43" s="6"/>
      <c r="N43" s="6"/>
      <c r="O43" s="6"/>
    </row>
    <row r="44" spans="2:17">
      <c r="B44" s="6"/>
      <c r="C44" s="6"/>
      <c r="D44" s="6"/>
      <c r="E44" s="6"/>
      <c r="F44" s="6"/>
      <c r="G44" s="6"/>
      <c r="H44" s="6"/>
      <c r="I44" s="6"/>
      <c r="J44" s="6"/>
      <c r="K44" s="6"/>
      <c r="L44" s="6"/>
      <c r="M44" s="6"/>
      <c r="N44" s="6"/>
      <c r="O44" s="6"/>
    </row>
    <row r="45" spans="2:17">
      <c r="B45" s="6"/>
      <c r="C45" s="6"/>
      <c r="D45" s="6"/>
      <c r="E45" s="6"/>
      <c r="F45" s="6"/>
      <c r="G45" s="6"/>
      <c r="H45" s="6"/>
      <c r="I45" s="6"/>
      <c r="J45" s="6"/>
      <c r="K45" s="6"/>
      <c r="L45" s="6"/>
      <c r="M45" s="6"/>
      <c r="N45" s="6"/>
      <c r="O45" s="6"/>
    </row>
    <row r="46" spans="2:17">
      <c r="B46" s="6"/>
      <c r="C46" s="6"/>
      <c r="D46" s="6"/>
      <c r="E46" s="6"/>
      <c r="F46" s="6"/>
      <c r="G46" s="6"/>
      <c r="H46" s="6"/>
      <c r="I46" s="6"/>
      <c r="J46" s="6"/>
      <c r="K46" s="6"/>
      <c r="L46" s="6"/>
      <c r="M46" s="6"/>
      <c r="N46" s="6"/>
      <c r="O46" s="6"/>
    </row>
    <row r="47" spans="2:17">
      <c r="B47" s="6"/>
      <c r="C47" s="6"/>
      <c r="D47" s="6"/>
      <c r="E47" s="6"/>
      <c r="F47" s="6"/>
      <c r="G47" s="6"/>
      <c r="H47" s="6"/>
      <c r="I47" s="6"/>
      <c r="J47" s="6"/>
      <c r="K47" s="6"/>
      <c r="L47" s="6"/>
      <c r="M47" s="6"/>
      <c r="N47" s="6"/>
      <c r="O47" s="6"/>
    </row>
    <row r="48" spans="2:17">
      <c r="B48" s="6"/>
      <c r="C48" s="6"/>
      <c r="D48" s="6"/>
      <c r="E48" s="6"/>
      <c r="F48" s="6"/>
      <c r="G48" s="6"/>
      <c r="H48" s="6"/>
      <c r="I48" s="6"/>
      <c r="J48" s="6"/>
      <c r="K48" s="6"/>
      <c r="L48" s="6"/>
      <c r="M48" s="6"/>
      <c r="N48" s="6"/>
      <c r="O48" s="6"/>
    </row>
    <row r="49" spans="2:15">
      <c r="B49" s="6"/>
      <c r="C49" s="6"/>
      <c r="D49" s="6"/>
      <c r="E49" s="6"/>
      <c r="F49" s="6"/>
      <c r="G49" s="6"/>
      <c r="H49" s="6"/>
      <c r="I49" s="6"/>
      <c r="J49" s="6"/>
      <c r="K49" s="6"/>
      <c r="L49" s="6"/>
      <c r="M49" s="6"/>
      <c r="N49" s="6"/>
      <c r="O49" s="6"/>
    </row>
    <row r="50" spans="2:15">
      <c r="B50" s="6"/>
      <c r="C50" s="6"/>
      <c r="D50" s="6"/>
      <c r="E50" s="6"/>
      <c r="F50" s="6"/>
      <c r="G50" s="6"/>
      <c r="H50" s="6"/>
      <c r="I50" s="6"/>
      <c r="J50" s="6"/>
      <c r="K50" s="6"/>
      <c r="L50" s="6"/>
      <c r="M50" s="6"/>
      <c r="N50" s="6"/>
      <c r="O50" s="6"/>
    </row>
  </sheetData>
  <mergeCells count="4">
    <mergeCell ref="F8:K8"/>
    <mergeCell ref="C22:P34"/>
    <mergeCell ref="P9:P16"/>
    <mergeCell ref="M7:O7"/>
  </mergeCells>
  <dataValidations count="3">
    <dataValidation type="list" allowBlank="1" showInputMessage="1" showErrorMessage="1" sqref="H18" xr:uid="{00000000-0002-0000-0000-000000000000}">
      <formula1>"ON, OFF"</formula1>
    </dataValidation>
    <dataValidation type="list" allowBlank="1" showInputMessage="1" showErrorMessage="1" sqref="H15" xr:uid="{00000000-0002-0000-0000-000001000000}">
      <formula1>"Bloomberg, Capital IQ, FactSet, Thomson"</formula1>
    </dataValidation>
    <dataValidation allowBlank="1" showInputMessage="1" showErrorMessage="1" sqref="H16" xr:uid="{00000000-0002-0000-0000-000002000000}"/>
  </dataValidations>
  <hyperlinks>
    <hyperlink ref="M7" r:id="rId1" xr:uid="{00000000-0004-0000-0000-000000000000}"/>
    <hyperlink ref="M7:O7" r:id="rId2" tooltip="Click to directly email Canalyst support" display="support@canalyst.com" xr:uid="{00000000-0004-0000-0000-000001000000}"/>
  </hyperlinks>
  <pageMargins left="0.7" right="0.7" top="0.75" bottom="0.75" header="0.3" footer="0.3"/>
  <pageSetup scale="45"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1" stopIfTrue="1" id="{00000000-000E-0000-0000-000001000000}">
            <xm:f>AND($H$18="ON",Model!$B$4="ON")</xm:f>
            <x14:dxf>
              <font>
                <color rgb="FFF2F2F2"/>
              </font>
              <fill>
                <patternFill>
                  <bgColor rgb="FFF2F2F2"/>
                </patternFill>
              </fill>
            </x14:dxf>
          </x14:cfRule>
          <xm:sqref>C20:H20</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88113-7C63-4565-AEC0-2BC7972DF2C4}">
  <sheetPr codeName="Sheet8">
    <pageSetUpPr fitToPage="1"/>
  </sheetPr>
  <dimension ref="A1:AJ379"/>
  <sheetViews>
    <sheetView topLeftCell="A219" zoomScale="85" zoomScaleNormal="85" zoomScalePageLayoutView="85" workbookViewId="0">
      <selection activeCell="O241" sqref="O241"/>
    </sheetView>
  </sheetViews>
  <sheetFormatPr defaultColWidth="9.140625" defaultRowHeight="15"/>
  <cols>
    <col min="1" max="1" width="12.28515625" style="761" customWidth="1"/>
    <col min="2" max="2" width="22.7109375" style="761" customWidth="1"/>
    <col min="3" max="3" width="10.85546875" style="761" bestFit="1" customWidth="1"/>
    <col min="4" max="4" width="16.140625" style="761" bestFit="1" customWidth="1"/>
    <col min="5" max="5" width="12.85546875" style="761" bestFit="1" customWidth="1"/>
    <col min="6" max="6" width="9.42578125" style="761" customWidth="1"/>
    <col min="7" max="8" width="12.85546875" style="761" bestFit="1" customWidth="1"/>
    <col min="9" max="9" width="9.7109375" style="761" customWidth="1"/>
    <col min="10" max="16" width="12.85546875" style="761" bestFit="1" customWidth="1"/>
    <col min="17" max="30" width="13" style="761" bestFit="1" customWidth="1"/>
    <col min="31" max="31" width="12.85546875" style="761" bestFit="1" customWidth="1"/>
    <col min="32" max="41" width="14.28515625" style="761" bestFit="1" customWidth="1"/>
    <col min="42" max="42" width="9.42578125" style="761" bestFit="1" customWidth="1"/>
    <col min="43" max="16384" width="9.140625" style="761"/>
  </cols>
  <sheetData>
    <row r="1" spans="1:27">
      <c r="A1" s="761" t="s">
        <v>1081</v>
      </c>
      <c r="O1" s="762"/>
    </row>
    <row r="2" spans="1:27">
      <c r="A2" s="763" t="s">
        <v>1082</v>
      </c>
      <c r="O2" s="762"/>
    </row>
    <row r="3" spans="1:27">
      <c r="A3" s="761" t="s">
        <v>1083</v>
      </c>
      <c r="B3" s="764">
        <f ca="1">NOW()</f>
        <v>44077.931409143515</v>
      </c>
      <c r="O3" s="762"/>
    </row>
    <row r="4" spans="1:27">
      <c r="A4" s="761" t="s">
        <v>1084</v>
      </c>
      <c r="B4" s="764">
        <v>43872.436643518522</v>
      </c>
      <c r="O4" s="762"/>
    </row>
    <row r="5" spans="1:27">
      <c r="A5" s="761" t="s">
        <v>1085</v>
      </c>
      <c r="B5" s="765">
        <v>43785.551174884262</v>
      </c>
      <c r="F5" s="766" t="s">
        <v>1086</v>
      </c>
      <c r="O5" s="762"/>
    </row>
    <row r="6" spans="1:27">
      <c r="B6" s="765"/>
      <c r="F6" s="766"/>
      <c r="O6" s="762"/>
    </row>
    <row r="7" spans="1:27">
      <c r="A7" s="761" t="s">
        <v>1087</v>
      </c>
      <c r="B7" s="761" t="str">
        <f ca="1">CELL("filename")</f>
        <v>https://325capitalcom.sharepoint.com/sites/325CapitalGroupDrive/Shared Documents/Screen/Python/[Astronics ATRO US.xlsx]Summary Page</v>
      </c>
      <c r="O7" s="762"/>
      <c r="AA7" s="761">
        <v>1.7</v>
      </c>
    </row>
    <row r="8" spans="1:27">
      <c r="B8" s="767" t="s">
        <v>1088</v>
      </c>
      <c r="C8" s="767"/>
      <c r="D8" s="767"/>
      <c r="F8" s="767" t="s">
        <v>1089</v>
      </c>
      <c r="G8" s="767"/>
      <c r="H8" s="767"/>
      <c r="I8" s="767"/>
      <c r="K8" s="767" t="s">
        <v>1090</v>
      </c>
      <c r="L8" s="767"/>
      <c r="M8" s="767"/>
      <c r="O8"/>
      <c r="P8"/>
      <c r="Q8"/>
      <c r="R8"/>
      <c r="S8"/>
      <c r="T8"/>
      <c r="AA8" s="761">
        <v>28.9</v>
      </c>
    </row>
    <row r="9" spans="1:27">
      <c r="B9" s="768" t="s">
        <v>1091</v>
      </c>
      <c r="C9" s="769">
        <f>'Earnings Power'!M5</f>
        <v>11.01</v>
      </c>
      <c r="D9" s="770">
        <f ca="1">TODAY()</f>
        <v>44077</v>
      </c>
      <c r="F9" s="768" t="s">
        <v>1092</v>
      </c>
      <c r="G9" s="768"/>
      <c r="H9" s="771">
        <f>C9*M10</f>
        <v>358.73882999999995</v>
      </c>
      <c r="I9" s="772"/>
      <c r="K9" s="768" t="s">
        <v>1093</v>
      </c>
      <c r="M9" s="773">
        <f>_xlfn.SINGLE(INDEX(MO_CFSum_Dividend,0,_xlfn.SINGLE(_xlfn.XMATCH("Q3-2019",MO_Common_ColumnHeader))))/C9</f>
        <v>0</v>
      </c>
      <c r="O9"/>
      <c r="P9"/>
      <c r="Q9"/>
      <c r="R9"/>
      <c r="S9"/>
      <c r="T9"/>
      <c r="AA9" s="761">
        <v>32.700000000000003</v>
      </c>
    </row>
    <row r="10" spans="1:27">
      <c r="B10" s="768" t="s">
        <v>1094</v>
      </c>
      <c r="C10" s="769">
        <f ca="1">_xlfn.SINGLE(INDEX(MO_VA_StockPrice_High,0,_xlfn.SINGLE(_xlfn.XMATCH("Q3-2019",MO_Common_ColumnHeader))))</f>
        <v>41.86</v>
      </c>
      <c r="D10" s="774">
        <f ca="1">C9/C10-1</f>
        <v>-0.73698041089345434</v>
      </c>
      <c r="F10" s="768" t="s">
        <v>1095</v>
      </c>
      <c r="G10" s="768"/>
      <c r="H10" s="775">
        <f>INDEX(MO_BSS_Debt,0,_xlfn.XMATCH("Q2-2020",MO_Common_ColumnHeader))</f>
        <v>173.22399999999999</v>
      </c>
      <c r="I10" s="772"/>
      <c r="K10" s="768" t="s">
        <v>1096</v>
      </c>
      <c r="M10" s="773">
        <f>_xlfn.SINGLE(INDEX(MO_RIS_ShareCount_WAD,0,_xlfn.SINGLE(_xlfn.XMATCH("Q3-2019",MO_Common_ColumnHeader))))</f>
        <v>32.582999999999998</v>
      </c>
      <c r="O10"/>
      <c r="P10"/>
      <c r="Q10"/>
      <c r="R10"/>
      <c r="S10"/>
      <c r="T10"/>
      <c r="AA10" s="761">
        <v>19.600000000000001</v>
      </c>
    </row>
    <row r="11" spans="1:27">
      <c r="B11" s="768" t="s">
        <v>1097</v>
      </c>
      <c r="C11" s="769">
        <f ca="1">_xlfn.SINGLE(INDEX(MO_VA_StockPrice_Low,0,_xlfn.SINGLE(_xlfn.XMATCH("Q3-2019",MO_Common_ColumnHeader))))</f>
        <v>26.08</v>
      </c>
      <c r="D11" s="774">
        <f ca="1">C9/C11-1</f>
        <v>-0.57783742331288335</v>
      </c>
      <c r="F11" s="768"/>
      <c r="G11" s="768"/>
      <c r="H11" s="776"/>
      <c r="I11" s="772"/>
      <c r="K11" s="768" t="s">
        <v>1098</v>
      </c>
      <c r="M11" s="777">
        <v>0.26817999999999997</v>
      </c>
      <c r="O11"/>
      <c r="P11"/>
      <c r="Q11"/>
      <c r="R11"/>
      <c r="S11"/>
      <c r="T11"/>
    </row>
    <row r="12" spans="1:27">
      <c r="F12" s="768" t="s">
        <v>27</v>
      </c>
      <c r="G12" s="768"/>
      <c r="H12" s="775">
        <f>_xlfn.SINGLE(INDEX(MO_BSS_Cash,0,_xlfn.SINGLE(_xlfn.XMATCH("Q2-2020",MO_Common_ColumnHeader))))</f>
        <v>46.639000000000003</v>
      </c>
      <c r="I12" s="778" t="s">
        <v>1099</v>
      </c>
      <c r="K12" s="768" t="s">
        <v>1100</v>
      </c>
      <c r="M12" s="779">
        <v>4.0099999999999997E-2</v>
      </c>
      <c r="O12"/>
      <c r="P12"/>
      <c r="Q12"/>
      <c r="R12"/>
      <c r="S12"/>
      <c r="T12"/>
    </row>
    <row r="13" spans="1:27">
      <c r="B13" s="780" t="s">
        <v>1101</v>
      </c>
      <c r="C13" s="767"/>
      <c r="D13" s="767"/>
      <c r="F13" s="768" t="s">
        <v>1102</v>
      </c>
      <c r="G13" s="768"/>
      <c r="H13" s="781">
        <f>H10-H12</f>
        <v>126.58499999999998</v>
      </c>
      <c r="I13" s="782">
        <f>H13/H17</f>
        <v>4.4903658830953717</v>
      </c>
      <c r="O13" s="762"/>
    </row>
    <row r="14" spans="1:27">
      <c r="B14" s="761" t="s">
        <v>937</v>
      </c>
      <c r="D14" s="783">
        <f ca="1">'Earnings Power'!M4</f>
        <v>24.539963914254503</v>
      </c>
      <c r="F14" s="768" t="s">
        <v>1075</v>
      </c>
      <c r="G14" s="768"/>
      <c r="H14" s="784">
        <f>H9+H13</f>
        <v>485.32382999999993</v>
      </c>
      <c r="I14" s="772"/>
      <c r="O14" s="762"/>
    </row>
    <row r="15" spans="1:27">
      <c r="B15" s="761" t="s">
        <v>939</v>
      </c>
      <c r="D15" s="783">
        <f>'Earnings Power'!M5</f>
        <v>11.01</v>
      </c>
      <c r="F15" s="768"/>
      <c r="G15" s="768"/>
      <c r="H15" s="772"/>
      <c r="I15" s="768"/>
      <c r="O15" s="762"/>
    </row>
    <row r="16" spans="1:27">
      <c r="B16" s="761" t="s">
        <v>943</v>
      </c>
      <c r="D16" s="783">
        <f ca="1">'Earnings Power'!M6</f>
        <v>15.237386861462825</v>
      </c>
      <c r="F16" s="768" t="s">
        <v>1103</v>
      </c>
      <c r="G16" s="768"/>
      <c r="H16" s="775">
        <f>Z23</f>
        <v>538.98372365711271</v>
      </c>
      <c r="O16" s="762"/>
    </row>
    <row r="17" spans="2:36">
      <c r="B17" s="761" t="s">
        <v>946</v>
      </c>
      <c r="D17" s="785">
        <f ca="1">'Earnings Power'!M7</f>
        <v>0.17386274653387335</v>
      </c>
      <c r="F17" s="768" t="s">
        <v>240</v>
      </c>
      <c r="G17" s="768"/>
      <c r="H17" s="775">
        <f>Z24</f>
        <v>28.190353146176221</v>
      </c>
      <c r="I17" s="782">
        <f>H14/H17</f>
        <v>17.215954248016576</v>
      </c>
      <c r="O17" s="762"/>
    </row>
    <row r="18" spans="2:36">
      <c r="D18" s="786"/>
      <c r="F18" s="768" t="s">
        <v>1104</v>
      </c>
      <c r="G18" s="768"/>
      <c r="H18" s="775">
        <f ca="1">_xlfn.SINGLE(INDEX(MO_RIS_EBITDA_Adj,0,_xlfn.SINGLE(_xlfn.XMATCH("FY"&amp;YEAR(B3),MO_Common_ColumnHeader))))</f>
        <v>37.631640000000019</v>
      </c>
      <c r="I18" s="782">
        <f ca="1">IF(H18="NA","NA",H14/H18)</f>
        <v>12.896696237527774</v>
      </c>
      <c r="O18" s="762"/>
    </row>
    <row r="19" spans="2:36">
      <c r="B19" s="761" t="s">
        <v>949</v>
      </c>
      <c r="D19" s="787">
        <f ca="1">'Earnings Power'!M9</f>
        <v>9.3836166882405863</v>
      </c>
      <c r="F19" s="788" t="s">
        <v>1105</v>
      </c>
      <c r="G19" s="768"/>
      <c r="H19" s="789"/>
      <c r="I19" s="782">
        <v>9.3240377995458505</v>
      </c>
      <c r="O19" s="762"/>
    </row>
    <row r="20" spans="2:36">
      <c r="B20" s="761" t="s">
        <v>952</v>
      </c>
      <c r="D20" s="787">
        <f ca="1">'Earnings Power'!M10</f>
        <v>10.774962928240425</v>
      </c>
      <c r="O20" s="762"/>
    </row>
    <row r="21" spans="2:36">
      <c r="B21" s="761" t="s">
        <v>957</v>
      </c>
      <c r="D21" s="787">
        <f ca="1">'Earnings Power'!M11</f>
        <v>8.3467230496195715</v>
      </c>
      <c r="K21" s="767" t="s">
        <v>1106</v>
      </c>
      <c r="L21" s="767"/>
      <c r="M21" s="767"/>
      <c r="O21" s="762" t="s">
        <v>1107</v>
      </c>
      <c r="P21" s="783">
        <f t="shared" ref="P21:Y21" ca="1" si="0">_xlfn.SINGLE(INDEX(MO_VA_StockPrice,0,_xlfn.SINGLE(_xlfn.XMATCH("FY20"&amp;P$22,MO_Common_ColumnHeader))))</f>
        <v>6.6468614324274897</v>
      </c>
      <c r="Q21" s="783">
        <f t="shared" ca="1" si="0"/>
        <v>14.9725437543855</v>
      </c>
      <c r="R21" s="783">
        <f t="shared" ca="1" si="0"/>
        <v>14.601683981214901</v>
      </c>
      <c r="S21" s="783">
        <f t="shared" ca="1" si="0"/>
        <v>25.102986470600001</v>
      </c>
      <c r="T21" s="783">
        <f t="shared" ca="1" si="0"/>
        <v>32.548082849499998</v>
      </c>
      <c r="U21" s="783">
        <f t="shared" ca="1" si="0"/>
        <v>44.275683999999998</v>
      </c>
      <c r="V21" s="783">
        <f t="shared" ca="1" si="0"/>
        <v>27.919565217391298</v>
      </c>
      <c r="W21" s="783">
        <f t="shared" ca="1" si="0"/>
        <v>27.953260869565199</v>
      </c>
      <c r="X21" s="783">
        <f t="shared" ca="1" si="0"/>
        <v>33.192351394422303</v>
      </c>
      <c r="Y21" s="783">
        <f t="shared" ca="1" si="0"/>
        <v>32.8355158730159</v>
      </c>
      <c r="Z21" s="790">
        <f>C9</f>
        <v>11.01</v>
      </c>
    </row>
    <row r="22" spans="2:36">
      <c r="L22" s="767" t="s">
        <v>1108</v>
      </c>
      <c r="M22" s="767" t="s">
        <v>1109</v>
      </c>
      <c r="N22" s="791" t="s">
        <v>1110</v>
      </c>
      <c r="O22" s="762"/>
      <c r="P22" s="792" t="s">
        <v>1111</v>
      </c>
      <c r="Q22" s="793" t="s">
        <v>1112</v>
      </c>
      <c r="R22" s="793" t="s">
        <v>1113</v>
      </c>
      <c r="S22" s="793" t="s">
        <v>1114</v>
      </c>
      <c r="T22" s="793" t="s">
        <v>1115</v>
      </c>
      <c r="U22" s="793" t="s">
        <v>1116</v>
      </c>
      <c r="V22" s="793" t="s">
        <v>1117</v>
      </c>
      <c r="W22" s="793" t="s">
        <v>1118</v>
      </c>
      <c r="X22" s="793" t="s">
        <v>1119</v>
      </c>
      <c r="Y22" s="793">
        <v>19</v>
      </c>
      <c r="Z22" s="794">
        <v>44022</v>
      </c>
      <c r="AA22" s="794">
        <v>44387</v>
      </c>
      <c r="AB22" s="793" t="s">
        <v>1120</v>
      </c>
      <c r="AC22" s="793" t="s">
        <v>1121</v>
      </c>
      <c r="AD22" s="793" t="s">
        <v>1122</v>
      </c>
      <c r="AE22" s="793" t="s">
        <v>1123</v>
      </c>
      <c r="AF22" s="793" t="s">
        <v>1124</v>
      </c>
      <c r="AG22" s="793" t="s">
        <v>1125</v>
      </c>
      <c r="AH22" s="793" t="s">
        <v>1126</v>
      </c>
      <c r="AI22" s="793" t="s">
        <v>1127</v>
      </c>
      <c r="AJ22"/>
    </row>
    <row r="23" spans="2:36">
      <c r="K23" s="761" t="str">
        <f t="shared" ref="K23:K28" si="1">O23</f>
        <v>Revenues</v>
      </c>
      <c r="L23" s="795">
        <f>(Y23/P23)^(1/10)-1</f>
        <v>0.14717622862651725</v>
      </c>
      <c r="M23" s="795">
        <f>(Y23/T23)^(1/5)-1</f>
        <v>3.1708457502267695E-2</v>
      </c>
      <c r="N23" s="795">
        <f>(AA23/X23)^(1/2)-1</f>
        <v>-0.12308792111458955</v>
      </c>
      <c r="O23" s="762" t="s">
        <v>1128</v>
      </c>
      <c r="P23" s="783">
        <f t="shared" ref="P23:Y23" si="2">_xlfn.SINGLE(INDEX(MO_RIS_REV,0,_xlfn.SINGLE(_xlfn.XMATCH("FY20"&amp;P$22,MO_Common_ColumnHeader))))</f>
        <v>195.75399999999999</v>
      </c>
      <c r="Q23" s="783">
        <f t="shared" si="2"/>
        <v>228.16300000000001</v>
      </c>
      <c r="R23" s="783">
        <f t="shared" si="2"/>
        <v>266.44600000000003</v>
      </c>
      <c r="S23" s="783">
        <f t="shared" si="2"/>
        <v>339.93700000000001</v>
      </c>
      <c r="T23" s="783">
        <f t="shared" si="2"/>
        <v>661.03899999999999</v>
      </c>
      <c r="U23" s="783">
        <f t="shared" si="2"/>
        <v>692.279</v>
      </c>
      <c r="V23" s="783">
        <f t="shared" si="2"/>
        <v>633.12300000000005</v>
      </c>
      <c r="W23" s="783">
        <f t="shared" si="2"/>
        <v>624.46400000000006</v>
      </c>
      <c r="X23" s="783">
        <f t="shared" si="2"/>
        <v>803.25599999999997</v>
      </c>
      <c r="Y23" s="783">
        <f t="shared" si="2"/>
        <v>772.702</v>
      </c>
      <c r="Z23" s="783">
        <f>'Earnings Power'!C36</f>
        <v>538.98372365711271</v>
      </c>
      <c r="AA23" s="783">
        <f>'Earnings Power'!D36</f>
        <v>617.68361720567964</v>
      </c>
      <c r="AB23" s="783">
        <f>'Earnings Power'!E36</f>
        <v>663.59425358393037</v>
      </c>
      <c r="AC23" s="783">
        <f>'Earnings Power'!F36</f>
        <v>718.03015319445012</v>
      </c>
      <c r="AD23" s="783">
        <f>'Earnings Power'!G36</f>
        <v>772.32725548259725</v>
      </c>
      <c r="AE23" s="783">
        <f>'Earnings Power'!H36</f>
        <v>828.80073229846198</v>
      </c>
      <c r="AF23" s="783">
        <f>'Earnings Power'!I36</f>
        <v>852.83595353511726</v>
      </c>
      <c r="AG23" s="783">
        <f>'Earnings Power'!J36</f>
        <v>877.56819618763564</v>
      </c>
      <c r="AH23" s="783">
        <f>'Earnings Power'!K36</f>
        <v>903.01767387707696</v>
      </c>
      <c r="AI23" s="783">
        <f>'Earnings Power'!L36</f>
        <v>929.20518641951207</v>
      </c>
      <c r="AJ23"/>
    </row>
    <row r="24" spans="2:36">
      <c r="K24" s="761" t="str">
        <f t="shared" si="1"/>
        <v>EBITDA</v>
      </c>
      <c r="L24" s="795">
        <f>(Y24/P24)^(1/10)-1</f>
        <v>0.11425795192261479</v>
      </c>
      <c r="M24" s="795">
        <f>(Y24/T24)^(1/5)-1</f>
        <v>-5.2314467813469157E-2</v>
      </c>
      <c r="N24" s="795">
        <f>(AA24/X24)^(1/2)-1</f>
        <v>-0.28903384282713851</v>
      </c>
      <c r="O24" s="762" t="s">
        <v>11</v>
      </c>
      <c r="P24" s="783">
        <f t="shared" ref="P24:W24" si="3">_xlfn.SINGLE(INDEX(MO_RIS_EBITDA_Adj,0,_xlfn.SINGLE(_xlfn.XMATCH("FY20"&amp;P$22,MO_Common_ColumnHeader))))</f>
        <v>30.144999999999978</v>
      </c>
      <c r="Q24" s="783">
        <f t="shared" si="3"/>
        <v>39.325000000000017</v>
      </c>
      <c r="R24" s="783">
        <f t="shared" si="3"/>
        <v>40.881000000000036</v>
      </c>
      <c r="S24" s="783">
        <f t="shared" si="3"/>
        <v>54.748000000000005</v>
      </c>
      <c r="T24" s="783">
        <f t="shared" si="3"/>
        <v>116.34599999999999</v>
      </c>
      <c r="U24" s="783">
        <f t="shared" si="3"/>
        <v>126.38400000000003</v>
      </c>
      <c r="V24" s="783">
        <f t="shared" si="3"/>
        <v>101.21000000000006</v>
      </c>
      <c r="W24" s="783">
        <f t="shared" si="3"/>
        <v>77.999000000000038</v>
      </c>
      <c r="X24" s="783">
        <f>_xlfn.SINGLE(INDEX(MO_RIS_EBITDA,0,_xlfn.SINGLE(_xlfn.XMATCH("FY20"&amp;X$22,MO_Common_ColumnHeader))))</f>
        <v>101.79300000000006</v>
      </c>
      <c r="Y24" s="783">
        <f>Y35</f>
        <v>88.935000000000016</v>
      </c>
      <c r="Z24" s="783">
        <f>'Earnings Power'!C39</f>
        <v>28.190353146176221</v>
      </c>
      <c r="AA24" s="783">
        <f>'Earnings Power'!D39</f>
        <v>51.453600532339379</v>
      </c>
      <c r="AB24" s="783">
        <f>'Earnings Power'!E39</f>
        <v>67.712998795082825</v>
      </c>
      <c r="AC24" s="783">
        <f>'Earnings Power'!F39</f>
        <v>61.457587310282641</v>
      </c>
      <c r="AD24" s="783">
        <f>'Earnings Power'!G39</f>
        <v>74.668412366608592</v>
      </c>
      <c r="AE24" s="783">
        <f>'Earnings Power'!H39</f>
        <v>88.639251090254362</v>
      </c>
      <c r="AF24" s="783">
        <f>'Earnings Power'!I39</f>
        <v>91.209789371871722</v>
      </c>
      <c r="AG24" s="783">
        <f>'Earnings Power'!J39</f>
        <v>93.854873263656003</v>
      </c>
      <c r="AH24" s="783">
        <f>'Earnings Power'!K39</f>
        <v>96.576664588302009</v>
      </c>
      <c r="AI24" s="783">
        <f>'Earnings Power'!L39</f>
        <v>99.377387861362763</v>
      </c>
      <c r="AJ24"/>
    </row>
    <row r="25" spans="2:36">
      <c r="K25" s="761" t="str">
        <f t="shared" si="1"/>
        <v>%</v>
      </c>
      <c r="L25" s="795">
        <f>(Y25-P25)</f>
        <v>-3.8898181705823889E-2</v>
      </c>
      <c r="M25" s="795">
        <f>(Y25-T25)</f>
        <v>-6.0908626785624739E-2</v>
      </c>
      <c r="N25" s="795">
        <f>(AA25-Y25)</f>
        <v>-3.1795218388278951E-2</v>
      </c>
      <c r="O25" s="762" t="s">
        <v>901</v>
      </c>
      <c r="P25" s="796">
        <f t="shared" ref="P25:AI25" si="4">P24/P23</f>
        <v>0.15399429896707081</v>
      </c>
      <c r="Q25" s="796">
        <f t="shared" si="4"/>
        <v>0.17235485157540886</v>
      </c>
      <c r="R25" s="796">
        <f t="shared" si="4"/>
        <v>0.1534307139157654</v>
      </c>
      <c r="S25" s="796">
        <f t="shared" si="4"/>
        <v>0.16105337165415945</v>
      </c>
      <c r="T25" s="796">
        <f t="shared" si="4"/>
        <v>0.17600474404687166</v>
      </c>
      <c r="U25" s="796">
        <f t="shared" si="4"/>
        <v>0.182562232856984</v>
      </c>
      <c r="V25" s="796">
        <f t="shared" si="4"/>
        <v>0.15985835295827203</v>
      </c>
      <c r="W25" s="796">
        <f t="shared" si="4"/>
        <v>0.12490551897307135</v>
      </c>
      <c r="X25" s="796">
        <f t="shared" si="4"/>
        <v>0.12672547730735914</v>
      </c>
      <c r="Y25" s="796">
        <f t="shared" si="4"/>
        <v>0.11509611726124692</v>
      </c>
      <c r="Z25" s="796">
        <f t="shared" si="4"/>
        <v>5.2302791176881962E-2</v>
      </c>
      <c r="AA25" s="796">
        <f t="shared" si="4"/>
        <v>8.3300898872967974E-2</v>
      </c>
      <c r="AB25" s="796">
        <f t="shared" si="4"/>
        <v>0.1020397606359299</v>
      </c>
      <c r="AC25" s="796">
        <f t="shared" si="4"/>
        <v>8.5591930975131736E-2</v>
      </c>
      <c r="AD25" s="796">
        <f t="shared" si="4"/>
        <v>9.6679758271577779E-2</v>
      </c>
      <c r="AE25" s="796">
        <f t="shared" si="4"/>
        <v>0.10694880884629118</v>
      </c>
      <c r="AF25" s="796">
        <f t="shared" si="4"/>
        <v>0.10694880884629118</v>
      </c>
      <c r="AG25" s="796">
        <f t="shared" si="4"/>
        <v>0.10694880884629118</v>
      </c>
      <c r="AH25" s="796">
        <f t="shared" si="4"/>
        <v>0.10694880884629118</v>
      </c>
      <c r="AI25" s="796">
        <f t="shared" si="4"/>
        <v>0.10694880884629118</v>
      </c>
      <c r="AJ25"/>
    </row>
    <row r="26" spans="2:36">
      <c r="K26" s="761" t="str">
        <f t="shared" si="1"/>
        <v>TEV/EBITDA</v>
      </c>
      <c r="L26" s="795">
        <f ca="1">Y26-P26</f>
        <v>17.902296837662181</v>
      </c>
      <c r="M26" s="795">
        <f ca="1">Y26-T26</f>
        <v>14.086706458339071</v>
      </c>
      <c r="N26" s="795"/>
      <c r="O26" s="762" t="s">
        <v>1129</v>
      </c>
      <c r="P26" s="783">
        <f t="shared" ref="P26:Y26" ca="1" si="5">_xlfn.SINGLE(INDEX(MO_VA_EV_ToEBITDA,0,_xlfn.SINGLE(_xlfn.XMATCH("FY20"&amp;P$22,MO_Common_ColumnHeader))))</f>
        <v>7.2140975926909645</v>
      </c>
      <c r="Q26" s="783">
        <f t="shared" ca="1" si="5"/>
        <v>12.367352204886389</v>
      </c>
      <c r="R26" s="783">
        <f t="shared" ca="1" si="5"/>
        <v>12.46017586338774</v>
      </c>
      <c r="S26" s="783">
        <f t="shared" ca="1" si="5"/>
        <v>18.076526647333047</v>
      </c>
      <c r="T26" s="783">
        <f t="shared" ca="1" si="5"/>
        <v>11.029687972014075</v>
      </c>
      <c r="U26" s="783">
        <f t="shared" ca="1" si="5"/>
        <v>13.340456341259966</v>
      </c>
      <c r="V26" s="783">
        <f t="shared" ca="1" si="5"/>
        <v>10.813866613970943</v>
      </c>
      <c r="W26" s="783">
        <f t="shared" ca="1" si="5"/>
        <v>15.338415236092754</v>
      </c>
      <c r="X26" s="783">
        <f t="shared" ca="1" si="5"/>
        <v>12.940199776070818</v>
      </c>
      <c r="Y26" s="783">
        <f t="shared" ca="1" si="5"/>
        <v>25.116394430353147</v>
      </c>
      <c r="Z26" s="783">
        <f t="shared" ref="Z26:AI26" ca="1" si="6">$D$19</f>
        <v>9.3836166882405863</v>
      </c>
      <c r="AA26" s="783">
        <f t="shared" ca="1" si="6"/>
        <v>9.3836166882405863</v>
      </c>
      <c r="AB26" s="783">
        <f t="shared" ca="1" si="6"/>
        <v>9.3836166882405863</v>
      </c>
      <c r="AC26" s="783">
        <f t="shared" ca="1" si="6"/>
        <v>9.3836166882405863</v>
      </c>
      <c r="AD26" s="783">
        <f t="shared" ca="1" si="6"/>
        <v>9.3836166882405863</v>
      </c>
      <c r="AE26" s="783">
        <f t="shared" ca="1" si="6"/>
        <v>9.3836166882405863</v>
      </c>
      <c r="AF26" s="783">
        <f t="shared" ca="1" si="6"/>
        <v>9.3836166882405863</v>
      </c>
      <c r="AG26" s="783">
        <f t="shared" ca="1" si="6"/>
        <v>9.3836166882405863</v>
      </c>
      <c r="AH26" s="783">
        <f t="shared" ca="1" si="6"/>
        <v>9.3836166882405863</v>
      </c>
      <c r="AI26" s="783">
        <f t="shared" ca="1" si="6"/>
        <v>9.3836166882405863</v>
      </c>
      <c r="AJ26" s="786"/>
    </row>
    <row r="27" spans="2:36">
      <c r="K27" s="761" t="str">
        <f t="shared" si="1"/>
        <v>TEV</v>
      </c>
      <c r="L27" s="795">
        <f ca="1">(Y27/P27)^(1/10)-1</f>
        <v>0.19088729269742122</v>
      </c>
      <c r="M27" s="795">
        <f ca="1">(Y27/T27)^(1/5)-1</f>
        <v>-5.6074865064614787E-3</v>
      </c>
      <c r="N27" s="795"/>
      <c r="O27" s="762" t="s">
        <v>1130</v>
      </c>
      <c r="P27" s="783">
        <f t="shared" ref="P27:Y27" ca="1" si="7">_xlfn.SINGLE(INDEX(MO_VA_EV,0,_xlfn.SINGLE(_xlfn.XMATCH("FY20"&amp;P$22,MO_Common_ColumnHeader))))</f>
        <v>217.46897193166896</v>
      </c>
      <c r="Q27" s="783">
        <f t="shared" ca="1" si="7"/>
        <v>486.34612545715748</v>
      </c>
      <c r="R27" s="783">
        <f t="shared" ca="1" si="7"/>
        <v>509.3844494711546</v>
      </c>
      <c r="S27" s="783">
        <f t="shared" ca="1" si="7"/>
        <v>989.65368088818968</v>
      </c>
      <c r="T27" s="783">
        <f t="shared" ca="1" si="7"/>
        <v>1283.2600767919496</v>
      </c>
      <c r="U27" s="783">
        <f t="shared" ca="1" si="7"/>
        <v>1686.0202342337998</v>
      </c>
      <c r="V27" s="783">
        <f t="shared" ca="1" si="7"/>
        <v>1094.4714399999998</v>
      </c>
      <c r="W27" s="783">
        <f t="shared" ca="1" si="7"/>
        <v>1196.3810499999993</v>
      </c>
      <c r="X27" s="783">
        <f t="shared" ca="1" si="7"/>
        <v>1317.2217558055777</v>
      </c>
      <c r="Y27" s="783">
        <f t="shared" ca="1" si="7"/>
        <v>1247.6820097222233</v>
      </c>
      <c r="Z27" s="783">
        <f t="shared" ref="Z27:AI27" ca="1" si="8">Z26*Z24</f>
        <v>264.52746822985472</v>
      </c>
      <c r="AA27" s="783">
        <f t="shared" ca="1" si="8"/>
        <v>482.82086462532453</v>
      </c>
      <c r="AB27" s="783">
        <f t="shared" ca="1" si="8"/>
        <v>635.39282550435394</v>
      </c>
      <c r="AC27" s="783">
        <f t="shared" ca="1" si="8"/>
        <v>576.69444190377112</v>
      </c>
      <c r="AD27" s="783">
        <f t="shared" ca="1" si="8"/>
        <v>700.65976036773816</v>
      </c>
      <c r="AE27" s="783">
        <f t="shared" ca="1" si="8"/>
        <v>831.75675576365836</v>
      </c>
      <c r="AF27" s="783">
        <f t="shared" ca="1" si="8"/>
        <v>855.87770168080431</v>
      </c>
      <c r="AG27" s="783">
        <f t="shared" ca="1" si="8"/>
        <v>880.69815502954771</v>
      </c>
      <c r="AH27" s="783">
        <f t="shared" ca="1" si="8"/>
        <v>906.23840152540436</v>
      </c>
      <c r="AI27" s="783">
        <f t="shared" ca="1" si="8"/>
        <v>932.51931516964112</v>
      </c>
    </row>
    <row r="28" spans="2:36">
      <c r="K28" s="761" t="str">
        <f t="shared" si="1"/>
        <v xml:space="preserve">Gross Margin: </v>
      </c>
      <c r="O28" s="762" t="s">
        <v>1131</v>
      </c>
      <c r="P28" s="785">
        <f t="shared" ref="P28:Y28" si="9">_xlfn.SINGLE(INDEX(MO_RIS_GP,0,_xlfn.SINGLE(_xlfn.XMATCH("FY20"&amp;P$22,MO_Common_ColumnHeader))))/P23</f>
        <v>0.26792811385718801</v>
      </c>
      <c r="Q28" s="785">
        <f t="shared" si="9"/>
        <v>0.28680811525093908</v>
      </c>
      <c r="R28" s="785">
        <f t="shared" si="9"/>
        <v>0.28653836049330833</v>
      </c>
      <c r="S28" s="785">
        <f t="shared" si="9"/>
        <v>0.29098627098550611</v>
      </c>
      <c r="T28" s="785">
        <f t="shared" si="9"/>
        <v>0.29392516931678764</v>
      </c>
      <c r="U28" s="785">
        <f t="shared" si="9"/>
        <v>0.30804198885131578</v>
      </c>
      <c r="V28" s="785">
        <f t="shared" si="9"/>
        <v>0.2926082293645943</v>
      </c>
      <c r="W28" s="785">
        <f t="shared" si="9"/>
        <v>0.26290706910246231</v>
      </c>
      <c r="X28" s="785">
        <f t="shared" si="9"/>
        <v>0.26856693258438163</v>
      </c>
      <c r="Y28" s="785">
        <f t="shared" si="9"/>
        <v>0.24484341958478176</v>
      </c>
      <c r="Z28" s="785"/>
    </row>
    <row r="29" spans="2:36">
      <c r="K29" s="767" t="s">
        <v>1132</v>
      </c>
      <c r="L29" s="767"/>
      <c r="M29" s="767"/>
      <c r="N29" s="797"/>
      <c r="O29" s="762"/>
      <c r="V29" s="761" t="s">
        <v>1133</v>
      </c>
      <c r="W29" s="761" t="s">
        <v>1134</v>
      </c>
      <c r="Y29" s="783">
        <f ca="1">(Y24-T24)*T26</f>
        <v>-302.33477700087752</v>
      </c>
      <c r="Z29" s="795">
        <f ca="1">Y29/Y31</f>
        <v>8.4977853464708506</v>
      </c>
    </row>
    <row r="30" spans="2:36">
      <c r="K30" s="761" t="s">
        <v>1135</v>
      </c>
      <c r="N30" s="761" t="s">
        <v>901</v>
      </c>
      <c r="O30" s="762" t="s">
        <v>1136</v>
      </c>
      <c r="W30" s="761" t="s">
        <v>1137</v>
      </c>
      <c r="Y30" s="783">
        <f ca="1">(Y26-T26)*Y24</f>
        <v>1252.8012388723855</v>
      </c>
      <c r="Z30" s="798">
        <f ca="1">Y30/Y31</f>
        <v>-35.212740377860619</v>
      </c>
    </row>
    <row r="31" spans="2:36">
      <c r="K31" s="786" t="s">
        <v>1138</v>
      </c>
      <c r="L31" s="786"/>
      <c r="N31" s="796" t="s">
        <v>1139</v>
      </c>
      <c r="O31" s="762"/>
      <c r="W31" s="761" t="s">
        <v>1140</v>
      </c>
      <c r="Y31" s="799">
        <f ca="1">Y27-T27</f>
        <v>-35.57806706972633</v>
      </c>
      <c r="Z31" s="800">
        <f ca="1">SUM(Z29:Z30)</f>
        <v>-26.714955031389771</v>
      </c>
    </row>
    <row r="32" spans="2:36">
      <c r="K32" s="786" t="s">
        <v>1141</v>
      </c>
      <c r="L32" s="786"/>
      <c r="N32" s="796" t="s">
        <v>1142</v>
      </c>
      <c r="O32" s="762"/>
    </row>
    <row r="33" spans="2:36">
      <c r="K33" s="786" t="s">
        <v>1143</v>
      </c>
      <c r="L33" s="786"/>
      <c r="N33" s="796" t="s">
        <v>1144</v>
      </c>
      <c r="O33" s="762" t="s">
        <v>1145</v>
      </c>
      <c r="V33" s="761">
        <v>37.9</v>
      </c>
      <c r="W33" s="761">
        <v>32</v>
      </c>
      <c r="X33" s="761">
        <v>84.3</v>
      </c>
      <c r="Y33" s="761">
        <v>9.6999999999999993</v>
      </c>
      <c r="Z33" s="761">
        <v>0</v>
      </c>
    </row>
    <row r="34" spans="2:36">
      <c r="K34" s="786" t="s">
        <v>1146</v>
      </c>
      <c r="L34" s="786"/>
      <c r="N34" s="796" t="s">
        <v>1147</v>
      </c>
      <c r="O34" s="762" t="str">
        <f>O23</f>
        <v>Revenues</v>
      </c>
      <c r="V34" s="801">
        <f>V23-V33</f>
        <v>595.22300000000007</v>
      </c>
      <c r="W34" s="801">
        <f>W23-W33</f>
        <v>592.46400000000006</v>
      </c>
      <c r="X34" s="801">
        <f>X23-X33</f>
        <v>718.95600000000002</v>
      </c>
      <c r="Y34" s="801">
        <f>Y23-Y33</f>
        <v>763.00199999999995</v>
      </c>
      <c r="Z34" s="801">
        <f>Z23-Z33</f>
        <v>538.98372365711271</v>
      </c>
      <c r="AA34" s="801">
        <f>AA23</f>
        <v>617.68361720567964</v>
      </c>
      <c r="AB34"/>
      <c r="AC34"/>
      <c r="AD34"/>
      <c r="AE34"/>
      <c r="AF34"/>
      <c r="AG34"/>
      <c r="AH34"/>
      <c r="AI34"/>
      <c r="AJ34"/>
    </row>
    <row r="35" spans="2:36">
      <c r="K35" s="786" t="s">
        <v>1148</v>
      </c>
      <c r="L35" s="786"/>
      <c r="N35" s="796" t="s">
        <v>1149</v>
      </c>
      <c r="O35" s="762" t="str">
        <f>O24</f>
        <v>EBITDA</v>
      </c>
      <c r="V35" s="801">
        <f>V24-(V33*0.112)</f>
        <v>96.965200000000067</v>
      </c>
      <c r="W35" s="801">
        <f>W24-(W33*0.112)</f>
        <v>74.415000000000035</v>
      </c>
      <c r="X35" s="801">
        <f>X24-Model!AJ49</f>
        <v>91.07500000000006</v>
      </c>
      <c r="Y35" s="801">
        <f>F309</f>
        <v>88.935000000000016</v>
      </c>
      <c r="Z35" s="801">
        <f>Z24-(Z33*M64)</f>
        <v>28.190353146176221</v>
      </c>
      <c r="AA35" s="801">
        <f>AA24</f>
        <v>51.453600532339379</v>
      </c>
      <c r="AB35"/>
      <c r="AC35"/>
      <c r="AD35"/>
      <c r="AE35"/>
      <c r="AF35"/>
      <c r="AG35"/>
      <c r="AH35"/>
      <c r="AI35"/>
      <c r="AJ35"/>
    </row>
    <row r="36" spans="2:36">
      <c r="K36" s="786" t="s">
        <v>1150</v>
      </c>
      <c r="L36" s="786"/>
      <c r="N36" s="796" t="s">
        <v>1151</v>
      </c>
      <c r="O36" s="761" t="s">
        <v>1152</v>
      </c>
      <c r="V36" s="795">
        <f t="shared" ref="V36:AA36" si="10">V35/V34</f>
        <v>0.16290566728772252</v>
      </c>
      <c r="W36" s="795">
        <f t="shared" si="10"/>
        <v>0.12560256825731189</v>
      </c>
      <c r="X36" s="795">
        <f t="shared" si="10"/>
        <v>0.12667673682395036</v>
      </c>
      <c r="Y36" s="795">
        <f t="shared" si="10"/>
        <v>0.11655932749848627</v>
      </c>
      <c r="Z36" s="795">
        <f t="shared" si="10"/>
        <v>5.2302791176881962E-2</v>
      </c>
      <c r="AA36" s="795">
        <f t="shared" si="10"/>
        <v>8.3300898872967974E-2</v>
      </c>
      <c r="AB36"/>
      <c r="AC36"/>
      <c r="AD36"/>
      <c r="AE36"/>
      <c r="AF36"/>
      <c r="AG36"/>
      <c r="AH36"/>
      <c r="AI36"/>
      <c r="AJ36"/>
    </row>
    <row r="37" spans="2:36">
      <c r="K37" s="786" t="s">
        <v>1153</v>
      </c>
      <c r="L37" s="786"/>
      <c r="N37" s="796" t="s">
        <v>1154</v>
      </c>
      <c r="O37" s="761" t="s">
        <v>1155</v>
      </c>
      <c r="V37" s="795">
        <f t="shared" ref="V37:AA37" si="11">V36-V25</f>
        <v>3.0473143294504901E-3</v>
      </c>
      <c r="W37" s="795">
        <f t="shared" si="11"/>
        <v>6.9704928424053902E-4</v>
      </c>
      <c r="X37" s="795">
        <f t="shared" si="11"/>
        <v>-4.8740483408776791E-5</v>
      </c>
      <c r="Y37" s="795">
        <f t="shared" si="11"/>
        <v>1.4632102372393457E-3</v>
      </c>
      <c r="Z37" s="795">
        <f t="shared" si="11"/>
        <v>0</v>
      </c>
      <c r="AA37" s="795">
        <f t="shared" si="11"/>
        <v>0</v>
      </c>
    </row>
    <row r="38" spans="2:36">
      <c r="K38" s="786" t="s">
        <v>1156</v>
      </c>
      <c r="L38" s="786"/>
      <c r="N38" s="796" t="s">
        <v>1157</v>
      </c>
      <c r="O38" s="761" t="s">
        <v>1158</v>
      </c>
      <c r="P38" s="761" t="s">
        <v>1159</v>
      </c>
      <c r="Q38" s="802" t="s">
        <v>1160</v>
      </c>
      <c r="R38" s="761" t="s">
        <v>1161</v>
      </c>
      <c r="V38" s="799">
        <f>V24-V35</f>
        <v>4.2447999999999979</v>
      </c>
      <c r="W38" s="799">
        <f>W24-W35</f>
        <v>3.5840000000000032</v>
      </c>
      <c r="X38" s="799">
        <f>X24-X35</f>
        <v>10.718000000000004</v>
      </c>
      <c r="Y38" s="799">
        <f>Y24-Y35</f>
        <v>0</v>
      </c>
    </row>
    <row r="39" spans="2:36">
      <c r="K39" s="786" t="s">
        <v>1162</v>
      </c>
      <c r="L39" s="786"/>
      <c r="N39" s="796" t="s">
        <v>1163</v>
      </c>
      <c r="O39" s="795">
        <f>(Y34/V34)^(1/3)-1</f>
        <v>8.6297192966368952E-2</v>
      </c>
      <c r="P39" s="795">
        <f>(Z34/X34)-1</f>
        <v>-0.25032446539550024</v>
      </c>
      <c r="Q39" s="795">
        <f>(AA34/Y34)^(1/2)-1</f>
        <v>-0.10025342280789784</v>
      </c>
      <c r="R39" s="803">
        <v>0.08</v>
      </c>
    </row>
    <row r="40" spans="2:36" ht="15.75" thickBot="1">
      <c r="K40" s="786" t="s">
        <v>1164</v>
      </c>
      <c r="L40" s="786"/>
      <c r="N40" s="804" t="s">
        <v>1165</v>
      </c>
      <c r="O40" s="795">
        <f>(Y35/V35)^(1/3)-1</f>
        <v>-2.8404255552103574E-2</v>
      </c>
      <c r="P40" s="795">
        <f>(Z35/X35)-1</f>
        <v>-0.69047100580646492</v>
      </c>
      <c r="Q40" s="795">
        <f>(AA35/Y35)^(1/2)-1</f>
        <v>-0.23937336249547125</v>
      </c>
      <c r="U40" s="761" t="s">
        <v>1166</v>
      </c>
      <c r="V40" s="799">
        <f>V24-F64</f>
        <v>87.430000000000064</v>
      </c>
      <c r="W40" s="799">
        <f>W24-G64</f>
        <v>66.338000000000036</v>
      </c>
      <c r="X40" s="799">
        <f>X24-H64</f>
        <v>86.57500000000006</v>
      </c>
    </row>
    <row r="41" spans="2:36" ht="15.75" thickTop="1">
      <c r="N41" s="795">
        <f>SUM(N31:N40)</f>
        <v>0</v>
      </c>
      <c r="O41" s="762"/>
    </row>
    <row r="42" spans="2:36">
      <c r="K42" s="767" t="s">
        <v>1167</v>
      </c>
      <c r="L42" s="767"/>
      <c r="M42" s="767"/>
      <c r="N42" s="797"/>
      <c r="O42" s="762"/>
    </row>
    <row r="43" spans="2:36">
      <c r="K43" s="786" t="s">
        <v>1168</v>
      </c>
      <c r="L43" s="786"/>
      <c r="M43" s="786" t="s">
        <v>1169</v>
      </c>
      <c r="O43" s="762"/>
    </row>
    <row r="44" spans="2:36">
      <c r="K44" s="786" t="s">
        <v>1170</v>
      </c>
      <c r="L44" s="786"/>
      <c r="M44" s="786" t="s">
        <v>1171</v>
      </c>
      <c r="O44" s="762"/>
    </row>
    <row r="45" spans="2:36">
      <c r="K45" s="786" t="s">
        <v>1172</v>
      </c>
      <c r="L45" s="786"/>
      <c r="M45" s="786" t="s">
        <v>1173</v>
      </c>
      <c r="O45" s="762"/>
    </row>
    <row r="46" spans="2:36">
      <c r="K46" s="786" t="s">
        <v>1174</v>
      </c>
      <c r="L46" s="786"/>
      <c r="M46" s="786" t="s">
        <v>1175</v>
      </c>
      <c r="O46" s="762"/>
    </row>
    <row r="47" spans="2:36">
      <c r="O47" s="762"/>
    </row>
    <row r="48" spans="2:36">
      <c r="B48" s="761" t="s">
        <v>1176</v>
      </c>
      <c r="C48" s="805" t="s">
        <v>1177</v>
      </c>
      <c r="O48" s="762"/>
    </row>
    <row r="49" spans="2:15">
      <c r="B49" s="761" t="s">
        <v>1178</v>
      </c>
      <c r="C49" s="805" t="s">
        <v>1179</v>
      </c>
      <c r="O49" s="762"/>
    </row>
    <row r="50" spans="2:15">
      <c r="C50" s="761" t="s">
        <v>1180</v>
      </c>
      <c r="O50" s="762"/>
    </row>
    <row r="51" spans="2:15">
      <c r="C51" s="761" t="s">
        <v>1181</v>
      </c>
      <c r="O51" s="762"/>
    </row>
    <row r="52" spans="2:15">
      <c r="D52" s="802" t="s">
        <v>1182</v>
      </c>
      <c r="O52" s="762"/>
    </row>
    <row r="53" spans="2:15">
      <c r="D53" s="802" t="s">
        <v>1183</v>
      </c>
      <c r="O53" s="762"/>
    </row>
    <row r="54" spans="2:15">
      <c r="C54" s="761" t="s">
        <v>1184</v>
      </c>
      <c r="O54" s="762"/>
    </row>
    <row r="55" spans="2:15">
      <c r="C55" s="761" t="s">
        <v>1185</v>
      </c>
      <c r="O55" s="762"/>
    </row>
    <row r="56" spans="2:15">
      <c r="D56" s="802" t="s">
        <v>1186</v>
      </c>
      <c r="O56" s="762"/>
    </row>
    <row r="57" spans="2:15">
      <c r="C57" s="761" t="s">
        <v>1187</v>
      </c>
      <c r="O57" s="762"/>
    </row>
    <row r="58" spans="2:15">
      <c r="C58" s="761" t="s">
        <v>1188</v>
      </c>
      <c r="O58" s="762"/>
    </row>
    <row r="59" spans="2:15">
      <c r="C59" s="761" t="s">
        <v>1189</v>
      </c>
      <c r="F59" s="761">
        <v>2016</v>
      </c>
      <c r="G59" s="761">
        <v>2017</v>
      </c>
      <c r="H59" s="761">
        <v>2018</v>
      </c>
      <c r="I59" s="761" t="s">
        <v>1190</v>
      </c>
      <c r="J59" s="761" t="s">
        <v>1191</v>
      </c>
      <c r="M59" s="761" t="s">
        <v>1192</v>
      </c>
      <c r="O59" s="762"/>
    </row>
    <row r="60" spans="2:15">
      <c r="D60" s="761" t="s">
        <v>1193</v>
      </c>
      <c r="F60" s="806">
        <v>99.081999999999994</v>
      </c>
      <c r="G60" s="806">
        <v>89.861000000000004</v>
      </c>
      <c r="H60" s="806">
        <v>127.679</v>
      </c>
      <c r="I60" s="795">
        <f t="shared" ref="I60:I65" si="12">(H60/F60)^(1/2)-1</f>
        <v>0.13517378725032625</v>
      </c>
      <c r="J60" s="795">
        <f>F60/V23</f>
        <v>0.15649723671387705</v>
      </c>
      <c r="K60" s="795">
        <f>G60/W23</f>
        <v>0.14390100950575213</v>
      </c>
      <c r="L60" s="795">
        <f>H60/X23</f>
        <v>0.15895181610843867</v>
      </c>
      <c r="M60" s="800">
        <f>AVERAGE(J60:L60)</f>
        <v>0.15311668744268928</v>
      </c>
      <c r="O60" s="762"/>
    </row>
    <row r="61" spans="2:15">
      <c r="D61" s="761" t="s">
        <v>1194</v>
      </c>
      <c r="F61" s="806">
        <v>8.5069999999999997</v>
      </c>
      <c r="G61" s="806">
        <v>7.359</v>
      </c>
      <c r="H61" s="806">
        <v>10.718</v>
      </c>
      <c r="I61" s="795">
        <f t="shared" si="12"/>
        <v>0.1224542791547274</v>
      </c>
      <c r="O61" s="762"/>
    </row>
    <row r="62" spans="2:15">
      <c r="D62" s="761" t="s">
        <v>1195</v>
      </c>
      <c r="F62" s="806">
        <v>5.2729999999999997</v>
      </c>
      <c r="G62" s="806">
        <v>4.3019999999999996</v>
      </c>
      <c r="H62" s="806">
        <v>4.5</v>
      </c>
      <c r="I62" s="795">
        <f t="shared" si="12"/>
        <v>-7.6201247960944074E-2</v>
      </c>
      <c r="O62" s="762"/>
    </row>
    <row r="63" spans="2:15">
      <c r="D63" s="761" t="s">
        <v>22</v>
      </c>
      <c r="F63" s="806">
        <v>3.3450000000000002</v>
      </c>
      <c r="G63" s="806">
        <v>2.7210000000000001</v>
      </c>
      <c r="H63" s="806">
        <v>1.37</v>
      </c>
      <c r="I63" s="795">
        <f t="shared" si="12"/>
        <v>-0.3600261589800442</v>
      </c>
      <c r="O63" s="762"/>
    </row>
    <row r="64" spans="2:15">
      <c r="D64" s="761" t="s">
        <v>11</v>
      </c>
      <c r="F64" s="806">
        <f>F61+F62</f>
        <v>13.78</v>
      </c>
      <c r="G64" s="806">
        <f>G61+G62</f>
        <v>11.661</v>
      </c>
      <c r="H64" s="806">
        <f>H61+H62</f>
        <v>15.218</v>
      </c>
      <c r="I64" s="795">
        <f t="shared" si="12"/>
        <v>5.0882551206179238E-2</v>
      </c>
      <c r="J64" s="795">
        <f>F64/V24</f>
        <v>0.13615255409544502</v>
      </c>
      <c r="K64" s="795">
        <f>G64/W24</f>
        <v>0.14950191669123955</v>
      </c>
      <c r="L64" s="795">
        <f>H64/X24</f>
        <v>0.14949947442358502</v>
      </c>
      <c r="M64" s="800">
        <f>AVERAGE(J64:L64)</f>
        <v>0.14505131507008986</v>
      </c>
      <c r="O64" s="762"/>
    </row>
    <row r="65" spans="2:15">
      <c r="D65" s="761" t="s">
        <v>1196</v>
      </c>
      <c r="F65" s="806">
        <f>F64-F63</f>
        <v>10.434999999999999</v>
      </c>
      <c r="G65" s="806">
        <f>G64-G63</f>
        <v>8.94</v>
      </c>
      <c r="H65" s="806">
        <f>H64-H63</f>
        <v>13.847999999999999</v>
      </c>
      <c r="I65" s="795">
        <f t="shared" si="12"/>
        <v>0.15198626409316174</v>
      </c>
      <c r="O65" s="762"/>
    </row>
    <row r="66" spans="2:15">
      <c r="B66" s="761" t="s">
        <v>1197</v>
      </c>
      <c r="C66" s="805" t="s">
        <v>1198</v>
      </c>
      <c r="O66" s="762"/>
    </row>
    <row r="67" spans="2:15">
      <c r="B67" s="761" t="s">
        <v>1199</v>
      </c>
      <c r="C67" s="805" t="s">
        <v>1200</v>
      </c>
      <c r="O67" s="762"/>
    </row>
    <row r="68" spans="2:15">
      <c r="C68" s="761" t="s">
        <v>1201</v>
      </c>
      <c r="O68" s="762"/>
    </row>
    <row r="69" spans="2:15">
      <c r="D69" s="802" t="s">
        <v>1202</v>
      </c>
      <c r="O69" s="762"/>
    </row>
    <row r="70" spans="2:15">
      <c r="D70" s="802" t="s">
        <v>1203</v>
      </c>
      <c r="O70" s="762"/>
    </row>
    <row r="71" spans="2:15">
      <c r="D71" s="802" t="s">
        <v>1204</v>
      </c>
      <c r="O71" s="762"/>
    </row>
    <row r="72" spans="2:15">
      <c r="D72" s="802" t="s">
        <v>1205</v>
      </c>
      <c r="O72" s="762"/>
    </row>
    <row r="73" spans="2:15">
      <c r="E73" s="761" t="s">
        <v>1206</v>
      </c>
      <c r="O73" s="762"/>
    </row>
    <row r="74" spans="2:15">
      <c r="E74" s="802" t="s">
        <v>1207</v>
      </c>
      <c r="O74" s="762"/>
    </row>
    <row r="75" spans="2:15">
      <c r="D75" s="802" t="s">
        <v>1208</v>
      </c>
      <c r="O75" s="762"/>
    </row>
    <row r="76" spans="2:15">
      <c r="D76" s="802" t="s">
        <v>1209</v>
      </c>
      <c r="O76" s="762"/>
    </row>
    <row r="77" spans="2:15">
      <c r="D77" s="802" t="s">
        <v>1210</v>
      </c>
      <c r="O77" s="762"/>
    </row>
    <row r="78" spans="2:15">
      <c r="O78" s="762"/>
    </row>
    <row r="79" spans="2:15">
      <c r="O79" s="762"/>
    </row>
    <row r="80" spans="2:15">
      <c r="O80" s="762"/>
    </row>
    <row r="81" spans="15:15">
      <c r="O81" s="762"/>
    </row>
    <row r="82" spans="15:15">
      <c r="O82" s="762"/>
    </row>
    <row r="83" spans="15:15">
      <c r="O83" s="762"/>
    </row>
    <row r="84" spans="15:15">
      <c r="O84" s="762"/>
    </row>
    <row r="85" spans="15:15">
      <c r="O85" s="762"/>
    </row>
    <row r="86" spans="15:15">
      <c r="O86" s="762"/>
    </row>
    <row r="87" spans="15:15">
      <c r="O87" s="762"/>
    </row>
    <row r="88" spans="15:15">
      <c r="O88" s="762"/>
    </row>
    <row r="89" spans="15:15">
      <c r="O89" s="762"/>
    </row>
    <row r="90" spans="15:15">
      <c r="O90" s="762"/>
    </row>
    <row r="91" spans="15:15">
      <c r="O91" s="762"/>
    </row>
    <row r="92" spans="15:15">
      <c r="O92" s="762"/>
    </row>
    <row r="93" spans="15:15">
      <c r="O93" s="762"/>
    </row>
    <row r="94" spans="15:15">
      <c r="O94" s="762"/>
    </row>
    <row r="95" spans="15:15">
      <c r="O95" s="762"/>
    </row>
    <row r="96" spans="15:15">
      <c r="O96" s="762"/>
    </row>
    <row r="97" spans="2:15">
      <c r="O97" s="762"/>
    </row>
    <row r="98" spans="2:15">
      <c r="O98" s="762"/>
    </row>
    <row r="99" spans="2:15">
      <c r="B99" s="761" t="s">
        <v>1211</v>
      </c>
      <c r="O99" s="762"/>
    </row>
    <row r="102" spans="2:15">
      <c r="B102" s="761" t="s">
        <v>1212</v>
      </c>
      <c r="C102" s="761" t="s">
        <v>1213</v>
      </c>
      <c r="D102" s="761">
        <v>2016</v>
      </c>
      <c r="E102" s="761">
        <f>D102+1</f>
        <v>2017</v>
      </c>
      <c r="F102" s="761">
        <f>E102+1</f>
        <v>2018</v>
      </c>
      <c r="G102" s="761">
        <f>F102+1</f>
        <v>2019</v>
      </c>
      <c r="H102" s="761" t="s">
        <v>1190</v>
      </c>
    </row>
    <row r="103" spans="2:15">
      <c r="C103" s="761" t="s">
        <v>1214</v>
      </c>
      <c r="D103" s="761">
        <v>534</v>
      </c>
      <c r="E103" s="761">
        <v>534.6</v>
      </c>
      <c r="F103" s="761">
        <v>675.6</v>
      </c>
      <c r="G103" s="761">
        <f>+AVERAGE(710,745)</f>
        <v>727.5</v>
      </c>
      <c r="H103" s="795">
        <f>(G103/D103)^(1/3)-1</f>
        <v>0.10857202153388434</v>
      </c>
    </row>
    <row r="104" spans="2:15">
      <c r="C104" s="761" t="s">
        <v>1215</v>
      </c>
      <c r="D104" s="767">
        <v>99.1</v>
      </c>
      <c r="E104" s="767">
        <v>89.9</v>
      </c>
      <c r="F104" s="767">
        <v>127.6</v>
      </c>
      <c r="G104" s="767">
        <f>AVERAGE(50,60)</f>
        <v>55</v>
      </c>
      <c r="H104" s="795">
        <f>(G104/D104)^(1/3)-1</f>
        <v>-0.17820591378985473</v>
      </c>
    </row>
    <row r="105" spans="2:15">
      <c r="D105" s="761">
        <f>SUM(D103:D104)</f>
        <v>633.1</v>
      </c>
      <c r="E105" s="761">
        <f>SUM(E103:E104)</f>
        <v>624.5</v>
      </c>
      <c r="F105" s="761">
        <f>SUM(F103:F104)</f>
        <v>803.2</v>
      </c>
      <c r="G105" s="761">
        <f>SUM(G103:G104)</f>
        <v>782.5</v>
      </c>
    </row>
    <row r="107" spans="2:15">
      <c r="C107" s="761" t="s">
        <v>1216</v>
      </c>
      <c r="D107" s="795">
        <f>D104/D105</f>
        <v>0.15653135365661031</v>
      </c>
      <c r="E107" s="795">
        <f>E104/E105</f>
        <v>0.14395516413130505</v>
      </c>
      <c r="F107" s="795">
        <f>F104/F105</f>
        <v>0.15886454183266932</v>
      </c>
      <c r="G107" s="795">
        <f>G104/G105</f>
        <v>7.0287539936102233E-2</v>
      </c>
      <c r="H107" s="800">
        <f>AVERAGE(D107:G107)</f>
        <v>0.13240964988917173</v>
      </c>
    </row>
    <row r="109" spans="2:15">
      <c r="B109" s="761" t="s">
        <v>1217</v>
      </c>
      <c r="C109" s="761" t="s">
        <v>1214</v>
      </c>
      <c r="G109" s="761" t="s">
        <v>1218</v>
      </c>
      <c r="J109" s="761" t="s">
        <v>1218</v>
      </c>
    </row>
    <row r="110" spans="2:15">
      <c r="C110" s="761" t="s">
        <v>670</v>
      </c>
      <c r="G110" s="795">
        <v>0.66</v>
      </c>
      <c r="I110" s="761" t="s">
        <v>1219</v>
      </c>
      <c r="J110" s="795">
        <v>0.39</v>
      </c>
    </row>
    <row r="111" spans="2:15">
      <c r="C111" s="761" t="s">
        <v>1220</v>
      </c>
      <c r="G111" s="795">
        <v>0.09</v>
      </c>
      <c r="I111" s="761" t="s">
        <v>1221</v>
      </c>
      <c r="J111" s="795">
        <v>0.22</v>
      </c>
    </row>
    <row r="112" spans="2:15">
      <c r="C112" s="761" t="s">
        <v>1222</v>
      </c>
      <c r="G112" s="795">
        <v>0.06</v>
      </c>
      <c r="I112" s="761" t="s">
        <v>1223</v>
      </c>
      <c r="J112" s="795">
        <v>0.16</v>
      </c>
    </row>
    <row r="113" spans="2:20">
      <c r="C113" s="761" t="s">
        <v>1224</v>
      </c>
      <c r="G113" s="795">
        <v>0.1</v>
      </c>
      <c r="I113" s="761" t="s">
        <v>1216</v>
      </c>
      <c r="J113" s="795">
        <v>0.16</v>
      </c>
    </row>
    <row r="114" spans="2:20">
      <c r="C114" s="761" t="s">
        <v>1225</v>
      </c>
      <c r="G114" s="795">
        <v>0.06</v>
      </c>
      <c r="I114" s="761" t="s">
        <v>1226</v>
      </c>
      <c r="J114" s="795">
        <v>0.03</v>
      </c>
    </row>
    <row r="115" spans="2:20">
      <c r="C115" s="761" t="s">
        <v>163</v>
      </c>
      <c r="G115" s="798">
        <v>0.03</v>
      </c>
      <c r="I115" s="761" t="s">
        <v>1227</v>
      </c>
      <c r="J115" s="795">
        <v>0.01</v>
      </c>
    </row>
    <row r="116" spans="2:20">
      <c r="G116" s="800">
        <f>SUM(G110:G115)</f>
        <v>1</v>
      </c>
      <c r="I116" s="761" t="s">
        <v>163</v>
      </c>
      <c r="J116" s="795">
        <v>0.03</v>
      </c>
    </row>
    <row r="118" spans="2:20">
      <c r="B118" s="761" t="s">
        <v>1228</v>
      </c>
    </row>
    <row r="120" spans="2:20" ht="15.75" thickBot="1">
      <c r="C120" s="761" t="s">
        <v>1229</v>
      </c>
    </row>
    <row r="121" spans="2:20" ht="15.75" thickBot="1">
      <c r="B121" s="761">
        <v>1000</v>
      </c>
      <c r="C121" s="807">
        <v>2.95</v>
      </c>
      <c r="D121" s="807">
        <v>2014</v>
      </c>
      <c r="E121" s="807">
        <v>2015</v>
      </c>
      <c r="F121" s="807">
        <v>2016</v>
      </c>
      <c r="G121" s="761">
        <v>2017</v>
      </c>
      <c r="H121" s="761">
        <v>2018</v>
      </c>
      <c r="I121" s="761">
        <v>2019</v>
      </c>
      <c r="J121" s="761">
        <v>2020</v>
      </c>
      <c r="K121" s="761">
        <v>2021</v>
      </c>
      <c r="L121" s="761">
        <v>2022</v>
      </c>
      <c r="M121" s="761">
        <v>2023</v>
      </c>
      <c r="N121" s="761">
        <v>2024</v>
      </c>
      <c r="O121" s="761">
        <f t="shared" ref="O121:T121" si="13">N121+1</f>
        <v>2025</v>
      </c>
      <c r="P121" s="761">
        <f t="shared" si="13"/>
        <v>2026</v>
      </c>
      <c r="Q121" s="761">
        <f t="shared" si="13"/>
        <v>2027</v>
      </c>
      <c r="R121" s="761">
        <f t="shared" si="13"/>
        <v>2028</v>
      </c>
      <c r="S121" s="761">
        <f t="shared" si="13"/>
        <v>2029</v>
      </c>
      <c r="T121" s="761">
        <f t="shared" si="13"/>
        <v>2030</v>
      </c>
    </row>
    <row r="122" spans="2:20">
      <c r="C122" s="761" t="s">
        <v>1230</v>
      </c>
      <c r="D122" s="761">
        <v>2.85</v>
      </c>
      <c r="E122" s="761">
        <v>2.95</v>
      </c>
      <c r="F122" s="761">
        <v>3.15</v>
      </c>
      <c r="G122" s="761">
        <v>3.45</v>
      </c>
      <c r="H122" s="761">
        <v>3.6</v>
      </c>
      <c r="I122" s="761">
        <v>3.95</v>
      </c>
      <c r="J122" s="761">
        <v>4.0999999999999996</v>
      </c>
      <c r="K122" s="761">
        <v>4.1500000000000004</v>
      </c>
      <c r="L122" s="761">
        <v>4.2</v>
      </c>
      <c r="M122" s="761">
        <v>4.3</v>
      </c>
      <c r="N122" s="761">
        <v>4.5</v>
      </c>
      <c r="O122" s="761">
        <v>4.55</v>
      </c>
      <c r="P122" s="761">
        <v>4.5</v>
      </c>
      <c r="Q122" s="761">
        <v>4.5999999999999996</v>
      </c>
      <c r="R122" s="761">
        <v>4.5999999999999996</v>
      </c>
      <c r="S122" s="761">
        <v>4.6500000000000004</v>
      </c>
      <c r="T122" s="761">
        <v>4.6500000000000004</v>
      </c>
    </row>
    <row r="123" spans="2:20">
      <c r="C123" s="761" t="s">
        <v>696</v>
      </c>
      <c r="D123" s="761">
        <v>3.8</v>
      </c>
      <c r="E123" s="761">
        <v>4.05</v>
      </c>
      <c r="F123" s="761">
        <v>4.2</v>
      </c>
      <c r="G123" s="761">
        <v>4.5</v>
      </c>
      <c r="H123" s="761">
        <v>4.7</v>
      </c>
      <c r="I123" s="761">
        <v>5.2</v>
      </c>
      <c r="J123" s="761">
        <v>5.4</v>
      </c>
      <c r="K123" s="761">
        <v>5.7</v>
      </c>
      <c r="L123" s="761">
        <v>5.5</v>
      </c>
      <c r="M123" s="761">
        <v>5.55</v>
      </c>
      <c r="N123" s="761">
        <v>5.8</v>
      </c>
      <c r="O123" s="761">
        <v>6</v>
      </c>
      <c r="P123" s="761">
        <v>6.05</v>
      </c>
      <c r="Q123" s="761">
        <v>6.1</v>
      </c>
      <c r="R123" s="761">
        <v>6.1</v>
      </c>
      <c r="S123" s="761">
        <v>6.15</v>
      </c>
      <c r="T123" s="761">
        <v>6.1</v>
      </c>
    </row>
    <row r="125" spans="2:20">
      <c r="C125" s="761" t="s">
        <v>1231</v>
      </c>
    </row>
    <row r="126" spans="2:20">
      <c r="C126" s="761" t="s">
        <v>1230</v>
      </c>
      <c r="D126" s="806">
        <f t="shared" ref="D126:T126" si="14">D122/$C$121*$B$121</f>
        <v>966.10169491525426</v>
      </c>
      <c r="E126" s="806">
        <f t="shared" si="14"/>
        <v>1000</v>
      </c>
      <c r="F126" s="806">
        <f t="shared" si="14"/>
        <v>1067.7966101694913</v>
      </c>
      <c r="G126" s="806">
        <f t="shared" si="14"/>
        <v>1169.4915254237287</v>
      </c>
      <c r="H126" s="806">
        <f t="shared" si="14"/>
        <v>1220.3389830508472</v>
      </c>
      <c r="I126" s="806">
        <f t="shared" si="14"/>
        <v>1338.9830508474577</v>
      </c>
      <c r="J126" s="806">
        <f t="shared" si="14"/>
        <v>1389.8305084745762</v>
      </c>
      <c r="K126" s="806">
        <f t="shared" si="14"/>
        <v>1406.7796610169491</v>
      </c>
      <c r="L126" s="806">
        <f t="shared" si="14"/>
        <v>1423.7288135593219</v>
      </c>
      <c r="M126" s="806">
        <f t="shared" si="14"/>
        <v>1457.6271186440677</v>
      </c>
      <c r="N126" s="806">
        <f t="shared" si="14"/>
        <v>1525.4237288135594</v>
      </c>
      <c r="O126" s="806">
        <f t="shared" si="14"/>
        <v>1542.3728813559321</v>
      </c>
      <c r="P126" s="806">
        <f t="shared" si="14"/>
        <v>1525.4237288135594</v>
      </c>
      <c r="Q126" s="806">
        <f t="shared" si="14"/>
        <v>1559.3220338983049</v>
      </c>
      <c r="R126" s="806">
        <f t="shared" si="14"/>
        <v>1559.3220338983049</v>
      </c>
      <c r="S126" s="806">
        <f t="shared" si="14"/>
        <v>1576.2711864406781</v>
      </c>
      <c r="T126" s="806">
        <f t="shared" si="14"/>
        <v>1576.2711864406781</v>
      </c>
    </row>
    <row r="127" spans="2:20">
      <c r="C127" s="761" t="s">
        <v>1232</v>
      </c>
      <c r="D127" s="799">
        <f t="shared" ref="D127:T127" si="15">D128-D126</f>
        <v>322.03389830508468</v>
      </c>
      <c r="E127" s="799">
        <f t="shared" si="15"/>
        <v>372.88135593220318</v>
      </c>
      <c r="F127" s="799">
        <f t="shared" si="15"/>
        <v>355.93220338983065</v>
      </c>
      <c r="G127" s="799">
        <f t="shared" si="15"/>
        <v>355.93220338983065</v>
      </c>
      <c r="H127" s="799">
        <f t="shared" si="15"/>
        <v>372.88135593220363</v>
      </c>
      <c r="I127" s="799">
        <f t="shared" si="15"/>
        <v>423.72881355932191</v>
      </c>
      <c r="J127" s="799">
        <f t="shared" si="15"/>
        <v>440.67796610169512</v>
      </c>
      <c r="K127" s="799">
        <f t="shared" si="15"/>
        <v>525.42372881355936</v>
      </c>
      <c r="L127" s="799">
        <f t="shared" si="15"/>
        <v>440.67796610169489</v>
      </c>
      <c r="M127" s="799">
        <f t="shared" si="15"/>
        <v>423.72881355932213</v>
      </c>
      <c r="N127" s="799">
        <f t="shared" si="15"/>
        <v>440.67796610169466</v>
      </c>
      <c r="O127" s="799">
        <f t="shared" si="15"/>
        <v>491.52542372881362</v>
      </c>
      <c r="P127" s="799">
        <f t="shared" si="15"/>
        <v>525.42372881355936</v>
      </c>
      <c r="Q127" s="799">
        <f t="shared" si="15"/>
        <v>508.47457627118661</v>
      </c>
      <c r="R127" s="799">
        <f t="shared" si="15"/>
        <v>508.47457627118661</v>
      </c>
      <c r="S127" s="799">
        <f t="shared" si="15"/>
        <v>508.47457627118615</v>
      </c>
      <c r="T127" s="799">
        <f t="shared" si="15"/>
        <v>491.52542372881339</v>
      </c>
    </row>
    <row r="128" spans="2:20">
      <c r="C128" s="761" t="s">
        <v>696</v>
      </c>
      <c r="D128" s="806">
        <f t="shared" ref="D128:T128" si="16">D123/$C$121*$B$121</f>
        <v>1288.1355932203389</v>
      </c>
      <c r="E128" s="806">
        <f t="shared" si="16"/>
        <v>1372.8813559322032</v>
      </c>
      <c r="F128" s="806">
        <f t="shared" si="16"/>
        <v>1423.7288135593219</v>
      </c>
      <c r="G128" s="806">
        <f t="shared" si="16"/>
        <v>1525.4237288135594</v>
      </c>
      <c r="H128" s="806">
        <f t="shared" si="16"/>
        <v>1593.2203389830509</v>
      </c>
      <c r="I128" s="806">
        <f t="shared" si="16"/>
        <v>1762.7118644067796</v>
      </c>
      <c r="J128" s="806">
        <f t="shared" si="16"/>
        <v>1830.5084745762713</v>
      </c>
      <c r="K128" s="806">
        <f t="shared" si="16"/>
        <v>1932.2033898305085</v>
      </c>
      <c r="L128" s="806">
        <f t="shared" si="16"/>
        <v>1864.4067796610168</v>
      </c>
      <c r="M128" s="806">
        <f t="shared" si="16"/>
        <v>1881.3559322033898</v>
      </c>
      <c r="N128" s="806">
        <f t="shared" si="16"/>
        <v>1966.101694915254</v>
      </c>
      <c r="O128" s="806">
        <f t="shared" si="16"/>
        <v>2033.8983050847457</v>
      </c>
      <c r="P128" s="806">
        <f t="shared" si="16"/>
        <v>2050.8474576271187</v>
      </c>
      <c r="Q128" s="806">
        <f t="shared" si="16"/>
        <v>2067.7966101694915</v>
      </c>
      <c r="R128" s="806">
        <f t="shared" si="16"/>
        <v>2067.7966101694915</v>
      </c>
      <c r="S128" s="806">
        <f t="shared" si="16"/>
        <v>2084.7457627118642</v>
      </c>
      <c r="T128" s="806">
        <f t="shared" si="16"/>
        <v>2067.7966101694915</v>
      </c>
    </row>
    <row r="130" spans="2:31">
      <c r="B130" s="761" t="s">
        <v>1233</v>
      </c>
    </row>
    <row r="131" spans="2:31">
      <c r="B131" s="761">
        <v>500</v>
      </c>
      <c r="C131" s="761">
        <v>1.55</v>
      </c>
    </row>
    <row r="132" spans="2:31">
      <c r="C132" s="761" t="s">
        <v>1234</v>
      </c>
      <c r="I132" s="808">
        <v>3.65</v>
      </c>
      <c r="J132" s="808">
        <v>3.81</v>
      </c>
      <c r="K132" s="808">
        <v>3.9</v>
      </c>
      <c r="L132" s="808">
        <v>3.95</v>
      </c>
      <c r="M132" s="808">
        <v>4.2</v>
      </c>
      <c r="N132" s="808">
        <v>4.3499999999999996</v>
      </c>
      <c r="O132" s="808">
        <v>4.4000000000000004</v>
      </c>
      <c r="P132" s="808">
        <v>4.5</v>
      </c>
      <c r="Q132" s="808">
        <v>4.5</v>
      </c>
      <c r="R132" s="808">
        <v>4.55</v>
      </c>
      <c r="S132" s="808">
        <v>4.55</v>
      </c>
    </row>
    <row r="133" spans="2:31">
      <c r="C133" s="761" t="s">
        <v>696</v>
      </c>
      <c r="I133" s="808">
        <v>4.8</v>
      </c>
      <c r="J133" s="808">
        <v>5.5</v>
      </c>
      <c r="K133" s="808">
        <v>5.45</v>
      </c>
      <c r="L133" s="808">
        <v>5.55</v>
      </c>
      <c r="M133" s="808">
        <v>5.8</v>
      </c>
      <c r="N133" s="808">
        <v>6.05</v>
      </c>
      <c r="O133" s="808">
        <v>6.25</v>
      </c>
      <c r="P133" s="808">
        <v>6.4</v>
      </c>
      <c r="Q133" s="808">
        <v>6.45</v>
      </c>
      <c r="R133" s="808">
        <v>6.5</v>
      </c>
      <c r="S133" s="808">
        <v>6.5</v>
      </c>
    </row>
    <row r="135" spans="2:31">
      <c r="C135" s="761" t="s">
        <v>1231</v>
      </c>
    </row>
    <row r="136" spans="2:31">
      <c r="C136" s="761" t="s">
        <v>1234</v>
      </c>
      <c r="I136" s="806">
        <f t="shared" ref="I136:S136" si="17">I132/$C$131*$B$131</f>
        <v>1177.4193548387095</v>
      </c>
      <c r="J136" s="806">
        <f t="shared" si="17"/>
        <v>1229.0322580645161</v>
      </c>
      <c r="K136" s="806">
        <f t="shared" si="17"/>
        <v>1258.0645161290322</v>
      </c>
      <c r="L136" s="806">
        <f t="shared" si="17"/>
        <v>1274.1935483870968</v>
      </c>
      <c r="M136" s="806">
        <f t="shared" si="17"/>
        <v>1354.8387096774195</v>
      </c>
      <c r="N136" s="806">
        <f t="shared" si="17"/>
        <v>1403.2258064516127</v>
      </c>
      <c r="O136" s="806">
        <f t="shared" si="17"/>
        <v>1419.3548387096776</v>
      </c>
      <c r="P136" s="806">
        <f t="shared" si="17"/>
        <v>1451.6129032258066</v>
      </c>
      <c r="Q136" s="806">
        <f t="shared" si="17"/>
        <v>1451.6129032258066</v>
      </c>
      <c r="R136" s="806">
        <f t="shared" si="17"/>
        <v>1467.7419354838707</v>
      </c>
      <c r="S136" s="806">
        <f t="shared" si="17"/>
        <v>1467.7419354838707</v>
      </c>
    </row>
    <row r="137" spans="2:31">
      <c r="C137" s="761" t="s">
        <v>1235</v>
      </c>
      <c r="I137" s="799">
        <f t="shared" ref="I137:S137" si="18">I138-I136</f>
        <v>370.9677419354839</v>
      </c>
      <c r="J137" s="799">
        <f t="shared" si="18"/>
        <v>545.16129032258073</v>
      </c>
      <c r="K137" s="799">
        <f t="shared" si="18"/>
        <v>500</v>
      </c>
      <c r="L137" s="799">
        <f t="shared" si="18"/>
        <v>516.1290322580644</v>
      </c>
      <c r="M137" s="799">
        <f t="shared" si="18"/>
        <v>516.12903225806417</v>
      </c>
      <c r="N137" s="799">
        <f t="shared" si="18"/>
        <v>548.38709677419365</v>
      </c>
      <c r="O137" s="799">
        <f t="shared" si="18"/>
        <v>596.77419354838685</v>
      </c>
      <c r="P137" s="799">
        <f t="shared" si="18"/>
        <v>612.90322580645147</v>
      </c>
      <c r="Q137" s="799">
        <f t="shared" si="18"/>
        <v>629.03225806451587</v>
      </c>
      <c r="R137" s="799">
        <f t="shared" si="18"/>
        <v>629.0322580645161</v>
      </c>
      <c r="S137" s="799">
        <f t="shared" si="18"/>
        <v>629.0322580645161</v>
      </c>
    </row>
    <row r="138" spans="2:31">
      <c r="C138" s="761" t="s">
        <v>696</v>
      </c>
      <c r="I138" s="806">
        <f t="shared" ref="I138:S138" si="19">I133/$C$131*$B$131</f>
        <v>1548.3870967741934</v>
      </c>
      <c r="J138" s="806">
        <f t="shared" si="19"/>
        <v>1774.1935483870968</v>
      </c>
      <c r="K138" s="806">
        <f t="shared" si="19"/>
        <v>1758.0645161290322</v>
      </c>
      <c r="L138" s="806">
        <f t="shared" si="19"/>
        <v>1790.3225806451612</v>
      </c>
      <c r="M138" s="806">
        <f t="shared" si="19"/>
        <v>1870.9677419354837</v>
      </c>
      <c r="N138" s="806">
        <f t="shared" si="19"/>
        <v>1951.6129032258063</v>
      </c>
      <c r="O138" s="806">
        <f t="shared" si="19"/>
        <v>2016.1290322580644</v>
      </c>
      <c r="P138" s="806">
        <f t="shared" si="19"/>
        <v>2064.516129032258</v>
      </c>
      <c r="Q138" s="806">
        <f t="shared" si="19"/>
        <v>2080.6451612903224</v>
      </c>
      <c r="R138" s="806">
        <f t="shared" si="19"/>
        <v>2096.7741935483868</v>
      </c>
      <c r="S138" s="806">
        <f t="shared" si="19"/>
        <v>2096.7741935483868</v>
      </c>
    </row>
    <row r="139" spans="2:31">
      <c r="D139" s="761">
        <v>2019</v>
      </c>
      <c r="E139" s="761">
        <v>2020</v>
      </c>
      <c r="F139" s="761" t="s">
        <v>754</v>
      </c>
      <c r="G139" s="761" t="s">
        <v>1236</v>
      </c>
    </row>
    <row r="140" spans="2:31">
      <c r="C140" s="761" t="s">
        <v>660</v>
      </c>
      <c r="D140" s="761">
        <f>SUM('Latest Announcments'!G54:G417)</f>
        <v>57</v>
      </c>
      <c r="E140" s="761">
        <v>3</v>
      </c>
      <c r="F140" s="761">
        <f>AVERAGE(42,52)</f>
        <v>47</v>
      </c>
    </row>
    <row r="141" spans="2:31">
      <c r="C141" s="761" t="s">
        <v>1237</v>
      </c>
      <c r="D141" s="808">
        <f>$C$142*D140/1000000</f>
        <v>5.415</v>
      </c>
      <c r="E141" s="808">
        <f>$C$142*E140/1000000</f>
        <v>0.28499999999999998</v>
      </c>
      <c r="F141" s="808">
        <f>F140*C142/1000000</f>
        <v>4.4649999999999999</v>
      </c>
      <c r="G141" s="799">
        <f>F141*3</f>
        <v>13.395</v>
      </c>
    </row>
    <row r="142" spans="2:31">
      <c r="C142" s="809">
        <v>95000</v>
      </c>
    </row>
    <row r="143" spans="2:31">
      <c r="C143" s="809"/>
    </row>
    <row r="144" spans="2:31">
      <c r="B144" s="761" t="s">
        <v>1238</v>
      </c>
      <c r="D144" s="767">
        <v>2004</v>
      </c>
      <c r="E144" s="767" t="s">
        <v>1239</v>
      </c>
      <c r="F144" s="767" t="s">
        <v>1240</v>
      </c>
      <c r="G144" s="767" t="s">
        <v>1241</v>
      </c>
      <c r="H144" s="767" t="s">
        <v>1242</v>
      </c>
      <c r="I144" s="767" t="s">
        <v>1243</v>
      </c>
      <c r="J144" s="767">
        <v>10</v>
      </c>
      <c r="K144" s="767">
        <v>11</v>
      </c>
      <c r="L144" s="767">
        <v>12</v>
      </c>
      <c r="M144" s="767">
        <v>13</v>
      </c>
      <c r="N144" s="767">
        <v>14</v>
      </c>
      <c r="O144" s="767">
        <v>15</v>
      </c>
      <c r="P144" s="767">
        <v>16</v>
      </c>
      <c r="Q144" s="767">
        <v>17</v>
      </c>
      <c r="R144" s="767">
        <v>18</v>
      </c>
      <c r="S144" s="767">
        <v>19</v>
      </c>
      <c r="T144" s="767">
        <v>20</v>
      </c>
      <c r="U144" s="767">
        <v>21</v>
      </c>
      <c r="V144" s="767">
        <v>22</v>
      </c>
      <c r="W144" s="767">
        <v>23</v>
      </c>
      <c r="X144" s="767">
        <v>24</v>
      </c>
      <c r="Y144" s="767">
        <v>25</v>
      </c>
      <c r="Z144" s="767">
        <v>26</v>
      </c>
      <c r="AA144" s="767">
        <v>27</v>
      </c>
      <c r="AB144" s="767">
        <v>28</v>
      </c>
      <c r="AC144" s="767" t="s">
        <v>1244</v>
      </c>
      <c r="AD144" s="767" t="s">
        <v>1245</v>
      </c>
      <c r="AE144" s="767" t="s">
        <v>1246</v>
      </c>
    </row>
    <row r="145" spans="2:31">
      <c r="C145" s="761" t="s">
        <v>1247</v>
      </c>
      <c r="D145" s="808">
        <v>0.60699999999999998</v>
      </c>
      <c r="E145" s="808">
        <v>0.67500000000000004</v>
      </c>
      <c r="F145" s="808">
        <v>0.83299999999999996</v>
      </c>
      <c r="G145" s="808">
        <v>0.9</v>
      </c>
      <c r="H145" s="808">
        <v>0.86099999999999999</v>
      </c>
      <c r="I145" s="808">
        <v>0.97699999999999998</v>
      </c>
      <c r="J145" s="808">
        <v>1.0049999999999999</v>
      </c>
      <c r="K145" s="808">
        <v>1.006</v>
      </c>
      <c r="L145" s="808">
        <v>1.1399999999999999</v>
      </c>
      <c r="M145" s="808">
        <v>1.2570000000000001</v>
      </c>
      <c r="N145" s="808">
        <v>1.28813559322034</v>
      </c>
      <c r="O145" s="808">
        <v>1.3728813559322</v>
      </c>
      <c r="P145" s="808">
        <v>1.42372881355932</v>
      </c>
      <c r="Q145" s="808">
        <v>1.5254237288135599</v>
      </c>
      <c r="R145" s="808">
        <v>1.5932203389830499</v>
      </c>
      <c r="S145" s="808">
        <v>1.7627118644067801</v>
      </c>
      <c r="T145" s="808">
        <v>1.8305084745762701</v>
      </c>
      <c r="U145" s="808">
        <v>1.93220338983051</v>
      </c>
      <c r="V145" s="808">
        <v>1.86440677966102</v>
      </c>
      <c r="W145" s="808">
        <v>1.8813559322033899</v>
      </c>
      <c r="X145" s="808">
        <v>1.9661016949152501</v>
      </c>
      <c r="Y145" s="810">
        <v>2.0338983050847501</v>
      </c>
      <c r="Z145" s="810">
        <v>2.0508474576271198</v>
      </c>
      <c r="AA145" s="810">
        <v>2.06779661016949</v>
      </c>
      <c r="AB145" s="810">
        <v>2.06779661016949</v>
      </c>
      <c r="AC145" s="811">
        <v>7.135844301987837E-2</v>
      </c>
      <c r="AD145" s="811">
        <v>4.2956096619874318E-2</v>
      </c>
      <c r="AE145" s="811">
        <v>2.6415490470799607E-2</v>
      </c>
    </row>
    <row r="146" spans="2:31">
      <c r="C146" s="761" t="s">
        <v>697</v>
      </c>
      <c r="D146" s="808">
        <v>0.32600000000000001</v>
      </c>
      <c r="E146" s="808">
        <v>0.27800000000000002</v>
      </c>
      <c r="F146" s="808">
        <v>0.26200000000000001</v>
      </c>
      <c r="G146" s="808">
        <v>0.308</v>
      </c>
      <c r="H146" s="808">
        <v>0.36199999999999999</v>
      </c>
      <c r="I146" s="808">
        <v>0.32400000000000001</v>
      </c>
      <c r="J146" s="808">
        <v>0.28399999999999997</v>
      </c>
      <c r="K146" s="808">
        <v>0.31</v>
      </c>
      <c r="L146" s="808">
        <v>0.26800000000000002</v>
      </c>
      <c r="M146" s="808">
        <v>0.29299999999999998</v>
      </c>
      <c r="N146" s="808">
        <v>0.33300000000000002</v>
      </c>
      <c r="O146" s="808">
        <v>0.35699999999999998</v>
      </c>
      <c r="P146" s="808">
        <v>0.34499999999999997</v>
      </c>
      <c r="Q146" s="808">
        <v>0.376</v>
      </c>
      <c r="R146" s="808">
        <v>0.40600000000000003</v>
      </c>
      <c r="S146" s="808">
        <v>0.435</v>
      </c>
      <c r="T146" s="808">
        <v>0.46700000000000003</v>
      </c>
      <c r="U146" s="808">
        <v>0.433</v>
      </c>
      <c r="V146" s="808">
        <v>0.42699999999999999</v>
      </c>
      <c r="W146" s="808">
        <v>0.45700000000000002</v>
      </c>
      <c r="X146" s="808">
        <v>0.48499999999999999</v>
      </c>
      <c r="Y146" s="810">
        <v>0.47934646187187124</v>
      </c>
      <c r="Z146" s="810">
        <v>0.48334101572080274</v>
      </c>
      <c r="AA146" s="810">
        <v>0.48733556956973434</v>
      </c>
      <c r="AB146" s="810">
        <v>0.48733556956973434</v>
      </c>
      <c r="AC146" s="811">
        <v>1.5798916493511284E-2</v>
      </c>
      <c r="AD146" s="811">
        <v>3.6198933614591144E-2</v>
      </c>
      <c r="AE146" s="811">
        <v>1.8427710851492085E-2</v>
      </c>
    </row>
    <row r="147" spans="2:31">
      <c r="C147" s="761" t="s">
        <v>709</v>
      </c>
      <c r="D147" s="808">
        <v>0.6</v>
      </c>
      <c r="E147" s="808">
        <v>0.74</v>
      </c>
      <c r="F147" s="808">
        <v>0.88</v>
      </c>
      <c r="G147" s="808">
        <v>0.95333333333333303</v>
      </c>
      <c r="H147" s="808">
        <v>1.10666666666667</v>
      </c>
      <c r="I147" s="808">
        <v>0.82</v>
      </c>
      <c r="J147" s="808">
        <v>0.71333333333333304</v>
      </c>
      <c r="K147" s="808">
        <v>0.66</v>
      </c>
      <c r="L147" s="808">
        <v>0.64</v>
      </c>
      <c r="M147" s="808">
        <v>0.65333333333333299</v>
      </c>
      <c r="N147" s="808">
        <v>0.68666666666666698</v>
      </c>
      <c r="O147" s="808">
        <v>0.68</v>
      </c>
      <c r="P147" s="808">
        <v>0.63333333333333297</v>
      </c>
      <c r="Q147" s="808">
        <v>0.62666666666666704</v>
      </c>
      <c r="R147" s="808">
        <v>0.64</v>
      </c>
      <c r="S147" s="808">
        <v>0.69333333333333302</v>
      </c>
      <c r="T147" s="808">
        <v>0.73333333333333295</v>
      </c>
      <c r="U147" s="808">
        <v>0.73333333333333295</v>
      </c>
      <c r="V147" s="808">
        <v>0.7</v>
      </c>
      <c r="W147" s="808">
        <v>0.706666666666667</v>
      </c>
      <c r="X147" s="808">
        <v>0.72666666666666702</v>
      </c>
      <c r="Y147" s="810">
        <v>0.76666666666666705</v>
      </c>
      <c r="Z147" s="810">
        <v>0.82666666666666699</v>
      </c>
      <c r="AA147" s="810">
        <v>0.85333333333333306</v>
      </c>
      <c r="AB147" s="810">
        <v>0.86</v>
      </c>
      <c r="AC147" s="811">
        <v>4.6205362764155655E-3</v>
      </c>
      <c r="AD147" s="811">
        <v>2.5725265169996181E-2</v>
      </c>
      <c r="AE147" s="811">
        <v>2.9987247698217256E-2</v>
      </c>
    </row>
    <row r="148" spans="2:31">
      <c r="B148" s="812"/>
      <c r="C148" s="812"/>
      <c r="D148" s="813">
        <f t="shared" ref="D148:AB148" si="20">SUM(D145:D147)</f>
        <v>1.5329999999999999</v>
      </c>
      <c r="E148" s="813">
        <f t="shared" si="20"/>
        <v>1.6930000000000001</v>
      </c>
      <c r="F148" s="813">
        <f t="shared" si="20"/>
        <v>1.9750000000000001</v>
      </c>
      <c r="G148" s="813">
        <f t="shared" si="20"/>
        <v>2.1613333333333329</v>
      </c>
      <c r="H148" s="813">
        <f t="shared" si="20"/>
        <v>2.3296666666666699</v>
      </c>
      <c r="I148" s="813">
        <f t="shared" si="20"/>
        <v>2.121</v>
      </c>
      <c r="J148" s="813">
        <f t="shared" si="20"/>
        <v>2.0023333333333331</v>
      </c>
      <c r="K148" s="813">
        <f t="shared" si="20"/>
        <v>1.976</v>
      </c>
      <c r="L148" s="813">
        <f t="shared" si="20"/>
        <v>2.048</v>
      </c>
      <c r="M148" s="813">
        <f t="shared" si="20"/>
        <v>2.2033333333333331</v>
      </c>
      <c r="N148" s="813">
        <f t="shared" si="20"/>
        <v>2.3078022598870067</v>
      </c>
      <c r="O148" s="813">
        <f t="shared" si="20"/>
        <v>2.4098813559322001</v>
      </c>
      <c r="P148" s="813">
        <f t="shared" si="20"/>
        <v>2.4020621468926531</v>
      </c>
      <c r="Q148" s="813">
        <f t="shared" si="20"/>
        <v>2.528090395480227</v>
      </c>
      <c r="R148" s="813">
        <f t="shared" si="20"/>
        <v>2.63922033898305</v>
      </c>
      <c r="S148" s="813">
        <f t="shared" si="20"/>
        <v>2.8910451977401128</v>
      </c>
      <c r="T148" s="813">
        <f t="shared" si="20"/>
        <v>3.0308418079096029</v>
      </c>
      <c r="U148" s="813">
        <f t="shared" si="20"/>
        <v>3.0985367231638428</v>
      </c>
      <c r="V148" s="813">
        <f t="shared" si="20"/>
        <v>2.9914067796610198</v>
      </c>
      <c r="W148" s="813">
        <f t="shared" si="20"/>
        <v>3.045022598870057</v>
      </c>
      <c r="X148" s="813">
        <f t="shared" si="20"/>
        <v>3.1777683615819172</v>
      </c>
      <c r="Y148" s="813">
        <f t="shared" si="20"/>
        <v>3.2799114336232882</v>
      </c>
      <c r="Z148" s="813">
        <f t="shared" si="20"/>
        <v>3.3608551400145896</v>
      </c>
      <c r="AA148" s="813">
        <f t="shared" si="20"/>
        <v>3.4084655130725574</v>
      </c>
      <c r="AB148" s="813">
        <f t="shared" si="20"/>
        <v>3.4151321797392242</v>
      </c>
      <c r="AC148" s="814">
        <v>3.956677896298566E-2</v>
      </c>
      <c r="AD148" s="814">
        <v>3.7837400949976896E-2</v>
      </c>
      <c r="AE148" s="814">
        <v>2.6108267490220216E-2</v>
      </c>
    </row>
    <row r="149" spans="2:31">
      <c r="B149" s="812"/>
      <c r="C149" s="812"/>
      <c r="D149" s="815"/>
      <c r="E149" s="815"/>
      <c r="F149" s="815"/>
      <c r="G149" s="815"/>
      <c r="H149" s="815"/>
      <c r="I149" s="815"/>
      <c r="J149" s="815"/>
      <c r="K149" s="815"/>
      <c r="L149" s="815"/>
      <c r="M149" s="815"/>
      <c r="N149" s="815"/>
      <c r="O149" s="815"/>
      <c r="P149" s="815"/>
      <c r="Q149" s="815"/>
      <c r="R149" s="815"/>
      <c r="S149" s="815"/>
      <c r="T149" s="815"/>
      <c r="U149" s="815"/>
      <c r="V149" s="815"/>
      <c r="W149" s="815"/>
      <c r="X149" s="815"/>
      <c r="Y149" s="815"/>
      <c r="Z149" s="815"/>
      <c r="AA149" s="815"/>
      <c r="AB149" s="815"/>
      <c r="AC149" s="816"/>
      <c r="AD149" s="816"/>
      <c r="AE149" s="816"/>
    </row>
    <row r="150" spans="2:31">
      <c r="B150" s="761" t="s">
        <v>1248</v>
      </c>
      <c r="C150" s="761" t="s">
        <v>670</v>
      </c>
      <c r="D150" s="817">
        <f t="shared" ref="D150:I151" si="21">D145</f>
        <v>0.60699999999999998</v>
      </c>
      <c r="E150" s="817">
        <f t="shared" si="21"/>
        <v>0.67500000000000004</v>
      </c>
      <c r="F150" s="817">
        <f t="shared" si="21"/>
        <v>0.83299999999999996</v>
      </c>
      <c r="G150" s="817">
        <f t="shared" si="21"/>
        <v>0.9</v>
      </c>
      <c r="H150" s="817">
        <f t="shared" si="21"/>
        <v>0.86099999999999999</v>
      </c>
      <c r="I150" s="817">
        <f t="shared" si="21"/>
        <v>0.97699999999999998</v>
      </c>
      <c r="J150" s="761">
        <f>'Revised 5 year delivery model'!D51/1000</f>
        <v>0.97199999999999998</v>
      </c>
      <c r="K150" s="761">
        <f>'Revised 5 year delivery model'!E51/1000</f>
        <v>1.0109999999999999</v>
      </c>
      <c r="L150" s="761">
        <f>'Revised 5 year delivery model'!F51/1000</f>
        <v>1.1890000000000001</v>
      </c>
      <c r="M150" s="761">
        <f>'Revised 5 year delivery model'!G51/1000</f>
        <v>1.274</v>
      </c>
      <c r="N150" s="761">
        <f>'Revised 5 year delivery model'!H51/1000</f>
        <v>1.3520000000000001</v>
      </c>
      <c r="O150" s="761">
        <f>'Revised 5 year delivery model'!I51/1000</f>
        <v>1.3979999999999999</v>
      </c>
      <c r="P150" s="761">
        <f>'Revised 5 year delivery model'!J51/1000</f>
        <v>1.4359999999999999</v>
      </c>
      <c r="Q150" s="761">
        <f>'Revised 5 year delivery model'!K51/1000</f>
        <v>1.4810000000000001</v>
      </c>
      <c r="R150" s="761">
        <f>'Revised 5 year delivery model'!L51/1000</f>
        <v>1.5860000000000001</v>
      </c>
      <c r="S150" s="761">
        <f>'Revised 5 year delivery model'!M51/1000</f>
        <v>1.1950000000000001</v>
      </c>
      <c r="T150" s="761">
        <f>'Revised 5 year delivery model'!N51/1000</f>
        <v>0.88100000000000001</v>
      </c>
      <c r="U150" s="761">
        <f>'Revised 5 year delivery model'!O51/1000</f>
        <v>1.222</v>
      </c>
      <c r="V150" s="761">
        <f>'Revised 5 year delivery model'!P51/1000</f>
        <v>1.371</v>
      </c>
      <c r="W150" s="761">
        <f>'Revised 5 year delivery model'!Q51/1000</f>
        <v>1.5</v>
      </c>
      <c r="X150" s="761">
        <f>'Revised 5 year delivery model'!R51/1000</f>
        <v>1.5680000000000001</v>
      </c>
      <c r="Y150" s="761">
        <f>'Revised 5 year delivery model'!S51/1000</f>
        <v>1.823</v>
      </c>
      <c r="Z150" s="818">
        <f t="shared" ref="Z150:AB152" si="22">(Z145/Y145)*Y150</f>
        <v>1.8381916666666638</v>
      </c>
      <c r="AA150" s="818">
        <f t="shared" si="22"/>
        <v>1.8533833333333278</v>
      </c>
      <c r="AB150" s="818">
        <f t="shared" si="22"/>
        <v>1.8533833333333278</v>
      </c>
      <c r="AC150" s="819">
        <f>(R150/D150)^(1/14)-1</f>
        <v>7.1010903647683588E-2</v>
      </c>
      <c r="AD150" s="819">
        <f>(X150/R150)^(1/6)-1</f>
        <v>-1.9005585277642734E-3</v>
      </c>
      <c r="AE150" s="819">
        <f>(AB150/R150)^(1/10)-1</f>
        <v>1.5701764760161385E-2</v>
      </c>
    </row>
    <row r="151" spans="2:31">
      <c r="C151" s="761" t="s">
        <v>697</v>
      </c>
      <c r="D151" s="817">
        <f t="shared" si="21"/>
        <v>0.32600000000000001</v>
      </c>
      <c r="E151" s="817">
        <f t="shared" si="21"/>
        <v>0.27800000000000002</v>
      </c>
      <c r="F151" s="817">
        <f t="shared" si="21"/>
        <v>0.26200000000000001</v>
      </c>
      <c r="G151" s="817">
        <f t="shared" si="21"/>
        <v>0.308</v>
      </c>
      <c r="H151" s="817">
        <f t="shared" si="21"/>
        <v>0.36199999999999999</v>
      </c>
      <c r="I151" s="817">
        <f t="shared" si="21"/>
        <v>0.32400000000000001</v>
      </c>
      <c r="J151" s="761">
        <f>'Revised 5 year delivery model'!D50/1000</f>
        <v>0.248</v>
      </c>
      <c r="K151" s="761">
        <f>'Revised 5 year delivery model'!E50/1000</f>
        <v>0.23699999999999999</v>
      </c>
      <c r="L151" s="761">
        <f>'Revised 5 year delivery model'!F50/1000</f>
        <v>0.22</v>
      </c>
      <c r="M151" s="761">
        <f>'Revised 5 year delivery model'!G50/1000</f>
        <v>0.219</v>
      </c>
      <c r="N151" s="761">
        <f>'Revised 5 year delivery model'!H50/1000</f>
        <v>0.25900000000000001</v>
      </c>
      <c r="O151" s="761">
        <f>'Revised 5 year delivery model'!I50/1000</f>
        <v>0.26200000000000001</v>
      </c>
      <c r="P151" s="761">
        <f>'Revised 5 year delivery model'!J50/1000</f>
        <v>0.27400000000000002</v>
      </c>
      <c r="Q151" s="761">
        <f>'Revised 5 year delivery model'!K50/1000</f>
        <v>0.252</v>
      </c>
      <c r="R151" s="761">
        <f>'Revised 5 year delivery model'!L50/1000</f>
        <v>0.23400000000000001</v>
      </c>
      <c r="S151" s="761">
        <f>'Revised 5 year delivery model'!M50/1000</f>
        <v>0.24199999999999999</v>
      </c>
      <c r="T151" s="761">
        <f>'Revised 5 year delivery model'!N50/1000</f>
        <v>0.23799999999999999</v>
      </c>
      <c r="U151" s="761">
        <f>'Revised 5 year delivery model'!O50/1000</f>
        <v>0.26800000000000002</v>
      </c>
      <c r="V151" s="761">
        <f>'Revised 5 year delivery model'!P50/1000</f>
        <v>0.27600000000000002</v>
      </c>
      <c r="W151" s="761">
        <f>'Revised 5 year delivery model'!Q50/1000</f>
        <v>0.30499999999999999</v>
      </c>
      <c r="X151" s="761">
        <f>'Revised 5 year delivery model'!R50/1000</f>
        <v>0.35199999999999998</v>
      </c>
      <c r="Y151" s="761">
        <f>'Revised 5 year delivery model'!S50/1000</f>
        <v>0.35599999999999998</v>
      </c>
      <c r="Z151" s="818">
        <f t="shared" si="22"/>
        <v>0.3589666666666661</v>
      </c>
      <c r="AA151" s="818">
        <f t="shared" si="22"/>
        <v>0.36193333333333227</v>
      </c>
      <c r="AB151" s="818">
        <f t="shared" si="22"/>
        <v>0.36193333333333227</v>
      </c>
      <c r="AC151" s="819">
        <f>(R151/D151)^(1/14)-1</f>
        <v>-2.3405753764598636E-2</v>
      </c>
      <c r="AD151" s="819">
        <f>(X151/R151)^(1/6)-1</f>
        <v>7.0420622862137572E-2</v>
      </c>
      <c r="AE151" s="819">
        <f>(AB151/R151)^(1/10)-1</f>
        <v>4.4578956457169472E-2</v>
      </c>
    </row>
    <row r="152" spans="2:31">
      <c r="C152" s="761" t="s">
        <v>709</v>
      </c>
      <c r="D152" s="817"/>
      <c r="E152" s="817"/>
      <c r="F152" s="817"/>
      <c r="G152" s="817"/>
      <c r="H152" s="817"/>
      <c r="I152" s="817"/>
      <c r="O152" s="761">
        <f>'Revised 5 year delivery model'!I99/1000</f>
        <v>0.68899999999999995</v>
      </c>
      <c r="P152" s="761">
        <f>'Revised 5 year delivery model'!J99/1000</f>
        <v>0.65700000000000003</v>
      </c>
      <c r="Q152" s="761">
        <f>'Revised 5 year delivery model'!K99/1000</f>
        <v>0.629</v>
      </c>
      <c r="R152" s="761">
        <f>'Revised 5 year delivery model'!L99/1000</f>
        <v>0.61199999999999999</v>
      </c>
      <c r="S152" s="761">
        <f>'Revised 5 year delivery model'!M99/1000</f>
        <v>0.67300000000000004</v>
      </c>
      <c r="T152" s="761">
        <f>'Revised 5 year delivery model'!N99/1000</f>
        <v>0.71</v>
      </c>
      <c r="U152" s="761">
        <f>'Revised 5 year delivery model'!O99/1000</f>
        <v>0.70699999999999996</v>
      </c>
      <c r="V152" s="820">
        <f>(V147/U147)*U152</f>
        <v>0.67486363636363667</v>
      </c>
      <c r="W152" s="820">
        <f>(W147/V147)*V152</f>
        <v>0.68129090909090984</v>
      </c>
      <c r="X152" s="820">
        <f>(X147/W147)*W152</f>
        <v>0.70057272727272812</v>
      </c>
      <c r="Y152" s="820">
        <f>(Y147/X147)*X152</f>
        <v>0.73913636363636459</v>
      </c>
      <c r="Z152" s="820">
        <f t="shared" si="22"/>
        <v>0.79698181818181923</v>
      </c>
      <c r="AA152" s="820">
        <f t="shared" si="22"/>
        <v>0.82269090909090958</v>
      </c>
      <c r="AB152" s="820">
        <f t="shared" si="22"/>
        <v>0.82911818181818253</v>
      </c>
      <c r="AC152" s="819"/>
      <c r="AD152" s="819"/>
      <c r="AE152" s="819"/>
    </row>
    <row r="153" spans="2:31">
      <c r="D153" s="817"/>
      <c r="E153" s="817"/>
      <c r="F153" s="817"/>
      <c r="G153" s="817"/>
      <c r="H153" s="817"/>
      <c r="I153" s="817"/>
      <c r="Z153" s="818"/>
      <c r="AA153" s="818"/>
      <c r="AB153" s="818"/>
      <c r="AC153" s="819"/>
      <c r="AD153" s="819"/>
      <c r="AE153" s="819"/>
    </row>
    <row r="154" spans="2:31">
      <c r="D154" s="767">
        <v>2004</v>
      </c>
      <c r="E154" s="767" t="s">
        <v>1239</v>
      </c>
      <c r="F154" s="767" t="s">
        <v>1240</v>
      </c>
      <c r="G154" s="767" t="s">
        <v>1241</v>
      </c>
      <c r="H154" s="767" t="s">
        <v>1242</v>
      </c>
      <c r="I154" s="767" t="s">
        <v>1243</v>
      </c>
      <c r="J154" s="767">
        <v>10</v>
      </c>
      <c r="K154" s="767">
        <v>11</v>
      </c>
      <c r="L154" s="767">
        <v>12</v>
      </c>
      <c r="M154" s="767">
        <v>13</v>
      </c>
      <c r="N154" s="767">
        <v>14</v>
      </c>
      <c r="O154" s="767">
        <v>15</v>
      </c>
      <c r="P154" s="767">
        <v>16</v>
      </c>
      <c r="Q154" s="767">
        <v>17</v>
      </c>
      <c r="R154" s="767">
        <v>18</v>
      </c>
      <c r="S154" s="767">
        <v>19</v>
      </c>
      <c r="T154" s="767">
        <v>20</v>
      </c>
      <c r="U154" s="767">
        <v>21</v>
      </c>
      <c r="V154" s="767">
        <v>22</v>
      </c>
      <c r="W154" s="767">
        <v>23</v>
      </c>
      <c r="X154" s="767">
        <v>24</v>
      </c>
      <c r="Y154" s="767">
        <v>25</v>
      </c>
      <c r="Z154" s="767">
        <v>26</v>
      </c>
      <c r="AA154" s="767">
        <v>27</v>
      </c>
      <c r="AB154" s="767">
        <v>28</v>
      </c>
      <c r="AC154" s="767" t="s">
        <v>1244</v>
      </c>
      <c r="AD154" s="767" t="s">
        <v>1245</v>
      </c>
      <c r="AE154" s="767" t="s">
        <v>1246</v>
      </c>
    </row>
    <row r="155" spans="2:31">
      <c r="B155" s="761" t="s">
        <v>1249</v>
      </c>
      <c r="C155" s="761" t="s">
        <v>1247</v>
      </c>
      <c r="D155" s="817">
        <f t="shared" ref="D155:AB155" si="23">D150</f>
        <v>0.60699999999999998</v>
      </c>
      <c r="E155" s="817">
        <f t="shared" si="23"/>
        <v>0.67500000000000004</v>
      </c>
      <c r="F155" s="817">
        <f t="shared" si="23"/>
        <v>0.83299999999999996</v>
      </c>
      <c r="G155" s="817">
        <f t="shared" si="23"/>
        <v>0.9</v>
      </c>
      <c r="H155" s="817">
        <f t="shared" si="23"/>
        <v>0.86099999999999999</v>
      </c>
      <c r="I155" s="817">
        <f t="shared" si="23"/>
        <v>0.97699999999999998</v>
      </c>
      <c r="J155" s="817">
        <f t="shared" si="23"/>
        <v>0.97199999999999998</v>
      </c>
      <c r="K155" s="817">
        <f t="shared" si="23"/>
        <v>1.0109999999999999</v>
      </c>
      <c r="L155" s="817">
        <f t="shared" si="23"/>
        <v>1.1890000000000001</v>
      </c>
      <c r="M155" s="817">
        <f t="shared" si="23"/>
        <v>1.274</v>
      </c>
      <c r="N155" s="817">
        <f t="shared" si="23"/>
        <v>1.3520000000000001</v>
      </c>
      <c r="O155" s="817">
        <f t="shared" si="23"/>
        <v>1.3979999999999999</v>
      </c>
      <c r="P155" s="817">
        <f t="shared" si="23"/>
        <v>1.4359999999999999</v>
      </c>
      <c r="Q155" s="817">
        <f t="shared" si="23"/>
        <v>1.4810000000000001</v>
      </c>
      <c r="R155" s="817">
        <f t="shared" si="23"/>
        <v>1.5860000000000001</v>
      </c>
      <c r="S155" s="817">
        <f t="shared" si="23"/>
        <v>1.1950000000000001</v>
      </c>
      <c r="T155" s="817">
        <f t="shared" si="23"/>
        <v>0.88100000000000001</v>
      </c>
      <c r="U155" s="817">
        <f t="shared" si="23"/>
        <v>1.222</v>
      </c>
      <c r="V155" s="817">
        <f t="shared" si="23"/>
        <v>1.371</v>
      </c>
      <c r="W155" s="817">
        <f t="shared" si="23"/>
        <v>1.5</v>
      </c>
      <c r="X155" s="817">
        <f t="shared" si="23"/>
        <v>1.5680000000000001</v>
      </c>
      <c r="Y155" s="817">
        <f t="shared" si="23"/>
        <v>1.823</v>
      </c>
      <c r="Z155" s="817">
        <f t="shared" si="23"/>
        <v>1.8381916666666638</v>
      </c>
      <c r="AA155" s="817">
        <f t="shared" si="23"/>
        <v>1.8533833333333278</v>
      </c>
      <c r="AB155" s="817">
        <f t="shared" si="23"/>
        <v>1.8533833333333278</v>
      </c>
      <c r="AC155" s="819">
        <f>(R155/D155)^(1/14)-1</f>
        <v>7.1010903647683588E-2</v>
      </c>
      <c r="AD155" s="819">
        <f>(X155/R155)^(1/6)-1</f>
        <v>-1.9005585277642734E-3</v>
      </c>
      <c r="AE155" s="819">
        <f>(AB155/R155)^(1/10)-1</f>
        <v>1.5701764760161385E-2</v>
      </c>
    </row>
    <row r="156" spans="2:31">
      <c r="B156" s="761" t="s">
        <v>1250</v>
      </c>
      <c r="C156" s="761" t="s">
        <v>697</v>
      </c>
      <c r="D156" s="817">
        <f t="shared" ref="D156:AB156" si="24">D151</f>
        <v>0.32600000000000001</v>
      </c>
      <c r="E156" s="817">
        <f t="shared" si="24"/>
        <v>0.27800000000000002</v>
      </c>
      <c r="F156" s="817">
        <f t="shared" si="24"/>
        <v>0.26200000000000001</v>
      </c>
      <c r="G156" s="817">
        <f t="shared" si="24"/>
        <v>0.308</v>
      </c>
      <c r="H156" s="817">
        <f t="shared" si="24"/>
        <v>0.36199999999999999</v>
      </c>
      <c r="I156" s="817">
        <f t="shared" si="24"/>
        <v>0.32400000000000001</v>
      </c>
      <c r="J156" s="817">
        <f t="shared" si="24"/>
        <v>0.248</v>
      </c>
      <c r="K156" s="817">
        <f t="shared" si="24"/>
        <v>0.23699999999999999</v>
      </c>
      <c r="L156" s="817">
        <f t="shared" si="24"/>
        <v>0.22</v>
      </c>
      <c r="M156" s="817">
        <f t="shared" si="24"/>
        <v>0.219</v>
      </c>
      <c r="N156" s="817">
        <f t="shared" si="24"/>
        <v>0.25900000000000001</v>
      </c>
      <c r="O156" s="817">
        <f t="shared" si="24"/>
        <v>0.26200000000000001</v>
      </c>
      <c r="P156" s="817">
        <f t="shared" si="24"/>
        <v>0.27400000000000002</v>
      </c>
      <c r="Q156" s="817">
        <f t="shared" si="24"/>
        <v>0.252</v>
      </c>
      <c r="R156" s="817">
        <f t="shared" si="24"/>
        <v>0.23400000000000001</v>
      </c>
      <c r="S156" s="817">
        <f t="shared" si="24"/>
        <v>0.24199999999999999</v>
      </c>
      <c r="T156" s="817">
        <f t="shared" si="24"/>
        <v>0.23799999999999999</v>
      </c>
      <c r="U156" s="817">
        <f t="shared" si="24"/>
        <v>0.26800000000000002</v>
      </c>
      <c r="V156" s="817">
        <f t="shared" si="24"/>
        <v>0.27600000000000002</v>
      </c>
      <c r="W156" s="817">
        <f t="shared" si="24"/>
        <v>0.30499999999999999</v>
      </c>
      <c r="X156" s="817">
        <f t="shared" si="24"/>
        <v>0.35199999999999998</v>
      </c>
      <c r="Y156" s="817">
        <f t="shared" si="24"/>
        <v>0.35599999999999998</v>
      </c>
      <c r="Z156" s="817">
        <f t="shared" si="24"/>
        <v>0.3589666666666661</v>
      </c>
      <c r="AA156" s="817">
        <f t="shared" si="24"/>
        <v>0.36193333333333227</v>
      </c>
      <c r="AB156" s="817">
        <f t="shared" si="24"/>
        <v>0.36193333333333227</v>
      </c>
      <c r="AC156" s="819">
        <f>(R156/D156)^(1/14)-1</f>
        <v>-2.3405753764598636E-2</v>
      </c>
      <c r="AD156" s="819">
        <f>(X156/R156)^(1/6)-1</f>
        <v>7.0420622862137572E-2</v>
      </c>
      <c r="AE156" s="819">
        <f>(AB156/R156)^(1/10)-1</f>
        <v>4.4578956457169472E-2</v>
      </c>
    </row>
    <row r="157" spans="2:31">
      <c r="C157" s="761" t="s">
        <v>709</v>
      </c>
      <c r="D157" s="817">
        <f t="shared" ref="D157:N157" si="25">D147</f>
        <v>0.6</v>
      </c>
      <c r="E157" s="817">
        <f t="shared" si="25"/>
        <v>0.74</v>
      </c>
      <c r="F157" s="817">
        <f t="shared" si="25"/>
        <v>0.88</v>
      </c>
      <c r="G157" s="817">
        <f t="shared" si="25"/>
        <v>0.95333333333333303</v>
      </c>
      <c r="H157" s="817">
        <f t="shared" si="25"/>
        <v>1.10666666666667</v>
      </c>
      <c r="I157" s="817">
        <f t="shared" si="25"/>
        <v>0.82</v>
      </c>
      <c r="J157" s="817">
        <f t="shared" si="25"/>
        <v>0.71333333333333304</v>
      </c>
      <c r="K157" s="817">
        <f t="shared" si="25"/>
        <v>0.66</v>
      </c>
      <c r="L157" s="817">
        <f t="shared" si="25"/>
        <v>0.64</v>
      </c>
      <c r="M157" s="817">
        <f t="shared" si="25"/>
        <v>0.65333333333333299</v>
      </c>
      <c r="N157" s="817">
        <f t="shared" si="25"/>
        <v>0.68666666666666698</v>
      </c>
      <c r="O157" s="817">
        <f t="shared" ref="O157:AB157" si="26">O152</f>
        <v>0.68899999999999995</v>
      </c>
      <c r="P157" s="817">
        <f t="shared" si="26"/>
        <v>0.65700000000000003</v>
      </c>
      <c r="Q157" s="817">
        <f t="shared" si="26"/>
        <v>0.629</v>
      </c>
      <c r="R157" s="817">
        <f t="shared" si="26"/>
        <v>0.61199999999999999</v>
      </c>
      <c r="S157" s="817">
        <f t="shared" si="26"/>
        <v>0.67300000000000004</v>
      </c>
      <c r="T157" s="817">
        <f t="shared" si="26"/>
        <v>0.71</v>
      </c>
      <c r="U157" s="817">
        <f t="shared" si="26"/>
        <v>0.70699999999999996</v>
      </c>
      <c r="V157" s="817">
        <f t="shared" si="26"/>
        <v>0.67486363636363667</v>
      </c>
      <c r="W157" s="817">
        <f t="shared" si="26"/>
        <v>0.68129090909090984</v>
      </c>
      <c r="X157" s="817">
        <f t="shared" si="26"/>
        <v>0.70057272727272812</v>
      </c>
      <c r="Y157" s="817">
        <f t="shared" si="26"/>
        <v>0.73913636363636459</v>
      </c>
      <c r="Z157" s="817">
        <f t="shared" si="26"/>
        <v>0.79698181818181923</v>
      </c>
      <c r="AA157" s="817">
        <f t="shared" si="26"/>
        <v>0.82269090909090958</v>
      </c>
      <c r="AB157" s="817">
        <f t="shared" si="26"/>
        <v>0.82911818181818253</v>
      </c>
      <c r="AC157" s="819">
        <f>(R157/D157)^(1/14)-1</f>
        <v>1.415474217598689E-3</v>
      </c>
      <c r="AD157" s="819">
        <f>(X157/R157)^(1/6)-1</f>
        <v>2.2783313701586483E-2</v>
      </c>
      <c r="AE157" s="819">
        <f>(AB157/R157)^(1/10)-1</f>
        <v>3.082870034471652E-2</v>
      </c>
    </row>
    <row r="158" spans="2:31">
      <c r="D158" s="817"/>
      <c r="E158" s="817"/>
      <c r="F158" s="817"/>
      <c r="G158" s="817"/>
      <c r="H158" s="817"/>
      <c r="I158" s="817"/>
      <c r="J158" s="817"/>
      <c r="K158" s="817"/>
      <c r="L158" s="817"/>
      <c r="M158" s="817"/>
      <c r="N158" s="817"/>
      <c r="O158" s="817"/>
      <c r="P158" s="817"/>
      <c r="Q158" s="817"/>
      <c r="R158" s="817"/>
      <c r="S158" s="817"/>
      <c r="T158" s="817"/>
      <c r="U158" s="817"/>
      <c r="V158" s="817"/>
      <c r="W158" s="817"/>
      <c r="X158" s="817"/>
      <c r="Y158" s="817"/>
      <c r="Z158" s="817"/>
      <c r="AA158" s="817"/>
      <c r="AB158" s="817"/>
      <c r="AC158" s="819"/>
      <c r="AD158" s="819"/>
      <c r="AE158" s="819"/>
    </row>
    <row r="159" spans="2:31">
      <c r="B159" s="761" t="s">
        <v>1251</v>
      </c>
      <c r="C159" s="761" t="s">
        <v>1252</v>
      </c>
      <c r="D159" s="817"/>
      <c r="E159" s="817"/>
      <c r="F159" s="817"/>
      <c r="G159" s="817"/>
      <c r="H159" s="817"/>
      <c r="I159" s="817"/>
      <c r="J159" s="817"/>
      <c r="K159" s="817"/>
      <c r="L159" s="817"/>
      <c r="M159" s="817"/>
      <c r="N159" s="817"/>
      <c r="O159" s="817"/>
      <c r="P159" s="817"/>
      <c r="Q159" s="817"/>
      <c r="R159" s="817"/>
      <c r="S159" s="817"/>
      <c r="T159"/>
      <c r="U159" s="819">
        <f>'Revised 5 year delivery model'!CQ202</f>
        <v>-3.3562637895132585E-3</v>
      </c>
      <c r="V159" s="819">
        <f>'Revised 5 year delivery model'!CU202</f>
        <v>5.6620267055395468E-2</v>
      </c>
      <c r="W159" s="819">
        <f>'Revised 5 year delivery model'!CY202</f>
        <v>6.7519546653938667E-2</v>
      </c>
      <c r="X159" s="819">
        <f>'Revised 5 year delivery model'!DC202</f>
        <v>7.2073991792567904E-2</v>
      </c>
      <c r="Y159" s="817"/>
      <c r="Z159" s="817"/>
      <c r="AA159" s="817"/>
      <c r="AB159" s="817"/>
      <c r="AC159" s="819"/>
      <c r="AD159" s="819"/>
      <c r="AE159" s="819"/>
    </row>
    <row r="160" spans="2:31">
      <c r="C160" s="761" t="s">
        <v>1247</v>
      </c>
      <c r="D160" s="817">
        <f t="shared" ref="D160:S160" si="27">D155</f>
        <v>0.60699999999999998</v>
      </c>
      <c r="E160" s="817">
        <f t="shared" si="27"/>
        <v>0.67500000000000004</v>
      </c>
      <c r="F160" s="817">
        <f t="shared" si="27"/>
        <v>0.83299999999999996</v>
      </c>
      <c r="G160" s="817">
        <f t="shared" si="27"/>
        <v>0.9</v>
      </c>
      <c r="H160" s="817">
        <f t="shared" si="27"/>
        <v>0.86099999999999999</v>
      </c>
      <c r="I160" s="817">
        <f t="shared" si="27"/>
        <v>0.97699999999999998</v>
      </c>
      <c r="J160" s="817">
        <f t="shared" si="27"/>
        <v>0.97199999999999998</v>
      </c>
      <c r="K160" s="817">
        <f t="shared" si="27"/>
        <v>1.0109999999999999</v>
      </c>
      <c r="L160" s="817">
        <f t="shared" si="27"/>
        <v>1.1890000000000001</v>
      </c>
      <c r="M160" s="817">
        <f t="shared" si="27"/>
        <v>1.274</v>
      </c>
      <c r="N160" s="817">
        <f t="shared" si="27"/>
        <v>1.3520000000000001</v>
      </c>
      <c r="O160" s="817">
        <f t="shared" si="27"/>
        <v>1.3979999999999999</v>
      </c>
      <c r="P160" s="817">
        <f t="shared" si="27"/>
        <v>1.4359999999999999</v>
      </c>
      <c r="Q160" s="817">
        <f t="shared" si="27"/>
        <v>1.4810000000000001</v>
      </c>
      <c r="R160" s="817">
        <f t="shared" si="27"/>
        <v>1.5860000000000001</v>
      </c>
      <c r="S160" s="817">
        <f t="shared" si="27"/>
        <v>1.1950000000000001</v>
      </c>
      <c r="T160" s="817">
        <f t="shared" ref="T160:X161" si="28">S160*(1+T$159)</f>
        <v>1.1950000000000001</v>
      </c>
      <c r="U160" s="817">
        <f t="shared" si="28"/>
        <v>1.1909892647715317</v>
      </c>
      <c r="V160" s="817">
        <f t="shared" si="28"/>
        <v>1.2584233950030048</v>
      </c>
      <c r="W160" s="817">
        <f t="shared" si="28"/>
        <v>1.3433915721323182</v>
      </c>
      <c r="X160" s="817">
        <f t="shared" si="28"/>
        <v>1.4402151652763877</v>
      </c>
      <c r="Y160" s="817">
        <f t="shared" ref="Y160:AB162" si="29">X160*(Y155/X155)</f>
        <v>1.6744338305477389</v>
      </c>
      <c r="Z160" s="817">
        <f t="shared" si="29"/>
        <v>1.6883874458023007</v>
      </c>
      <c r="AA160" s="817">
        <f t="shared" si="29"/>
        <v>1.7023410610568628</v>
      </c>
      <c r="AB160" s="817">
        <f t="shared" si="29"/>
        <v>1.7023410610568628</v>
      </c>
      <c r="AC160" s="819">
        <f>(R160/D160)^(1/14)-1</f>
        <v>7.1010903647683588E-2</v>
      </c>
      <c r="AD160" s="819">
        <f>(X160/R160)^(1/6)-1</f>
        <v>-1.5941992946084893E-2</v>
      </c>
      <c r="AE160" s="819">
        <f>(AB160/R160)^(1/10)-1</f>
        <v>7.1040423608659253E-3</v>
      </c>
    </row>
    <row r="161" spans="2:31">
      <c r="C161" s="761" t="s">
        <v>697</v>
      </c>
      <c r="D161" s="817">
        <f t="shared" ref="D161:S161" si="30">D156</f>
        <v>0.32600000000000001</v>
      </c>
      <c r="E161" s="817">
        <f t="shared" si="30"/>
        <v>0.27800000000000002</v>
      </c>
      <c r="F161" s="817">
        <f t="shared" si="30"/>
        <v>0.26200000000000001</v>
      </c>
      <c r="G161" s="817">
        <f t="shared" si="30"/>
        <v>0.308</v>
      </c>
      <c r="H161" s="817">
        <f t="shared" si="30"/>
        <v>0.36199999999999999</v>
      </c>
      <c r="I161" s="817">
        <f t="shared" si="30"/>
        <v>0.32400000000000001</v>
      </c>
      <c r="J161" s="817">
        <f t="shared" si="30"/>
        <v>0.248</v>
      </c>
      <c r="K161" s="817">
        <f t="shared" si="30"/>
        <v>0.23699999999999999</v>
      </c>
      <c r="L161" s="817">
        <f t="shared" si="30"/>
        <v>0.22</v>
      </c>
      <c r="M161" s="817">
        <f t="shared" si="30"/>
        <v>0.219</v>
      </c>
      <c r="N161" s="817">
        <f t="shared" si="30"/>
        <v>0.25900000000000001</v>
      </c>
      <c r="O161" s="817">
        <f t="shared" si="30"/>
        <v>0.26200000000000001</v>
      </c>
      <c r="P161" s="817">
        <f t="shared" si="30"/>
        <v>0.27400000000000002</v>
      </c>
      <c r="Q161" s="817">
        <f t="shared" si="30"/>
        <v>0.252</v>
      </c>
      <c r="R161" s="817">
        <f t="shared" si="30"/>
        <v>0.23400000000000001</v>
      </c>
      <c r="S161" s="817">
        <f t="shared" si="30"/>
        <v>0.24199999999999999</v>
      </c>
      <c r="T161" s="817">
        <f t="shared" si="28"/>
        <v>0.24199999999999999</v>
      </c>
      <c r="U161" s="817">
        <f t="shared" si="28"/>
        <v>0.24118778416293779</v>
      </c>
      <c r="V161" s="817">
        <f t="shared" si="28"/>
        <v>0.25484390091274239</v>
      </c>
      <c r="W161" s="817">
        <f t="shared" si="28"/>
        <v>0.27205084556989201</v>
      </c>
      <c r="X161" s="817">
        <f t="shared" si="28"/>
        <v>0.29165863598065755</v>
      </c>
      <c r="Y161" s="817">
        <f t="shared" si="29"/>
        <v>0.29497293866225599</v>
      </c>
      <c r="Z161" s="817">
        <f t="shared" si="29"/>
        <v>0.29743104648444096</v>
      </c>
      <c r="AA161" s="817">
        <f t="shared" si="29"/>
        <v>0.29988915430662605</v>
      </c>
      <c r="AB161" s="817">
        <f t="shared" si="29"/>
        <v>0.29988915430662605</v>
      </c>
      <c r="AC161" s="819">
        <f>(R161/D161)^(1/14)-1</f>
        <v>-2.3405753764598636E-2</v>
      </c>
      <c r="AD161" s="819">
        <f>(X161/R161)^(1/6)-1</f>
        <v>3.7392643228110645E-2</v>
      </c>
      <c r="AE161" s="819">
        <f>(AB161/R161)^(1/10)-1</f>
        <v>2.511948911020534E-2</v>
      </c>
    </row>
    <row r="162" spans="2:31">
      <c r="C162" s="761" t="s">
        <v>709</v>
      </c>
      <c r="D162" s="817">
        <f t="shared" ref="D162:S162" si="31">D157</f>
        <v>0.6</v>
      </c>
      <c r="E162" s="817">
        <f t="shared" si="31"/>
        <v>0.74</v>
      </c>
      <c r="F162" s="817">
        <f t="shared" si="31"/>
        <v>0.88</v>
      </c>
      <c r="G162" s="817">
        <f t="shared" si="31"/>
        <v>0.95333333333333303</v>
      </c>
      <c r="H162" s="817">
        <f t="shared" si="31"/>
        <v>1.10666666666667</v>
      </c>
      <c r="I162" s="817">
        <f t="shared" si="31"/>
        <v>0.82</v>
      </c>
      <c r="J162" s="817">
        <f t="shared" si="31"/>
        <v>0.71333333333333304</v>
      </c>
      <c r="K162" s="817">
        <f t="shared" si="31"/>
        <v>0.66</v>
      </c>
      <c r="L162" s="817">
        <f t="shared" si="31"/>
        <v>0.64</v>
      </c>
      <c r="M162" s="817">
        <f t="shared" si="31"/>
        <v>0.65333333333333299</v>
      </c>
      <c r="N162" s="817">
        <f t="shared" si="31"/>
        <v>0.68666666666666698</v>
      </c>
      <c r="O162" s="817">
        <f t="shared" si="31"/>
        <v>0.68899999999999995</v>
      </c>
      <c r="P162" s="817">
        <f t="shared" si="31"/>
        <v>0.65700000000000003</v>
      </c>
      <c r="Q162" s="817">
        <f t="shared" si="31"/>
        <v>0.629</v>
      </c>
      <c r="R162" s="817">
        <f t="shared" si="31"/>
        <v>0.61199999999999999</v>
      </c>
      <c r="S162" s="817">
        <f t="shared" si="31"/>
        <v>0.67300000000000004</v>
      </c>
      <c r="T162" s="817">
        <f>S162*(1+'Revised 5 year delivery model'!CM202)</f>
        <v>0.60553329209599849</v>
      </c>
      <c r="U162" s="817">
        <f>T162*(1+U$159)</f>
        <v>0.6035009626343919</v>
      </c>
      <c r="V162" s="817">
        <f>U162*(1+V$159)</f>
        <v>0.63767134830693939</v>
      </c>
      <c r="W162" s="817">
        <f>V162*(1+W$159)</f>
        <v>0.68072662865882971</v>
      </c>
      <c r="X162" s="817">
        <f>W162*(1+X$159)</f>
        <v>0.72978931410576864</v>
      </c>
      <c r="Y162" s="817">
        <f t="shared" si="29"/>
        <v>0.76996120295562753</v>
      </c>
      <c r="Z162" s="817">
        <f t="shared" si="29"/>
        <v>0.83021903623041582</v>
      </c>
      <c r="AA162" s="817">
        <f t="shared" si="29"/>
        <v>0.85700029546365442</v>
      </c>
      <c r="AB162" s="817">
        <f t="shared" si="29"/>
        <v>0.8636956102719644</v>
      </c>
      <c r="AC162" s="819">
        <f>(R162/D162)^(1/14)-1</f>
        <v>1.415474217598689E-3</v>
      </c>
      <c r="AD162" s="819">
        <f>(X162/R162)^(1/6)-1</f>
        <v>2.9771843487013561E-2</v>
      </c>
      <c r="AE162" s="819">
        <f>(AB162/R162)^(1/10)-1</f>
        <v>3.5049045063336504E-2</v>
      </c>
    </row>
    <row r="163" spans="2:31">
      <c r="D163" s="817"/>
      <c r="E163" s="817"/>
      <c r="F163" s="817"/>
      <c r="G163" s="817"/>
      <c r="H163" s="817"/>
      <c r="I163" s="817"/>
      <c r="J163" s="817"/>
      <c r="K163" s="817"/>
      <c r="L163" s="817"/>
      <c r="M163" s="817"/>
      <c r="N163" s="817"/>
      <c r="O163" s="817"/>
      <c r="P163" s="817"/>
      <c r="Q163" s="817"/>
      <c r="R163" s="817"/>
      <c r="S163" s="817"/>
      <c r="T163" s="817"/>
      <c r="U163" s="817"/>
      <c r="V163" s="817"/>
      <c r="W163" s="817"/>
      <c r="X163" s="817"/>
      <c r="Y163" s="817"/>
      <c r="Z163" s="817"/>
      <c r="AA163" s="817"/>
      <c r="AB163" s="817"/>
      <c r="AC163" s="819"/>
      <c r="AD163" s="819"/>
      <c r="AE163" s="819"/>
    </row>
    <row r="164" spans="2:31">
      <c r="B164"/>
      <c r="C164"/>
      <c r="D164" s="817"/>
      <c r="E164" s="817"/>
      <c r="F164" s="817"/>
      <c r="G164" s="817"/>
      <c r="H164" s="817"/>
      <c r="I164" s="817"/>
      <c r="J164" s="817"/>
      <c r="K164" s="817"/>
      <c r="L164" s="817"/>
      <c r="M164" s="817"/>
      <c r="N164" s="817"/>
      <c r="O164" s="817"/>
      <c r="P164" s="817"/>
      <c r="Q164" s="817"/>
      <c r="R164" s="817"/>
      <c r="S164" s="817"/>
      <c r="T164" s="817"/>
      <c r="U164" s="817"/>
      <c r="V164" s="817"/>
      <c r="W164" s="817"/>
      <c r="X164" s="817"/>
      <c r="Y164" s="817"/>
      <c r="Z164" s="817"/>
      <c r="AA164" s="817"/>
      <c r="AB164" s="817"/>
      <c r="AC164" s="819"/>
      <c r="AD164" s="819"/>
      <c r="AE164" s="819"/>
    </row>
    <row r="165" spans="2:31">
      <c r="D165" s="817"/>
      <c r="E165" s="817"/>
      <c r="F165" s="817"/>
      <c r="G165" s="817"/>
      <c r="H165" s="817"/>
      <c r="I165" s="817"/>
      <c r="Z165" s="818"/>
      <c r="AA165" s="818"/>
      <c r="AB165" s="818"/>
      <c r="AC165" s="819"/>
      <c r="AD165" s="819"/>
      <c r="AE165" s="819"/>
    </row>
    <row r="166" spans="2:31">
      <c r="D166" s="817"/>
      <c r="E166" s="817"/>
      <c r="F166" s="817"/>
      <c r="G166" s="817"/>
      <c r="H166" s="817"/>
      <c r="I166" s="817"/>
      <c r="Z166" s="818"/>
      <c r="AA166" s="818"/>
      <c r="AB166" s="818"/>
      <c r="AC166" s="819"/>
      <c r="AD166" s="819"/>
      <c r="AE166" s="819"/>
    </row>
    <row r="167" spans="2:31" ht="15.75" thickBot="1">
      <c r="D167" s="817"/>
      <c r="E167" s="817"/>
      <c r="F167" s="817"/>
      <c r="G167" s="817"/>
      <c r="H167" s="817"/>
      <c r="I167" s="817"/>
      <c r="Z167" s="818"/>
      <c r="AA167" s="818"/>
      <c r="AB167" s="818"/>
      <c r="AC167" s="819"/>
      <c r="AD167" s="819"/>
      <c r="AE167" s="819"/>
    </row>
    <row r="168" spans="2:31" ht="15.75" thickBot="1">
      <c r="C168" s="807"/>
      <c r="D168" s="807">
        <v>2018</v>
      </c>
      <c r="E168" s="807">
        <v>19</v>
      </c>
      <c r="F168" s="807">
        <v>20</v>
      </c>
      <c r="G168" s="761">
        <v>21</v>
      </c>
      <c r="H168" s="761">
        <v>22</v>
      </c>
      <c r="I168" s="761">
        <v>23</v>
      </c>
      <c r="J168" s="761">
        <v>24</v>
      </c>
      <c r="K168" s="761">
        <v>25</v>
      </c>
      <c r="L168" s="761">
        <v>26</v>
      </c>
      <c r="M168" s="761" t="s">
        <v>1253</v>
      </c>
      <c r="N168" s="821"/>
      <c r="O168" s="821"/>
      <c r="P168" s="821"/>
      <c r="Q168" s="821"/>
      <c r="R168" s="821"/>
      <c r="S168" s="821"/>
      <c r="T168" s="821"/>
      <c r="U168" s="821"/>
      <c r="V168" s="821"/>
      <c r="W168" s="821"/>
      <c r="X168" s="821"/>
      <c r="Y168" s="821"/>
      <c r="Z168" s="821"/>
      <c r="AA168" s="821"/>
      <c r="AB168" s="821"/>
      <c r="AC168" s="821"/>
    </row>
    <row r="169" spans="2:31">
      <c r="C169" s="761" t="s">
        <v>1254</v>
      </c>
      <c r="D169" s="822">
        <v>1647.0588235294099</v>
      </c>
      <c r="E169" s="822">
        <v>1411.76470588235</v>
      </c>
      <c r="F169" s="822">
        <v>1294.11764705882</v>
      </c>
      <c r="G169" s="822">
        <v>1176.4705882352901</v>
      </c>
      <c r="H169" s="822">
        <v>1176.4705882352901</v>
      </c>
      <c r="I169" s="822">
        <v>1176.4705882352901</v>
      </c>
      <c r="J169" s="822">
        <v>1058.8235294117601</v>
      </c>
      <c r="K169" s="822">
        <v>1000</v>
      </c>
      <c r="L169" s="822">
        <v>941.17647058823502</v>
      </c>
      <c r="M169" s="819">
        <v>-6.756139939941197E-2</v>
      </c>
    </row>
    <row r="170" spans="2:31">
      <c r="C170" s="761" t="s">
        <v>1255</v>
      </c>
      <c r="D170" s="822">
        <v>529.41176470588198</v>
      </c>
      <c r="E170" s="822">
        <v>352.941176470588</v>
      </c>
      <c r="F170" s="822">
        <v>352.941176470588</v>
      </c>
      <c r="G170" s="822">
        <v>352.941176470588</v>
      </c>
      <c r="H170" s="822">
        <v>352.941176470588</v>
      </c>
      <c r="I170" s="822">
        <v>235.29411764705901</v>
      </c>
      <c r="J170" s="822">
        <v>235.29411764705901</v>
      </c>
      <c r="K170" s="822">
        <v>823.52941176470597</v>
      </c>
      <c r="L170" s="822">
        <v>235.29411764705901</v>
      </c>
      <c r="M170" s="819">
        <v>-9.6397996390155005E-2</v>
      </c>
    </row>
    <row r="171" spans="2:31">
      <c r="C171" s="761" t="s">
        <v>1256</v>
      </c>
      <c r="D171" s="822">
        <v>823.52941176470597</v>
      </c>
      <c r="E171" s="822">
        <v>5294.1176470588198</v>
      </c>
      <c r="F171" s="822">
        <v>6000</v>
      </c>
      <c r="G171" s="822">
        <v>6117.6470588235297</v>
      </c>
      <c r="H171" s="822">
        <v>7235.2941176470604</v>
      </c>
      <c r="I171" s="822">
        <v>7764.7058823529396</v>
      </c>
      <c r="J171" s="822">
        <v>8235.2941176470595</v>
      </c>
      <c r="K171" s="822">
        <v>8588.2352941176505</v>
      </c>
      <c r="L171" s="822">
        <v>8823.5294117647099</v>
      </c>
      <c r="M171" s="819">
        <v>0.34507159962670042</v>
      </c>
    </row>
    <row r="172" spans="2:31">
      <c r="C172" s="761" t="s">
        <v>1257</v>
      </c>
      <c r="D172" s="822">
        <v>1235.2941176470599</v>
      </c>
      <c r="E172" s="822">
        <v>1882.35294117647</v>
      </c>
      <c r="F172" s="822">
        <v>2352.9411764705901</v>
      </c>
      <c r="G172" s="822">
        <v>2941.1764705882401</v>
      </c>
      <c r="H172" s="822">
        <v>3529.4117647058802</v>
      </c>
      <c r="I172" s="822">
        <v>4235.2941176470604</v>
      </c>
      <c r="J172" s="822">
        <v>5000</v>
      </c>
      <c r="K172" s="822">
        <v>5647.0588235294099</v>
      </c>
      <c r="L172" s="822">
        <v>6470.5882352941198</v>
      </c>
      <c r="M172" s="819">
        <v>0.22997610333002405</v>
      </c>
    </row>
    <row r="173" spans="2:31">
      <c r="C173" s="761" t="s">
        <v>1258</v>
      </c>
      <c r="D173" s="822">
        <v>117.64705882352899</v>
      </c>
      <c r="E173" s="822">
        <v>235.29411764705901</v>
      </c>
      <c r="F173" s="822">
        <v>588.23529411764696</v>
      </c>
      <c r="G173" s="822">
        <v>764.70588235294099</v>
      </c>
      <c r="H173" s="822">
        <v>941.17647058823502</v>
      </c>
      <c r="I173" s="822">
        <v>1294.11764705882</v>
      </c>
      <c r="J173" s="822">
        <v>1411.76470588235</v>
      </c>
      <c r="K173" s="822">
        <v>1764.7058823529401</v>
      </c>
      <c r="L173" s="822">
        <v>2000</v>
      </c>
      <c r="M173" s="819">
        <v>0.42497129264730549</v>
      </c>
    </row>
    <row r="174" spans="2:31">
      <c r="AB174" s="761">
        <v>6</v>
      </c>
      <c r="AC174" s="761" t="s">
        <v>1259</v>
      </c>
    </row>
    <row r="176" spans="2:31" ht="15.75" thickBot="1">
      <c r="B176" s="761" t="s">
        <v>1260</v>
      </c>
      <c r="C176" s="761">
        <v>2015</v>
      </c>
      <c r="D176" s="761" t="s">
        <v>1261</v>
      </c>
      <c r="L176" s="761">
        <v>2019</v>
      </c>
      <c r="M176" s="761" t="s">
        <v>1261</v>
      </c>
      <c r="T176" s="761" t="s">
        <v>1262</v>
      </c>
      <c r="AB176" s="761">
        <v>2020</v>
      </c>
      <c r="AC176" s="761" t="s">
        <v>1263</v>
      </c>
    </row>
    <row r="177" spans="3:34" ht="15.75" thickBot="1">
      <c r="C177" s="807"/>
      <c r="D177" s="807" t="s">
        <v>1264</v>
      </c>
      <c r="E177" s="807" t="s">
        <v>1265</v>
      </c>
      <c r="F177" s="807" t="s">
        <v>1223</v>
      </c>
      <c r="G177" s="761" t="s">
        <v>1227</v>
      </c>
      <c r="H177" s="761" t="s">
        <v>1266</v>
      </c>
      <c r="I177" s="761" t="s">
        <v>1215</v>
      </c>
      <c r="J177" s="761" t="s">
        <v>163</v>
      </c>
      <c r="L177" s="807" t="s">
        <v>1264</v>
      </c>
      <c r="M177" s="807" t="s">
        <v>1265</v>
      </c>
      <c r="N177" s="807" t="s">
        <v>1267</v>
      </c>
      <c r="O177" s="761" t="s">
        <v>1268</v>
      </c>
      <c r="P177" s="761" t="s">
        <v>1266</v>
      </c>
      <c r="Q177" s="761" t="s">
        <v>1215</v>
      </c>
      <c r="R177" s="761" t="s">
        <v>163</v>
      </c>
      <c r="T177" s="761" t="str">
        <f t="shared" ref="T177:Z177" si="32">L177</f>
        <v>Electrical Power &amp; Motion</v>
      </c>
      <c r="U177" s="761" t="str">
        <f t="shared" si="32"/>
        <v>Lighting &amp; Safety</v>
      </c>
      <c r="V177" s="761" t="str">
        <f t="shared" si="32"/>
        <v>CSC+Avionics</v>
      </c>
      <c r="W177" s="761" t="str">
        <f t="shared" si="32"/>
        <v>Certification</v>
      </c>
      <c r="X177" s="761" t="str">
        <f t="shared" si="32"/>
        <v xml:space="preserve">Structures </v>
      </c>
      <c r="Y177" s="761" t="str">
        <f t="shared" si="32"/>
        <v>Test Systems</v>
      </c>
      <c r="Z177" s="761" t="str">
        <f t="shared" si="32"/>
        <v>Other</v>
      </c>
      <c r="AA177" s="761" t="s">
        <v>1269</v>
      </c>
      <c r="AB177" s="761" t="str">
        <f>T177</f>
        <v>Electrical Power &amp; Motion</v>
      </c>
      <c r="AC177" s="761" t="str">
        <f>U177</f>
        <v>Lighting &amp; Safety</v>
      </c>
      <c r="AD177" s="761" t="str">
        <f>V177</f>
        <v>CSC+Avionics</v>
      </c>
      <c r="AE177" s="761" t="s">
        <v>1268</v>
      </c>
      <c r="AF177" s="761" t="str">
        <f>X177</f>
        <v xml:space="preserve">Structures </v>
      </c>
      <c r="AG177" s="761" t="str">
        <f>Y177</f>
        <v>Test Systems</v>
      </c>
      <c r="AH177" s="761" t="str">
        <f>Z177</f>
        <v>Other</v>
      </c>
    </row>
    <row r="178" spans="3:34">
      <c r="C178" s="761" t="s">
        <v>1270</v>
      </c>
      <c r="D178" s="823">
        <v>145.37859</v>
      </c>
      <c r="E178" s="823"/>
      <c r="F178" s="823"/>
      <c r="G178" s="823"/>
      <c r="H178" s="823"/>
      <c r="I178" s="823"/>
      <c r="J178" s="823"/>
      <c r="L178" s="808">
        <f>((D178+D179)/D197)*L197</f>
        <v>289.98251320563054</v>
      </c>
      <c r="M178" s="808"/>
      <c r="N178" s="808"/>
      <c r="O178" s="808"/>
      <c r="P178" s="808"/>
      <c r="Q178" s="808"/>
      <c r="R178" s="808"/>
      <c r="T178" s="808">
        <f>(D178)*(1+$AA178)^4</f>
        <v>227.94013361400542</v>
      </c>
      <c r="AA178" s="824">
        <v>0.11899999999999999</v>
      </c>
      <c r="AB178" s="808">
        <f>T178*(1+AA178)-($AB$174/12)*(F141)*(T178/SUM($T$178:$U$184))</f>
        <v>254.09331327578775</v>
      </c>
    </row>
    <row r="179" spans="3:34">
      <c r="C179" s="761" t="s">
        <v>1271</v>
      </c>
      <c r="D179" s="823">
        <v>94.462669336800985</v>
      </c>
      <c r="E179" s="823"/>
      <c r="F179" s="823"/>
      <c r="G179" s="823"/>
      <c r="H179" s="823"/>
      <c r="I179" s="823"/>
      <c r="J179" s="823"/>
      <c r="L179" s="808"/>
      <c r="M179" s="808"/>
      <c r="N179" s="808"/>
      <c r="O179" s="808"/>
      <c r="P179" s="808"/>
      <c r="Q179" s="808"/>
      <c r="R179" s="808"/>
      <c r="T179" s="808">
        <f>+D179*(1+AA179)^4</f>
        <v>85.364770395780539</v>
      </c>
      <c r="AA179" s="824">
        <v>-2.5000000000000001E-2</v>
      </c>
      <c r="AB179" s="808">
        <f>T179*(1+AA179)-($AB$174/12)*(F142)*(T179/SUM($T$178:$U$184))</f>
        <v>83.230651135886021</v>
      </c>
    </row>
    <row r="180" spans="3:34">
      <c r="C180" s="761" t="s">
        <v>1272</v>
      </c>
      <c r="D180" s="823">
        <v>23.2</v>
      </c>
      <c r="E180" s="823"/>
      <c r="F180" s="823"/>
      <c r="G180" s="823"/>
      <c r="H180" s="823"/>
      <c r="I180" s="823"/>
      <c r="J180" s="823"/>
      <c r="L180" s="808">
        <f>L197-L178</f>
        <v>48.254486794369484</v>
      </c>
      <c r="M180" s="808"/>
      <c r="N180" s="808"/>
      <c r="O180" s="808"/>
      <c r="P180" s="808"/>
      <c r="Q180" s="808"/>
      <c r="R180" s="808"/>
      <c r="T180" s="808">
        <f>L197-SUM(T178:T179)</f>
        <v>24.932095990214066</v>
      </c>
      <c r="AA180" s="819">
        <f>(T180/D180)^(1/4)-1</f>
        <v>1.8163915734079383E-2</v>
      </c>
      <c r="AB180" s="808">
        <f>T180*(1+AA180)</f>
        <v>25.384960480854293</v>
      </c>
    </row>
    <row r="181" spans="3:34">
      <c r="C181" s="761" t="s">
        <v>1273</v>
      </c>
      <c r="D181" s="823">
        <v>16.8</v>
      </c>
      <c r="E181" s="823"/>
      <c r="F181" s="823"/>
      <c r="G181" s="823"/>
      <c r="H181" s="823"/>
      <c r="I181" s="823"/>
      <c r="J181" s="823"/>
      <c r="L181" s="808"/>
      <c r="M181" s="808"/>
      <c r="N181" s="808"/>
      <c r="O181" s="808"/>
      <c r="P181" s="602"/>
      <c r="Q181" s="808"/>
      <c r="R181" s="808"/>
    </row>
    <row r="182" spans="3:34">
      <c r="E182" s="823"/>
      <c r="F182" s="823"/>
      <c r="G182" s="823"/>
      <c r="H182" s="823"/>
      <c r="I182" s="823"/>
      <c r="J182" s="823"/>
      <c r="L182" s="808"/>
      <c r="M182" s="808"/>
      <c r="N182" s="808"/>
      <c r="O182" s="808"/>
      <c r="P182" s="602"/>
      <c r="Q182" s="808"/>
      <c r="R182" s="808"/>
    </row>
    <row r="183" spans="3:34">
      <c r="C183" s="761" t="s">
        <v>1274</v>
      </c>
      <c r="D183" s="823"/>
      <c r="E183" s="823">
        <v>61.034963986397798</v>
      </c>
      <c r="F183" s="823"/>
      <c r="G183" s="823"/>
      <c r="H183" s="823"/>
      <c r="I183" s="823"/>
      <c r="J183" s="823"/>
      <c r="L183" s="808"/>
      <c r="M183" s="808">
        <f>(E183/E197)*M197</f>
        <v>72.034175819764855</v>
      </c>
      <c r="N183" s="808"/>
      <c r="O183" s="808"/>
      <c r="P183" s="602"/>
      <c r="Q183" s="808"/>
      <c r="R183" s="808"/>
      <c r="U183" s="799">
        <f>(E183)*(1+$AA183)^4</f>
        <v>79.407898626235465</v>
      </c>
      <c r="AA183" s="824">
        <v>6.8000000000000005E-2</v>
      </c>
      <c r="AC183" s="808">
        <f>U183*(1+$AA183)</f>
        <v>84.807635732819477</v>
      </c>
    </row>
    <row r="184" spans="3:34">
      <c r="C184" s="761" t="s">
        <v>1275</v>
      </c>
      <c r="D184" s="823"/>
      <c r="E184" s="823">
        <v>96.108036013602202</v>
      </c>
      <c r="F184" s="823"/>
      <c r="G184" s="823"/>
      <c r="H184" s="823"/>
      <c r="I184" s="823"/>
      <c r="J184" s="823"/>
      <c r="L184" s="808"/>
      <c r="M184" s="808">
        <f>M197-M183</f>
        <v>113.42782418023513</v>
      </c>
      <c r="N184" s="808"/>
      <c r="O184" s="808"/>
      <c r="P184" s="602"/>
      <c r="Q184" s="808"/>
      <c r="R184" s="808"/>
      <c r="U184" s="808">
        <f>M197-U183</f>
        <v>106.05410137376452</v>
      </c>
      <c r="AA184" s="819">
        <f>(U184/E184)^(1/4)-1</f>
        <v>2.4924657585409848E-2</v>
      </c>
      <c r="AC184" s="808">
        <f>U184*(1+$AA184)</f>
        <v>108.69746353603395</v>
      </c>
    </row>
    <row r="185" spans="3:34">
      <c r="D185" s="823"/>
      <c r="F185" s="823"/>
      <c r="G185" s="823"/>
      <c r="H185" s="823"/>
      <c r="I185" s="823"/>
      <c r="J185" s="823"/>
      <c r="L185" s="808"/>
      <c r="M185" s="808"/>
      <c r="N185" s="808"/>
      <c r="O185" s="808"/>
      <c r="P185" s="602"/>
      <c r="Q185" s="808"/>
      <c r="R185" s="808"/>
    </row>
    <row r="186" spans="3:34">
      <c r="C186" s="761" t="s">
        <v>1276</v>
      </c>
      <c r="D186" s="823"/>
      <c r="E186" s="823"/>
      <c r="F186" s="823">
        <v>28.27</v>
      </c>
      <c r="G186" s="823"/>
      <c r="H186" s="823"/>
      <c r="I186" s="823"/>
      <c r="J186" s="823"/>
      <c r="L186" s="808"/>
      <c r="M186" s="808"/>
      <c r="N186" s="808">
        <f>F186/SUM(F186:F187)*N197</f>
        <v>53.765311759782008</v>
      </c>
      <c r="O186" s="808"/>
      <c r="P186" s="602"/>
      <c r="Q186" s="808"/>
      <c r="R186" s="808"/>
      <c r="V186" s="799">
        <f>(F186)*(1+$AA186)^4</f>
        <v>31.81655834253554</v>
      </c>
      <c r="AA186" s="824">
        <f>AE147</f>
        <v>2.9987247698217256E-2</v>
      </c>
      <c r="AD186" s="799">
        <f>V186-7</f>
        <v>24.81655834253554</v>
      </c>
    </row>
    <row r="187" spans="3:34">
      <c r="C187" s="761" t="s">
        <v>1277</v>
      </c>
      <c r="D187" s="823"/>
      <c r="E187" s="823"/>
      <c r="F187" s="823">
        <v>27.879000000000001</v>
      </c>
      <c r="G187" s="823"/>
      <c r="H187" s="823"/>
      <c r="I187" s="823"/>
      <c r="J187" s="823"/>
      <c r="L187" s="808"/>
      <c r="M187" s="808"/>
      <c r="N187" s="808">
        <f>N197-N186</f>
        <v>53.021688240217998</v>
      </c>
      <c r="O187" s="808"/>
      <c r="P187" s="602"/>
      <c r="Q187" s="808"/>
      <c r="R187" s="808"/>
      <c r="V187" s="799">
        <f>N197-V186</f>
        <v>74.970441657464463</v>
      </c>
      <c r="AA187" s="819">
        <f>(V187/(F187+27))^(1/4)-1</f>
        <v>8.1112702371674894E-2</v>
      </c>
      <c r="AD187" s="799">
        <f>V187*(1+AA187)</f>
        <v>81.051496778299395</v>
      </c>
    </row>
    <row r="188" spans="3:34">
      <c r="D188" s="823"/>
      <c r="E188" s="823"/>
      <c r="F188" s="823"/>
      <c r="G188" s="823"/>
      <c r="H188" s="823"/>
      <c r="I188" s="823"/>
      <c r="J188" s="823"/>
      <c r="L188" s="808"/>
      <c r="M188" s="808"/>
      <c r="N188" s="808"/>
      <c r="O188" s="808"/>
      <c r="P188" s="602"/>
      <c r="Q188" s="808"/>
      <c r="R188" s="808"/>
      <c r="AA188" s="819"/>
    </row>
    <row r="189" spans="3:34">
      <c r="C189" s="761" t="s">
        <v>1278</v>
      </c>
      <c r="D189" s="823"/>
      <c r="E189" s="823"/>
      <c r="F189" s="823"/>
      <c r="G189" s="823">
        <v>21.318000000000001</v>
      </c>
      <c r="H189" s="823"/>
      <c r="I189" s="823"/>
      <c r="J189" s="823"/>
      <c r="L189" s="808"/>
      <c r="M189" s="808"/>
      <c r="N189" s="808"/>
      <c r="O189" s="808">
        <f>O197</f>
        <v>14.401</v>
      </c>
      <c r="P189" s="808"/>
      <c r="Q189" s="808"/>
      <c r="R189" s="808"/>
      <c r="W189" s="808">
        <f>O189*(1+$AA189)</f>
        <v>14.401</v>
      </c>
      <c r="AA189" s="819">
        <v>0</v>
      </c>
      <c r="AE189" s="817">
        <v>14.4</v>
      </c>
    </row>
    <row r="190" spans="3:34">
      <c r="D190" s="823"/>
      <c r="E190" s="823"/>
      <c r="F190" s="823"/>
      <c r="G190" s="823"/>
      <c r="H190" s="823"/>
      <c r="I190" s="823"/>
      <c r="J190" s="823"/>
      <c r="L190" s="808"/>
      <c r="M190" s="808"/>
      <c r="N190" s="808"/>
      <c r="O190" s="808"/>
      <c r="P190" s="808"/>
      <c r="Q190" s="808"/>
      <c r="R190" s="808"/>
      <c r="AA190" s="819"/>
    </row>
    <row r="191" spans="3:34">
      <c r="C191" s="761" t="s">
        <v>1279</v>
      </c>
      <c r="D191" s="823"/>
      <c r="E191" s="823"/>
      <c r="F191" s="823"/>
      <c r="G191" s="823"/>
      <c r="H191" s="823">
        <v>16.373000000000001</v>
      </c>
      <c r="I191" s="823"/>
      <c r="J191" s="823"/>
      <c r="L191" s="808"/>
      <c r="M191" s="808"/>
      <c r="N191" s="808"/>
      <c r="O191" s="808"/>
      <c r="P191" s="808">
        <f>P197</f>
        <v>23.117000000000001</v>
      </c>
      <c r="Q191" s="815"/>
      <c r="R191" s="808"/>
      <c r="X191" s="799">
        <f>P191</f>
        <v>23.117000000000001</v>
      </c>
      <c r="AA191" s="819">
        <f>AD148</f>
        <v>3.7837400949976896E-2</v>
      </c>
      <c r="AF191" s="799">
        <f>X191*(1+AA191)</f>
        <v>23.991687197760616</v>
      </c>
    </row>
    <row r="192" spans="3:34">
      <c r="D192" s="823"/>
      <c r="E192" s="823"/>
      <c r="F192" s="823"/>
      <c r="G192" s="823"/>
      <c r="H192" s="823"/>
      <c r="I192" s="823"/>
      <c r="J192" s="823"/>
      <c r="L192" s="808"/>
      <c r="M192" s="808"/>
      <c r="N192" s="808"/>
      <c r="O192" s="808"/>
      <c r="P192" s="602"/>
      <c r="Q192" s="815"/>
      <c r="R192" s="808"/>
    </row>
    <row r="193" spans="2:35">
      <c r="C193" s="761" t="s">
        <v>1280</v>
      </c>
      <c r="D193" s="823"/>
      <c r="E193" s="823"/>
      <c r="F193" s="823"/>
      <c r="G193" s="823"/>
      <c r="H193" s="823"/>
      <c r="I193" s="823">
        <v>92.1</v>
      </c>
      <c r="L193" s="808"/>
      <c r="M193" s="808"/>
      <c r="N193" s="808"/>
      <c r="O193" s="808"/>
      <c r="P193" s="808"/>
      <c r="Q193" s="808">
        <v>0</v>
      </c>
      <c r="R193" s="808"/>
    </row>
    <row r="194" spans="2:35">
      <c r="C194" s="761" t="s">
        <v>1281</v>
      </c>
      <c r="D194" s="823"/>
      <c r="E194" s="823"/>
      <c r="F194" s="823"/>
      <c r="G194" s="823"/>
      <c r="H194" s="823"/>
      <c r="I194" s="823">
        <v>50.4</v>
      </c>
      <c r="L194" s="808"/>
      <c r="M194" s="808"/>
      <c r="N194" s="808"/>
      <c r="O194" s="808"/>
      <c r="P194" s="808"/>
      <c r="Q194" s="808">
        <f>Q197</f>
        <v>80.092999999999989</v>
      </c>
      <c r="R194" s="808"/>
      <c r="Y194" s="761">
        <v>70.400000000000006</v>
      </c>
      <c r="AA194" s="819">
        <v>0.2</v>
      </c>
      <c r="AG194" s="808">
        <f>Y194*(1+$AA194)</f>
        <v>84.48</v>
      </c>
    </row>
    <row r="195" spans="2:35">
      <c r="D195" s="823"/>
      <c r="E195" s="823"/>
      <c r="F195" s="823"/>
      <c r="G195" s="823"/>
      <c r="H195" s="823"/>
      <c r="I195" s="823"/>
      <c r="J195" s="823"/>
      <c r="L195" s="808"/>
      <c r="M195" s="808"/>
      <c r="N195" s="808"/>
      <c r="O195" s="808"/>
      <c r="P195" s="808"/>
      <c r="Q195" s="808"/>
      <c r="R195" s="808"/>
      <c r="Z195" s="819"/>
    </row>
    <row r="196" spans="2:35">
      <c r="C196" s="761" t="s">
        <v>163</v>
      </c>
      <c r="D196" s="823"/>
      <c r="E196" s="823"/>
      <c r="F196" s="823"/>
      <c r="G196" s="823"/>
      <c r="H196" s="823"/>
      <c r="J196" s="823">
        <v>19.004000000000001</v>
      </c>
      <c r="L196" s="808"/>
      <c r="M196" s="808"/>
      <c r="N196" s="808"/>
      <c r="O196" s="808"/>
      <c r="P196" s="808"/>
      <c r="Q196" s="808"/>
      <c r="R196" s="808">
        <f>R197</f>
        <v>24.605</v>
      </c>
      <c r="Z196" s="808">
        <f>R196</f>
        <v>24.605</v>
      </c>
      <c r="AA196" s="800">
        <f>AE148</f>
        <v>2.6108267490220216E-2</v>
      </c>
      <c r="AH196" s="808">
        <f>R196*($AA196+1)</f>
        <v>25.247393921596871</v>
      </c>
    </row>
    <row r="197" spans="2:35">
      <c r="C197" s="761" t="s">
        <v>1282</v>
      </c>
      <c r="D197" s="813">
        <f>_xlfn.SINGLE(INDEX(z_YPOAFJ0182_MO_OS_ElectricalPowerMotionrevenue,0,_xlfn.SINGLE(_xlfn.XMATCH("FY"&amp;$C$176,MO_Common_ColumnHeader))))</f>
        <v>279.75200000000001</v>
      </c>
      <c r="E197" s="813">
        <f>_xlfn.SINGLE(INDEX(z_YPOAFJ0182_MO_OS_LightingSafetyrevenue,0,_xlfn.SINGLE(_xlfn.XMATCH("FY"&amp;$C$176,MO_Common_ColumnHeader))))</f>
        <v>157.143</v>
      </c>
      <c r="F197" s="813">
        <f>_xlfn.SINGLE(INDEX(z_YPOAFJ0182_MO_OS_Avionicsrevenue,0,_xlfn.SINGLE(_xlfn.XMATCH("FY"&amp;$C$176,MO_Common_ColumnHeader))))</f>
        <v>56.15</v>
      </c>
      <c r="G197" s="813">
        <f>_xlfn.SINGLE(INDEX(z_YPOAFJ0182_MO_OS_SystemsCertificationrevenue,0,_xlfn.SINGLE(_xlfn.XMATCH("FY"&amp;$C$176,MO_Common_ColumnHeader))))</f>
        <v>21.317</v>
      </c>
      <c r="H197" s="813">
        <f>_xlfn.SINGLE(INDEX(z_YPOAFJ0182_MO_OS_Structuresrevenue,0,_xlfn.SINGLE(_xlfn.XMATCH("FY"&amp;$C$176,MO_Common_ColumnHeader))))</f>
        <v>16.372</v>
      </c>
      <c r="I197" s="813">
        <f>_xlfn.SINGLE(INDEX(z_YPOAFJ0182_MO_OS_Otherproductrevenue,0,_xlfn.SINGLE(_xlfn.XMATCH("FY"&amp;$C$176,MO_Common_ColumnHeader))))</f>
        <v>19.004000000000001</v>
      </c>
      <c r="J197" s="813">
        <f>_xlfn.SINGLE(INDEX(z_YPOAFJ0182_MO_OS_totaltestsystemsrevenue,0,_xlfn.SINGLE(_xlfn.XMATCH("FY"&amp;$C$176,MO_Common_ColumnHeader))))</f>
        <v>142.541</v>
      </c>
      <c r="K197" s="825"/>
      <c r="L197" s="813">
        <f>_xlfn.SINGLE(INDEX(z_YPOAFJ0182_MO_OS_ElectricalPowerMotionrevenue,0,_xlfn.SINGLE(_xlfn.XMATCH("FY"&amp;$L$176,MO_Common_ColumnHeader))))</f>
        <v>338.23700000000002</v>
      </c>
      <c r="M197" s="813">
        <f>_xlfn.SINGLE(INDEX(z_YPOAFJ0182_MO_OS_LightingSafetyrevenue,0,_xlfn.SINGLE(_xlfn.XMATCH("FY"&amp;$L$176,MO_Common_ColumnHeader))))</f>
        <v>185.46199999999999</v>
      </c>
      <c r="N197" s="813">
        <f>_xlfn.SINGLE(INDEX(z_YPOAFJ0182_MO_OS_Avionicsrevenue,0,_xlfn.SINGLE(_xlfn.XMATCH("FY"&amp;$L$176,MO_Common_ColumnHeader))))</f>
        <v>106.78700000000001</v>
      </c>
      <c r="O197" s="813">
        <f>_xlfn.SINGLE(INDEX(z_YPOAFJ0182_MO_OS_SystemsCertificationrevenue,0,_xlfn.SINGLE(_xlfn.XMATCH("FY"&amp;$L$176,MO_Common_ColumnHeader))))</f>
        <v>14.401</v>
      </c>
      <c r="P197" s="813">
        <f>_xlfn.SINGLE(INDEX(z_YPOAFJ0182_MO_OS_Structuresrevenue,0,_xlfn.SINGLE(_xlfn.XMATCH("FY"&amp;$L$176,MO_Common_ColumnHeader))))</f>
        <v>23.117000000000001</v>
      </c>
      <c r="Q197" s="813">
        <f>_xlfn.SINGLE(INDEX(z_YPOAFJ0182_MO_OS_totaltestsystemsrevenue,0,_xlfn.SINGLE(_xlfn.XMATCH("FY"&amp;$L$176,MO_Common_ColumnHeader))))</f>
        <v>80.092999999999989</v>
      </c>
      <c r="R197" s="813">
        <f>_xlfn.SINGLE(INDEX(z_YPOAFJ0182_MO_OS_Otherproductrevenue,0,_xlfn.SINGLE(_xlfn.XMATCH("FY"&amp;$L$176,MO_Common_ColumnHeader))))</f>
        <v>24.605</v>
      </c>
      <c r="S197" s="817">
        <f>SUM(L197:R197)</f>
        <v>772.702</v>
      </c>
      <c r="T197" s="761">
        <f>T180/S197</f>
        <v>3.226612069104786E-2</v>
      </c>
      <c r="Z197" s="819"/>
      <c r="AB197" s="817">
        <f t="shared" ref="AB197:AH197" si="33">SUM(AB178:AB196)</f>
        <v>362.7089248925281</v>
      </c>
      <c r="AC197" s="817">
        <f t="shared" si="33"/>
        <v>193.50509926885343</v>
      </c>
      <c r="AD197" s="817">
        <f t="shared" si="33"/>
        <v>105.86805512083494</v>
      </c>
      <c r="AE197" s="817">
        <f t="shared" si="33"/>
        <v>14.4</v>
      </c>
      <c r="AF197" s="817">
        <f t="shared" si="33"/>
        <v>23.991687197760616</v>
      </c>
      <c r="AG197" s="817">
        <f t="shared" si="33"/>
        <v>84.48</v>
      </c>
      <c r="AH197" s="817">
        <f t="shared" si="33"/>
        <v>25.247393921596871</v>
      </c>
      <c r="AI197" s="817">
        <f>SUM(AB197:AH197)</f>
        <v>810.20116040157393</v>
      </c>
    </row>
    <row r="198" spans="2:35">
      <c r="D198"/>
      <c r="E198"/>
      <c r="F198"/>
      <c r="G198"/>
      <c r="H198"/>
      <c r="I198"/>
      <c r="J198"/>
      <c r="L198" s="591">
        <f t="shared" ref="L198:R198" si="34">(L197/D197)^(1/4)-1</f>
        <v>4.8605130856569367E-2</v>
      </c>
      <c r="M198" s="591">
        <f t="shared" si="34"/>
        <v>4.2293368761602945E-2</v>
      </c>
      <c r="N198" s="591">
        <f t="shared" si="34"/>
        <v>0.17433540965115646</v>
      </c>
      <c r="O198" s="591">
        <f t="shared" si="34"/>
        <v>-9.3398065751936432E-2</v>
      </c>
      <c r="P198" s="591">
        <f t="shared" si="34"/>
        <v>9.0077647281893602E-2</v>
      </c>
      <c r="Q198" s="591">
        <f t="shared" si="34"/>
        <v>0.43280597805233056</v>
      </c>
      <c r="R198" s="591">
        <f t="shared" si="34"/>
        <v>-0.35542880732032411</v>
      </c>
    </row>
    <row r="199" spans="2:35">
      <c r="K199"/>
      <c r="L199" s="1">
        <f t="shared" ref="L199:R199" si="35">AB197</f>
        <v>362.7089248925281</v>
      </c>
      <c r="M199" s="1">
        <f t="shared" si="35"/>
        <v>193.50509926885343</v>
      </c>
      <c r="N199" s="1">
        <f t="shared" si="35"/>
        <v>105.86805512083494</v>
      </c>
      <c r="O199" s="1">
        <f t="shared" si="35"/>
        <v>14.4</v>
      </c>
      <c r="P199" s="1">
        <f t="shared" si="35"/>
        <v>23.991687197760616</v>
      </c>
      <c r="Q199" s="1">
        <f t="shared" si="35"/>
        <v>84.48</v>
      </c>
      <c r="R199" s="1">
        <f t="shared" si="35"/>
        <v>25.247393921596871</v>
      </c>
      <c r="S199" s="817">
        <f>SUM(L199:R199)</f>
        <v>810.20116040157393</v>
      </c>
    </row>
    <row r="200" spans="2:35">
      <c r="K200"/>
      <c r="L200" s="591">
        <f t="shared" ref="L200:S200" si="36">L199/L197-1</f>
        <v>7.2351413040347756E-2</v>
      </c>
      <c r="M200" s="591">
        <f t="shared" si="36"/>
        <v>4.3367909700388507E-2</v>
      </c>
      <c r="N200" s="591">
        <f t="shared" si="36"/>
        <v>-8.6054002749872405E-3</v>
      </c>
      <c r="O200" s="591">
        <f t="shared" si="36"/>
        <v>-6.9439622248368416E-5</v>
      </c>
      <c r="P200" s="591">
        <f t="shared" si="36"/>
        <v>3.7837400949976896E-2</v>
      </c>
      <c r="Q200" s="591">
        <f t="shared" si="36"/>
        <v>5.4773825427940181E-2</v>
      </c>
      <c r="R200" s="591">
        <f t="shared" si="36"/>
        <v>2.6108267490220216E-2</v>
      </c>
      <c r="S200" s="591">
        <f t="shared" si="36"/>
        <v>4.8529912439173151E-2</v>
      </c>
    </row>
    <row r="201" spans="2:35">
      <c r="L201" s="819"/>
      <c r="M201" s="819"/>
      <c r="N201" s="819"/>
      <c r="O201" s="819"/>
      <c r="P201" s="819"/>
      <c r="Q201" s="819"/>
      <c r="R201" s="819"/>
    </row>
    <row r="202" spans="2:35">
      <c r="B202" s="761" t="s">
        <v>1283</v>
      </c>
      <c r="D202" s="767">
        <v>2012</v>
      </c>
      <c r="E202" s="767">
        <v>2013</v>
      </c>
      <c r="F202" s="767">
        <f t="shared" ref="F202:K202" si="37">E202+1</f>
        <v>2014</v>
      </c>
      <c r="G202" s="767">
        <f t="shared" si="37"/>
        <v>2015</v>
      </c>
      <c r="H202" s="767">
        <f t="shared" si="37"/>
        <v>2016</v>
      </c>
      <c r="I202" s="767">
        <f t="shared" si="37"/>
        <v>2017</v>
      </c>
      <c r="J202" s="767">
        <f t="shared" si="37"/>
        <v>2018</v>
      </c>
      <c r="K202" s="767">
        <f t="shared" si="37"/>
        <v>2019</v>
      </c>
      <c r="L202" s="826" t="s">
        <v>1284</v>
      </c>
      <c r="M202" s="826" t="s">
        <v>1285</v>
      </c>
      <c r="N202" s="826" t="s">
        <v>1286</v>
      </c>
      <c r="O202" s="819"/>
      <c r="P202" s="819"/>
      <c r="Q202" s="819"/>
      <c r="R202" s="819"/>
    </row>
    <row r="203" spans="2:35">
      <c r="C203" s="761" t="str">
        <f>Model!A61</f>
        <v>Electrical Power &amp; Motion revenue, mm</v>
      </c>
      <c r="D203" s="808">
        <f t="shared" ref="D203:K203" si="38">_xlfn.SINGLE(INDEX(z_YPOAFJ0182_MO_OS_ElectricalPowerMotionrevenue,0,_xlfn.SINGLE(_xlfn.XMATCH("FY"&amp;D$202,MO_Common_ColumnHeader))))</f>
        <v>160.136</v>
      </c>
      <c r="E203" s="808">
        <f t="shared" si="38"/>
        <v>188.221</v>
      </c>
      <c r="F203" s="808">
        <f t="shared" si="38"/>
        <v>254.45500000000001</v>
      </c>
      <c r="G203" s="808">
        <f t="shared" si="38"/>
        <v>279.75200000000001</v>
      </c>
      <c r="H203" s="808">
        <f t="shared" si="38"/>
        <v>288.46499999999997</v>
      </c>
      <c r="I203" s="808">
        <f t="shared" si="38"/>
        <v>264.286</v>
      </c>
      <c r="J203" s="808">
        <f t="shared" si="38"/>
        <v>303.18</v>
      </c>
      <c r="K203" s="808">
        <f t="shared" si="38"/>
        <v>338.23700000000002</v>
      </c>
      <c r="L203" s="819">
        <f>(K203/D203)^(1/7)-1</f>
        <v>0.11273130223979755</v>
      </c>
      <c r="M203" s="819">
        <f>(K203/F203)^(1/5)-1</f>
        <v>5.8575954793202323E-2</v>
      </c>
      <c r="N203" s="819">
        <f t="shared" ref="N203:N210" si="39">(K203/J203)^(1/1)-1</f>
        <v>0.11563097829672153</v>
      </c>
      <c r="O203" s="819"/>
      <c r="P203" s="819"/>
      <c r="Q203" s="819"/>
      <c r="R203" s="819"/>
    </row>
    <row r="204" spans="2:35">
      <c r="C204" s="761" t="str">
        <f>Model!A62</f>
        <v>Lighting &amp; Safety revenue, mm</v>
      </c>
      <c r="D204" s="808">
        <f t="shared" ref="D204:K204" si="40">_xlfn.SINGLE(INDEX(z_YPOAFJ0182_MO_OS_LightingSafetyrevenue,0,_xlfn.SINGLE(_xlfn.XMATCH("FY"&amp;D$202,MO_Common_ColumnHeader))))</f>
        <v>69.596999999999994</v>
      </c>
      <c r="E204" s="808">
        <f t="shared" si="40"/>
        <v>102.233</v>
      </c>
      <c r="F204" s="808">
        <f t="shared" si="40"/>
        <v>148.21199999999999</v>
      </c>
      <c r="G204" s="808">
        <f t="shared" si="40"/>
        <v>157.143</v>
      </c>
      <c r="H204" s="808">
        <f t="shared" si="40"/>
        <v>156.87100000000001</v>
      </c>
      <c r="I204" s="808">
        <f t="shared" si="40"/>
        <v>158.66300000000001</v>
      </c>
      <c r="J204" s="808">
        <f t="shared" si="40"/>
        <v>174.38300000000001</v>
      </c>
      <c r="K204" s="808">
        <f t="shared" si="40"/>
        <v>185.46199999999999</v>
      </c>
      <c r="L204" s="819">
        <f>(K204/D204)^(1/7)-1</f>
        <v>0.15029492240765374</v>
      </c>
      <c r="M204" s="819">
        <f>(K204/F204)^(1/5)-1</f>
        <v>4.5861832495403432E-2</v>
      </c>
      <c r="N204" s="819">
        <f t="shared" si="39"/>
        <v>6.3532569115108517E-2</v>
      </c>
      <c r="O204" s="819"/>
      <c r="P204" s="819"/>
      <c r="Q204" s="819"/>
      <c r="R204" s="819"/>
    </row>
    <row r="205" spans="2:35">
      <c r="C205" s="761" t="str">
        <f>Model!A63</f>
        <v>Avionics revenue, mm</v>
      </c>
      <c r="D205" s="808">
        <f t="shared" ref="D205:K205" si="41">_xlfn.SINGLE(INDEX(z_YPOAFJ0182_MO_OS_Avionicsrevenue,0,_xlfn.SINGLE(_xlfn.XMATCH("FY"&amp;D$202,MO_Common_ColumnHeader))))</f>
        <v>15.260999999999999</v>
      </c>
      <c r="E205" s="808">
        <f t="shared" si="41"/>
        <v>18.733000000000001</v>
      </c>
      <c r="F205" s="808">
        <f t="shared" si="41"/>
        <v>57.878999999999998</v>
      </c>
      <c r="G205" s="808">
        <f t="shared" si="41"/>
        <v>56.15</v>
      </c>
      <c r="H205" s="808">
        <f t="shared" si="41"/>
        <v>32.761000000000003</v>
      </c>
      <c r="I205" s="808">
        <f t="shared" si="41"/>
        <v>53.96</v>
      </c>
      <c r="J205" s="808">
        <f t="shared" si="41"/>
        <v>131.84899999999999</v>
      </c>
      <c r="K205" s="808">
        <f t="shared" si="41"/>
        <v>106.78700000000001</v>
      </c>
      <c r="L205" s="819">
        <f>(K205/D205)^(1/7)-1</f>
        <v>0.32039860316538249</v>
      </c>
      <c r="M205" s="819">
        <f>(K205/F205)^(1/5)-1</f>
        <v>0.13031495412823024</v>
      </c>
      <c r="N205" s="819">
        <f t="shared" si="39"/>
        <v>-0.19008107759634119</v>
      </c>
      <c r="O205" s="819"/>
      <c r="P205" s="819"/>
      <c r="Q205" s="819"/>
      <c r="R205" s="819"/>
    </row>
    <row r="206" spans="2:35">
      <c r="C206" s="761" t="str">
        <f>Model!A64</f>
        <v>Systems Certification revenue, mm</v>
      </c>
      <c r="D206" s="808">
        <f t="shared" ref="D206:K206" si="42">_xlfn.SINGLE(INDEX(z_YPOAFJ0182_MO_OS_SystemsCertificationrevenue,0,_xlfn.SINGLE(_xlfn.XMATCH("FY"&amp;D$202,MO_Common_ColumnHeader))))</f>
        <v>0</v>
      </c>
      <c r="E206" s="808">
        <f t="shared" si="42"/>
        <v>0</v>
      </c>
      <c r="F206" s="808">
        <f t="shared" si="42"/>
        <v>0</v>
      </c>
      <c r="G206" s="808">
        <f t="shared" si="42"/>
        <v>21.317</v>
      </c>
      <c r="H206" s="808">
        <f t="shared" si="42"/>
        <v>16.530999999999999</v>
      </c>
      <c r="I206" s="808">
        <f t="shared" si="42"/>
        <v>14.333</v>
      </c>
      <c r="J206" s="808">
        <f t="shared" si="42"/>
        <v>13.951000000000001</v>
      </c>
      <c r="K206" s="808">
        <f t="shared" si="42"/>
        <v>14.401</v>
      </c>
      <c r="L206" s="819"/>
      <c r="M206" s="819"/>
      <c r="N206" s="819">
        <f t="shared" si="39"/>
        <v>3.2255752275822447E-2</v>
      </c>
      <c r="O206" s="819"/>
      <c r="P206" s="819"/>
      <c r="Q206" s="819"/>
      <c r="R206" s="819"/>
    </row>
    <row r="207" spans="2:35">
      <c r="C207" s="761" t="str">
        <f>Model!A65</f>
        <v>Structures revenue, mm</v>
      </c>
      <c r="D207" s="808">
        <f t="shared" ref="D207:K207" si="43">_xlfn.SINGLE(INDEX(z_YPOAFJ0182_MO_OS_Structuresrevenue,0,_xlfn.SINGLE(_xlfn.XMATCH("FY"&amp;D$202,MO_Common_ColumnHeader))))</f>
        <v>0</v>
      </c>
      <c r="E207" s="808">
        <f t="shared" si="43"/>
        <v>6.3310000000000004</v>
      </c>
      <c r="F207" s="808">
        <f t="shared" si="43"/>
        <v>14.593999999999999</v>
      </c>
      <c r="G207" s="808">
        <f t="shared" si="43"/>
        <v>16.372</v>
      </c>
      <c r="H207" s="808">
        <f t="shared" si="43"/>
        <v>20.887</v>
      </c>
      <c r="I207" s="808">
        <f t="shared" si="43"/>
        <v>25.849</v>
      </c>
      <c r="J207" s="808">
        <f t="shared" si="43"/>
        <v>24.134</v>
      </c>
      <c r="K207" s="808">
        <f t="shared" si="43"/>
        <v>23.117000000000001</v>
      </c>
      <c r="L207" s="819"/>
      <c r="M207" s="819">
        <f>(K207/F207)^(1/5)-1</f>
        <v>9.6355567102734518E-2</v>
      </c>
      <c r="N207" s="819">
        <f t="shared" si="39"/>
        <v>-4.2139719897240413E-2</v>
      </c>
      <c r="O207" s="819"/>
      <c r="P207" s="819"/>
      <c r="Q207" s="819"/>
      <c r="R207" s="819"/>
    </row>
    <row r="208" spans="2:35">
      <c r="C208" s="761" t="str">
        <f>Model!A66</f>
        <v>Other product revenue, mm</v>
      </c>
      <c r="D208" s="808">
        <f t="shared" ref="D208:K208" si="44">_xlfn.SINGLE(INDEX(z_YPOAFJ0182_MO_OS_Otherproductrevenue,0,_xlfn.SINGLE(_xlfn.XMATCH("FY"&amp;D$202,MO_Common_ColumnHeader))))</f>
        <v>9.9610000000000003</v>
      </c>
      <c r="E208" s="808">
        <f t="shared" si="44"/>
        <v>15.012</v>
      </c>
      <c r="F208" s="808">
        <f t="shared" si="44"/>
        <v>19.606999999999999</v>
      </c>
      <c r="G208" s="808">
        <f t="shared" si="44"/>
        <v>19.004000000000001</v>
      </c>
      <c r="H208" s="808">
        <f t="shared" si="44"/>
        <v>18.526</v>
      </c>
      <c r="I208" s="808">
        <f t="shared" si="44"/>
        <v>17.512</v>
      </c>
      <c r="J208" s="808">
        <f t="shared" si="44"/>
        <v>28.128</v>
      </c>
      <c r="K208" s="808">
        <f t="shared" si="44"/>
        <v>24.605</v>
      </c>
      <c r="L208" s="819">
        <f>(K208/D208)^(1/7)-1</f>
        <v>0.13789691101031876</v>
      </c>
      <c r="M208" s="819">
        <f>(K208/F208)^(1/5)-1</f>
        <v>4.6459546119459239E-2</v>
      </c>
      <c r="N208" s="819">
        <f t="shared" si="39"/>
        <v>-0.12524886234357224</v>
      </c>
      <c r="O208" s="819"/>
      <c r="P208" s="819"/>
      <c r="Q208" s="819"/>
      <c r="R208" s="819"/>
    </row>
    <row r="209" spans="2:18">
      <c r="C209" s="761" t="str">
        <f>Model!A68</f>
        <v>Total Test Systems Revenue, mm</v>
      </c>
      <c r="D209" s="808">
        <f t="shared" ref="D209:K209" si="45">_xlfn.SINGLE(INDEX(z_YPOAFJ0182_MO_OS_totaltestsystemsrevenue,0,_xlfn.SINGLE(_xlfn.XMATCH("FY"&amp;D$202,MO_Common_ColumnHeader))))</f>
        <v>11.491</v>
      </c>
      <c r="E209" s="808">
        <f t="shared" si="45"/>
        <v>9.407</v>
      </c>
      <c r="F209" s="808">
        <f t="shared" si="45"/>
        <v>166.292</v>
      </c>
      <c r="G209" s="808">
        <f t="shared" si="45"/>
        <v>142.541</v>
      </c>
      <c r="H209" s="808">
        <f t="shared" si="45"/>
        <v>99.081999999999994</v>
      </c>
      <c r="I209" s="808">
        <f t="shared" si="45"/>
        <v>89.861000000000004</v>
      </c>
      <c r="J209" s="808">
        <f t="shared" si="45"/>
        <v>127.631</v>
      </c>
      <c r="K209" s="808">
        <f t="shared" si="45"/>
        <v>80.092999999999989</v>
      </c>
      <c r="L209" s="819">
        <f>(K209/D209)^(1/7)-1</f>
        <v>0.31966102661705365</v>
      </c>
      <c r="M209" s="819">
        <f>(K209/F209)^(1/5)-1</f>
        <v>-0.13593852746613844</v>
      </c>
      <c r="N209" s="819">
        <f t="shared" si="39"/>
        <v>-0.37246436994147203</v>
      </c>
      <c r="O209" s="819"/>
      <c r="P209" s="819"/>
      <c r="Q209" s="819"/>
      <c r="R209" s="819"/>
    </row>
    <row r="210" spans="2:18">
      <c r="C210" s="761" t="s">
        <v>696</v>
      </c>
      <c r="D210" s="813">
        <f t="shared" ref="D210:K210" si="46">_xlfn.SINGLE(INDEX(MO_RIS_REV,0,_xlfn.SINGLE(_xlfn.XMATCH("FY"&amp;D$202,MO_Common_ColumnHeader))))</f>
        <v>266.44600000000003</v>
      </c>
      <c r="E210" s="813">
        <f t="shared" si="46"/>
        <v>339.93700000000001</v>
      </c>
      <c r="F210" s="813">
        <f t="shared" si="46"/>
        <v>661.03899999999999</v>
      </c>
      <c r="G210" s="813">
        <f t="shared" si="46"/>
        <v>692.279</v>
      </c>
      <c r="H210" s="813">
        <f t="shared" si="46"/>
        <v>633.12300000000005</v>
      </c>
      <c r="I210" s="813">
        <f t="shared" si="46"/>
        <v>624.46400000000006</v>
      </c>
      <c r="J210" s="813">
        <f t="shared" si="46"/>
        <v>803.25599999999997</v>
      </c>
      <c r="K210" s="813">
        <f t="shared" si="46"/>
        <v>772.702</v>
      </c>
      <c r="L210" s="827">
        <f>(K210/D210)^(1/7)-1</f>
        <v>0.16428029528813437</v>
      </c>
      <c r="M210" s="827">
        <f>(K210/F210)^(1/5)-1</f>
        <v>3.1708457502267695E-2</v>
      </c>
      <c r="N210" s="827">
        <f t="shared" si="39"/>
        <v>-3.8037686615475019E-2</v>
      </c>
      <c r="O210" s="819"/>
      <c r="P210" s="819"/>
      <c r="Q210" s="819"/>
      <c r="R210" s="819"/>
    </row>
    <row r="211" spans="2:18">
      <c r="D211" s="818">
        <f t="shared" ref="D211:K211" si="47">SUM(D203:D209)/D210</f>
        <v>1</v>
      </c>
      <c r="E211" s="818">
        <f t="shared" si="47"/>
        <v>1</v>
      </c>
      <c r="F211" s="818">
        <f t="shared" si="47"/>
        <v>1.0000000000000002</v>
      </c>
      <c r="G211" s="818">
        <f t="shared" si="47"/>
        <v>1</v>
      </c>
      <c r="H211" s="818">
        <f t="shared" si="47"/>
        <v>1</v>
      </c>
      <c r="I211" s="818">
        <f t="shared" si="47"/>
        <v>1</v>
      </c>
      <c r="J211" s="818">
        <f t="shared" si="47"/>
        <v>1.0000000000000002</v>
      </c>
      <c r="K211" s="818">
        <f t="shared" si="47"/>
        <v>1</v>
      </c>
      <c r="L211" s="819"/>
      <c r="M211" s="819"/>
      <c r="N211" s="819"/>
      <c r="O211" s="819"/>
      <c r="P211" s="819"/>
      <c r="Q211" s="819"/>
      <c r="R211" s="819"/>
    </row>
    <row r="212" spans="2:18">
      <c r="D212" s="818"/>
      <c r="E212" s="818"/>
      <c r="F212" s="818"/>
      <c r="G212" s="818"/>
      <c r="H212" s="818"/>
      <c r="I212" s="818"/>
      <c r="J212" s="818"/>
      <c r="K212" s="818"/>
      <c r="L212" s="819"/>
      <c r="M212" s="819"/>
      <c r="N212" s="819"/>
      <c r="O212" s="819"/>
      <c r="P212" s="819"/>
      <c r="Q212" s="819"/>
      <c r="R212" s="819"/>
    </row>
    <row r="213" spans="2:18">
      <c r="C213" s="761" t="str">
        <f t="shared" ref="C213:C220" si="48">C203</f>
        <v>Electrical Power &amp; Motion revenue, mm</v>
      </c>
      <c r="D213" s="818"/>
      <c r="E213" s="819">
        <f t="shared" ref="E213:K215" si="49">E203/D203-1</f>
        <v>0.17538217515112153</v>
      </c>
      <c r="F213" s="819">
        <f t="shared" si="49"/>
        <v>0.35189484701494522</v>
      </c>
      <c r="G213" s="819">
        <f t="shared" si="49"/>
        <v>9.9416399756341978E-2</v>
      </c>
      <c r="H213" s="819">
        <f t="shared" si="49"/>
        <v>3.1145443106751491E-2</v>
      </c>
      <c r="I213" s="819">
        <f t="shared" si="49"/>
        <v>-8.3819527499003232E-2</v>
      </c>
      <c r="J213" s="819">
        <f t="shared" si="49"/>
        <v>0.14716632738775415</v>
      </c>
      <c r="K213" s="819">
        <f t="shared" si="49"/>
        <v>0.11563097829672153</v>
      </c>
      <c r="L213" s="819"/>
      <c r="M213" s="819"/>
      <c r="N213" s="819"/>
      <c r="O213" s="819"/>
      <c r="P213" s="819"/>
      <c r="Q213" s="819"/>
      <c r="R213" s="819"/>
    </row>
    <row r="214" spans="2:18">
      <c r="C214" s="761" t="str">
        <f t="shared" si="48"/>
        <v>Lighting &amp; Safety revenue, mm</v>
      </c>
      <c r="D214" s="818"/>
      <c r="E214" s="819">
        <f t="shared" si="49"/>
        <v>0.46892825840194274</v>
      </c>
      <c r="F214" s="819">
        <f t="shared" si="49"/>
        <v>0.44974714622479994</v>
      </c>
      <c r="G214" s="819">
        <f t="shared" si="49"/>
        <v>6.0258278681888156E-2</v>
      </c>
      <c r="H214" s="819">
        <f t="shared" si="49"/>
        <v>-1.7309075173567168E-3</v>
      </c>
      <c r="I214" s="819">
        <f t="shared" si="49"/>
        <v>1.1423398843635857E-2</v>
      </c>
      <c r="J214" s="819">
        <f t="shared" si="49"/>
        <v>9.9077919867896158E-2</v>
      </c>
      <c r="K214" s="819">
        <f t="shared" si="49"/>
        <v>6.3532569115108517E-2</v>
      </c>
      <c r="L214" s="819"/>
      <c r="M214" s="819"/>
      <c r="N214" s="819"/>
      <c r="O214" s="819"/>
      <c r="P214" s="819"/>
      <c r="Q214" s="819"/>
      <c r="R214" s="819"/>
    </row>
    <row r="215" spans="2:18">
      <c r="C215" s="761" t="str">
        <f t="shared" si="48"/>
        <v>Avionics revenue, mm</v>
      </c>
      <c r="D215" s="818"/>
      <c r="E215" s="819">
        <f t="shared" si="49"/>
        <v>0.2275080269969203</v>
      </c>
      <c r="F215" s="819">
        <f t="shared" si="49"/>
        <v>2.0896813110553567</v>
      </c>
      <c r="G215" s="819">
        <f t="shared" si="49"/>
        <v>-2.9872665388137265E-2</v>
      </c>
      <c r="H215" s="819">
        <f t="shared" si="49"/>
        <v>-0.41654496883348169</v>
      </c>
      <c r="I215" s="819">
        <f t="shared" si="49"/>
        <v>0.64708036995207707</v>
      </c>
      <c r="J215" s="819">
        <f t="shared" si="49"/>
        <v>1.4434581171237952</v>
      </c>
      <c r="K215" s="819">
        <f t="shared" si="49"/>
        <v>-0.19008107759634119</v>
      </c>
      <c r="L215" s="819"/>
      <c r="M215" s="819"/>
      <c r="N215" s="819"/>
      <c r="O215" s="819"/>
      <c r="P215" s="819"/>
      <c r="Q215" s="819"/>
      <c r="R215" s="819"/>
    </row>
    <row r="216" spans="2:18">
      <c r="C216" s="761" t="str">
        <f t="shared" si="48"/>
        <v>Systems Certification revenue, mm</v>
      </c>
      <c r="D216" s="818"/>
      <c r="E216" s="819"/>
      <c r="F216" s="819"/>
      <c r="G216" s="819"/>
      <c r="H216" s="819">
        <f t="shared" ref="H216:K220" si="50">H206/G206-1</f>
        <v>-0.22451564479054287</v>
      </c>
      <c r="I216" s="819">
        <f t="shared" si="50"/>
        <v>-0.13296231322968965</v>
      </c>
      <c r="J216" s="819">
        <f t="shared" si="50"/>
        <v>-2.6651782599595331E-2</v>
      </c>
      <c r="K216" s="819">
        <f t="shared" si="50"/>
        <v>3.2255752275822447E-2</v>
      </c>
      <c r="L216" s="819"/>
      <c r="M216" s="819"/>
      <c r="N216" s="819"/>
      <c r="O216" s="819"/>
      <c r="P216" s="819"/>
      <c r="Q216" s="819"/>
      <c r="R216" s="819"/>
    </row>
    <row r="217" spans="2:18">
      <c r="C217" s="761" t="str">
        <f t="shared" si="48"/>
        <v>Structures revenue, mm</v>
      </c>
      <c r="D217" s="818"/>
      <c r="E217" s="819"/>
      <c r="F217" s="819">
        <f t="shared" ref="F217:G220" si="51">F207/E207-1</f>
        <v>1.3051650608118779</v>
      </c>
      <c r="G217" s="819">
        <f t="shared" si="51"/>
        <v>0.12183088940660558</v>
      </c>
      <c r="H217" s="819">
        <f t="shared" si="50"/>
        <v>0.27577571463474237</v>
      </c>
      <c r="I217" s="819">
        <f t="shared" si="50"/>
        <v>0.23756403504572221</v>
      </c>
      <c r="J217" s="819">
        <f t="shared" si="50"/>
        <v>-6.634686061356343E-2</v>
      </c>
      <c r="K217" s="819">
        <f t="shared" si="50"/>
        <v>-4.2139719897240413E-2</v>
      </c>
      <c r="L217" s="819"/>
      <c r="M217" s="819"/>
      <c r="N217" s="819"/>
      <c r="O217" s="819"/>
      <c r="P217" s="819"/>
      <c r="Q217" s="819"/>
      <c r="R217" s="819"/>
    </row>
    <row r="218" spans="2:18">
      <c r="C218" s="761" t="str">
        <f t="shared" si="48"/>
        <v>Other product revenue, mm</v>
      </c>
      <c r="D218" s="818"/>
      <c r="E218" s="819">
        <f>E208/D208-1</f>
        <v>0.5070776026503363</v>
      </c>
      <c r="F218" s="819">
        <f t="shared" si="51"/>
        <v>0.3060884625632827</v>
      </c>
      <c r="G218" s="819">
        <f t="shared" si="51"/>
        <v>-3.0754322435864623E-2</v>
      </c>
      <c r="H218" s="819">
        <f t="shared" si="50"/>
        <v>-2.5152599452746838E-2</v>
      </c>
      <c r="I218" s="819">
        <f t="shared" si="50"/>
        <v>-5.4733887509446189E-2</v>
      </c>
      <c r="J218" s="819">
        <f t="shared" si="50"/>
        <v>0.60621288259479211</v>
      </c>
      <c r="K218" s="819">
        <f t="shared" si="50"/>
        <v>-0.12524886234357224</v>
      </c>
      <c r="L218" s="819"/>
      <c r="M218" s="819"/>
      <c r="N218" s="819"/>
      <c r="O218" s="819"/>
      <c r="P218" s="819"/>
      <c r="Q218" s="819"/>
      <c r="R218" s="819"/>
    </row>
    <row r="219" spans="2:18">
      <c r="C219" s="761" t="str">
        <f t="shared" si="48"/>
        <v>Total Test Systems Revenue, mm</v>
      </c>
      <c r="D219" s="818"/>
      <c r="E219" s="819">
        <f>E209/D209-1</f>
        <v>-0.18135932468888694</v>
      </c>
      <c r="F219" s="819">
        <f t="shared" si="51"/>
        <v>16.677474221324545</v>
      </c>
      <c r="G219" s="819">
        <f t="shared" si="51"/>
        <v>-0.14282707526519622</v>
      </c>
      <c r="H219" s="819">
        <f t="shared" si="50"/>
        <v>-0.30488771651665136</v>
      </c>
      <c r="I219" s="819">
        <f t="shared" si="50"/>
        <v>-9.3064330554490149E-2</v>
      </c>
      <c r="J219" s="819">
        <f t="shared" si="50"/>
        <v>0.4203158211014788</v>
      </c>
      <c r="K219" s="819">
        <f t="shared" si="50"/>
        <v>-0.37246436994147203</v>
      </c>
      <c r="L219" s="819"/>
      <c r="M219" s="819"/>
      <c r="N219" s="819"/>
      <c r="O219" s="819"/>
      <c r="P219" s="819"/>
      <c r="Q219" s="819"/>
      <c r="R219" s="819"/>
    </row>
    <row r="220" spans="2:18">
      <c r="C220" s="761" t="str">
        <f t="shared" si="48"/>
        <v>Total</v>
      </c>
      <c r="D220" s="818"/>
      <c r="E220" s="827">
        <f>E210/D210-1</f>
        <v>0.27581949062849498</v>
      </c>
      <c r="F220" s="827">
        <f t="shared" si="51"/>
        <v>0.9445926745249853</v>
      </c>
      <c r="G220" s="827">
        <f t="shared" si="51"/>
        <v>4.7258936310868194E-2</v>
      </c>
      <c r="H220" s="827">
        <f t="shared" si="50"/>
        <v>-8.545109702879905E-2</v>
      </c>
      <c r="I220" s="827">
        <f t="shared" si="50"/>
        <v>-1.3676647349725068E-2</v>
      </c>
      <c r="J220" s="827">
        <f t="shared" si="50"/>
        <v>0.28631274180737387</v>
      </c>
      <c r="K220" s="827">
        <f t="shared" si="50"/>
        <v>-3.8037686615475019E-2</v>
      </c>
      <c r="L220" s="827"/>
      <c r="M220" s="819"/>
      <c r="N220" s="819"/>
      <c r="O220" s="819"/>
      <c r="P220" s="819"/>
      <c r="Q220" s="819"/>
      <c r="R220" s="819"/>
    </row>
    <row r="221" spans="2:18">
      <c r="D221" s="818"/>
      <c r="E221" s="828"/>
      <c r="F221" s="828"/>
      <c r="G221" s="828"/>
      <c r="H221" s="828"/>
      <c r="I221" s="828"/>
      <c r="J221" s="828"/>
      <c r="K221" s="828"/>
      <c r="L221" s="828"/>
      <c r="M221" s="819"/>
      <c r="N221" s="819"/>
      <c r="O221" s="819"/>
      <c r="P221" s="819"/>
      <c r="Q221" s="819"/>
      <c r="R221" s="819"/>
    </row>
    <row r="222" spans="2:18">
      <c r="B222" s="761" t="s">
        <v>1287</v>
      </c>
      <c r="D222" s="818"/>
      <c r="E222" s="828"/>
      <c r="F222" s="828"/>
      <c r="G222" s="828"/>
      <c r="H222" s="828"/>
      <c r="I222" s="828"/>
      <c r="J222" s="828"/>
      <c r="K222" s="828"/>
      <c r="L222" s="828"/>
      <c r="M222" s="819"/>
      <c r="N222" s="819"/>
      <c r="O222" s="819"/>
      <c r="P222" s="819"/>
      <c r="Q222" s="819"/>
      <c r="R222" s="819"/>
    </row>
    <row r="223" spans="2:18">
      <c r="D223" s="818"/>
      <c r="E223" s="828"/>
      <c r="F223" s="828"/>
      <c r="G223" s="828"/>
      <c r="H223" s="828"/>
      <c r="I223" s="828"/>
      <c r="J223" s="828"/>
      <c r="K223" s="828"/>
      <c r="L223" s="828"/>
      <c r="M223" s="819" t="s">
        <v>1288</v>
      </c>
      <c r="N223" s="819"/>
      <c r="O223" s="819"/>
      <c r="P223" s="819"/>
      <c r="Q223" s="819"/>
      <c r="R223" s="819"/>
    </row>
    <row r="224" spans="2:18">
      <c r="C224" s="761" t="str">
        <f t="shared" ref="C224:K224" si="52">C203</f>
        <v>Electrical Power &amp; Motion revenue, mm</v>
      </c>
      <c r="D224" s="815">
        <f t="shared" si="52"/>
        <v>160.136</v>
      </c>
      <c r="E224" s="815">
        <f t="shared" si="52"/>
        <v>188.221</v>
      </c>
      <c r="F224" s="815">
        <f t="shared" si="52"/>
        <v>254.45500000000001</v>
      </c>
      <c r="G224" s="815">
        <f t="shared" si="52"/>
        <v>279.75200000000001</v>
      </c>
      <c r="H224" s="815">
        <f t="shared" si="52"/>
        <v>288.46499999999997</v>
      </c>
      <c r="I224" s="815">
        <f t="shared" si="52"/>
        <v>264.286</v>
      </c>
      <c r="J224" s="815">
        <f t="shared" si="52"/>
        <v>303.18</v>
      </c>
      <c r="K224" s="815">
        <f t="shared" si="52"/>
        <v>338.23700000000002</v>
      </c>
      <c r="L224" s="828"/>
      <c r="M224" s="819">
        <v>0.13</v>
      </c>
      <c r="N224" s="819"/>
      <c r="O224" s="819"/>
      <c r="P224" s="819"/>
      <c r="Q224" s="819"/>
      <c r="R224" s="819"/>
    </row>
    <row r="225" spans="3:18">
      <c r="C225" s="761" t="str">
        <f t="shared" ref="C225:K225" si="53">C204</f>
        <v>Lighting &amp; Safety revenue, mm</v>
      </c>
      <c r="D225" s="815">
        <f t="shared" si="53"/>
        <v>69.596999999999994</v>
      </c>
      <c r="E225" s="815">
        <f t="shared" si="53"/>
        <v>102.233</v>
      </c>
      <c r="F225" s="815">
        <f t="shared" si="53"/>
        <v>148.21199999999999</v>
      </c>
      <c r="G225" s="815">
        <f t="shared" si="53"/>
        <v>157.143</v>
      </c>
      <c r="H225" s="815">
        <f t="shared" si="53"/>
        <v>156.87100000000001</v>
      </c>
      <c r="I225" s="815">
        <f t="shared" si="53"/>
        <v>158.66300000000001</v>
      </c>
      <c r="J225" s="815">
        <f t="shared" si="53"/>
        <v>174.38300000000001</v>
      </c>
      <c r="K225" s="815">
        <f t="shared" si="53"/>
        <v>185.46199999999999</v>
      </c>
      <c r="L225" s="828"/>
      <c r="M225" s="819"/>
      <c r="N225" s="819"/>
      <c r="O225" s="819"/>
      <c r="P225" s="819"/>
      <c r="Q225" s="819"/>
      <c r="R225" s="819"/>
    </row>
    <row r="226" spans="3:18">
      <c r="C226" s="761" t="str">
        <f t="shared" ref="C226:K226" si="54">C205</f>
        <v>Avionics revenue, mm</v>
      </c>
      <c r="D226" s="815">
        <f t="shared" si="54"/>
        <v>15.260999999999999</v>
      </c>
      <c r="E226" s="815">
        <f t="shared" si="54"/>
        <v>18.733000000000001</v>
      </c>
      <c r="F226" s="815">
        <f t="shared" si="54"/>
        <v>57.878999999999998</v>
      </c>
      <c r="G226" s="815">
        <f t="shared" si="54"/>
        <v>56.15</v>
      </c>
      <c r="H226" s="815">
        <f t="shared" si="54"/>
        <v>32.761000000000003</v>
      </c>
      <c r="I226" s="815">
        <f t="shared" si="54"/>
        <v>53.96</v>
      </c>
      <c r="J226" s="815">
        <f t="shared" si="54"/>
        <v>131.84899999999999</v>
      </c>
      <c r="K226" s="815">
        <f t="shared" si="54"/>
        <v>106.78700000000001</v>
      </c>
      <c r="L226" s="828" t="s">
        <v>1289</v>
      </c>
      <c r="M226" s="829">
        <f>-0.7-(3.3*3)</f>
        <v>-10.599999999999998</v>
      </c>
      <c r="N226" s="819" t="s">
        <v>1290</v>
      </c>
      <c r="O226" s="829">
        <f>-32.7-M226-M227</f>
        <v>-19.500000000000004</v>
      </c>
      <c r="P226" s="808">
        <f>O226+M226</f>
        <v>-30.1</v>
      </c>
      <c r="Q226" s="819"/>
      <c r="R226" s="819"/>
    </row>
    <row r="227" spans="3:18">
      <c r="C227" s="761" t="str">
        <f t="shared" ref="C227:K227" si="55">C206</f>
        <v>Systems Certification revenue, mm</v>
      </c>
      <c r="D227" s="815">
        <f t="shared" si="55"/>
        <v>0</v>
      </c>
      <c r="E227" s="815">
        <f t="shared" si="55"/>
        <v>0</v>
      </c>
      <c r="F227" s="815">
        <f t="shared" si="55"/>
        <v>0</v>
      </c>
      <c r="G227" s="815">
        <f t="shared" si="55"/>
        <v>21.317</v>
      </c>
      <c r="H227" s="815">
        <f t="shared" si="55"/>
        <v>16.530999999999999</v>
      </c>
      <c r="I227" s="815">
        <f t="shared" si="55"/>
        <v>14.333</v>
      </c>
      <c r="J227" s="815">
        <f t="shared" si="55"/>
        <v>13.951000000000001</v>
      </c>
      <c r="K227" s="815">
        <f t="shared" si="55"/>
        <v>14.401</v>
      </c>
      <c r="L227" s="819" t="s">
        <v>1278</v>
      </c>
      <c r="M227" s="802">
        <f>-0.2+-(0.8*3)</f>
        <v>-2.6000000000000005</v>
      </c>
      <c r="N227" s="819"/>
      <c r="O227" s="819"/>
      <c r="P227" s="808">
        <f>O227+M227</f>
        <v>-2.6000000000000005</v>
      </c>
      <c r="Q227" s="819"/>
      <c r="R227" s="819"/>
    </row>
    <row r="228" spans="3:18">
      <c r="C228" s="761" t="str">
        <f t="shared" ref="C228:K228" si="56">C207</f>
        <v>Structures revenue, mm</v>
      </c>
      <c r="D228" s="815">
        <f t="shared" si="56"/>
        <v>0</v>
      </c>
      <c r="E228" s="815">
        <f t="shared" si="56"/>
        <v>6.3310000000000004</v>
      </c>
      <c r="F228" s="815">
        <f t="shared" si="56"/>
        <v>14.593999999999999</v>
      </c>
      <c r="G228" s="815">
        <f t="shared" si="56"/>
        <v>16.372</v>
      </c>
      <c r="H228" s="815">
        <f t="shared" si="56"/>
        <v>20.887</v>
      </c>
      <c r="I228" s="815">
        <f t="shared" si="56"/>
        <v>25.849</v>
      </c>
      <c r="J228" s="815">
        <f t="shared" si="56"/>
        <v>24.134</v>
      </c>
      <c r="K228" s="815">
        <f t="shared" si="56"/>
        <v>23.117000000000001</v>
      </c>
      <c r="L228" s="828"/>
      <c r="M228" s="819"/>
      <c r="N228" s="819"/>
      <c r="O228" s="819"/>
      <c r="P228" s="819"/>
      <c r="Q228" s="819"/>
      <c r="R228" s="819"/>
    </row>
    <row r="229" spans="3:18">
      <c r="C229" s="761" t="str">
        <f t="shared" ref="C229:K229" si="57">C208</f>
        <v>Other product revenue, mm</v>
      </c>
      <c r="D229" s="815">
        <f t="shared" si="57"/>
        <v>9.9610000000000003</v>
      </c>
      <c r="E229" s="815">
        <f t="shared" si="57"/>
        <v>15.012</v>
      </c>
      <c r="F229" s="815">
        <f t="shared" si="57"/>
        <v>19.606999999999999</v>
      </c>
      <c r="G229" s="815">
        <f t="shared" si="57"/>
        <v>19.004000000000001</v>
      </c>
      <c r="H229" s="815">
        <f t="shared" si="57"/>
        <v>18.526</v>
      </c>
      <c r="I229" s="815">
        <f t="shared" si="57"/>
        <v>17.512</v>
      </c>
      <c r="J229" s="815">
        <f t="shared" si="57"/>
        <v>28.128</v>
      </c>
      <c r="K229" s="815">
        <f t="shared" si="57"/>
        <v>24.605</v>
      </c>
      <c r="L229" s="828"/>
      <c r="M229" s="819"/>
      <c r="N229" s="819"/>
      <c r="O229" s="819"/>
      <c r="P229" s="819"/>
      <c r="Q229" s="819"/>
      <c r="R229" s="819"/>
    </row>
    <row r="230" spans="3:18">
      <c r="C230" s="761" t="str">
        <f t="shared" ref="C230:I231" si="58">C209</f>
        <v>Total Test Systems Revenue, mm</v>
      </c>
      <c r="D230" s="815">
        <f t="shared" si="58"/>
        <v>11.491</v>
      </c>
      <c r="E230" s="815">
        <f t="shared" si="58"/>
        <v>9.407</v>
      </c>
      <c r="F230" s="815">
        <f t="shared" si="58"/>
        <v>166.292</v>
      </c>
      <c r="G230" s="815">
        <f t="shared" si="58"/>
        <v>142.541</v>
      </c>
      <c r="H230" s="815">
        <f t="shared" si="58"/>
        <v>99.081999999999994</v>
      </c>
      <c r="I230" s="815">
        <f t="shared" si="58"/>
        <v>89.861000000000004</v>
      </c>
      <c r="J230" s="815">
        <f>J209-84.3</f>
        <v>43.331000000000003</v>
      </c>
      <c r="K230" s="815">
        <f>K209-9.7-12.9</f>
        <v>57.492999999999988</v>
      </c>
      <c r="L230" s="828"/>
      <c r="M230" s="819"/>
      <c r="N230" s="819"/>
      <c r="O230" s="819"/>
      <c r="P230" s="819"/>
      <c r="Q230" s="819"/>
      <c r="R230" s="819"/>
    </row>
    <row r="231" spans="3:18">
      <c r="C231" s="761" t="str">
        <f t="shared" si="58"/>
        <v>Total</v>
      </c>
      <c r="D231" s="815">
        <f t="shared" si="58"/>
        <v>266.44600000000003</v>
      </c>
      <c r="E231" s="815">
        <f t="shared" si="58"/>
        <v>339.93700000000001</v>
      </c>
      <c r="F231" s="815">
        <f t="shared" si="58"/>
        <v>661.03899999999999</v>
      </c>
      <c r="G231" s="815">
        <f t="shared" si="58"/>
        <v>692.279</v>
      </c>
      <c r="H231" s="815">
        <f t="shared" si="58"/>
        <v>633.12300000000005</v>
      </c>
      <c r="I231" s="815">
        <f t="shared" si="58"/>
        <v>624.46400000000006</v>
      </c>
      <c r="J231" s="815">
        <f>J210</f>
        <v>803.25599999999997</v>
      </c>
      <c r="K231" s="815">
        <f>K210</f>
        <v>772.702</v>
      </c>
      <c r="L231" s="828"/>
      <c r="M231" s="819"/>
      <c r="N231" s="819"/>
      <c r="O231" s="819"/>
      <c r="P231" s="808">
        <f>Y24</f>
        <v>88.935000000000016</v>
      </c>
      <c r="Q231" s="819"/>
      <c r="R231" s="819"/>
    </row>
    <row r="232" spans="3:18">
      <c r="D232" s="818"/>
      <c r="E232" s="815"/>
      <c r="F232" s="815"/>
      <c r="G232" s="815"/>
      <c r="H232" s="815"/>
      <c r="I232" s="815"/>
      <c r="J232" s="815"/>
      <c r="K232" s="815"/>
      <c r="L232" s="828"/>
      <c r="M232" s="819"/>
      <c r="N232" s="819"/>
      <c r="O232" s="819"/>
      <c r="P232" s="819"/>
      <c r="Q232" s="819"/>
      <c r="R232" s="819"/>
    </row>
    <row r="233" spans="3:18">
      <c r="D233" s="818"/>
      <c r="E233" s="815"/>
      <c r="F233" s="815"/>
      <c r="G233" s="815"/>
      <c r="H233" s="815"/>
      <c r="I233" s="815"/>
      <c r="J233" s="815"/>
      <c r="K233" s="815"/>
      <c r="L233" s="828" t="s">
        <v>1066</v>
      </c>
      <c r="M233" s="819"/>
      <c r="N233" s="819"/>
      <c r="O233" s="819"/>
      <c r="P233" s="819"/>
      <c r="Q233" s="819"/>
      <c r="R233" s="819"/>
    </row>
    <row r="234" spans="3:18">
      <c r="C234" s="761" t="str">
        <f t="shared" ref="C234:C241" si="59">C224</f>
        <v>Electrical Power &amp; Motion revenue, mm</v>
      </c>
      <c r="D234" s="818"/>
      <c r="E234" s="819">
        <f t="shared" ref="E234:K236" si="60">E224/D224-1</f>
        <v>0.17538217515112153</v>
      </c>
      <c r="F234" s="819">
        <f t="shared" si="60"/>
        <v>0.35189484701494522</v>
      </c>
      <c r="G234" s="819">
        <f t="shared" si="60"/>
        <v>9.9416399756341978E-2</v>
      </c>
      <c r="H234" s="819">
        <f t="shared" si="60"/>
        <v>3.1145443106751491E-2</v>
      </c>
      <c r="I234" s="819">
        <f t="shared" si="60"/>
        <v>-8.3819527499003232E-2</v>
      </c>
      <c r="J234" s="819">
        <f t="shared" si="60"/>
        <v>0.14716632738775415</v>
      </c>
      <c r="K234" s="819">
        <f t="shared" si="60"/>
        <v>0.11563097829672153</v>
      </c>
      <c r="L234" s="828">
        <f t="shared" ref="L234:L239" si="61">MEDIAN(E234:K234)</f>
        <v>0.11563097829672153</v>
      </c>
      <c r="M234" s="819"/>
      <c r="N234" s="819"/>
      <c r="O234" s="819"/>
      <c r="P234" s="819"/>
      <c r="Q234" s="819"/>
      <c r="R234" s="819"/>
    </row>
    <row r="235" spans="3:18">
      <c r="C235" s="761" t="str">
        <f t="shared" si="59"/>
        <v>Lighting &amp; Safety revenue, mm</v>
      </c>
      <c r="D235" s="818"/>
      <c r="E235" s="819">
        <f t="shared" si="60"/>
        <v>0.46892825840194274</v>
      </c>
      <c r="F235" s="819">
        <f t="shared" si="60"/>
        <v>0.44974714622479994</v>
      </c>
      <c r="G235" s="819">
        <f t="shared" si="60"/>
        <v>6.0258278681888156E-2</v>
      </c>
      <c r="H235" s="819">
        <f t="shared" si="60"/>
        <v>-1.7309075173567168E-3</v>
      </c>
      <c r="I235" s="819">
        <f t="shared" si="60"/>
        <v>1.1423398843635857E-2</v>
      </c>
      <c r="J235" s="819">
        <f t="shared" si="60"/>
        <v>9.9077919867896158E-2</v>
      </c>
      <c r="K235" s="819">
        <f t="shared" si="60"/>
        <v>6.3532569115108517E-2</v>
      </c>
      <c r="L235" s="828">
        <f t="shared" si="61"/>
        <v>6.3532569115108517E-2</v>
      </c>
      <c r="M235" s="819"/>
      <c r="N235" s="819"/>
      <c r="O235" s="819"/>
      <c r="P235" s="819"/>
      <c r="Q235" s="819"/>
      <c r="R235" s="819"/>
    </row>
    <row r="236" spans="3:18">
      <c r="C236" s="761" t="str">
        <f t="shared" si="59"/>
        <v>Avionics revenue, mm</v>
      </c>
      <c r="D236" s="818"/>
      <c r="E236" s="819">
        <f t="shared" si="60"/>
        <v>0.2275080269969203</v>
      </c>
      <c r="F236" s="819">
        <f t="shared" si="60"/>
        <v>2.0896813110553567</v>
      </c>
      <c r="G236" s="819">
        <f t="shared" si="60"/>
        <v>-2.9872665388137265E-2</v>
      </c>
      <c r="H236" s="819">
        <f t="shared" si="60"/>
        <v>-0.41654496883348169</v>
      </c>
      <c r="I236" s="819">
        <f t="shared" si="60"/>
        <v>0.64708036995207707</v>
      </c>
      <c r="J236" s="819">
        <f t="shared" si="60"/>
        <v>1.4434581171237952</v>
      </c>
      <c r="K236" s="819">
        <f t="shared" si="60"/>
        <v>-0.19008107759634119</v>
      </c>
      <c r="L236" s="828">
        <f t="shared" si="61"/>
        <v>0.2275080269969203</v>
      </c>
      <c r="M236" s="819"/>
      <c r="N236" s="819"/>
      <c r="O236" s="819"/>
      <c r="P236" s="819"/>
      <c r="Q236" s="819"/>
      <c r="R236" s="819"/>
    </row>
    <row r="237" spans="3:18">
      <c r="C237" s="761" t="str">
        <f t="shared" si="59"/>
        <v>Systems Certification revenue, mm</v>
      </c>
      <c r="D237" s="818"/>
      <c r="E237" s="819"/>
      <c r="F237" s="819"/>
      <c r="G237" s="819"/>
      <c r="H237" s="819">
        <f t="shared" ref="H237:K239" si="62">H227/G227-1</f>
        <v>-0.22451564479054287</v>
      </c>
      <c r="I237" s="819">
        <f t="shared" si="62"/>
        <v>-0.13296231322968965</v>
      </c>
      <c r="J237" s="819">
        <f t="shared" si="62"/>
        <v>-2.6651782599595331E-2</v>
      </c>
      <c r="K237" s="819">
        <f t="shared" si="62"/>
        <v>3.2255752275822447E-2</v>
      </c>
      <c r="L237" s="828">
        <f t="shared" si="61"/>
        <v>-7.9807047914642493E-2</v>
      </c>
      <c r="M237" s="819"/>
      <c r="N237" s="819"/>
      <c r="O237" s="819"/>
      <c r="P237" s="819"/>
      <c r="Q237" s="819"/>
      <c r="R237" s="819"/>
    </row>
    <row r="238" spans="3:18">
      <c r="C238" s="761" t="str">
        <f t="shared" si="59"/>
        <v>Structures revenue, mm</v>
      </c>
      <c r="D238" s="818"/>
      <c r="E238" s="819"/>
      <c r="F238" s="819">
        <f t="shared" ref="F238:G241" si="63">F228/E228-1</f>
        <v>1.3051650608118779</v>
      </c>
      <c r="G238" s="819">
        <f t="shared" si="63"/>
        <v>0.12183088940660558</v>
      </c>
      <c r="H238" s="819">
        <f t="shared" si="62"/>
        <v>0.27577571463474237</v>
      </c>
      <c r="I238" s="819">
        <f t="shared" si="62"/>
        <v>0.23756403504572221</v>
      </c>
      <c r="J238" s="819">
        <f t="shared" si="62"/>
        <v>-6.634686061356343E-2</v>
      </c>
      <c r="K238" s="819">
        <f t="shared" si="62"/>
        <v>-4.2139719897240413E-2</v>
      </c>
      <c r="L238" s="828">
        <f t="shared" si="61"/>
        <v>0.1796974622261639</v>
      </c>
      <c r="M238" s="819"/>
      <c r="N238" s="819"/>
      <c r="O238" s="819"/>
      <c r="P238" s="819"/>
      <c r="Q238" s="819"/>
      <c r="R238" s="819"/>
    </row>
    <row r="239" spans="3:18">
      <c r="C239" s="761" t="str">
        <f t="shared" si="59"/>
        <v>Other product revenue, mm</v>
      </c>
      <c r="D239" s="818"/>
      <c r="E239" s="819">
        <f>E229/D229-1</f>
        <v>0.5070776026503363</v>
      </c>
      <c r="F239" s="819">
        <f t="shared" si="63"/>
        <v>0.3060884625632827</v>
      </c>
      <c r="G239" s="819">
        <f t="shared" si="63"/>
        <v>-3.0754322435864623E-2</v>
      </c>
      <c r="H239" s="819">
        <f t="shared" si="62"/>
        <v>-2.5152599452746838E-2</v>
      </c>
      <c r="I239" s="819">
        <f t="shared" si="62"/>
        <v>-5.4733887509446189E-2</v>
      </c>
      <c r="J239" s="819">
        <f t="shared" si="62"/>
        <v>0.60621288259479211</v>
      </c>
      <c r="K239" s="819">
        <f t="shared" si="62"/>
        <v>-0.12524886234357224</v>
      </c>
      <c r="L239" s="828">
        <f t="shared" si="61"/>
        <v>-2.5152599452746838E-2</v>
      </c>
      <c r="M239" s="819"/>
      <c r="N239" s="819"/>
      <c r="O239" s="819"/>
      <c r="P239" s="819"/>
      <c r="Q239" s="819"/>
      <c r="R239" s="819"/>
    </row>
    <row r="240" spans="3:18">
      <c r="C240" s="761" t="str">
        <f t="shared" si="59"/>
        <v>Total Test Systems Revenue, mm</v>
      </c>
      <c r="D240" s="818"/>
      <c r="E240" s="819">
        <f>E230/D230-1</f>
        <v>-0.18135932468888694</v>
      </c>
      <c r="F240" s="819">
        <f t="shared" si="63"/>
        <v>16.677474221324545</v>
      </c>
      <c r="G240" s="819">
        <f t="shared" si="63"/>
        <v>-0.14282707526519622</v>
      </c>
      <c r="H240" s="819">
        <f>H230/G230-1</f>
        <v>-0.30488771651665136</v>
      </c>
      <c r="I240" s="819">
        <f>I230/H230-1</f>
        <v>-9.3064330554490149E-2</v>
      </c>
      <c r="J240" s="819"/>
      <c r="K240" s="819">
        <f>K230/J230-1</f>
        <v>0.32683298331448585</v>
      </c>
      <c r="L240" s="828">
        <f>K240</f>
        <v>0.32683298331448585</v>
      </c>
      <c r="M240" s="819"/>
      <c r="N240" s="819"/>
      <c r="O240" s="819"/>
      <c r="P240" s="819"/>
      <c r="Q240" s="819"/>
      <c r="R240" s="819"/>
    </row>
    <row r="241" spans="2:30">
      <c r="C241" s="761" t="str">
        <f t="shared" si="59"/>
        <v>Total</v>
      </c>
      <c r="D241" s="818"/>
      <c r="E241" s="827">
        <f>E231/D231-1</f>
        <v>0.27581949062849498</v>
      </c>
      <c r="F241" s="827">
        <f t="shared" si="63"/>
        <v>0.9445926745249853</v>
      </c>
      <c r="G241" s="827">
        <f t="shared" si="63"/>
        <v>4.7258936310868194E-2</v>
      </c>
      <c r="H241" s="827">
        <f>H231/G231-1</f>
        <v>-8.545109702879905E-2</v>
      </c>
      <c r="I241" s="827">
        <f>I231/H231-1</f>
        <v>-1.3676647349725068E-2</v>
      </c>
      <c r="J241" s="827">
        <f>J231/I231-1</f>
        <v>0.28631274180737387</v>
      </c>
      <c r="K241" s="827">
        <f>K231/J231-1</f>
        <v>-3.8037686615475019E-2</v>
      </c>
      <c r="L241" s="827">
        <f>MEDIAN(E241:K241)</f>
        <v>4.7258936310868194E-2</v>
      </c>
      <c r="M241" s="819"/>
      <c r="N241" s="819"/>
      <c r="O241" s="819"/>
      <c r="P241" s="819"/>
      <c r="Q241" s="819"/>
      <c r="R241" s="819"/>
    </row>
    <row r="242" spans="2:30">
      <c r="L242" s="819"/>
      <c r="M242" s="819"/>
      <c r="N242" s="819"/>
      <c r="O242" s="819"/>
      <c r="P242" s="819"/>
      <c r="Q242" s="819"/>
      <c r="R242" s="819"/>
    </row>
    <row r="243" spans="2:30">
      <c r="L243" s="819"/>
      <c r="M243" s="819"/>
      <c r="N243" s="819"/>
      <c r="O243" s="819"/>
      <c r="P243" s="819"/>
      <c r="Q243" s="819"/>
      <c r="R243" s="819"/>
    </row>
    <row r="244" spans="2:30">
      <c r="B244" s="761" t="s">
        <v>1291</v>
      </c>
      <c r="C244" s="761" t="s">
        <v>1292</v>
      </c>
      <c r="E244" s="761">
        <v>0.6</v>
      </c>
      <c r="F244" s="761" t="s">
        <v>1293</v>
      </c>
      <c r="H244" s="761" t="s">
        <v>1294</v>
      </c>
      <c r="I244" s="799">
        <f>E244*N128</f>
        <v>1179.6610169491523</v>
      </c>
    </row>
    <row r="245" spans="2:30">
      <c r="C245" s="761" t="s">
        <v>1295</v>
      </c>
      <c r="E245" s="761">
        <v>2022</v>
      </c>
    </row>
    <row r="246" spans="2:30">
      <c r="C246" s="761" t="s">
        <v>1296</v>
      </c>
      <c r="E246" s="761">
        <v>1</v>
      </c>
    </row>
    <row r="247" spans="2:30">
      <c r="C247" s="761" t="s">
        <v>1297</v>
      </c>
      <c r="E247" s="799">
        <f>D172/J252</f>
        <v>5.3364465958043326</v>
      </c>
    </row>
    <row r="248" spans="2:30">
      <c r="E248" s="761">
        <f>F248-1</f>
        <v>2013</v>
      </c>
      <c r="F248" s="761">
        <f>G248-1</f>
        <v>2014</v>
      </c>
      <c r="G248" s="761">
        <f>H248-1</f>
        <v>2015</v>
      </c>
      <c r="H248" s="761">
        <f>I248-1</f>
        <v>2016</v>
      </c>
      <c r="I248" s="761">
        <v>2017</v>
      </c>
      <c r="J248" s="761">
        <v>2018</v>
      </c>
      <c r="K248" s="761">
        <f t="shared" ref="K248:AC248" si="64">J248+1</f>
        <v>2019</v>
      </c>
      <c r="L248" s="761">
        <f t="shared" si="64"/>
        <v>2020</v>
      </c>
      <c r="M248" s="761">
        <f t="shared" si="64"/>
        <v>2021</v>
      </c>
      <c r="N248" s="761">
        <f t="shared" si="64"/>
        <v>2022</v>
      </c>
      <c r="O248" s="761">
        <f t="shared" si="64"/>
        <v>2023</v>
      </c>
      <c r="P248" s="761">
        <f t="shared" si="64"/>
        <v>2024</v>
      </c>
      <c r="Q248" s="761">
        <f t="shared" si="64"/>
        <v>2025</v>
      </c>
      <c r="R248" s="761">
        <f t="shared" si="64"/>
        <v>2026</v>
      </c>
      <c r="S248" s="761">
        <f t="shared" si="64"/>
        <v>2027</v>
      </c>
      <c r="T248" s="761">
        <f t="shared" si="64"/>
        <v>2028</v>
      </c>
      <c r="U248" s="761">
        <f t="shared" si="64"/>
        <v>2029</v>
      </c>
      <c r="V248" s="761">
        <f t="shared" si="64"/>
        <v>2030</v>
      </c>
      <c r="W248" s="761">
        <f t="shared" si="64"/>
        <v>2031</v>
      </c>
      <c r="X248" s="761">
        <f t="shared" si="64"/>
        <v>2032</v>
      </c>
      <c r="Y248" s="761">
        <f t="shared" si="64"/>
        <v>2033</v>
      </c>
      <c r="Z248" s="761">
        <f t="shared" si="64"/>
        <v>2034</v>
      </c>
      <c r="AA248" s="761">
        <f t="shared" si="64"/>
        <v>2035</v>
      </c>
      <c r="AB248" s="761">
        <f t="shared" si="64"/>
        <v>2036</v>
      </c>
      <c r="AC248" s="761">
        <f t="shared" si="64"/>
        <v>2037</v>
      </c>
    </row>
    <row r="249" spans="2:30">
      <c r="D249" s="761" t="s">
        <v>1298</v>
      </c>
      <c r="E249" s="822">
        <f>F249*0.98</f>
        <v>19389.101091359993</v>
      </c>
      <c r="F249" s="822">
        <f>G249*0.98</f>
        <v>19784.797031999995</v>
      </c>
      <c r="G249" s="822">
        <f>H249*0.98</f>
        <v>20188.568399999996</v>
      </c>
      <c r="H249" s="822">
        <f>I249*0.98</f>
        <v>20600.579999999998</v>
      </c>
      <c r="I249" s="822">
        <f>J249*0.98</f>
        <v>21021</v>
      </c>
      <c r="J249" s="822">
        <v>21450</v>
      </c>
      <c r="K249" s="822">
        <f t="shared" ref="K249:AB249" si="65">(1+$AD$249)*J249</f>
        <v>22378.645365241293</v>
      </c>
      <c r="L249" s="822">
        <f t="shared" si="65"/>
        <v>23347.495029521473</v>
      </c>
      <c r="M249" s="822">
        <f t="shared" si="65"/>
        <v>24358.289577267824</v>
      </c>
      <c r="N249" s="822">
        <f t="shared" si="65"/>
        <v>25412.844948882514</v>
      </c>
      <c r="O249" s="822">
        <f t="shared" si="65"/>
        <v>26513.055703165748</v>
      </c>
      <c r="P249" s="822">
        <f t="shared" si="65"/>
        <v>27660.898420980626</v>
      </c>
      <c r="Q249" s="822">
        <f t="shared" si="65"/>
        <v>28858.435256274512</v>
      </c>
      <c r="R249" s="822">
        <f t="shared" si="65"/>
        <v>30107.817640836529</v>
      </c>
      <c r="S249" s="822">
        <f t="shared" si="65"/>
        <v>31411.290149446922</v>
      </c>
      <c r="T249" s="822">
        <f t="shared" si="65"/>
        <v>32771.194532362235</v>
      </c>
      <c r="U249" s="822">
        <f t="shared" si="65"/>
        <v>34189.973922380836</v>
      </c>
      <c r="V249" s="822">
        <f t="shared" si="65"/>
        <v>35670.177224047024</v>
      </c>
      <c r="W249" s="822">
        <f t="shared" si="65"/>
        <v>37214.463692879042</v>
      </c>
      <c r="X249" s="822">
        <f t="shared" si="65"/>
        <v>38825.607712847923</v>
      </c>
      <c r="Y249" s="822">
        <f t="shared" si="65"/>
        <v>40506.503780690015</v>
      </c>
      <c r="Z249" s="822">
        <f t="shared" si="65"/>
        <v>42260.171706007808</v>
      </c>
      <c r="AA249" s="822">
        <f t="shared" si="65"/>
        <v>44089.762036501299</v>
      </c>
      <c r="AB249" s="822">
        <f t="shared" si="65"/>
        <v>45998.561718076518</v>
      </c>
      <c r="AC249" s="822">
        <v>47990</v>
      </c>
      <c r="AD249" s="819">
        <f>(AC249/J249)^(1/(2037-2018))-1</f>
        <v>4.3293490221039344E-2</v>
      </c>
    </row>
    <row r="250" spans="2:30">
      <c r="D250" s="761" t="s">
        <v>1299</v>
      </c>
      <c r="E250" s="761">
        <f t="shared" ref="E250:AC250" si="66">-$E$246*(E248-$E$245)</f>
        <v>9</v>
      </c>
      <c r="F250" s="761">
        <f t="shared" si="66"/>
        <v>8</v>
      </c>
      <c r="G250" s="761">
        <f t="shared" si="66"/>
        <v>7</v>
      </c>
      <c r="H250" s="761">
        <f t="shared" si="66"/>
        <v>6</v>
      </c>
      <c r="I250" s="761">
        <f t="shared" si="66"/>
        <v>5</v>
      </c>
      <c r="J250" s="761">
        <f t="shared" si="66"/>
        <v>4</v>
      </c>
      <c r="K250" s="761">
        <f t="shared" si="66"/>
        <v>3</v>
      </c>
      <c r="L250" s="761">
        <f t="shared" si="66"/>
        <v>2</v>
      </c>
      <c r="M250" s="761">
        <f t="shared" si="66"/>
        <v>1</v>
      </c>
      <c r="N250" s="761">
        <f t="shared" si="66"/>
        <v>0</v>
      </c>
      <c r="O250" s="761">
        <f t="shared" si="66"/>
        <v>-1</v>
      </c>
      <c r="P250" s="761">
        <f t="shared" si="66"/>
        <v>-2</v>
      </c>
      <c r="Q250" s="761">
        <f t="shared" si="66"/>
        <v>-3</v>
      </c>
      <c r="R250" s="761">
        <f t="shared" si="66"/>
        <v>-4</v>
      </c>
      <c r="S250" s="761">
        <f t="shared" si="66"/>
        <v>-5</v>
      </c>
      <c r="T250" s="761">
        <f t="shared" si="66"/>
        <v>-6</v>
      </c>
      <c r="U250" s="761">
        <f t="shared" si="66"/>
        <v>-7</v>
      </c>
      <c r="V250" s="761">
        <f t="shared" si="66"/>
        <v>-8</v>
      </c>
      <c r="W250" s="761">
        <f t="shared" si="66"/>
        <v>-9</v>
      </c>
      <c r="X250" s="761">
        <f t="shared" si="66"/>
        <v>-10</v>
      </c>
      <c r="Y250" s="761">
        <f t="shared" si="66"/>
        <v>-11</v>
      </c>
      <c r="Z250" s="761">
        <f t="shared" si="66"/>
        <v>-12</v>
      </c>
      <c r="AA250" s="761">
        <f t="shared" si="66"/>
        <v>-13</v>
      </c>
      <c r="AB250" s="761">
        <f t="shared" si="66"/>
        <v>-14</v>
      </c>
      <c r="AC250" s="761">
        <f t="shared" si="66"/>
        <v>-15</v>
      </c>
    </row>
    <row r="251" spans="2:30">
      <c r="D251" s="761" t="s">
        <v>1300</v>
      </c>
      <c r="E251" s="795">
        <f t="shared" ref="E251:AC251" si="67">$E$244/(1+EXP(E250))</f>
        <v>7.4036745591739032E-5</v>
      </c>
      <c r="F251" s="795">
        <f t="shared" si="67"/>
        <v>2.0121007827988687E-4</v>
      </c>
      <c r="G251" s="795">
        <f t="shared" si="67"/>
        <v>5.4663071664038721E-4</v>
      </c>
      <c r="H251" s="795">
        <f t="shared" si="67"/>
        <v>1.4835738939808646E-3</v>
      </c>
      <c r="I251" s="795">
        <f t="shared" si="67"/>
        <v>4.0157105545709131E-3</v>
      </c>
      <c r="J251" s="795">
        <f t="shared" si="67"/>
        <v>1.0791725977254935E-2</v>
      </c>
      <c r="K251" s="795">
        <f t="shared" si="67"/>
        <v>2.8455523906540069E-2</v>
      </c>
      <c r="L251" s="795">
        <f t="shared" si="67"/>
        <v>7.1521753213270534E-2</v>
      </c>
      <c r="M251" s="795">
        <f t="shared" si="67"/>
        <v>0.16136485282199708</v>
      </c>
      <c r="N251" s="795">
        <f t="shared" si="67"/>
        <v>0.3</v>
      </c>
      <c r="O251" s="795">
        <f t="shared" si="67"/>
        <v>0.43863514717800289</v>
      </c>
      <c r="P251" s="795">
        <f t="shared" si="67"/>
        <v>0.52847824678672939</v>
      </c>
      <c r="Q251" s="795">
        <f t="shared" si="67"/>
        <v>0.57154447609345993</v>
      </c>
      <c r="R251" s="795">
        <f t="shared" si="67"/>
        <v>0.589208274022745</v>
      </c>
      <c r="S251" s="795">
        <f t="shared" si="67"/>
        <v>0.59598428944542914</v>
      </c>
      <c r="T251" s="795">
        <f t="shared" si="67"/>
        <v>0.59851642610601918</v>
      </c>
      <c r="U251" s="795">
        <f t="shared" si="67"/>
        <v>0.59945336928335957</v>
      </c>
      <c r="V251" s="795">
        <f t="shared" si="67"/>
        <v>0.5997987899217202</v>
      </c>
      <c r="W251" s="795">
        <f t="shared" si="67"/>
        <v>0.59992596325440817</v>
      </c>
      <c r="X251" s="795">
        <f t="shared" si="67"/>
        <v>0.59997276127877852</v>
      </c>
      <c r="Y251" s="795">
        <f t="shared" si="67"/>
        <v>0.59998997914689123</v>
      </c>
      <c r="Z251" s="795">
        <f t="shared" si="67"/>
        <v>0.59999631349523863</v>
      </c>
      <c r="AA251" s="795">
        <f t="shared" si="67"/>
        <v>0.59999864380542123</v>
      </c>
      <c r="AB251" s="795">
        <f t="shared" si="67"/>
        <v>0.59999950108318334</v>
      </c>
      <c r="AC251" s="795">
        <f t="shared" si="67"/>
        <v>0.59999981645866374</v>
      </c>
    </row>
    <row r="252" spans="2:30">
      <c r="D252" s="761" t="s">
        <v>1301</v>
      </c>
      <c r="E252" s="799">
        <f t="shared" ref="E252:AC252" si="68">E251*E249</f>
        <v>1.4355059447535294</v>
      </c>
      <c r="F252" s="799">
        <f t="shared" si="68"/>
        <v>3.9809005595603923</v>
      </c>
      <c r="G252" s="799">
        <f t="shared" si="68"/>
        <v>11.035691612435473</v>
      </c>
      <c r="H252" s="799">
        <f t="shared" si="68"/>
        <v>30.562482688864318</v>
      </c>
      <c r="I252" s="799">
        <f t="shared" si="68"/>
        <v>84.414251567635162</v>
      </c>
      <c r="J252" s="799">
        <f t="shared" si="68"/>
        <v>231.48252221211837</v>
      </c>
      <c r="K252" s="799">
        <f t="shared" si="68"/>
        <v>636.79607818660577</v>
      </c>
      <c r="L252" s="799">
        <f t="shared" si="68"/>
        <v>1669.8537776494952</v>
      </c>
      <c r="M252" s="799">
        <f t="shared" si="68"/>
        <v>3930.5718126314082</v>
      </c>
      <c r="N252" s="799">
        <f t="shared" si="68"/>
        <v>7623.8534846647535</v>
      </c>
      <c r="O252" s="799">
        <f t="shared" si="68"/>
        <v>11629.558090496697</v>
      </c>
      <c r="P252" s="799">
        <f t="shared" si="68"/>
        <v>14618.183102065652</v>
      </c>
      <c r="Q252" s="799">
        <f t="shared" si="68"/>
        <v>16493.879259424448</v>
      </c>
      <c r="R252" s="799">
        <f t="shared" si="68"/>
        <v>17739.775266748846</v>
      </c>
      <c r="S252" s="799">
        <f t="shared" si="68"/>
        <v>18720.635440282331</v>
      </c>
      <c r="T252" s="799">
        <f t="shared" si="68"/>
        <v>19614.098230734562</v>
      </c>
      <c r="U252" s="799">
        <f t="shared" si="68"/>
        <v>20495.295063481393</v>
      </c>
      <c r="V252" s="799">
        <f t="shared" si="68"/>
        <v>21394.92913527671</v>
      </c>
      <c r="W252" s="799">
        <f t="shared" si="68"/>
        <v>22325.922977946659</v>
      </c>
      <c r="X252" s="799">
        <f t="shared" si="68"/>
        <v>23294.307067804009</v>
      </c>
      <c r="Y252" s="799">
        <f t="shared" si="68"/>
        <v>24303.496358689674</v>
      </c>
      <c r="Z252" s="799">
        <f t="shared" si="68"/>
        <v>25355.947231280476</v>
      </c>
      <c r="AA252" s="799">
        <f t="shared" si="68"/>
        <v>26453.797427604528</v>
      </c>
      <c r="AB252" s="799">
        <f t="shared" si="68"/>
        <v>27599.114081389929</v>
      </c>
      <c r="AC252" s="799">
        <f t="shared" si="68"/>
        <v>28793.991191851273</v>
      </c>
    </row>
    <row r="253" spans="2:30">
      <c r="D253" s="761" t="s">
        <v>1302</v>
      </c>
      <c r="E253" s="799">
        <f t="shared" ref="E253:AC253" si="69">E252*$E$247</f>
        <v>7.6605008121368545</v>
      </c>
      <c r="F253" s="799">
        <f t="shared" si="69"/>
        <v>21.243863239301618</v>
      </c>
      <c r="G253" s="799">
        <f t="shared" si="69"/>
        <v>58.891378937527705</v>
      </c>
      <c r="H253" s="799">
        <f t="shared" si="69"/>
        <v>163.09505670431884</v>
      </c>
      <c r="I253" s="799">
        <f t="shared" si="69"/>
        <v>450.4721454154772</v>
      </c>
      <c r="J253" s="799">
        <f t="shared" si="69"/>
        <v>1235.2941176470599</v>
      </c>
      <c r="K253" s="799">
        <f t="shared" si="69"/>
        <v>3398.2282636604618</v>
      </c>
      <c r="L253" s="799">
        <f t="shared" si="69"/>
        <v>8911.085507228654</v>
      </c>
      <c r="M253" s="799">
        <f t="shared" si="69"/>
        <v>20975.286569081341</v>
      </c>
      <c r="N253" s="799">
        <f t="shared" si="69"/>
        <v>40684.286975150222</v>
      </c>
      <c r="O253" s="799">
        <f t="shared" si="69"/>
        <v>62060.515682739831</v>
      </c>
      <c r="P253" s="799">
        <f t="shared" si="69"/>
        <v>78009.153451862672</v>
      </c>
      <c r="Q253" s="799">
        <f t="shared" si="69"/>
        <v>88018.705825563287</v>
      </c>
      <c r="R253" s="799">
        <f t="shared" si="69"/>
        <v>94667.363332575769</v>
      </c>
      <c r="S253" s="799">
        <f t="shared" si="69"/>
        <v>99901.671266588586</v>
      </c>
      <c r="T253" s="799">
        <f t="shared" si="69"/>
        <v>104669.58773317524</v>
      </c>
      <c r="U253" s="799">
        <f t="shared" si="69"/>
        <v>109372.04757152063</v>
      </c>
      <c r="V253" s="799">
        <f t="shared" si="69"/>
        <v>114172.89675142233</v>
      </c>
      <c r="W253" s="799">
        <f t="shared" si="69"/>
        <v>119141.09567385317</v>
      </c>
      <c r="X253" s="799">
        <f t="shared" si="69"/>
        <v>124308.8256536035</v>
      </c>
      <c r="Y253" s="799">
        <f t="shared" si="69"/>
        <v>129694.3104094725</v>
      </c>
      <c r="Z253" s="799">
        <f t="shared" si="69"/>
        <v>135310.65828576099</v>
      </c>
      <c r="AA253" s="799">
        <f t="shared" si="69"/>
        <v>141169.2772286376</v>
      </c>
      <c r="AB253" s="799">
        <f t="shared" si="69"/>
        <v>147281.1983868487</v>
      </c>
      <c r="AC253" s="799">
        <f t="shared" si="69"/>
        <v>153657.59627537467</v>
      </c>
    </row>
    <row r="254" spans="2:30">
      <c r="D254" s="761" t="s">
        <v>1303</v>
      </c>
      <c r="F254" s="821">
        <f t="shared" ref="F254:AC254" si="70">F253/E253-1</f>
        <v>1.7731689820649934</v>
      </c>
      <c r="G254" s="821">
        <f t="shared" si="70"/>
        <v>1.7721595772927659</v>
      </c>
      <c r="H254" s="821">
        <f t="shared" si="70"/>
        <v>1.7694215969595644</v>
      </c>
      <c r="I254" s="821">
        <f t="shared" si="70"/>
        <v>1.7620220656482255</v>
      </c>
      <c r="J254" s="821">
        <f t="shared" si="70"/>
        <v>1.7422208680799334</v>
      </c>
      <c r="K254" s="821">
        <f t="shared" si="70"/>
        <v>1.7509466896298953</v>
      </c>
      <c r="L254" s="821">
        <f t="shared" si="70"/>
        <v>1.6222739662667394</v>
      </c>
      <c r="M254" s="821">
        <f t="shared" si="70"/>
        <v>1.3538419143286453</v>
      </c>
      <c r="N254" s="821">
        <f t="shared" si="70"/>
        <v>0.93962961321925231</v>
      </c>
      <c r="O254" s="821">
        <f t="shared" si="70"/>
        <v>0.52541731210985976</v>
      </c>
      <c r="P254" s="821">
        <f t="shared" si="70"/>
        <v>0.25698526017176571</v>
      </c>
      <c r="Q254" s="821">
        <f t="shared" si="70"/>
        <v>0.12831253680860977</v>
      </c>
      <c r="R254" s="821">
        <f t="shared" si="70"/>
        <v>7.553686963074524E-2</v>
      </c>
      <c r="S254" s="821">
        <f t="shared" si="70"/>
        <v>5.5291578319596635E-2</v>
      </c>
      <c r="T254" s="821">
        <f t="shared" si="70"/>
        <v>4.7726093128746871E-2</v>
      </c>
      <c r="U254" s="821">
        <f t="shared" si="70"/>
        <v>4.4926706411922979E-2</v>
      </c>
      <c r="V254" s="821">
        <f t="shared" si="70"/>
        <v>4.3894663092618247E-2</v>
      </c>
      <c r="W254" s="821">
        <f t="shared" si="70"/>
        <v>4.3514696252715979E-2</v>
      </c>
      <c r="X254" s="821">
        <f t="shared" si="70"/>
        <v>4.3374873720289697E-2</v>
      </c>
      <c r="Y254" s="821">
        <f t="shared" si="70"/>
        <v>4.3323430396455365E-2</v>
      </c>
      <c r="Z254" s="821">
        <f t="shared" si="70"/>
        <v>4.3304504712323055E-2</v>
      </c>
      <c r="AA254" s="821">
        <f t="shared" si="70"/>
        <v>4.3297542241675258E-2</v>
      </c>
      <c r="AB254" s="821">
        <f t="shared" si="70"/>
        <v>4.3294980878256117E-2</v>
      </c>
      <c r="AC254" s="821">
        <f t="shared" si="70"/>
        <v>4.3294038603472806E-2</v>
      </c>
    </row>
    <row r="255" spans="2:30">
      <c r="F255" s="821"/>
      <c r="G255" s="821"/>
      <c r="H255" s="821"/>
      <c r="I255" s="821"/>
      <c r="J255" s="821"/>
      <c r="K255" s="821"/>
      <c r="L255" s="821"/>
      <c r="M255" s="821"/>
      <c r="N255" s="821"/>
      <c r="O255" s="821"/>
      <c r="P255" s="821"/>
      <c r="Q255" s="821"/>
      <c r="R255" s="821"/>
      <c r="S255" s="821"/>
      <c r="T255" s="821"/>
      <c r="U255" s="821"/>
      <c r="V255" s="821"/>
      <c r="W255" s="821"/>
      <c r="X255" s="821"/>
      <c r="Y255" s="821"/>
      <c r="Z255" s="821"/>
      <c r="AA255" s="821"/>
      <c r="AB255" s="821"/>
      <c r="AC255" s="821"/>
    </row>
    <row r="256" spans="2:30">
      <c r="B256" s="761" t="s">
        <v>1304</v>
      </c>
      <c r="D256" s="761" t="s">
        <v>1305</v>
      </c>
      <c r="K256" s="817">
        <f>SUM(K225)</f>
        <v>185.46199999999999</v>
      </c>
      <c r="L256" s="819">
        <v>0.115</v>
      </c>
    </row>
    <row r="257" spans="2:22">
      <c r="D257" s="761" t="s">
        <v>1306</v>
      </c>
      <c r="K257" s="817">
        <f>K226</f>
        <v>106.78700000000001</v>
      </c>
      <c r="L257" s="819">
        <v>0.34</v>
      </c>
    </row>
    <row r="258" spans="2:22">
      <c r="D258" s="761" t="s">
        <v>1307</v>
      </c>
      <c r="K258" s="817">
        <f>K230</f>
        <v>57.492999999999988</v>
      </c>
      <c r="L258" s="819">
        <v>0.12</v>
      </c>
    </row>
    <row r="259" spans="2:22">
      <c r="D259" s="761" t="s">
        <v>1308</v>
      </c>
      <c r="K259" s="799">
        <f>K231-SUM(K256:K258)</f>
        <v>422.96</v>
      </c>
      <c r="L259" s="819">
        <v>3.7999999999999999E-2</v>
      </c>
    </row>
    <row r="260" spans="2:22">
      <c r="L260" s="819">
        <f>SUMPRODUCT(L256:L259,K256:K259)/SUM(K256:K259)</f>
        <v>0.10431880595624186</v>
      </c>
    </row>
    <row r="261" spans="2:22">
      <c r="B261" s="761" t="s">
        <v>1269</v>
      </c>
      <c r="C261" s="761" t="s">
        <v>1309</v>
      </c>
      <c r="D261" s="761" t="s">
        <v>1128</v>
      </c>
      <c r="E261" s="767">
        <v>18</v>
      </c>
      <c r="F261" s="767">
        <v>19</v>
      </c>
      <c r="G261" s="767">
        <v>20</v>
      </c>
      <c r="H261" s="767">
        <v>21</v>
      </c>
      <c r="I261" s="767">
        <v>22</v>
      </c>
      <c r="J261" s="767">
        <v>23</v>
      </c>
      <c r="K261" s="767">
        <v>24</v>
      </c>
      <c r="L261" s="767">
        <v>25</v>
      </c>
      <c r="M261" s="767" t="s">
        <v>1310</v>
      </c>
      <c r="N261" s="767" t="s">
        <v>1311</v>
      </c>
      <c r="O261" s="767">
        <v>18</v>
      </c>
      <c r="P261" s="767">
        <v>19</v>
      </c>
      <c r="Q261" s="767">
        <v>20</v>
      </c>
      <c r="R261" s="767">
        <v>21</v>
      </c>
      <c r="S261" s="767">
        <v>22</v>
      </c>
      <c r="T261" s="767">
        <v>23</v>
      </c>
      <c r="U261" s="767">
        <v>24</v>
      </c>
      <c r="V261" s="767">
        <v>25</v>
      </c>
    </row>
    <row r="262" spans="2:22">
      <c r="C262" s="761" t="s">
        <v>1214</v>
      </c>
      <c r="D262" s="761" t="s">
        <v>695</v>
      </c>
      <c r="G262" s="819">
        <v>-7.3684210526315908E-2</v>
      </c>
      <c r="H262" s="819">
        <v>1.4573863636363638</v>
      </c>
      <c r="I262" s="819">
        <v>-2.6589595375722586E-2</v>
      </c>
      <c r="J262" s="819">
        <v>1.6627078384798155E-2</v>
      </c>
      <c r="K262" s="819">
        <v>-1.0514018691588856E-2</v>
      </c>
      <c r="L262" s="819">
        <v>1.5348288075560879E-2</v>
      </c>
      <c r="Q262" s="824">
        <v>-0.4</v>
      </c>
      <c r="R262" s="819">
        <v>0.15</v>
      </c>
      <c r="S262" s="819">
        <f>V159</f>
        <v>5.6620267055395468E-2</v>
      </c>
      <c r="T262" s="819">
        <f>W159</f>
        <v>6.7519546653938667E-2</v>
      </c>
      <c r="U262" s="819">
        <f>X159</f>
        <v>7.2073991792567904E-2</v>
      </c>
      <c r="V262" s="819">
        <v>1.5348288075560879E-2</v>
      </c>
    </row>
    <row r="263" spans="2:22">
      <c r="D263" s="761" t="s">
        <v>1312</v>
      </c>
      <c r="G263" s="819">
        <v>4.6999999999999931E-2</v>
      </c>
      <c r="H263" s="819">
        <v>4.6999999999999931E-2</v>
      </c>
      <c r="I263" s="819">
        <v>4.6999999999999931E-2</v>
      </c>
      <c r="J263" s="819">
        <v>4.6999999999999931E-2</v>
      </c>
      <c r="K263" s="819">
        <v>4.6999999999999931E-2</v>
      </c>
      <c r="L263" s="819">
        <v>4.6999999999999931E-2</v>
      </c>
      <c r="Q263" s="830">
        <f>'Revised 5 year delivery model'!CM204</f>
        <v>-0.12537276109644568</v>
      </c>
      <c r="R263" s="830">
        <f>R262</f>
        <v>0.15</v>
      </c>
      <c r="S263" s="830">
        <f>'Revised 5 year delivery model'!CU204</f>
        <v>5.8995759237453038E-2</v>
      </c>
      <c r="T263" s="830">
        <f>'Revised 5 year delivery model'!CY204</f>
        <v>6.3495058962980133E-2</v>
      </c>
      <c r="U263" s="830">
        <f>'Revised 5 year delivery model'!DC204</f>
        <v>4.2502945525957792E-2</v>
      </c>
      <c r="V263" s="824">
        <v>4.6999999999999931E-2</v>
      </c>
    </row>
    <row r="264" spans="2:22">
      <c r="D264" s="761" t="s">
        <v>1313</v>
      </c>
      <c r="G264" s="819">
        <v>-7.3684210526315908E-2</v>
      </c>
      <c r="H264" s="819">
        <v>1.4573863636363638</v>
      </c>
      <c r="I264" s="819">
        <v>-2.6589595375722586E-2</v>
      </c>
      <c r="J264" s="819">
        <v>1.6627078384798155E-2</v>
      </c>
      <c r="K264" s="819">
        <v>-1.0514018691588856E-2</v>
      </c>
      <c r="L264" s="819">
        <v>1.5348288075560879E-2</v>
      </c>
      <c r="Q264" s="819">
        <f t="shared" ref="Q264:V264" si="71">Q262</f>
        <v>-0.4</v>
      </c>
      <c r="R264" s="819">
        <f t="shared" si="71"/>
        <v>0.15</v>
      </c>
      <c r="S264" s="819">
        <f t="shared" si="71"/>
        <v>5.6620267055395468E-2</v>
      </c>
      <c r="T264" s="819">
        <f t="shared" si="71"/>
        <v>6.7519546653938667E-2</v>
      </c>
      <c r="U264" s="819">
        <f t="shared" si="71"/>
        <v>7.2073991792567904E-2</v>
      </c>
      <c r="V264" s="819">
        <f t="shared" si="71"/>
        <v>1.5348288075560879E-2</v>
      </c>
    </row>
    <row r="265" spans="2:22">
      <c r="D265" s="761" t="s">
        <v>749</v>
      </c>
      <c r="G265" s="819">
        <v>8.6000000000000076E-2</v>
      </c>
      <c r="H265" s="819">
        <v>8.6000000000000076E-2</v>
      </c>
      <c r="I265" s="819">
        <v>8.6000000000000076E-2</v>
      </c>
      <c r="J265" s="819">
        <v>8.6000000000000076E-2</v>
      </c>
      <c r="K265" s="819">
        <v>8.6000000000000076E-2</v>
      </c>
      <c r="L265" s="819">
        <v>8.6000000000000076E-2</v>
      </c>
      <c r="Q265" s="824">
        <v>-0.35</v>
      </c>
      <c r="R265" s="998">
        <f>R263</f>
        <v>0.15</v>
      </c>
      <c r="S265" s="824">
        <v>8.6000000000000076E-2</v>
      </c>
      <c r="T265" s="824">
        <v>8.6000000000000076E-2</v>
      </c>
      <c r="U265" s="824">
        <v>8.6000000000000076E-2</v>
      </c>
      <c r="V265" s="824">
        <v>8.6000000000000076E-2</v>
      </c>
    </row>
    <row r="266" spans="2:22">
      <c r="D266" s="761" t="s">
        <v>1314</v>
      </c>
      <c r="G266" s="819">
        <v>0.11499999999999999</v>
      </c>
      <c r="H266" s="819">
        <v>0.11499999999999999</v>
      </c>
      <c r="I266" s="819">
        <v>0.11499999999999999</v>
      </c>
      <c r="J266" s="819">
        <v>0.11499999999999999</v>
      </c>
      <c r="K266" s="819">
        <v>0.11499999999999999</v>
      </c>
      <c r="L266" s="819">
        <v>0.11499999999999999</v>
      </c>
      <c r="Q266" s="830">
        <f t="shared" ref="Q266:R269" si="72">Q265</f>
        <v>-0.35</v>
      </c>
      <c r="R266" s="830">
        <f t="shared" si="72"/>
        <v>0.15</v>
      </c>
      <c r="S266" s="824">
        <v>7.4999999999999997E-2</v>
      </c>
      <c r="T266" s="824">
        <v>0.155</v>
      </c>
      <c r="U266" s="824">
        <v>0.11499999999999999</v>
      </c>
      <c r="V266" s="824">
        <v>0.11499999999999999</v>
      </c>
    </row>
    <row r="267" spans="2:22">
      <c r="D267" s="761" t="s">
        <v>1277</v>
      </c>
      <c r="G267" s="819">
        <v>3.8000000000000034E-2</v>
      </c>
      <c r="H267" s="819">
        <v>3.8000000000000034E-2</v>
      </c>
      <c r="I267" s="819">
        <v>3.8000000000000034E-2</v>
      </c>
      <c r="J267" s="819">
        <v>3.8000000000000034E-2</v>
      </c>
      <c r="K267" s="819">
        <v>3.8000000000000034E-2</v>
      </c>
      <c r="L267" s="819">
        <v>3.8000000000000034E-2</v>
      </c>
      <c r="Q267" s="830">
        <f t="shared" si="72"/>
        <v>-0.35</v>
      </c>
      <c r="R267" s="830">
        <f t="shared" si="72"/>
        <v>0.15</v>
      </c>
      <c r="S267" s="824">
        <v>3.8000000000000034E-2</v>
      </c>
      <c r="T267" s="824">
        <v>3.8000000000000034E-2</v>
      </c>
      <c r="U267" s="824">
        <v>3.8000000000000034E-2</v>
      </c>
      <c r="V267" s="824">
        <v>3.8000000000000034E-2</v>
      </c>
    </row>
    <row r="268" spans="2:22">
      <c r="D268" s="761" t="s">
        <v>1315</v>
      </c>
      <c r="G268" s="819">
        <v>3.8000000000000034E-2</v>
      </c>
      <c r="H268" s="819">
        <v>3.8000000000000034E-2</v>
      </c>
      <c r="I268" s="819">
        <v>3.8000000000000034E-2</v>
      </c>
      <c r="J268" s="819">
        <v>3.8000000000000034E-2</v>
      </c>
      <c r="K268" s="819">
        <v>3.8000000000000034E-2</v>
      </c>
      <c r="L268" s="819">
        <v>3.8000000000000034E-2</v>
      </c>
      <c r="Q268" s="830">
        <f t="shared" si="72"/>
        <v>-0.35</v>
      </c>
      <c r="R268" s="830">
        <f t="shared" si="72"/>
        <v>0.15</v>
      </c>
      <c r="S268" s="824">
        <v>3.8000000000000034E-2</v>
      </c>
      <c r="T268" s="824">
        <v>3.8000000000000034E-2</v>
      </c>
      <c r="U268" s="824">
        <v>3.8000000000000034E-2</v>
      </c>
      <c r="V268" s="824">
        <v>3.8000000000000034E-2</v>
      </c>
    </row>
    <row r="269" spans="2:22">
      <c r="C269" s="761" t="s">
        <v>1216</v>
      </c>
      <c r="D269" s="761" t="s">
        <v>1316</v>
      </c>
      <c r="G269" s="819">
        <v>0.12000000000000011</v>
      </c>
      <c r="H269" s="819">
        <v>0.12000000000000011</v>
      </c>
      <c r="I269" s="819">
        <v>0.08</v>
      </c>
      <c r="J269" s="819">
        <v>0.06</v>
      </c>
      <c r="K269" s="819">
        <v>0.06</v>
      </c>
      <c r="L269" s="819">
        <v>3.7999999999999999E-2</v>
      </c>
      <c r="Q269" s="830">
        <f t="shared" si="72"/>
        <v>-0.35</v>
      </c>
      <c r="R269" s="830">
        <f t="shared" si="72"/>
        <v>0.15</v>
      </c>
      <c r="S269" s="824">
        <v>0.12000000000000011</v>
      </c>
      <c r="T269" s="824">
        <v>0.12000000000000011</v>
      </c>
      <c r="U269" s="824">
        <v>0.12000000000000011</v>
      </c>
      <c r="V269" s="824">
        <v>0.12000000000000011</v>
      </c>
    </row>
    <row r="270" spans="2:22">
      <c r="D270" s="761" t="s">
        <v>1317</v>
      </c>
      <c r="G270" s="819">
        <v>0.14999999999999991</v>
      </c>
      <c r="H270" s="819">
        <v>0.12</v>
      </c>
      <c r="I270" s="819">
        <v>0.12</v>
      </c>
      <c r="J270" s="819">
        <v>0.08</v>
      </c>
      <c r="K270" s="819">
        <v>0.06</v>
      </c>
      <c r="L270" s="819">
        <v>3.7999999999999999E-2</v>
      </c>
      <c r="Q270" s="824">
        <v>-0.05</v>
      </c>
      <c r="R270" s="824">
        <v>0.05</v>
      </c>
      <c r="S270" s="824">
        <v>0.14999999999999991</v>
      </c>
      <c r="T270" s="824">
        <v>0.14999999999999991</v>
      </c>
      <c r="U270" s="824">
        <v>0.14999999999999991</v>
      </c>
      <c r="V270" s="824">
        <v>0.14999999999999991</v>
      </c>
    </row>
    <row r="271" spans="2:22">
      <c r="L271" s="819"/>
    </row>
    <row r="272" spans="2:22">
      <c r="L272" s="819"/>
    </row>
    <row r="273" spans="2:15">
      <c r="L273" s="819"/>
    </row>
    <row r="274" spans="2:15">
      <c r="B274" s="761" t="s">
        <v>1318</v>
      </c>
      <c r="C274" s="831">
        <f>'Earnings Power'!P27</f>
        <v>2</v>
      </c>
    </row>
    <row r="275" spans="2:15">
      <c r="B275" s="761" t="s">
        <v>1319</v>
      </c>
      <c r="D275" s="761" t="s">
        <v>1128</v>
      </c>
      <c r="E275" s="767">
        <v>18</v>
      </c>
      <c r="F275" s="767">
        <v>19</v>
      </c>
      <c r="G275" s="767">
        <v>20</v>
      </c>
      <c r="H275" s="767">
        <v>21</v>
      </c>
      <c r="I275" s="767">
        <v>22</v>
      </c>
      <c r="J275" s="767">
        <v>23</v>
      </c>
      <c r="K275" s="767">
        <v>24</v>
      </c>
      <c r="L275" s="767">
        <v>25</v>
      </c>
      <c r="M275" s="767" t="s">
        <v>1320</v>
      </c>
      <c r="N275" s="767" t="s">
        <v>1321</v>
      </c>
    </row>
    <row r="276" spans="2:15">
      <c r="C276" s="761" t="s">
        <v>1214</v>
      </c>
      <c r="D276" s="761" t="s">
        <v>695</v>
      </c>
      <c r="E276" s="808">
        <f>'Revised 5 year delivery model'!L120</f>
        <v>76.570000000000007</v>
      </c>
      <c r="F276" s="808">
        <f>'Revised 5 year delivery model'!M120</f>
        <v>36.1</v>
      </c>
      <c r="G276" s="808">
        <f t="shared" ref="G276:G284" si="73">F276*(1+IF($C$274=1,G262,Q262))</f>
        <v>21.66</v>
      </c>
      <c r="H276" s="808">
        <f t="shared" ref="H276:H284" si="74">G276*(1+IF($C$274=1,H262,R262))</f>
        <v>24.908999999999999</v>
      </c>
      <c r="I276" s="808">
        <f t="shared" ref="I276:I284" si="75">H276*(1+IF($C$274=1,I262,S262))</f>
        <v>26.319354232082844</v>
      </c>
      <c r="J276" s="808">
        <f t="shared" ref="J276:J284" si="76">I276*(1+IF($C$274=1,J262,T262))</f>
        <v>28.096425098057502</v>
      </c>
      <c r="K276" s="808">
        <f t="shared" ref="K276:K284" si="77">J276*(1+IF($C$274=1,K262,U262))</f>
        <v>30.121446609975397</v>
      </c>
      <c r="L276" s="808">
        <f t="shared" ref="L276:L284" si="78">K276*(1+IF($C$274=1,L262,V262))</f>
        <v>30.583759249797925</v>
      </c>
      <c r="M276" s="819">
        <f t="shared" ref="M276:M285" si="79">(L276/F276)^(1/6)-1</f>
        <v>-2.7258874364332719E-2</v>
      </c>
      <c r="N276" s="819">
        <f t="shared" ref="N276:N285" si="80">F276/$F$285</f>
        <v>4.6718751819895987E-2</v>
      </c>
      <c r="O276" s="761">
        <f>(SUM(L276:L277)/SUM(F276:F277))^(1/6)-1</f>
        <v>2.5144882676757074E-2</v>
      </c>
    </row>
    <row r="277" spans="2:15">
      <c r="D277" s="761" t="s">
        <v>1312</v>
      </c>
      <c r="E277" s="808">
        <f>J225-E276</f>
        <v>97.813000000000002</v>
      </c>
      <c r="F277" s="808">
        <f>K225-F276</f>
        <v>149.36199999999999</v>
      </c>
      <c r="G277" s="999">
        <f t="shared" si="73"/>
        <v>130.63607365711269</v>
      </c>
      <c r="H277" s="999">
        <f t="shared" si="74"/>
        <v>150.23148470567958</v>
      </c>
      <c r="I277" s="999">
        <f t="shared" si="75"/>
        <v>159.09450520726097</v>
      </c>
      <c r="J277" s="999">
        <f t="shared" si="76"/>
        <v>169.19622019608215</v>
      </c>
      <c r="K277" s="999">
        <f t="shared" si="77"/>
        <v>176.38755792627418</v>
      </c>
      <c r="L277" s="999">
        <f t="shared" si="78"/>
        <v>184.67777314880905</v>
      </c>
      <c r="M277" s="819">
        <f t="shared" si="79"/>
        <v>3.6006351915422563E-2</v>
      </c>
      <c r="N277" s="819">
        <f t="shared" si="80"/>
        <v>0.19329657089538238</v>
      </c>
    </row>
    <row r="278" spans="2:15">
      <c r="D278" s="761" t="s">
        <v>1313</v>
      </c>
      <c r="E278" s="808">
        <f>'Revised 5 year delivery model'!L120</f>
        <v>76.570000000000007</v>
      </c>
      <c r="F278" s="808">
        <f>'Revised 5 year delivery model'!M120</f>
        <v>36.1</v>
      </c>
      <c r="G278" s="808">
        <f t="shared" si="73"/>
        <v>21.66</v>
      </c>
      <c r="H278" s="808">
        <f t="shared" si="74"/>
        <v>24.908999999999999</v>
      </c>
      <c r="I278" s="808">
        <f t="shared" si="75"/>
        <v>26.319354232082844</v>
      </c>
      <c r="J278" s="808">
        <f t="shared" si="76"/>
        <v>28.096425098057502</v>
      </c>
      <c r="K278" s="808">
        <f t="shared" si="77"/>
        <v>30.121446609975397</v>
      </c>
      <c r="L278" s="808">
        <f t="shared" si="78"/>
        <v>30.583759249797925</v>
      </c>
      <c r="M278" s="819">
        <f t="shared" si="79"/>
        <v>-2.7258874364332719E-2</v>
      </c>
      <c r="N278" s="819">
        <f t="shared" si="80"/>
        <v>4.6718751819895987E-2</v>
      </c>
      <c r="O278" s="761">
        <f>(SUM(L278:L279)/SUM(F278:F279))^(1/6)-1</f>
        <v>3.1750307652884668E-3</v>
      </c>
    </row>
    <row r="279" spans="2:15">
      <c r="D279" s="761" t="s">
        <v>749</v>
      </c>
      <c r="E279" s="808">
        <f>J224-E278</f>
        <v>226.61</v>
      </c>
      <c r="F279" s="808">
        <f>K224-F278</f>
        <v>302.137</v>
      </c>
      <c r="G279" s="808">
        <f t="shared" si="73"/>
        <v>196.38905</v>
      </c>
      <c r="H279" s="808">
        <f t="shared" si="74"/>
        <v>225.84740749999997</v>
      </c>
      <c r="I279" s="808">
        <f t="shared" si="75"/>
        <v>245.27028454499998</v>
      </c>
      <c r="J279" s="808">
        <f t="shared" si="76"/>
        <v>266.36352901586997</v>
      </c>
      <c r="K279" s="808">
        <f t="shared" si="77"/>
        <v>289.27079251123479</v>
      </c>
      <c r="L279" s="808">
        <f t="shared" si="78"/>
        <v>314.14808066720099</v>
      </c>
      <c r="M279" s="819">
        <f t="shared" si="79"/>
        <v>6.5184720854645217E-3</v>
      </c>
      <c r="N279" s="819">
        <f t="shared" si="80"/>
        <v>0.39101006976753222</v>
      </c>
    </row>
    <row r="280" spans="2:15">
      <c r="D280" s="761" t="s">
        <v>1314</v>
      </c>
      <c r="E280" s="808">
        <v>47.553083623513899</v>
      </c>
      <c r="F280" s="808">
        <f>N187</f>
        <v>53.021688240217998</v>
      </c>
      <c r="G280" s="808">
        <f t="shared" si="73"/>
        <v>34.4640973561417</v>
      </c>
      <c r="H280" s="808">
        <f t="shared" si="74"/>
        <v>39.633711959562952</v>
      </c>
      <c r="I280" s="808">
        <f t="shared" si="75"/>
        <v>42.606240356530172</v>
      </c>
      <c r="J280" s="808">
        <f t="shared" si="76"/>
        <v>49.210207611792349</v>
      </c>
      <c r="K280" s="808">
        <f t="shared" si="77"/>
        <v>54.869381487148466</v>
      </c>
      <c r="L280" s="808">
        <f t="shared" si="78"/>
        <v>61.179360358170541</v>
      </c>
      <c r="M280" s="819">
        <f t="shared" si="79"/>
        <v>2.413819504484449E-2</v>
      </c>
      <c r="N280" s="819">
        <f t="shared" si="80"/>
        <v>6.8617925040627206E-2</v>
      </c>
    </row>
    <row r="281" spans="2:15">
      <c r="D281" s="761" t="s">
        <v>1277</v>
      </c>
      <c r="E281" s="808">
        <f>J205-E280</f>
        <v>84.29591637648609</v>
      </c>
      <c r="F281" s="808">
        <f>K205-F280</f>
        <v>53.765311759782008</v>
      </c>
      <c r="G281" s="808">
        <f t="shared" si="73"/>
        <v>34.947452643858306</v>
      </c>
      <c r="H281" s="808">
        <f t="shared" si="74"/>
        <v>40.189570540437046</v>
      </c>
      <c r="I281" s="808">
        <f t="shared" si="75"/>
        <v>41.716774220973655</v>
      </c>
      <c r="J281" s="808">
        <f t="shared" si="76"/>
        <v>43.302011641370655</v>
      </c>
      <c r="K281" s="808">
        <f t="shared" si="77"/>
        <v>44.947488083742741</v>
      </c>
      <c r="L281" s="808">
        <f t="shared" si="78"/>
        <v>46.655492630924968</v>
      </c>
      <c r="M281" s="819">
        <f t="shared" si="79"/>
        <v>-2.3362411670425964E-2</v>
      </c>
      <c r="N281" s="819">
        <f t="shared" si="80"/>
        <v>6.9580284117024674E-2</v>
      </c>
    </row>
    <row r="282" spans="2:15">
      <c r="D282" s="761" t="s">
        <v>1315</v>
      </c>
      <c r="E282" s="808">
        <f>J206+J207+J208</f>
        <v>66.212999999999994</v>
      </c>
      <c r="F282" s="808">
        <f>K206+K207+K208</f>
        <v>62.123000000000005</v>
      </c>
      <c r="G282" s="808">
        <f t="shared" si="73"/>
        <v>40.379950000000001</v>
      </c>
      <c r="H282" s="808">
        <f t="shared" si="74"/>
        <v>46.436942500000001</v>
      </c>
      <c r="I282" s="808">
        <f t="shared" si="75"/>
        <v>48.201546315000002</v>
      </c>
      <c r="J282" s="808">
        <f t="shared" si="76"/>
        <v>50.033205074970006</v>
      </c>
      <c r="K282" s="808">
        <f t="shared" si="77"/>
        <v>51.93446686781887</v>
      </c>
      <c r="L282" s="808">
        <f t="shared" si="78"/>
        <v>53.907976608795991</v>
      </c>
      <c r="M282" s="819">
        <f t="shared" si="79"/>
        <v>-2.3362411670425964E-2</v>
      </c>
      <c r="N282" s="819">
        <f t="shared" si="80"/>
        <v>8.0396371725966725E-2</v>
      </c>
    </row>
    <row r="283" spans="2:15">
      <c r="C283" s="761" t="s">
        <v>1216</v>
      </c>
      <c r="D283" s="761" t="s">
        <v>1316</v>
      </c>
      <c r="E283" s="817">
        <f>J230</f>
        <v>43.331000000000003</v>
      </c>
      <c r="F283" s="817">
        <f>K230</f>
        <v>57.492999999999988</v>
      </c>
      <c r="G283" s="808">
        <f t="shared" si="73"/>
        <v>37.370449999999991</v>
      </c>
      <c r="H283" s="808">
        <f t="shared" si="74"/>
        <v>42.976017499999983</v>
      </c>
      <c r="I283" s="808">
        <f t="shared" si="75"/>
        <v>48.133139599999986</v>
      </c>
      <c r="J283" s="808">
        <f t="shared" si="76"/>
        <v>53.909116351999991</v>
      </c>
      <c r="K283" s="808">
        <f t="shared" si="77"/>
        <v>60.378210314239993</v>
      </c>
      <c r="L283" s="808">
        <f t="shared" si="78"/>
        <v>67.623595551948796</v>
      </c>
      <c r="M283" s="819">
        <f t="shared" si="79"/>
        <v>2.7418105208582899E-2</v>
      </c>
      <c r="N283" s="819">
        <f t="shared" si="80"/>
        <v>7.4404465329121316E-2</v>
      </c>
      <c r="O283" s="761">
        <f>(SUM(L283:L284)/SUM(F283:F284))^(1/6)-1</f>
        <v>4.954770516947371E-2</v>
      </c>
    </row>
    <row r="284" spans="2:15">
      <c r="D284" s="761" t="s">
        <v>1317</v>
      </c>
      <c r="F284" s="799">
        <f>80.1-F283</f>
        <v>22.607000000000006</v>
      </c>
      <c r="G284" s="808">
        <f t="shared" si="73"/>
        <v>21.476650000000006</v>
      </c>
      <c r="H284" s="808">
        <f t="shared" si="74"/>
        <v>22.550482500000008</v>
      </c>
      <c r="I284" s="808">
        <f t="shared" si="75"/>
        <v>25.933054875000007</v>
      </c>
      <c r="J284" s="808">
        <f t="shared" si="76"/>
        <v>29.823013106250006</v>
      </c>
      <c r="K284" s="808">
        <f t="shared" si="77"/>
        <v>34.296465072187502</v>
      </c>
      <c r="L284" s="808">
        <f t="shared" si="78"/>
        <v>39.440934833015625</v>
      </c>
      <c r="M284" s="819">
        <f t="shared" si="79"/>
        <v>9.7195567100536451E-2</v>
      </c>
      <c r="N284" s="819">
        <f t="shared" si="80"/>
        <v>2.9256809484553708E-2</v>
      </c>
    </row>
    <row r="285" spans="2:15">
      <c r="E285" s="832">
        <f t="shared" ref="E285:L285" si="81">SUM(E276:E284)</f>
        <v>718.95600000000002</v>
      </c>
      <c r="F285" s="832">
        <f t="shared" si="81"/>
        <v>772.70899999999983</v>
      </c>
      <c r="G285" s="832">
        <f t="shared" si="81"/>
        <v>538.98372365711271</v>
      </c>
      <c r="H285" s="832">
        <f t="shared" si="81"/>
        <v>617.68361720567964</v>
      </c>
      <c r="I285" s="832">
        <f t="shared" si="81"/>
        <v>663.59425358393037</v>
      </c>
      <c r="J285" s="832">
        <f t="shared" si="81"/>
        <v>718.03015319445012</v>
      </c>
      <c r="K285" s="832">
        <f t="shared" si="81"/>
        <v>772.32725548259725</v>
      </c>
      <c r="L285" s="832">
        <f t="shared" si="81"/>
        <v>828.80073229846198</v>
      </c>
      <c r="M285" s="819">
        <f t="shared" si="79"/>
        <v>1.1748010915776597E-2</v>
      </c>
      <c r="N285" s="819">
        <f t="shared" si="80"/>
        <v>1</v>
      </c>
    </row>
    <row r="286" spans="2:15">
      <c r="C286" s="761" t="s">
        <v>1322</v>
      </c>
      <c r="D286" s="761" t="s">
        <v>1323</v>
      </c>
      <c r="E286" s="761">
        <f>'Revised 5 year delivery model'!L121</f>
        <v>96.33</v>
      </c>
      <c r="F286" s="819">
        <f t="shared" ref="F286:L286" si="82">F285/E285-1</f>
        <v>7.4765354208045753E-2</v>
      </c>
      <c r="G286" s="819">
        <f t="shared" si="82"/>
        <v>-0.30247515732686847</v>
      </c>
      <c r="H286" s="819">
        <f t="shared" si="82"/>
        <v>0.14601534349603806</v>
      </c>
      <c r="I286" s="819">
        <f t="shared" si="82"/>
        <v>7.4327107113419055E-2</v>
      </c>
      <c r="J286" s="819">
        <f t="shared" si="82"/>
        <v>8.2031903254922822E-2</v>
      </c>
      <c r="K286" s="819">
        <f t="shared" si="82"/>
        <v>7.5619529411939501E-2</v>
      </c>
      <c r="L286" s="819">
        <f t="shared" si="82"/>
        <v>7.3121175531448257E-2</v>
      </c>
    </row>
    <row r="287" spans="2:15">
      <c r="E287" s="819">
        <f t="shared" ref="E287:L287" si="83">E286/E279</f>
        <v>0.42509156700939937</v>
      </c>
      <c r="F287" s="819">
        <f t="shared" si="83"/>
        <v>2.4745514189935608E-4</v>
      </c>
      <c r="G287" s="819">
        <f t="shared" si="83"/>
        <v>-1.5401834131122305E-3</v>
      </c>
      <c r="H287" s="819">
        <f t="shared" si="83"/>
        <v>6.465221146983415E-4</v>
      </c>
      <c r="I287" s="819">
        <f t="shared" si="83"/>
        <v>3.0304163120005754E-4</v>
      </c>
      <c r="J287" s="819">
        <f t="shared" si="83"/>
        <v>3.079697267790567E-4</v>
      </c>
      <c r="K287" s="819">
        <f t="shared" si="83"/>
        <v>2.6141432653973374E-4</v>
      </c>
      <c r="L287" s="819">
        <f t="shared" si="83"/>
        <v>2.327602173349282E-4</v>
      </c>
    </row>
    <row r="289" spans="3:12">
      <c r="C289" s="761" t="s">
        <v>1131</v>
      </c>
      <c r="F289" s="819">
        <f>171.5/F285</f>
        <v>0.22194642485075239</v>
      </c>
      <c r="G289" s="819">
        <f t="shared" ref="G289:L289" si="84">((G292*G285)-G291)/G285</f>
        <v>0.15446728628699941</v>
      </c>
      <c r="H289" s="819">
        <f t="shared" si="84"/>
        <v>0.17720662693392564</v>
      </c>
      <c r="I289" s="819">
        <f t="shared" si="84"/>
        <v>0.18829559522852829</v>
      </c>
      <c r="J289" s="819">
        <f t="shared" si="84"/>
        <v>0.19977435822919257</v>
      </c>
      <c r="K289" s="819">
        <f t="shared" si="84"/>
        <v>0.20977332155658776</v>
      </c>
      <c r="L289" s="819">
        <f t="shared" si="84"/>
        <v>0.21891939028451579</v>
      </c>
    </row>
    <row r="290" spans="3:12">
      <c r="C290" s="761" t="s">
        <v>1324</v>
      </c>
      <c r="F290" s="819">
        <v>0.2</v>
      </c>
    </row>
    <row r="291" spans="3:12">
      <c r="C291" s="761" t="s">
        <v>1325</v>
      </c>
      <c r="D291" s="761">
        <v>0</v>
      </c>
      <c r="E291" s="761">
        <v>0.2</v>
      </c>
      <c r="F291" s="808">
        <f>(1-F289)*F285*F290</f>
        <v>120.24179999999997</v>
      </c>
      <c r="G291" s="817">
        <f>F291*($D291*((G$285/F$285)-1)+1)</f>
        <v>120.24179999999997</v>
      </c>
      <c r="H291" s="817">
        <f>G291*($E291*((H$285/G$285)-1)+1)</f>
        <v>123.75322954591634</v>
      </c>
      <c r="I291" s="817">
        <f>H291*($E291*((I$285/H$285)-1)+1)</f>
        <v>125.5928734555345</v>
      </c>
      <c r="J291" s="817">
        <f>I291*($E291*((J$285/I$285)-1)+1)</f>
        <v>127.65339794449694</v>
      </c>
      <c r="K291" s="817">
        <f>J291*($E291*((K$285/J$285)-1)+1)</f>
        <v>129.58401592057655</v>
      </c>
      <c r="L291" s="817">
        <f>K291*($E291*((L$285/K$285)-1)+1)</f>
        <v>131.47908303541624</v>
      </c>
    </row>
    <row r="292" spans="3:12">
      <c r="C292" s="761" t="s">
        <v>1326</v>
      </c>
      <c r="F292" s="819">
        <f>(F285-((1-F289)*F285-F291))/F285</f>
        <v>0.37755713988060191</v>
      </c>
      <c r="G292" s="800">
        <f t="shared" ref="G292:L292" si="85">F292</f>
        <v>0.37755713988060191</v>
      </c>
      <c r="H292" s="800">
        <f t="shared" si="85"/>
        <v>0.37755713988060191</v>
      </c>
      <c r="I292" s="800">
        <f t="shared" si="85"/>
        <v>0.37755713988060191</v>
      </c>
      <c r="J292" s="800">
        <f t="shared" si="85"/>
        <v>0.37755713988060191</v>
      </c>
      <c r="K292" s="800">
        <f t="shared" si="85"/>
        <v>0.37755713988060191</v>
      </c>
      <c r="L292" s="800">
        <f t="shared" si="85"/>
        <v>0.37755713988060191</v>
      </c>
    </row>
    <row r="293" spans="3:12">
      <c r="C293" s="761" t="s">
        <v>1327</v>
      </c>
      <c r="D293" s="761">
        <v>0</v>
      </c>
      <c r="E293" s="761">
        <v>0.7</v>
      </c>
      <c r="F293" s="799">
        <f>(F289*F285)-F309</f>
        <v>82.564999999999984</v>
      </c>
      <c r="G293" s="817">
        <f>F293*($D293*((G$285/F$285)-1)+1)</f>
        <v>82.564999999999984</v>
      </c>
      <c r="H293" s="817">
        <f>G293*($E293*((H$285/G$285)-1)+1)</f>
        <v>91.004029785025239</v>
      </c>
      <c r="I293" s="817">
        <f>H293*($E293*((I$285/H$285)-1)+1)</f>
        <v>95.738876173734283</v>
      </c>
      <c r="J293" s="817">
        <f>I293*($E293*((J$285/I$285)-1)+1)</f>
        <v>101.23642573334745</v>
      </c>
      <c r="K293" s="817">
        <f>J293*($E293*((K$285/J$285)-1)+1)</f>
        <v>106.59524134465919</v>
      </c>
      <c r="L293" s="817">
        <f>K293*($E293*((L$285/K$285)-1)+1)</f>
        <v>112.05129989188512</v>
      </c>
    </row>
    <row r="294" spans="3:12">
      <c r="C294" s="761" t="s">
        <v>1328</v>
      </c>
      <c r="G294" s="817">
        <f>G308</f>
        <v>13.75</v>
      </c>
      <c r="H294" s="817">
        <f>H308</f>
        <v>16.5</v>
      </c>
      <c r="I294" s="817">
        <f>I308</f>
        <v>19.25</v>
      </c>
      <c r="J294" s="817">
        <f>I294</f>
        <v>19.25</v>
      </c>
      <c r="K294" s="817">
        <f>J294</f>
        <v>19.25</v>
      </c>
      <c r="L294" s="817">
        <f>K294</f>
        <v>19.25</v>
      </c>
    </row>
    <row r="295" spans="3:12">
      <c r="C295" s="761" t="s">
        <v>1329</v>
      </c>
      <c r="F295" s="799">
        <f>F293+F291</f>
        <v>202.80679999999995</v>
      </c>
      <c r="G295" s="799">
        <f t="shared" ref="G295:L295" si="86">G293+G291-G294</f>
        <v>189.05679999999995</v>
      </c>
      <c r="H295" s="799">
        <f t="shared" si="86"/>
        <v>198.25725933094157</v>
      </c>
      <c r="I295" s="799">
        <f t="shared" si="86"/>
        <v>202.08174962926878</v>
      </c>
      <c r="J295" s="799">
        <f t="shared" si="86"/>
        <v>209.63982367784439</v>
      </c>
      <c r="K295" s="799">
        <f t="shared" si="86"/>
        <v>216.92925726523572</v>
      </c>
      <c r="L295" s="799">
        <f t="shared" si="86"/>
        <v>224.28038292730136</v>
      </c>
    </row>
    <row r="296" spans="3:12">
      <c r="C296" s="761" t="s">
        <v>1330</v>
      </c>
      <c r="F296" s="799">
        <f t="shared" ref="F296:L296" si="87">F285*F292-F295</f>
        <v>88.935000000000002</v>
      </c>
      <c r="G296" s="799">
        <f t="shared" si="87"/>
        <v>14.440353146176221</v>
      </c>
      <c r="H296" s="799">
        <f t="shared" si="87"/>
        <v>34.953600532339379</v>
      </c>
      <c r="I296" s="799">
        <f t="shared" si="87"/>
        <v>48.462998795082825</v>
      </c>
      <c r="J296" s="799">
        <f t="shared" si="87"/>
        <v>61.457587310282634</v>
      </c>
      <c r="K296" s="799">
        <f t="shared" si="87"/>
        <v>74.668412366608607</v>
      </c>
      <c r="L296" s="799">
        <f t="shared" si="87"/>
        <v>88.639251090254362</v>
      </c>
    </row>
    <row r="297" spans="3:12">
      <c r="F297" s="819">
        <f t="shared" ref="F297:L297" si="88">F296/F285</f>
        <v>0.11509507460117589</v>
      </c>
      <c r="G297" s="819">
        <f t="shared" si="88"/>
        <v>2.6791816732786525E-2</v>
      </c>
      <c r="H297" s="819">
        <f t="shared" si="88"/>
        <v>5.6588194277298338E-2</v>
      </c>
      <c r="I297" s="819">
        <f t="shared" si="88"/>
        <v>7.3031070617842989E-2</v>
      </c>
      <c r="J297" s="819">
        <f t="shared" si="88"/>
        <v>8.5591930975131722E-2</v>
      </c>
      <c r="K297" s="819">
        <f t="shared" si="88"/>
        <v>9.6679758271577793E-2</v>
      </c>
      <c r="L297" s="819">
        <f t="shared" si="88"/>
        <v>0.10694880884629118</v>
      </c>
    </row>
    <row r="299" spans="3:12">
      <c r="C299" s="761" t="s">
        <v>11</v>
      </c>
      <c r="D299" s="761" t="s">
        <v>1331</v>
      </c>
      <c r="E299" s="808">
        <f>_xlfn.SINGLE(INDEX(MO_OS_EBIT,0,_xlfn.SINGLE(_xlfn.XMATCH("FY20"&amp;E$275,MO_Common_ColumnHeader))))-Model!AJ49</f>
        <v>52.944999999999993</v>
      </c>
      <c r="F299" s="808">
        <f>52.017-65.666+6.141+16.286</f>
        <v>8.7780000000000076</v>
      </c>
    </row>
    <row r="300" spans="3:12">
      <c r="D300" s="761" t="s">
        <v>1332</v>
      </c>
      <c r="F300" s="808">
        <f>22.78+5</f>
        <v>27.78</v>
      </c>
    </row>
    <row r="301" spans="3:12">
      <c r="D301" s="761" t="s">
        <v>1333</v>
      </c>
      <c r="F301" s="808">
        <v>15.484999999999999</v>
      </c>
    </row>
    <row r="302" spans="3:12">
      <c r="D302" s="761" t="s">
        <v>1334</v>
      </c>
      <c r="E302" s="832">
        <f>SUM(E299:E301)</f>
        <v>52.944999999999993</v>
      </c>
      <c r="F302" s="832">
        <f>SUM(F299:F301)</f>
        <v>52.043000000000006</v>
      </c>
      <c r="G302" s="813">
        <f t="shared" ref="G302:L302" si="89">G296-G305-G306</f>
        <v>-12.718754169007148</v>
      </c>
      <c r="H302" s="813">
        <f t="shared" si="89"/>
        <v>7.718958349871059</v>
      </c>
      <c r="I302" s="813">
        <f t="shared" si="89"/>
        <v>19.171650176439773</v>
      </c>
      <c r="J302" s="813">
        <f t="shared" si="89"/>
        <v>28.807829276915172</v>
      </c>
      <c r="K302" s="813">
        <f t="shared" si="89"/>
        <v>37.871319872198868</v>
      </c>
      <c r="L302" s="813">
        <f t="shared" si="89"/>
        <v>46.927315092424848</v>
      </c>
    </row>
    <row r="303" spans="3:12">
      <c r="E303" s="828">
        <f t="shared" ref="E303:L303" si="90">E302/$E285</f>
        <v>7.3641502400703232E-2</v>
      </c>
      <c r="F303" s="828">
        <f t="shared" si="90"/>
        <v>7.2386905457357625E-2</v>
      </c>
      <c r="G303" s="828">
        <f t="shared" si="90"/>
        <v>-1.7690587698005369E-2</v>
      </c>
      <c r="H303" s="828">
        <f t="shared" si="90"/>
        <v>1.073634318354817E-2</v>
      </c>
      <c r="I303" s="828">
        <f t="shared" si="90"/>
        <v>2.6665957550169653E-2</v>
      </c>
      <c r="J303" s="828">
        <f t="shared" si="90"/>
        <v>4.0068974008027156E-2</v>
      </c>
      <c r="K303" s="828">
        <f t="shared" si="90"/>
        <v>5.2675434758453737E-2</v>
      </c>
      <c r="L303" s="828">
        <f t="shared" si="90"/>
        <v>6.5271470148972749E-2</v>
      </c>
    </row>
    <row r="304" spans="3:12">
      <c r="E304" s="828"/>
      <c r="F304" s="828"/>
    </row>
    <row r="305" spans="2:16">
      <c r="C305" s="761" t="s">
        <v>1309</v>
      </c>
      <c r="D305" s="761" t="s">
        <v>37</v>
      </c>
      <c r="E305" s="808">
        <f>_xlfn.SINGLE(INDEX(MO_RIS_DA,0,_xlfn.SINGLE(_xlfn.XMATCH("FY20"&amp;E$275,MO_Common_ColumnHeader))))</f>
        <v>35.031999999999996</v>
      </c>
      <c r="F305" s="808">
        <f>_xlfn.SINGLE(INDEX(MO_RIS_DA,0,_xlfn.SINGLE(_xlfn.XMATCH("FY20"&amp;F$275,MO_Common_ColumnHeader))))</f>
        <v>33.048999999999999</v>
      </c>
      <c r="G305" s="808">
        <f t="shared" ref="G305:L305" si="91">MEDIAN($E$305/$E$285,F$305/$F$285)*G285</f>
        <v>24.657565926884576</v>
      </c>
      <c r="H305" s="808">
        <f t="shared" si="91"/>
        <v>24.904001052704068</v>
      </c>
      <c r="I305" s="808">
        <f t="shared" si="91"/>
        <v>26.860861336261888</v>
      </c>
      <c r="J305" s="808">
        <f t="shared" si="91"/>
        <v>29.973502860446782</v>
      </c>
      <c r="K305" s="808">
        <f t="shared" si="91"/>
        <v>33.795636928303672</v>
      </c>
      <c r="L305" s="808">
        <f t="shared" si="91"/>
        <v>38.316606962166432</v>
      </c>
    </row>
    <row r="306" spans="2:16">
      <c r="D306" s="761" t="s">
        <v>73</v>
      </c>
      <c r="E306" s="808">
        <f>_xlfn.SINGLE(INDEX(MO_RIS_SBC,0,_xlfn.SINGLE(_xlfn.XMATCH("FY20"&amp;E$275,MO_Common_ColumnHeader))))</f>
        <v>3.0979999999999999</v>
      </c>
      <c r="F306" s="808">
        <f>_xlfn.SINGLE(INDEX(MO_RIS_SBC,0,_xlfn.SINGLE(_xlfn.XMATCH("FY20"&amp;F$275,MO_Common_ColumnHeader))))</f>
        <v>3.843</v>
      </c>
      <c r="G306" s="808">
        <f t="shared" ref="G306:L306" si="92">MEDIAN($E$306/$E$285,F$306/$F$285)*G285</f>
        <v>2.5015413882987927</v>
      </c>
      <c r="H306" s="808">
        <f t="shared" si="92"/>
        <v>2.3306411297642531</v>
      </c>
      <c r="I306" s="808">
        <f t="shared" si="92"/>
        <v>2.4304872823811663</v>
      </c>
      <c r="J306" s="808">
        <f t="shared" si="92"/>
        <v>2.6762551729206812</v>
      </c>
      <c r="K306" s="808">
        <f t="shared" si="92"/>
        <v>3.0014555661060633</v>
      </c>
      <c r="L306" s="808">
        <f t="shared" si="92"/>
        <v>3.395329035663079</v>
      </c>
      <c r="M306" s="761" t="s">
        <v>1310</v>
      </c>
      <c r="N306" s="761" t="s">
        <v>1311</v>
      </c>
    </row>
    <row r="307" spans="2:16">
      <c r="D307" s="761" t="s">
        <v>1335</v>
      </c>
      <c r="E307" s="808"/>
      <c r="F307" s="808"/>
      <c r="G307" s="833">
        <v>0.3</v>
      </c>
      <c r="H307" s="833">
        <v>0.75</v>
      </c>
      <c r="I307" s="833">
        <v>0.75</v>
      </c>
      <c r="J307" s="808"/>
      <c r="K307" s="808"/>
      <c r="L307" s="808"/>
      <c r="N307" s="833">
        <v>0.25</v>
      </c>
      <c r="O307" s="833">
        <v>0.3</v>
      </c>
      <c r="P307" s="833">
        <v>0.35</v>
      </c>
    </row>
    <row r="308" spans="2:16">
      <c r="D308" s="761" t="s">
        <v>1336</v>
      </c>
      <c r="E308" s="808"/>
      <c r="F308" s="808"/>
      <c r="G308" s="808">
        <f>IF($C$274=1,G307,N307)*$G$312*'Earnings Power'!$P$28</f>
        <v>13.75</v>
      </c>
      <c r="H308" s="808">
        <f>IF($C$274=1,H307,O307)*$G$312*'Earnings Power'!$P$28</f>
        <v>16.5</v>
      </c>
      <c r="I308" s="808">
        <f>IF($C$274=1,I307,P307)*$G$312*'Earnings Power'!$P$28</f>
        <v>19.25</v>
      </c>
    </row>
    <row r="309" spans="2:16">
      <c r="E309" s="813">
        <f>E302+E305+E306</f>
        <v>91.074999999999989</v>
      </c>
      <c r="F309" s="813">
        <f>F302+F305+F306</f>
        <v>88.935000000000016</v>
      </c>
      <c r="G309" s="813">
        <f t="shared" ref="G309:L309" si="93">G302+G305+G306+G308</f>
        <v>28.190353146176221</v>
      </c>
      <c r="H309" s="813">
        <f t="shared" si="93"/>
        <v>51.453600532339379</v>
      </c>
      <c r="I309" s="813">
        <f t="shared" si="93"/>
        <v>67.712998795082825</v>
      </c>
      <c r="J309" s="813">
        <f t="shared" si="93"/>
        <v>61.457587310282641</v>
      </c>
      <c r="K309" s="813">
        <f t="shared" si="93"/>
        <v>74.668412366608592</v>
      </c>
      <c r="L309" s="813">
        <f t="shared" si="93"/>
        <v>88.639251090254362</v>
      </c>
    </row>
    <row r="310" spans="2:16">
      <c r="E310" s="819">
        <f>E309/E285</f>
        <v>0.12667673682395025</v>
      </c>
      <c r="F310" s="819">
        <f>F309/F285</f>
        <v>0.11509507460117591</v>
      </c>
      <c r="G310" s="819">
        <f>G309/G285</f>
        <v>5.2302791176881962E-2</v>
      </c>
      <c r="H310" s="819">
        <f>H309/H285</f>
        <v>8.3300898872967974E-2</v>
      </c>
      <c r="I310" s="819">
        <f>I309/I285</f>
        <v>0.1020397606359299</v>
      </c>
      <c r="J310" s="819">
        <f>I310</f>
        <v>0.1020397606359299</v>
      </c>
      <c r="K310" s="819">
        <f>J310</f>
        <v>0.1020397606359299</v>
      </c>
      <c r="L310" s="819">
        <f>K310</f>
        <v>0.1020397606359299</v>
      </c>
    </row>
    <row r="312" spans="2:16">
      <c r="D312" s="761" t="s">
        <v>1337</v>
      </c>
      <c r="E312" s="761">
        <v>34.700000000000003</v>
      </c>
      <c r="F312" s="761">
        <v>32.700000000000003</v>
      </c>
      <c r="G312" s="761">
        <v>55</v>
      </c>
    </row>
    <row r="314" spans="2:16" ht="15.75" thickBot="1"/>
    <row r="315" spans="2:16" ht="15.75" thickBot="1">
      <c r="B315" s="761" t="s">
        <v>1338</v>
      </c>
      <c r="C315" s="807"/>
      <c r="D315" s="807"/>
      <c r="E315" s="761" t="s">
        <v>1230</v>
      </c>
      <c r="F315" s="761" t="s">
        <v>1339</v>
      </c>
      <c r="G315" s="761" t="s">
        <v>1230</v>
      </c>
      <c r="H315" s="761" t="s">
        <v>1339</v>
      </c>
      <c r="J315" s="761" t="s">
        <v>1230</v>
      </c>
      <c r="K315" s="761" t="s">
        <v>1339</v>
      </c>
    </row>
    <row r="316" spans="2:16">
      <c r="C316" s="761" t="s">
        <v>1340</v>
      </c>
      <c r="E316" s="761">
        <v>167187.5</v>
      </c>
      <c r="F316" s="761">
        <v>409557.46111111098</v>
      </c>
      <c r="G316" s="761">
        <v>284220.816666667</v>
      </c>
      <c r="H316" s="761">
        <v>119875.2</v>
      </c>
      <c r="J316" s="761">
        <v>0.45140831666666698</v>
      </c>
      <c r="K316" s="761">
        <v>0.52943266111111098</v>
      </c>
      <c r="L316" s="809"/>
      <c r="M316" s="761">
        <v>0.98084097777777801</v>
      </c>
    </row>
    <row r="317" spans="2:16">
      <c r="C317" s="761" t="s">
        <v>1341</v>
      </c>
      <c r="E317" s="761">
        <v>1028504.76666667</v>
      </c>
      <c r="F317" s="761">
        <v>294352.83333333302</v>
      </c>
      <c r="G317" s="761">
        <v>330286.91666666698</v>
      </c>
      <c r="H317" s="761">
        <v>16106.3</v>
      </c>
      <c r="J317" s="761">
        <v>1.35879168333334</v>
      </c>
      <c r="K317" s="761">
        <v>0.31045913333333303</v>
      </c>
      <c r="L317" s="809"/>
      <c r="M317" s="761">
        <v>1.6692508166666731</v>
      </c>
    </row>
    <row r="318" spans="2:16">
      <c r="E318" s="761" t="s">
        <v>1342</v>
      </c>
      <c r="F318" s="761" t="s">
        <v>1342</v>
      </c>
      <c r="G318" s="761" t="s">
        <v>1343</v>
      </c>
      <c r="H318" s="761" t="s">
        <v>1343</v>
      </c>
      <c r="L318" s="809">
        <v>1000000</v>
      </c>
    </row>
    <row r="319" spans="2:16">
      <c r="C319" s="761" t="s">
        <v>1344</v>
      </c>
      <c r="E319" s="761">
        <v>0.13982485683049736</v>
      </c>
      <c r="F319" s="761">
        <v>0.58183189583035033</v>
      </c>
      <c r="G319" s="761">
        <v>0.46251788423384099</v>
      </c>
      <c r="H319" s="761">
        <v>0.88155521155451289</v>
      </c>
      <c r="J319" s="761">
        <v>0.24936930541744848</v>
      </c>
      <c r="K319" s="761">
        <v>0.63035817781897763</v>
      </c>
      <c r="L319" s="809"/>
      <c r="M319" s="761">
        <v>0.37011585026374355</v>
      </c>
    </row>
    <row r="321" spans="2:11">
      <c r="C321" s="761" t="s">
        <v>1345</v>
      </c>
      <c r="J321" s="1000">
        <f>K319-J319</f>
        <v>0.38098887240152912</v>
      </c>
    </row>
    <row r="322" spans="2:11">
      <c r="C322" s="761" t="s">
        <v>699</v>
      </c>
      <c r="J322" s="761">
        <f>J321*SUM(J316:J317)</f>
        <v>0.68966605682125071</v>
      </c>
      <c r="K322" s="761" t="s">
        <v>1346</v>
      </c>
    </row>
    <row r="323" spans="2:11">
      <c r="C323" s="761" t="s">
        <v>1347</v>
      </c>
      <c r="J323" s="761">
        <v>652</v>
      </c>
      <c r="K323" s="761" t="s">
        <v>1348</v>
      </c>
    </row>
    <row r="324" spans="2:11">
      <c r="C324" s="761" t="s">
        <v>1349</v>
      </c>
      <c r="J324" s="761">
        <f>J323*J322</f>
        <v>449.66226904745548</v>
      </c>
      <c r="K324" s="761" t="s">
        <v>1346</v>
      </c>
    </row>
    <row r="325" spans="2:11">
      <c r="I325" s="761">
        <v>0.115</v>
      </c>
    </row>
    <row r="326" spans="2:11">
      <c r="E326" s="761" t="s">
        <v>1350</v>
      </c>
      <c r="H326" s="761">
        <f>+I325</f>
        <v>0.115</v>
      </c>
      <c r="I326" s="761">
        <v>7.0999999999999994E-2</v>
      </c>
    </row>
    <row r="327" spans="2:11">
      <c r="B327" s="761" t="s">
        <v>1351</v>
      </c>
    </row>
    <row r="328" spans="2:11">
      <c r="B328" s="761" t="s">
        <v>1352</v>
      </c>
      <c r="C328" s="761">
        <f>'Earnings Power'!P27</f>
        <v>2</v>
      </c>
    </row>
    <row r="329" spans="2:11">
      <c r="B329" s="761" t="s">
        <v>1353</v>
      </c>
    </row>
    <row r="330" spans="2:11">
      <c r="B330" s="761" t="s">
        <v>1354</v>
      </c>
    </row>
    <row r="331" spans="2:11">
      <c r="C331" s="834"/>
      <c r="D331" s="834"/>
      <c r="E331" s="834">
        <v>2020</v>
      </c>
      <c r="F331" s="834">
        <v>21</v>
      </c>
      <c r="G331" s="834">
        <f>F331+1</f>
        <v>22</v>
      </c>
      <c r="H331" s="834">
        <f>G331+1</f>
        <v>23</v>
      </c>
      <c r="I331" s="834">
        <f>H331+1</f>
        <v>24</v>
      </c>
      <c r="J331" s="834">
        <f>I331+1</f>
        <v>25</v>
      </c>
    </row>
    <row r="332" spans="2:11">
      <c r="C332" s="835" t="s">
        <v>1355</v>
      </c>
      <c r="D332" s="834"/>
      <c r="E332" s="830">
        <v>-2.1000000000000001E-2</v>
      </c>
      <c r="F332" s="830">
        <v>-0.02</v>
      </c>
      <c r="G332" s="830">
        <v>2.5000000000000001E-2</v>
      </c>
      <c r="H332" s="830">
        <f>$H$326</f>
        <v>0.115</v>
      </c>
      <c r="I332" s="830">
        <v>6.5000000000000002E-2</v>
      </c>
      <c r="J332" s="830">
        <v>0.05</v>
      </c>
    </row>
    <row r="333" spans="2:11">
      <c r="C333" s="834" t="s">
        <v>1356</v>
      </c>
      <c r="D333" s="834"/>
      <c r="E333" s="830">
        <v>-2.1000000000000001E-2</v>
      </c>
      <c r="F333" s="830">
        <f>$H$326</f>
        <v>0.115</v>
      </c>
      <c r="G333" s="830">
        <f>$H$326</f>
        <v>0.115</v>
      </c>
      <c r="H333" s="830">
        <f>$H$326</f>
        <v>0.115</v>
      </c>
      <c r="I333" s="830">
        <f>$H$326</f>
        <v>0.115</v>
      </c>
      <c r="J333" s="830">
        <f>$H$326</f>
        <v>0.115</v>
      </c>
    </row>
    <row r="334" spans="2:11">
      <c r="C334" s="834" t="s">
        <v>1357</v>
      </c>
      <c r="D334" s="836">
        <f>IF(C328=2,1,0)</f>
        <v>1</v>
      </c>
      <c r="E334" s="834"/>
      <c r="F334" s="834"/>
      <c r="G334" s="834"/>
      <c r="H334" s="834"/>
      <c r="I334" s="834"/>
      <c r="J334" s="834"/>
    </row>
    <row r="335" spans="2:11">
      <c r="C335" s="837" t="s">
        <v>1358</v>
      </c>
      <c r="D335" s="837"/>
      <c r="E335" s="838">
        <f>IF($D$334=1,E332,E333)</f>
        <v>-2.1000000000000001E-2</v>
      </c>
      <c r="F335" s="838">
        <v>3.5000000000000003E-2</v>
      </c>
      <c r="G335" s="838">
        <f>IF($D$334=1,G332,G333)</f>
        <v>2.5000000000000001E-2</v>
      </c>
      <c r="H335" s="838">
        <f>IF($D$334=1,H332,H333)</f>
        <v>0.115</v>
      </c>
      <c r="I335" s="838">
        <f>IF($D$334=1,I332,I333)</f>
        <v>6.5000000000000002E-2</v>
      </c>
      <c r="J335" s="838">
        <f>IF($D$334=1,J332,J333)</f>
        <v>0.05</v>
      </c>
    </row>
    <row r="336" spans="2:11">
      <c r="C336" s="837"/>
      <c r="D336" s="837"/>
      <c r="E336" s="837"/>
      <c r="F336" s="837"/>
      <c r="G336" s="837"/>
      <c r="H336" s="837"/>
      <c r="I336" s="837"/>
      <c r="J336" s="837"/>
    </row>
    <row r="337" spans="3:17">
      <c r="C337" s="835" t="s">
        <v>1359</v>
      </c>
      <c r="D337" s="834"/>
      <c r="E337" s="834"/>
      <c r="F337" s="834"/>
      <c r="G337" s="834"/>
      <c r="H337" s="834"/>
      <c r="I337" s="834"/>
      <c r="J337" s="834"/>
    </row>
    <row r="338" spans="3:17">
      <c r="C338" s="837" t="s">
        <v>1360</v>
      </c>
      <c r="D338" s="837"/>
      <c r="E338" s="839">
        <v>0.19</v>
      </c>
      <c r="F338" s="838">
        <f>E338+0.05</f>
        <v>0.24</v>
      </c>
      <c r="G338" s="838">
        <f>F338+0.05</f>
        <v>0.28999999999999998</v>
      </c>
      <c r="H338" s="838">
        <f>G338+0.05</f>
        <v>0.33999999999999997</v>
      </c>
      <c r="I338" s="838">
        <f>H338+0.05</f>
        <v>0.38999999999999996</v>
      </c>
      <c r="J338" s="838">
        <f>I338+0.05</f>
        <v>0.43999999999999995</v>
      </c>
      <c r="Q338" s="825"/>
    </row>
    <row r="339" spans="3:17">
      <c r="C339" s="837" t="s">
        <v>1361</v>
      </c>
      <c r="D339" s="837"/>
      <c r="E339" s="840">
        <f t="shared" ref="E339:J339" si="94">L254</f>
        <v>1.6222739662667394</v>
      </c>
      <c r="F339" s="840">
        <f t="shared" si="94"/>
        <v>1.3538419143286453</v>
      </c>
      <c r="G339" s="840">
        <f t="shared" si="94"/>
        <v>0.93962961321925231</v>
      </c>
      <c r="H339" s="840">
        <f t="shared" si="94"/>
        <v>0.52541731210985976</v>
      </c>
      <c r="I339" s="840">
        <f t="shared" si="94"/>
        <v>0.25698526017176571</v>
      </c>
      <c r="J339" s="840">
        <f t="shared" si="94"/>
        <v>0.12831253680860977</v>
      </c>
    </row>
    <row r="340" spans="3:17">
      <c r="C340" s="837" t="s">
        <v>1362</v>
      </c>
      <c r="D340" s="837"/>
      <c r="E340" s="838">
        <f t="shared" ref="E340:J340" si="95">E339*E338</f>
        <v>0.30823205359068051</v>
      </c>
      <c r="F340" s="838">
        <f t="shared" si="95"/>
        <v>0.32492205943887487</v>
      </c>
      <c r="G340" s="838">
        <f t="shared" si="95"/>
        <v>0.27249258783358316</v>
      </c>
      <c r="H340" s="838">
        <f t="shared" si="95"/>
        <v>0.17864188611735229</v>
      </c>
      <c r="I340" s="838">
        <f t="shared" si="95"/>
        <v>0.10022425146698861</v>
      </c>
      <c r="J340" s="838">
        <f t="shared" si="95"/>
        <v>5.6457516195788288E-2</v>
      </c>
    </row>
    <row r="341" spans="3:17">
      <c r="C341" s="837" t="s">
        <v>1363</v>
      </c>
      <c r="D341" s="838">
        <v>0.45</v>
      </c>
      <c r="E341" s="838">
        <f t="shared" ref="E341:J341" si="96">$D$341*E340</f>
        <v>0.13870442411580625</v>
      </c>
      <c r="F341" s="838">
        <f t="shared" si="96"/>
        <v>0.1462149267474937</v>
      </c>
      <c r="G341" s="838">
        <f t="shared" si="96"/>
        <v>0.12262166452511242</v>
      </c>
      <c r="H341" s="838">
        <f t="shared" si="96"/>
        <v>8.0388848752808537E-2</v>
      </c>
      <c r="I341" s="838">
        <f t="shared" si="96"/>
        <v>4.5100913160144876E-2</v>
      </c>
      <c r="J341" s="838">
        <f t="shared" si="96"/>
        <v>2.5405882288104729E-2</v>
      </c>
    </row>
    <row r="342" spans="3:17">
      <c r="C342" s="837" t="s">
        <v>1357</v>
      </c>
      <c r="D342" s="836">
        <v>1</v>
      </c>
      <c r="E342" s="838">
        <f t="shared" ref="E342:J342" si="97">IF($Q$37,MAX(E341,E335),E335)</f>
        <v>-2.1000000000000001E-2</v>
      </c>
      <c r="F342" s="838">
        <f t="shared" si="97"/>
        <v>3.5000000000000003E-2</v>
      </c>
      <c r="G342" s="838">
        <f t="shared" si="97"/>
        <v>2.5000000000000001E-2</v>
      </c>
      <c r="H342" s="838">
        <f t="shared" si="97"/>
        <v>0.115</v>
      </c>
      <c r="I342" s="838">
        <f t="shared" si="97"/>
        <v>6.5000000000000002E-2</v>
      </c>
      <c r="J342" s="838">
        <f t="shared" si="97"/>
        <v>0.05</v>
      </c>
    </row>
    <row r="343" spans="3:17">
      <c r="C343" s="837"/>
      <c r="D343" s="837"/>
      <c r="E343" s="837"/>
      <c r="F343" s="837"/>
      <c r="G343" s="837"/>
      <c r="H343" s="837"/>
      <c r="I343" s="837"/>
      <c r="J343" s="837"/>
    </row>
    <row r="344" spans="3:17">
      <c r="C344" s="835" t="s">
        <v>1364</v>
      </c>
      <c r="D344" s="837"/>
      <c r="E344" s="837"/>
      <c r="F344" s="837"/>
      <c r="G344" s="837"/>
      <c r="H344" s="837"/>
      <c r="I344" s="837"/>
      <c r="J344" s="837"/>
    </row>
    <row r="345" spans="3:17">
      <c r="C345" s="837" t="s">
        <v>1365</v>
      </c>
      <c r="D345" s="837"/>
      <c r="E345" s="837"/>
      <c r="F345" s="837"/>
      <c r="G345" s="837"/>
      <c r="H345" s="837"/>
      <c r="I345" s="837"/>
      <c r="J345" s="837"/>
    </row>
    <row r="346" spans="3:17">
      <c r="C346" s="834" t="s">
        <v>1366</v>
      </c>
      <c r="D346" s="1001">
        <f>K319</f>
        <v>0.63035817781897763</v>
      </c>
      <c r="E346" s="834" t="s">
        <v>1367</v>
      </c>
      <c r="F346" s="1001">
        <f>J319</f>
        <v>0.24936930541744848</v>
      </c>
      <c r="G346" s="834" t="s">
        <v>1368</v>
      </c>
      <c r="H346" s="834" t="s">
        <v>1369</v>
      </c>
      <c r="I346" s="834">
        <v>4</v>
      </c>
      <c r="J346" s="834" t="s">
        <v>1370</v>
      </c>
    </row>
    <row r="347" spans="3:17">
      <c r="C347" s="834" t="s">
        <v>1371</v>
      </c>
      <c r="D347" s="834"/>
      <c r="E347" s="834">
        <v>0</v>
      </c>
      <c r="F347" s="842">
        <f>$J$324/$I$346</f>
        <v>112.41556726186387</v>
      </c>
      <c r="G347" s="842">
        <f>$J$324/$I$346</f>
        <v>112.41556726186387</v>
      </c>
      <c r="H347" s="842">
        <f>$J$324/$I$346</f>
        <v>112.41556726186387</v>
      </c>
      <c r="I347" s="842">
        <f>$J$324/$I$346</f>
        <v>112.41556726186387</v>
      </c>
      <c r="J347" s="834">
        <v>0</v>
      </c>
    </row>
    <row r="348" spans="3:17">
      <c r="C348" s="834" t="s">
        <v>1372</v>
      </c>
      <c r="D348" s="841">
        <v>0.9</v>
      </c>
      <c r="E348" s="834">
        <v>0</v>
      </c>
      <c r="F348" s="843">
        <f>F347*$D$348</f>
        <v>101.17401053567748</v>
      </c>
      <c r="G348" s="843">
        <f>G347*$D$348</f>
        <v>101.17401053567748</v>
      </c>
      <c r="H348" s="843">
        <f>H347*$D$348</f>
        <v>101.17401053567748</v>
      </c>
      <c r="I348" s="843">
        <f>I347*$D$348</f>
        <v>101.17401053567748</v>
      </c>
      <c r="J348" s="843">
        <f>J347*$Q$43</f>
        <v>0</v>
      </c>
    </row>
    <row r="349" spans="3:17">
      <c r="C349" s="834" t="s">
        <v>1357</v>
      </c>
      <c r="D349" s="836">
        <v>1</v>
      </c>
      <c r="E349" s="834"/>
      <c r="F349" s="843"/>
      <c r="G349" s="843"/>
      <c r="H349" s="843"/>
      <c r="I349" s="843"/>
      <c r="J349" s="843"/>
    </row>
    <row r="350" spans="3:17">
      <c r="C350" s="834" t="s">
        <v>1373</v>
      </c>
      <c r="D350" s="841">
        <v>0.15</v>
      </c>
      <c r="E350" s="834">
        <v>0</v>
      </c>
      <c r="F350" s="843">
        <f>F348*(1-$D$350)*$D$349</f>
        <v>85.997908955325855</v>
      </c>
      <c r="G350" s="843">
        <f>G348*(1-$D$350)*$D$349</f>
        <v>85.997908955325855</v>
      </c>
      <c r="H350" s="843">
        <f>H348*(1-$D$350)*$D$349</f>
        <v>85.997908955325855</v>
      </c>
      <c r="I350" s="843">
        <f>I348*(1-$D$350)*$D$349</f>
        <v>85.997908955325855</v>
      </c>
      <c r="J350" s="843">
        <f>J348*(1-$D$350)*$D$349</f>
        <v>0</v>
      </c>
    </row>
    <row r="351" spans="3:17">
      <c r="C351" s="844"/>
      <c r="D351" s="844"/>
      <c r="E351" s="844"/>
      <c r="F351" s="844"/>
      <c r="G351" s="844"/>
      <c r="H351" s="844"/>
      <c r="I351" s="844"/>
      <c r="J351" s="844"/>
    </row>
    <row r="352" spans="3:17">
      <c r="C352" s="835" t="s">
        <v>1374</v>
      </c>
      <c r="D352" s="844"/>
      <c r="E352" s="844"/>
      <c r="F352" s="844"/>
      <c r="G352" s="844"/>
      <c r="H352" s="844"/>
      <c r="I352" s="844"/>
      <c r="J352" s="844"/>
    </row>
    <row r="353" spans="2:10">
      <c r="C353" s="834" t="s">
        <v>1375</v>
      </c>
      <c r="D353" s="844"/>
      <c r="E353" s="834">
        <v>1</v>
      </c>
      <c r="F353" s="834">
        <v>0</v>
      </c>
      <c r="G353" s="834">
        <v>1</v>
      </c>
      <c r="H353" s="834">
        <v>0</v>
      </c>
      <c r="I353" s="834">
        <v>1</v>
      </c>
      <c r="J353" s="844"/>
    </row>
    <row r="354" spans="2:10">
      <c r="C354" s="834" t="s">
        <v>1376</v>
      </c>
      <c r="D354" s="844"/>
      <c r="E354" s="834">
        <v>25</v>
      </c>
      <c r="F354" s="834">
        <v>25</v>
      </c>
      <c r="G354" s="834">
        <v>25</v>
      </c>
      <c r="H354" s="834">
        <v>25</v>
      </c>
      <c r="I354" s="834">
        <v>25</v>
      </c>
      <c r="J354" s="844"/>
    </row>
    <row r="355" spans="2:10">
      <c r="C355" s="834" t="s">
        <v>1377</v>
      </c>
      <c r="D355" s="844"/>
      <c r="E355" s="834">
        <f>E354*E353</f>
        <v>25</v>
      </c>
      <c r="F355" s="834">
        <f>F354*F353</f>
        <v>0</v>
      </c>
      <c r="G355" s="834">
        <f>G354*G353</f>
        <v>25</v>
      </c>
      <c r="H355" s="834">
        <f>H354*H353</f>
        <v>0</v>
      </c>
      <c r="I355" s="834">
        <f>I354*I353</f>
        <v>25</v>
      </c>
      <c r="J355" s="844"/>
    </row>
    <row r="356" spans="2:10">
      <c r="C356" s="834" t="s">
        <v>1357</v>
      </c>
      <c r="D356" s="836">
        <v>1</v>
      </c>
      <c r="E356" s="834">
        <f>$Q$51*E355</f>
        <v>0</v>
      </c>
      <c r="F356" s="834">
        <f>$Q$51*F355</f>
        <v>0</v>
      </c>
      <c r="G356" s="834">
        <f>$Q$51*G355</f>
        <v>0</v>
      </c>
      <c r="H356" s="834">
        <f>$Q$51*H355</f>
        <v>0</v>
      </c>
      <c r="I356" s="834">
        <f>$Q$51*I355</f>
        <v>0</v>
      </c>
      <c r="J356" s="844"/>
    </row>
    <row r="357" spans="2:10">
      <c r="C357" s="834"/>
      <c r="D357" s="836"/>
      <c r="E357" s="834"/>
      <c r="F357" s="834"/>
      <c r="G357" s="834"/>
      <c r="H357" s="834"/>
      <c r="I357" s="834"/>
      <c r="J357" s="844"/>
    </row>
    <row r="358" spans="2:10">
      <c r="C358" s="845" t="s">
        <v>1378</v>
      </c>
      <c r="D358" s="844"/>
      <c r="E358" s="844"/>
      <c r="F358" s="844"/>
      <c r="G358" s="844"/>
      <c r="H358" s="844"/>
      <c r="I358" s="844"/>
      <c r="J358" s="844"/>
    </row>
    <row r="359" spans="2:10">
      <c r="C359" s="844">
        <v>2019</v>
      </c>
      <c r="D359" s="844">
        <v>2020</v>
      </c>
      <c r="E359" s="844">
        <v>21</v>
      </c>
      <c r="F359" s="844">
        <f>+E359+1</f>
        <v>22</v>
      </c>
      <c r="G359" s="844">
        <f>+F359+1</f>
        <v>23</v>
      </c>
      <c r="H359" s="844">
        <f>+G359+1</f>
        <v>24</v>
      </c>
      <c r="I359" s="844">
        <f>+H359+1</f>
        <v>25</v>
      </c>
    </row>
    <row r="360" spans="2:10">
      <c r="B360" s="761">
        <v>1</v>
      </c>
      <c r="C360" s="830">
        <v>0.11600000000000001</v>
      </c>
      <c r="D360" s="830">
        <f>80.2/726.6</f>
        <v>0.11037709881640517</v>
      </c>
      <c r="E360" s="830">
        <f>D360+0.015</f>
        <v>0.12537709881640519</v>
      </c>
      <c r="F360" s="830">
        <f>E360+0.015</f>
        <v>0.1403770988164052</v>
      </c>
      <c r="G360" s="830">
        <v>0.154</v>
      </c>
      <c r="H360" s="830">
        <f>G360</f>
        <v>0.154</v>
      </c>
      <c r="I360" s="830">
        <f>H360</f>
        <v>0.154</v>
      </c>
    </row>
    <row r="361" spans="2:10">
      <c r="B361" s="761">
        <v>2</v>
      </c>
      <c r="C361" s="830">
        <f>C360</f>
        <v>0.11600000000000001</v>
      </c>
      <c r="D361" s="830">
        <f>D360</f>
        <v>0.11037709881640517</v>
      </c>
      <c r="E361" s="830">
        <f>$C361</f>
        <v>0.11600000000000001</v>
      </c>
      <c r="F361" s="830">
        <f>$C361</f>
        <v>0.11600000000000001</v>
      </c>
      <c r="G361" s="830">
        <f>$C361</f>
        <v>0.11600000000000001</v>
      </c>
      <c r="H361" s="830">
        <f>$C361</f>
        <v>0.11600000000000001</v>
      </c>
      <c r="I361" s="830">
        <f>$C361</f>
        <v>0.11600000000000001</v>
      </c>
    </row>
    <row r="362" spans="2:10">
      <c r="C362" s="830"/>
      <c r="D362" s="830"/>
      <c r="E362" s="830"/>
      <c r="F362" s="830"/>
      <c r="G362" s="830"/>
      <c r="H362" s="830"/>
      <c r="I362" s="830"/>
    </row>
    <row r="363" spans="2:10">
      <c r="C363" s="844"/>
      <c r="D363" s="844"/>
      <c r="E363" s="844"/>
      <c r="F363" s="844"/>
      <c r="G363" s="844"/>
      <c r="H363" s="844"/>
      <c r="I363" s="844"/>
      <c r="J363" s="844"/>
    </row>
    <row r="364" spans="2:10">
      <c r="C364" s="761">
        <v>2019</v>
      </c>
      <c r="D364" s="761">
        <v>2020</v>
      </c>
      <c r="E364" s="761">
        <v>21</v>
      </c>
      <c r="F364" s="761">
        <f>E364+1</f>
        <v>22</v>
      </c>
      <c r="G364" s="761">
        <f>F364+1</f>
        <v>23</v>
      </c>
      <c r="H364" s="761">
        <f>G364+1</f>
        <v>24</v>
      </c>
      <c r="I364" s="761">
        <f>H364+1</f>
        <v>25</v>
      </c>
    </row>
    <row r="365" spans="2:10">
      <c r="B365" s="761" t="s">
        <v>1128</v>
      </c>
      <c r="C365" s="808">
        <f>Y34</f>
        <v>763.00199999999995</v>
      </c>
      <c r="D365" s="808">
        <f t="shared" ref="D365:I365" si="98">(1+E342)*C365</f>
        <v>746.97895799999992</v>
      </c>
      <c r="E365" s="808">
        <f t="shared" si="98"/>
        <v>773.12322152999991</v>
      </c>
      <c r="F365" s="808">
        <f t="shared" si="98"/>
        <v>792.45130206824979</v>
      </c>
      <c r="G365" s="808">
        <f t="shared" si="98"/>
        <v>883.58320180609849</v>
      </c>
      <c r="H365" s="808">
        <f t="shared" si="98"/>
        <v>941.01610992349481</v>
      </c>
      <c r="I365" s="808">
        <f t="shared" si="98"/>
        <v>988.06691541966961</v>
      </c>
    </row>
    <row r="366" spans="2:10">
      <c r="B366" s="761" t="s">
        <v>1379</v>
      </c>
      <c r="C366" s="800">
        <f t="shared" ref="C366:I366" si="99">C360</f>
        <v>0.11600000000000001</v>
      </c>
      <c r="D366" s="800">
        <f t="shared" si="99"/>
        <v>0.11037709881640517</v>
      </c>
      <c r="E366" s="800">
        <f t="shared" si="99"/>
        <v>0.12537709881640519</v>
      </c>
      <c r="F366" s="800">
        <f t="shared" si="99"/>
        <v>0.1403770988164052</v>
      </c>
      <c r="G366" s="800">
        <f t="shared" si="99"/>
        <v>0.154</v>
      </c>
      <c r="H366" s="800">
        <f t="shared" si="99"/>
        <v>0.154</v>
      </c>
      <c r="I366" s="800">
        <f t="shared" si="99"/>
        <v>0.154</v>
      </c>
    </row>
    <row r="367" spans="2:10">
      <c r="B367" s="761" t="s">
        <v>1379</v>
      </c>
      <c r="C367" s="799">
        <f t="shared" ref="C367:I367" si="100">C366*C365</f>
        <v>88.508231999999992</v>
      </c>
      <c r="D367" s="799">
        <f t="shared" si="100"/>
        <v>82.449370260941365</v>
      </c>
      <c r="E367" s="799">
        <f t="shared" si="100"/>
        <v>96.93194654302431</v>
      </c>
      <c r="F367" s="799">
        <f t="shared" si="100"/>
        <v>111.24201473762366</v>
      </c>
      <c r="G367" s="799">
        <f t="shared" si="100"/>
        <v>136.07181307813917</v>
      </c>
      <c r="H367" s="799">
        <f t="shared" si="100"/>
        <v>144.91648092821819</v>
      </c>
      <c r="I367" s="799">
        <f t="shared" si="100"/>
        <v>152.16230497462911</v>
      </c>
    </row>
    <row r="371" spans="2:11">
      <c r="B371" s="761" t="s">
        <v>1380</v>
      </c>
      <c r="C371" s="761">
        <v>2019</v>
      </c>
      <c r="D371" s="761">
        <v>5.9</v>
      </c>
      <c r="E371" s="761" t="s">
        <v>1381</v>
      </c>
    </row>
    <row r="372" spans="2:11">
      <c r="C372" s="761" t="s">
        <v>1382</v>
      </c>
      <c r="D372" s="819">
        <v>0.15</v>
      </c>
      <c r="E372" s="761" t="s">
        <v>1383</v>
      </c>
    </row>
    <row r="373" spans="2:11">
      <c r="C373" s="761" t="s">
        <v>1384</v>
      </c>
      <c r="D373" s="808">
        <f>D371/D372</f>
        <v>39.333333333333336</v>
      </c>
    </row>
    <row r="374" spans="2:11">
      <c r="C374" s="761" t="s">
        <v>1385</v>
      </c>
      <c r="D374" s="808">
        <f>D373+D371</f>
        <v>45.233333333333334</v>
      </c>
    </row>
    <row r="375" spans="2:11">
      <c r="C375" s="761" t="s">
        <v>1386</v>
      </c>
      <c r="D375" s="1013">
        <f>D374/Model!AO103</f>
        <v>7.3364041347692588E-2</v>
      </c>
    </row>
    <row r="377" spans="2:11">
      <c r="J377" s="761" t="s">
        <v>1387</v>
      </c>
      <c r="K377" s="761" t="s">
        <v>1388</v>
      </c>
    </row>
    <row r="378" spans="2:11">
      <c r="B378" s="761" t="s">
        <v>1389</v>
      </c>
      <c r="C378" s="818">
        <f>'Earnings Power'!C61/'Main Writeup'!F309</f>
        <v>2.5114971608478101</v>
      </c>
      <c r="D378" s="818">
        <f>'Earnings Power'!C61/'Main Writeup'!G309</f>
        <v>7.9232778263473751</v>
      </c>
      <c r="E378" s="818">
        <f>'Earnings Power'!D61/'Main Writeup'!H309</f>
        <v>3.5347186225712113</v>
      </c>
      <c r="F378" s="818">
        <f ca="1">'Earnings Power'!E61/'Main Writeup'!I309</f>
        <v>2.388275502274932</v>
      </c>
      <c r="G378" s="818">
        <f ca="1">'Earnings Power'!F61/'Main Writeup'!J309</f>
        <v>1.9823760211072028</v>
      </c>
      <c r="H378" s="818">
        <f ca="1">'Earnings Power'!G61/'Main Writeup'!K309</f>
        <v>1.1909820456356537</v>
      </c>
      <c r="I378" s="818">
        <f ca="1">'Earnings Power'!H61/'Main Writeup'!L309</f>
        <v>0.49041577832758015</v>
      </c>
      <c r="J378" s="761">
        <v>3.75</v>
      </c>
      <c r="K378" s="761">
        <v>4.5</v>
      </c>
    </row>
    <row r="379" spans="2:11">
      <c r="B379" s="761" t="s">
        <v>1390</v>
      </c>
      <c r="C379" s="761" t="s">
        <v>1391</v>
      </c>
    </row>
  </sheetData>
  <hyperlinks>
    <hyperlink ref="A2" r:id="rId1" xr:uid="{00000000-0004-0000-0100-000000000000}"/>
  </hyperlinks>
  <pageMargins left="0.25" right="0.25" top="0.75" bottom="0.75" header="0.3" footer="0.3"/>
  <pageSetup scale="72" fitToHeight="0" orientation="portrait" horizontalDpi="300" verticalDpi="300" r:id="rId2"/>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8881-8D3B-4527-B430-36FA6B78E393}">
  <sheetPr codeName="Sheet3"/>
  <dimension ref="A2:AC149"/>
  <sheetViews>
    <sheetView workbookViewId="0">
      <selection activeCell="C36" sqref="C36"/>
    </sheetView>
  </sheetViews>
  <sheetFormatPr defaultColWidth="7.28515625" defaultRowHeight="14.1" customHeight="1"/>
  <cols>
    <col min="1" max="1" width="28.5703125" style="614" customWidth="1"/>
    <col min="2" max="2" width="8.28515625" style="614" customWidth="1"/>
    <col min="3" max="4" width="8.42578125" style="614" bestFit="1" customWidth="1"/>
    <col min="5" max="6" width="10.140625" style="614" bestFit="1" customWidth="1"/>
    <col min="7" max="7" width="12.42578125" style="614" bestFit="1" customWidth="1"/>
    <col min="8" max="8" width="11.28515625" style="614" bestFit="1" customWidth="1"/>
    <col min="9" max="12" width="9.7109375" style="614" bestFit="1" customWidth="1"/>
    <col min="13" max="13" width="10.140625" style="614" bestFit="1" customWidth="1"/>
    <col min="14" max="14" width="7.28515625" style="614"/>
    <col min="15" max="16" width="7.7109375" style="614" bestFit="1" customWidth="1"/>
    <col min="17" max="17" width="7.85546875" style="614" bestFit="1" customWidth="1"/>
    <col min="18" max="19" width="9.140625" style="614" bestFit="1" customWidth="1"/>
    <col min="20" max="16384" width="7.28515625" style="614"/>
  </cols>
  <sheetData>
    <row r="2" spans="1:15" ht="14.1" customHeight="1">
      <c r="A2" s="614" t="s">
        <v>930</v>
      </c>
      <c r="B2" s="615" t="e" vm="1">
        <v>#VALUE!</v>
      </c>
      <c r="C2" s="614" t="s">
        <v>931</v>
      </c>
    </row>
    <row r="3" spans="1:15" ht="14.1" customHeight="1">
      <c r="A3" s="614" t="s">
        <v>932</v>
      </c>
      <c r="B3" s="616" t="s">
        <v>933</v>
      </c>
      <c r="C3" s="614" t="s">
        <v>934</v>
      </c>
      <c r="I3" s="617" t="s">
        <v>935</v>
      </c>
      <c r="J3" s="617"/>
      <c r="K3" s="617"/>
      <c r="L3" s="617"/>
      <c r="M3" s="618">
        <v>5</v>
      </c>
    </row>
    <row r="4" spans="1:15" ht="14.1" customHeight="1">
      <c r="A4" s="614" t="s">
        <v>936</v>
      </c>
      <c r="B4" s="619">
        <f ca="1">TODAY()</f>
        <v>44077</v>
      </c>
      <c r="I4" s="617" t="s">
        <v>937</v>
      </c>
      <c r="J4" s="617"/>
      <c r="K4" s="617"/>
      <c r="L4" s="617"/>
      <c r="M4" s="620">
        <f ca="1">H99</f>
        <v>24.539963914254503</v>
      </c>
      <c r="N4" s="614" t="str">
        <f t="array" ref="N4">_FV(B2,"Name")</f>
        <v>ASTRONICS CORPORATION</v>
      </c>
      <c r="O4" s="621" t="s">
        <v>938</v>
      </c>
    </row>
    <row r="5" spans="1:15" ht="14.1" customHeight="1">
      <c r="B5" s="619"/>
      <c r="I5" s="617" t="s">
        <v>939</v>
      </c>
      <c r="J5" s="617"/>
      <c r="K5" s="617"/>
      <c r="L5" s="617"/>
      <c r="M5" s="620">
        <f t="array" ref="M5">_FV(B2,"Price")</f>
        <v>11.01</v>
      </c>
      <c r="N5" s="614" t="s">
        <v>940</v>
      </c>
    </row>
    <row r="6" spans="1:15" ht="14.1" customHeight="1">
      <c r="A6" s="614" t="s">
        <v>941</v>
      </c>
      <c r="B6" s="616" t="s">
        <v>942</v>
      </c>
      <c r="I6" s="617" t="s">
        <v>943</v>
      </c>
      <c r="J6" s="617"/>
      <c r="K6" s="617"/>
      <c r="L6" s="617"/>
      <c r="M6" s="620">
        <f ca="1">M4/(1+0.1)^M3</f>
        <v>15.237386861462825</v>
      </c>
      <c r="N6" s="621" t="s">
        <v>944</v>
      </c>
    </row>
    <row r="7" spans="1:15" ht="14.1" customHeight="1">
      <c r="A7" s="614" t="s">
        <v>945</v>
      </c>
      <c r="B7" s="622">
        <v>43830</v>
      </c>
      <c r="I7" s="623" t="s">
        <v>946</v>
      </c>
      <c r="J7" s="623"/>
      <c r="K7" s="623"/>
      <c r="L7" s="617"/>
      <c r="M7" s="624">
        <f ca="1">(M4/M5)^(1/M3)-1</f>
        <v>0.17386274653387335</v>
      </c>
      <c r="N7" s="614">
        <f ca="1">(1+M7)^5</f>
        <v>2.2288795562447317</v>
      </c>
    </row>
    <row r="8" spans="1:15" ht="14.1" customHeight="1">
      <c r="A8" s="614" t="s">
        <v>947</v>
      </c>
      <c r="B8" s="625" t="s">
        <v>387</v>
      </c>
      <c r="C8" s="614" t="s">
        <v>948</v>
      </c>
      <c r="I8" s="617"/>
      <c r="J8" s="617"/>
      <c r="K8" s="617"/>
      <c r="L8" s="617"/>
      <c r="M8" s="626"/>
    </row>
    <row r="9" spans="1:15" ht="14.1" customHeight="1">
      <c r="B9" s="627"/>
      <c r="I9" s="617" t="s">
        <v>949</v>
      </c>
      <c r="J9" s="617"/>
      <c r="K9" s="617"/>
      <c r="L9" s="617"/>
      <c r="M9" s="626">
        <f ca="1">H92</f>
        <v>9.3836166882405863</v>
      </c>
    </row>
    <row r="10" spans="1:15" ht="14.1" customHeight="1">
      <c r="A10" s="628" t="s">
        <v>950</v>
      </c>
      <c r="C10" s="628" t="s">
        <v>951</v>
      </c>
      <c r="I10" s="617" t="s">
        <v>952</v>
      </c>
      <c r="J10" s="617"/>
      <c r="K10" s="617"/>
      <c r="L10" s="617"/>
      <c r="M10" s="629">
        <f ca="1">G142</f>
        <v>10.774962928240425</v>
      </c>
    </row>
    <row r="11" spans="1:15" ht="14.1" customHeight="1">
      <c r="A11" s="614" t="s">
        <v>953</v>
      </c>
      <c r="B11" s="630">
        <v>0.1</v>
      </c>
      <c r="I11" s="617" t="s">
        <v>954</v>
      </c>
      <c r="J11" s="617"/>
      <c r="K11" s="617"/>
      <c r="L11" s="617"/>
      <c r="M11" s="629">
        <f ca="1">_xlfn.SINGLE(INDEX(MO_VA_EV,0,_xlfn.SINGLE(_xlfn.XMATCH("FY"&amp;D34,MO_Common_ColumnHeader))))/D39</f>
        <v>8.3467230496195715</v>
      </c>
    </row>
    <row r="12" spans="1:15" ht="14.1" customHeight="1">
      <c r="A12" s="614" t="s">
        <v>955</v>
      </c>
      <c r="B12" s="631">
        <f>_xlfn.SINGLE(INDEX(MO_RIS_ShareCount_WAD_Adj,0,_xlfn.SINGLE(_xlfn.XMATCH("Q3-2019",MO_Common_ColumnHeader))))</f>
        <v>32.582999999999998</v>
      </c>
      <c r="C12" s="614" t="s">
        <v>956</v>
      </c>
      <c r="I12" s="617" t="s">
        <v>957</v>
      </c>
      <c r="J12" s="617"/>
      <c r="K12" s="617"/>
      <c r="L12" s="617"/>
      <c r="M12" s="629">
        <f ca="1">H142</f>
        <v>13.140328058665393</v>
      </c>
    </row>
    <row r="13" spans="1:15" ht="14.1" customHeight="1">
      <c r="A13" s="614" t="s">
        <v>958</v>
      </c>
      <c r="B13" s="632">
        <f ca="1">_xlfn.SINGLE(INDEX(MO_RIS_TaxRate_Current,0,_xlfn.SINGLE(_xlfn.XMATCH("FY"&amp;YEAR(B4),MO_Common_ColumnHeader))))</f>
        <v>4.6833710682467833E-2</v>
      </c>
      <c r="C13" s="614" t="s">
        <v>959</v>
      </c>
      <c r="I13" s="617"/>
      <c r="J13" s="617"/>
      <c r="K13" s="617"/>
      <c r="L13" s="617"/>
      <c r="M13" s="617"/>
    </row>
    <row r="14" spans="1:15" ht="14.1" customHeight="1">
      <c r="B14" s="633"/>
      <c r="I14" s="617" t="s">
        <v>960</v>
      </c>
      <c r="J14" s="617"/>
      <c r="K14" s="617"/>
      <c r="L14" s="634"/>
      <c r="M14" s="635">
        <v>0</v>
      </c>
    </row>
    <row r="15" spans="1:15" ht="14.1" customHeight="1">
      <c r="A15" s="614" t="s">
        <v>961</v>
      </c>
      <c r="B15" s="636">
        <f>(D36/B36)^0.5-1</f>
        <v>-0.10592272583793483</v>
      </c>
      <c r="C15" s="614" t="s">
        <v>962</v>
      </c>
      <c r="I15" s="617"/>
      <c r="J15" s="617"/>
      <c r="K15" s="637"/>
      <c r="L15" s="637"/>
      <c r="M15" s="637"/>
    </row>
    <row r="16" spans="1:15" ht="14.1" customHeight="1">
      <c r="A16" s="614" t="s">
        <v>963</v>
      </c>
      <c r="B16" s="638">
        <v>7.9000000000000001E-2</v>
      </c>
      <c r="C16" s="614" t="s">
        <v>964</v>
      </c>
      <c r="I16" s="639" t="s">
        <v>965</v>
      </c>
      <c r="J16" s="617"/>
      <c r="K16" s="637"/>
      <c r="L16" s="637"/>
      <c r="M16" s="617"/>
    </row>
    <row r="17" spans="1:29" ht="14.1" customHeight="1">
      <c r="B17" s="633"/>
      <c r="I17" s="640" t="s">
        <v>966</v>
      </c>
      <c r="J17" s="617"/>
      <c r="K17" s="637"/>
      <c r="L17" s="641">
        <f ca="1">M6*(1+M14)</f>
        <v>15.237386861462825</v>
      </c>
      <c r="M17" s="617"/>
    </row>
    <row r="18" spans="1:29" ht="14.1" customHeight="1">
      <c r="A18" s="614" t="s">
        <v>967</v>
      </c>
      <c r="B18" s="642">
        <f>(C39-_xlfn.SINGLE(INDEX(MO_MA_EBITDA,0,_xlfn.SINGLE(_xlfn.XMATCH("FY"&amp;(C34-5),MO_Common_ColumnHeader)))))/(C36-_xlfn.SINGLE(INDEX(MO_GA_TotalRevenue,0,_xlfn.SINGLE(_xlfn.XMATCH("FY"&amp;(C34-5),MO_Common_ColumnHeader)))))</f>
        <v>5.1968632198284792E-2</v>
      </c>
      <c r="C18" s="614" t="s">
        <v>968</v>
      </c>
      <c r="I18" s="640" t="s">
        <v>969</v>
      </c>
      <c r="J18" s="617"/>
      <c r="K18" s="637"/>
      <c r="L18" s="643">
        <f ca="1">((L17*B12)+_xlfn.SINGLE(INDEX(MO_BSS_Debt_Net,0,_xlfn.SINGLE(_xlfn.XMATCH(B8,MO_Common_ColumnHeader)))))/D39</f>
        <v>13.183796062642642</v>
      </c>
      <c r="M18" s="617"/>
    </row>
    <row r="19" spans="1:29" ht="14.1" customHeight="1">
      <c r="A19" s="614" t="s">
        <v>970</v>
      </c>
      <c r="B19" s="644">
        <f>(D39-C39)/(D36-C36)</f>
        <v>0.29559439456937825</v>
      </c>
      <c r="C19" s="614" t="s">
        <v>307</v>
      </c>
      <c r="I19" s="640" t="s">
        <v>971</v>
      </c>
      <c r="J19" s="617"/>
      <c r="K19" s="617"/>
      <c r="L19" s="643">
        <f ca="1">((L17*B12)+_xlfn.SINGLE(INDEX(MO_BSS_Debt_Net,0,_xlfn.SINGLE(_xlfn.XMATCH(B9,MO_Common_ColumnHeader)))))/E39</f>
        <v>7.3321191638479988</v>
      </c>
      <c r="M19" s="617"/>
    </row>
    <row r="20" spans="1:29" ht="14.1" customHeight="1">
      <c r="A20" s="614" t="s">
        <v>972</v>
      </c>
      <c r="B20" s="638">
        <f>B19</f>
        <v>0.29559439456937825</v>
      </c>
      <c r="C20" s="614" t="s">
        <v>973</v>
      </c>
    </row>
    <row r="22" spans="1:29" ht="14.1" customHeight="1">
      <c r="A22" s="614" t="s">
        <v>974</v>
      </c>
      <c r="B22" s="645">
        <f>H124</f>
        <v>4.305432980554507E-2</v>
      </c>
      <c r="C22" s="614" t="s">
        <v>975</v>
      </c>
    </row>
    <row r="23" spans="1:29" ht="14.1" customHeight="1">
      <c r="A23" s="614" t="s">
        <v>976</v>
      </c>
      <c r="B23" s="645">
        <f>H135+H138</f>
        <v>4.008585372045498E-3</v>
      </c>
      <c r="C23" s="614" t="s">
        <v>975</v>
      </c>
    </row>
    <row r="24" spans="1:29" ht="14.1" customHeight="1">
      <c r="A24" s="614" t="s">
        <v>977</v>
      </c>
      <c r="B24" s="646">
        <f>IFERROR(_xlfn.SINGLE(INDEX(MO_RIS_IE,0,_xlfn.SINGLE(_xlfn.XMATCH(B8,MO_Common_ColumnHeader))))/_xlfn.SINGLE(INDEX(MO_BSS_Debt,0,_xlfn.SINGLE(_xlfn.XMATCH(B8,MO_Common_ColumnHeader)))),0)</f>
        <v>3.2626020061203673E-2</v>
      </c>
      <c r="C24" s="614" t="s">
        <v>978</v>
      </c>
      <c r="P24" s="627"/>
      <c r="Q24" s="627"/>
      <c r="R24" s="627"/>
      <c r="S24" s="627"/>
      <c r="T24" s="627"/>
      <c r="U24" s="627"/>
      <c r="V24" s="627"/>
      <c r="W24" s="627"/>
      <c r="X24" s="627"/>
      <c r="Y24" s="627"/>
      <c r="Z24" s="627"/>
      <c r="AA24" s="627"/>
      <c r="AB24" s="627"/>
      <c r="AC24" s="627"/>
    </row>
    <row r="25" spans="1:29" ht="14.1" customHeight="1">
      <c r="A25" s="614" t="s">
        <v>979</v>
      </c>
      <c r="B25" s="645">
        <f>H131</f>
        <v>0.13809984563786418</v>
      </c>
      <c r="C25" s="614" t="s">
        <v>975</v>
      </c>
      <c r="J25" s="647"/>
      <c r="P25" s="627"/>
      <c r="Q25" s="627"/>
      <c r="R25" s="627"/>
      <c r="S25" s="627"/>
      <c r="T25" s="627"/>
      <c r="U25" s="627"/>
      <c r="V25" s="627"/>
      <c r="W25" s="627"/>
      <c r="X25" s="627"/>
      <c r="Y25" s="627"/>
      <c r="Z25" s="627"/>
      <c r="AA25" s="627"/>
      <c r="AB25" s="627"/>
      <c r="AC25" s="627"/>
    </row>
    <row r="26" spans="1:29" ht="14.1" customHeight="1">
      <c r="A26" s="614" t="s">
        <v>980</v>
      </c>
      <c r="B26" s="645">
        <f>-H127</f>
        <v>2.0452574583747211E-2</v>
      </c>
      <c r="C26" s="614" t="s">
        <v>975</v>
      </c>
      <c r="O26" s="614" t="s">
        <v>981</v>
      </c>
      <c r="P26" s="627"/>
      <c r="Q26" s="627"/>
      <c r="R26" s="627"/>
      <c r="S26" s="627"/>
      <c r="T26" s="627"/>
      <c r="U26" s="627"/>
      <c r="V26" s="627"/>
      <c r="W26" s="627"/>
      <c r="X26" s="627"/>
      <c r="Y26" s="627"/>
      <c r="Z26" s="627"/>
      <c r="AA26" s="627"/>
      <c r="AB26" s="627"/>
      <c r="AC26" s="627"/>
    </row>
    <row r="27" spans="1:29" ht="14.1" customHeight="1">
      <c r="A27" s="614" t="s">
        <v>982</v>
      </c>
      <c r="B27" s="638">
        <v>1.4999999999999999E-2</v>
      </c>
      <c r="C27" s="614" t="s">
        <v>983</v>
      </c>
      <c r="G27" s="648"/>
      <c r="O27" s="649" t="s">
        <v>984</v>
      </c>
      <c r="P27" s="649">
        <v>2</v>
      </c>
      <c r="Q27" s="650"/>
      <c r="R27" s="649" t="s">
        <v>985</v>
      </c>
      <c r="S27" s="649"/>
      <c r="T27" s="627"/>
      <c r="U27" s="627"/>
      <c r="V27" s="627"/>
      <c r="W27" s="627"/>
      <c r="X27" s="627"/>
      <c r="Y27" s="627"/>
      <c r="Z27" s="627"/>
      <c r="AA27" s="627"/>
      <c r="AB27" s="627"/>
      <c r="AC27" s="627"/>
    </row>
    <row r="28" spans="1:29" ht="14.1" customHeight="1">
      <c r="A28" s="614" t="s">
        <v>986</v>
      </c>
      <c r="B28" s="638">
        <v>2.9000000000000001E-2</v>
      </c>
      <c r="C28" s="614" t="s">
        <v>987</v>
      </c>
      <c r="O28" s="649" t="s">
        <v>988</v>
      </c>
      <c r="P28" s="650">
        <v>1</v>
      </c>
      <c r="Q28" s="650"/>
      <c r="R28" s="649" t="s">
        <v>989</v>
      </c>
      <c r="S28" s="649"/>
      <c r="T28" s="627"/>
      <c r="U28" s="627"/>
      <c r="V28" s="627"/>
      <c r="W28" s="627"/>
      <c r="X28" s="627"/>
      <c r="Y28" s="627"/>
      <c r="Z28" s="627"/>
      <c r="AA28" s="627"/>
      <c r="AB28" s="627"/>
      <c r="AC28" s="627"/>
    </row>
    <row r="29" spans="1:29" ht="14.1" customHeight="1">
      <c r="B29"/>
      <c r="P29" s="627"/>
      <c r="Q29" s="627"/>
      <c r="R29" s="627"/>
      <c r="S29" s="627"/>
      <c r="T29" s="627"/>
      <c r="U29" s="627"/>
      <c r="V29" s="627"/>
      <c r="W29" s="627"/>
      <c r="X29" s="627"/>
      <c r="Y29" s="627"/>
      <c r="Z29" s="627"/>
      <c r="AA29" s="627"/>
      <c r="AB29" s="627"/>
      <c r="AC29" s="627"/>
    </row>
    <row r="30" spans="1:29" ht="14.1" customHeight="1">
      <c r="A30" s="614" t="s">
        <v>990</v>
      </c>
      <c r="B30" s="651">
        <v>0</v>
      </c>
      <c r="C30" s="614" t="s">
        <v>991</v>
      </c>
      <c r="D30" s="614" t="s">
        <v>992</v>
      </c>
      <c r="P30" s="627"/>
      <c r="Q30" s="627"/>
      <c r="R30" s="627"/>
      <c r="S30" s="627"/>
      <c r="T30" s="627"/>
      <c r="U30" s="627"/>
      <c r="V30" s="627"/>
      <c r="W30" s="627"/>
      <c r="X30" s="627"/>
      <c r="Y30" s="627"/>
      <c r="Z30" s="627"/>
      <c r="AA30" s="627"/>
      <c r="AB30" s="627"/>
      <c r="AC30" s="627"/>
    </row>
    <row r="31" spans="1:29" ht="14.1" customHeight="1">
      <c r="B31"/>
      <c r="P31" s="627"/>
      <c r="Q31" s="627"/>
      <c r="R31" s="627"/>
      <c r="S31" s="627"/>
      <c r="T31" s="627"/>
      <c r="U31" s="627"/>
      <c r="V31" s="627"/>
      <c r="W31" s="627"/>
      <c r="X31" s="627"/>
      <c r="Y31" s="627"/>
      <c r="Z31" s="627"/>
      <c r="AA31" s="627"/>
      <c r="AB31" s="627"/>
      <c r="AC31" s="627"/>
    </row>
    <row r="32" spans="1:29" ht="14.1" customHeight="1">
      <c r="B32" s="652"/>
      <c r="P32" s="627"/>
      <c r="Q32" s="627"/>
      <c r="R32" s="627"/>
      <c r="S32" s="627"/>
      <c r="T32" s="627"/>
      <c r="U32" s="627"/>
      <c r="V32" s="627"/>
      <c r="W32" s="627"/>
      <c r="X32" s="627"/>
      <c r="Y32" s="627"/>
      <c r="Z32" s="627"/>
      <c r="AA32" s="627"/>
      <c r="AB32" s="627"/>
      <c r="AC32" s="627"/>
    </row>
    <row r="33" spans="1:29" ht="14.1" customHeight="1">
      <c r="A33" s="614" t="s">
        <v>993</v>
      </c>
      <c r="C33" s="653">
        <v>0.25</v>
      </c>
      <c r="D33" s="654">
        <f t="shared" ref="D33:M33" si="0">C33+1</f>
        <v>1.25</v>
      </c>
      <c r="E33" s="654">
        <f t="shared" si="0"/>
        <v>2.25</v>
      </c>
      <c r="F33" s="654">
        <f t="shared" si="0"/>
        <v>3.25</v>
      </c>
      <c r="G33" s="654">
        <f t="shared" si="0"/>
        <v>4.25</v>
      </c>
      <c r="H33" s="654">
        <f t="shared" si="0"/>
        <v>5.25</v>
      </c>
      <c r="I33" s="654">
        <f t="shared" si="0"/>
        <v>6.25</v>
      </c>
      <c r="J33" s="654">
        <f t="shared" si="0"/>
        <v>7.25</v>
      </c>
      <c r="K33" s="654">
        <f t="shared" si="0"/>
        <v>8.25</v>
      </c>
      <c r="L33" s="654">
        <f t="shared" si="0"/>
        <v>9.25</v>
      </c>
      <c r="M33" s="654">
        <f t="shared" si="0"/>
        <v>10.25</v>
      </c>
      <c r="O33" s="614" t="s">
        <v>994</v>
      </c>
      <c r="P33" s="627"/>
      <c r="Q33" s="627"/>
      <c r="R33" s="627"/>
      <c r="S33" s="627"/>
      <c r="T33" s="627"/>
      <c r="U33" s="627"/>
      <c r="V33" s="627"/>
      <c r="W33" s="627"/>
      <c r="X33" s="627"/>
      <c r="Y33" s="627"/>
      <c r="Z33" s="627"/>
      <c r="AA33" s="627"/>
      <c r="AB33" s="627"/>
      <c r="AC33" s="627"/>
    </row>
    <row r="34" spans="1:29" ht="14.1" customHeight="1" thickBot="1">
      <c r="A34" s="655"/>
      <c r="B34" s="656">
        <v>2019</v>
      </c>
      <c r="C34" s="656">
        <f t="shared" ref="C34:M34" si="1">+B34+1</f>
        <v>2020</v>
      </c>
      <c r="D34" s="656">
        <f t="shared" si="1"/>
        <v>2021</v>
      </c>
      <c r="E34" s="656">
        <f t="shared" si="1"/>
        <v>2022</v>
      </c>
      <c r="F34" s="656">
        <f t="shared" si="1"/>
        <v>2023</v>
      </c>
      <c r="G34" s="656">
        <f t="shared" si="1"/>
        <v>2024</v>
      </c>
      <c r="H34" s="657">
        <f t="shared" si="1"/>
        <v>2025</v>
      </c>
      <c r="I34" s="656">
        <f t="shared" si="1"/>
        <v>2026</v>
      </c>
      <c r="J34" s="656">
        <f t="shared" si="1"/>
        <v>2027</v>
      </c>
      <c r="K34" s="656">
        <f t="shared" si="1"/>
        <v>2028</v>
      </c>
      <c r="L34" s="656">
        <f t="shared" si="1"/>
        <v>2029</v>
      </c>
      <c r="M34" s="656">
        <f t="shared" si="1"/>
        <v>2030</v>
      </c>
      <c r="O34" s="658">
        <v>2020</v>
      </c>
      <c r="P34" s="658">
        <f>E34</f>
        <v>2022</v>
      </c>
      <c r="Q34" s="658">
        <f>F34</f>
        <v>2023</v>
      </c>
      <c r="R34" s="658">
        <f>G34</f>
        <v>2024</v>
      </c>
      <c r="S34" s="658">
        <f>H34</f>
        <v>2025</v>
      </c>
      <c r="T34" s="658">
        <f>I34</f>
        <v>2026</v>
      </c>
    </row>
    <row r="35" spans="1:29" ht="14.1" customHeight="1">
      <c r="A35" s="659" t="s">
        <v>995</v>
      </c>
      <c r="H35" s="660"/>
      <c r="O35" s="650"/>
      <c r="P35" s="650"/>
      <c r="Q35" s="650"/>
      <c r="R35" s="650"/>
      <c r="S35" s="650"/>
      <c r="T35" s="650"/>
    </row>
    <row r="36" spans="1:29" ht="14.1" customHeight="1">
      <c r="A36" s="648" t="s">
        <v>996</v>
      </c>
      <c r="B36" s="661">
        <f>'Main Writeup'!F285</f>
        <v>772.70899999999983</v>
      </c>
      <c r="C36" s="662">
        <f t="shared" ref="C36:H36" si="2">_xlfn.SINGLE(IF($B$30=1,INDEX(MO_RIS_REV,0,_xlfn.SINGLE(_xlfn.XMATCH("FY"&amp;C$34,MO_Common_ColumnHeader))),O36))</f>
        <v>538.98372365711271</v>
      </c>
      <c r="D36" s="662">
        <f t="shared" si="2"/>
        <v>617.68361720567964</v>
      </c>
      <c r="E36" s="662">
        <f t="shared" si="2"/>
        <v>663.59425358393037</v>
      </c>
      <c r="F36" s="662">
        <f t="shared" si="2"/>
        <v>718.03015319445012</v>
      </c>
      <c r="G36" s="662">
        <f t="shared" si="2"/>
        <v>772.32725548259725</v>
      </c>
      <c r="H36" s="662">
        <f t="shared" si="2"/>
        <v>828.80073229846198</v>
      </c>
      <c r="I36" s="663">
        <f>H36*(1+I37)</f>
        <v>852.83595353511726</v>
      </c>
      <c r="J36" s="664">
        <f>I36*(1+J37)</f>
        <v>877.56819618763564</v>
      </c>
      <c r="K36" s="664">
        <f>J36*(1+K37)</f>
        <v>903.01767387707696</v>
      </c>
      <c r="L36" s="664">
        <f>K36*(1+L37)</f>
        <v>929.20518641951207</v>
      </c>
      <c r="M36" s="664">
        <f>L36*(1+M37)</f>
        <v>956.15213682567787</v>
      </c>
      <c r="N36"/>
      <c r="O36" s="665">
        <f>'Main Writeup'!G285</f>
        <v>538.98372365711271</v>
      </c>
      <c r="P36" s="665">
        <f>'Main Writeup'!H285</f>
        <v>617.68361720567964</v>
      </c>
      <c r="Q36" s="665">
        <f>'Main Writeup'!I285</f>
        <v>663.59425358393037</v>
      </c>
      <c r="R36" s="665">
        <f>'Main Writeup'!J285</f>
        <v>718.03015319445012</v>
      </c>
      <c r="S36" s="665">
        <f>'Main Writeup'!K285</f>
        <v>772.32725548259725</v>
      </c>
      <c r="T36" s="665">
        <f>'Main Writeup'!L285</f>
        <v>828.80073229846198</v>
      </c>
    </row>
    <row r="37" spans="1:29" s="666" customFormat="1" ht="14.1" customHeight="1">
      <c r="A37" s="667" t="s">
        <v>997</v>
      </c>
      <c r="B37" s="668"/>
      <c r="C37" s="669">
        <f t="shared" ref="C37:H37" si="3">C36/B36-1</f>
        <v>-0.30247515732686847</v>
      </c>
      <c r="D37" s="669">
        <f t="shared" si="3"/>
        <v>0.14601534349603806</v>
      </c>
      <c r="E37" s="669">
        <f t="shared" si="3"/>
        <v>7.4327107113419055E-2</v>
      </c>
      <c r="F37" s="669">
        <f t="shared" si="3"/>
        <v>8.2031903254922822E-2</v>
      </c>
      <c r="G37" s="669">
        <f t="shared" si="3"/>
        <v>7.5619529411939501E-2</v>
      </c>
      <c r="H37" s="669">
        <f t="shared" si="3"/>
        <v>7.3121175531448257E-2</v>
      </c>
      <c r="I37" s="670">
        <f>$B$28</f>
        <v>2.9000000000000001E-2</v>
      </c>
      <c r="J37" s="669">
        <f>$B$28</f>
        <v>2.9000000000000001E-2</v>
      </c>
      <c r="K37" s="669">
        <f>$B$28</f>
        <v>2.9000000000000001E-2</v>
      </c>
      <c r="L37" s="669">
        <f>$B$28</f>
        <v>2.9000000000000001E-2</v>
      </c>
      <c r="M37" s="669">
        <f>$B$28</f>
        <v>2.9000000000000001E-2</v>
      </c>
      <c r="O37" s="671"/>
      <c r="P37" s="671"/>
      <c r="Q37" s="671"/>
      <c r="R37" s="671"/>
      <c r="S37" s="671"/>
      <c r="T37" s="671"/>
    </row>
    <row r="38" spans="1:29" s="666" customFormat="1" ht="14.1" customHeight="1">
      <c r="A38" s="667"/>
      <c r="B38" s="668"/>
      <c r="C38" s="669"/>
      <c r="D38" s="669"/>
      <c r="E38" s="669"/>
      <c r="F38" s="669"/>
      <c r="G38" s="669"/>
      <c r="H38" s="672"/>
      <c r="I38" s="669"/>
      <c r="J38" s="669"/>
      <c r="K38" s="669"/>
      <c r="L38" s="669"/>
      <c r="M38" s="669"/>
      <c r="O38" s="671"/>
      <c r="P38" s="671"/>
      <c r="Q38" s="671"/>
      <c r="R38" s="671"/>
      <c r="S38" s="671"/>
      <c r="T38" s="671"/>
    </row>
    <row r="39" spans="1:29" ht="14.1" customHeight="1">
      <c r="A39" s="648" t="s">
        <v>11</v>
      </c>
      <c r="B39" s="662">
        <f>'Main Writeup'!F309</f>
        <v>88.935000000000016</v>
      </c>
      <c r="C39" s="662">
        <f t="shared" ref="C39:H39" si="4">_xlfn.SINGLE(IF($B$30=1,INDEX(MO_RIS_EBITDA,0,_xlfn.SINGLE(_xlfn.XMATCH("FY"&amp;C$34,MO_Common_ColumnHeader))),O39))</f>
        <v>28.190353146176221</v>
      </c>
      <c r="D39" s="662">
        <f t="shared" si="4"/>
        <v>51.453600532339379</v>
      </c>
      <c r="E39" s="662">
        <f t="shared" si="4"/>
        <v>67.712998795082825</v>
      </c>
      <c r="F39" s="662">
        <f t="shared" si="4"/>
        <v>61.457587310282641</v>
      </c>
      <c r="G39" s="662">
        <f t="shared" si="4"/>
        <v>74.668412366608592</v>
      </c>
      <c r="H39" s="662">
        <f t="shared" si="4"/>
        <v>88.639251090254362</v>
      </c>
      <c r="I39" s="663">
        <f>H39/H36*I36</f>
        <v>91.209789371871722</v>
      </c>
      <c r="J39" s="664">
        <f>I39/I36*J36</f>
        <v>93.854873263656003</v>
      </c>
      <c r="K39" s="664">
        <f>J39/J36*K36</f>
        <v>96.576664588302009</v>
      </c>
      <c r="L39" s="664">
        <f>K39/K36*L36</f>
        <v>99.377387861362763</v>
      </c>
      <c r="M39" s="664">
        <f>L39/L36*M36</f>
        <v>102.25933210934228</v>
      </c>
      <c r="N39" s="666"/>
      <c r="O39" s="673">
        <f>'Main Writeup'!G309</f>
        <v>28.190353146176221</v>
      </c>
      <c r="P39" s="673">
        <f>'Main Writeup'!H309</f>
        <v>51.453600532339379</v>
      </c>
      <c r="Q39" s="673">
        <f>'Main Writeup'!I309</f>
        <v>67.712998795082825</v>
      </c>
      <c r="R39" s="673">
        <f>'Main Writeup'!J309</f>
        <v>61.457587310282641</v>
      </c>
      <c r="S39" s="673">
        <f>'Main Writeup'!K309</f>
        <v>74.668412366608592</v>
      </c>
      <c r="T39" s="673">
        <f>'Main Writeup'!L309</f>
        <v>88.639251090254362</v>
      </c>
    </row>
    <row r="40" spans="1:29" s="666" customFormat="1" ht="14.1" customHeight="1">
      <c r="A40" s="667" t="s">
        <v>998</v>
      </c>
      <c r="B40" s="669">
        <f t="shared" ref="B40:M40" si="5">B39/B36</f>
        <v>0.11509507460117591</v>
      </c>
      <c r="C40" s="669">
        <f t="shared" si="5"/>
        <v>5.2302791176881962E-2</v>
      </c>
      <c r="D40" s="669">
        <f t="shared" si="5"/>
        <v>8.3300898872967974E-2</v>
      </c>
      <c r="E40" s="669">
        <f t="shared" si="5"/>
        <v>0.1020397606359299</v>
      </c>
      <c r="F40" s="669">
        <f t="shared" si="5"/>
        <v>8.5591930975131736E-2</v>
      </c>
      <c r="G40" s="669">
        <f t="shared" si="5"/>
        <v>9.6679758271577779E-2</v>
      </c>
      <c r="H40" s="669">
        <f t="shared" si="5"/>
        <v>0.10694880884629118</v>
      </c>
      <c r="I40" s="670">
        <f t="shared" si="5"/>
        <v>0.10694880884629118</v>
      </c>
      <c r="J40" s="669">
        <f t="shared" si="5"/>
        <v>0.10694880884629118</v>
      </c>
      <c r="K40" s="669">
        <f t="shared" si="5"/>
        <v>0.10694880884629118</v>
      </c>
      <c r="L40" s="669">
        <f t="shared" si="5"/>
        <v>0.10694880884629118</v>
      </c>
      <c r="M40" s="669">
        <f t="shared" si="5"/>
        <v>0.1069488088462912</v>
      </c>
    </row>
    <row r="41" spans="1:29" s="666" customFormat="1" ht="14.1" customHeight="1">
      <c r="A41" s="667"/>
      <c r="B41" s="674"/>
      <c r="C41" s="674"/>
      <c r="D41" s="674"/>
      <c r="E41" s="674"/>
      <c r="F41" s="674"/>
      <c r="G41" s="674"/>
      <c r="H41" s="675"/>
      <c r="I41" s="674"/>
      <c r="J41" s="674"/>
      <c r="K41" s="674"/>
      <c r="L41" s="674"/>
      <c r="M41" s="674"/>
    </row>
    <row r="42" spans="1:29" s="666" customFormat="1" ht="14.1" customHeight="1">
      <c r="A42" s="667" t="s">
        <v>37</v>
      </c>
      <c r="B42" s="664">
        <f>_xlfn.SINGLE(INDEX(MO_RIS_DA,0,_xlfn.SINGLE(_xlfn.XMATCH("FY"&amp;B$34,MO_Common_ColumnHeader))))</f>
        <v>33.048999999999999</v>
      </c>
      <c r="C42" s="664">
        <f>_xlfn.SINGLE(INDEX(MO_RIS_DA,0,_xlfn.SINGLE(_xlfn.XMATCH("FY"&amp;C$34,MO_Common_ColumnHeader))))</f>
        <v>33.052</v>
      </c>
      <c r="D42" s="664">
        <v>3.2986798344000006</v>
      </c>
      <c r="E42" s="664">
        <v>3.4263938146857158</v>
      </c>
      <c r="F42" s="664">
        <v>3.8668303919620977</v>
      </c>
      <c r="G42" s="664">
        <v>4.3185441968234386</v>
      </c>
      <c r="H42" s="664">
        <v>4.7546502187305064</v>
      </c>
      <c r="I42" s="663"/>
      <c r="J42" s="664"/>
      <c r="K42" s="664"/>
      <c r="L42" s="664"/>
      <c r="M42" s="664"/>
    </row>
    <row r="43" spans="1:29" s="666" customFormat="1" ht="14.1" customHeight="1">
      <c r="A43" s="667" t="s">
        <v>999</v>
      </c>
      <c r="B43" s="996">
        <f>+B42/B36</f>
        <v>4.2770305509577354E-2</v>
      </c>
      <c r="C43" s="674">
        <f t="shared" ref="C43:H43" si="6">$B$22</f>
        <v>4.305432980554507E-2</v>
      </c>
      <c r="D43" s="674">
        <f t="shared" si="6"/>
        <v>4.305432980554507E-2</v>
      </c>
      <c r="E43" s="674">
        <f t="shared" si="6"/>
        <v>4.305432980554507E-2</v>
      </c>
      <c r="F43" s="674">
        <f t="shared" si="6"/>
        <v>4.305432980554507E-2</v>
      </c>
      <c r="G43" s="674">
        <f t="shared" si="6"/>
        <v>4.305432980554507E-2</v>
      </c>
      <c r="H43" s="674">
        <f t="shared" si="6"/>
        <v>4.305432980554507E-2</v>
      </c>
      <c r="I43" s="677"/>
      <c r="J43" s="674"/>
      <c r="K43" s="674"/>
      <c r="L43" s="674"/>
      <c r="M43" s="674"/>
    </row>
    <row r="44" spans="1:29" s="666" customFormat="1" ht="14.1" customHeight="1">
      <c r="A44" s="667" t="s">
        <v>1000</v>
      </c>
      <c r="B44" s="678">
        <f t="shared" ref="B44:H44" si="7">$B$23*B36</f>
        <v>3.0974699942479038</v>
      </c>
      <c r="C44" s="678">
        <f t="shared" si="7"/>
        <v>2.1605622704225151</v>
      </c>
      <c r="D44" s="678">
        <f t="shared" si="7"/>
        <v>2.4760375124828382</v>
      </c>
      <c r="E44" s="678">
        <f t="shared" si="7"/>
        <v>2.6600742178899939</v>
      </c>
      <c r="F44" s="678">
        <f t="shared" si="7"/>
        <v>2.8782851687828606</v>
      </c>
      <c r="G44" s="678">
        <f t="shared" si="7"/>
        <v>3.0959397387595855</v>
      </c>
      <c r="H44" s="678">
        <f t="shared" si="7"/>
        <v>3.3223184918322115</v>
      </c>
      <c r="I44" s="677"/>
      <c r="J44" s="674"/>
      <c r="K44" s="674"/>
      <c r="L44" s="674"/>
      <c r="M44" s="674"/>
    </row>
    <row r="45" spans="1:29" s="666" customFormat="1" ht="14.1" customHeight="1">
      <c r="I45" s="677"/>
      <c r="J45" s="674"/>
      <c r="K45" s="674"/>
      <c r="L45" s="674"/>
      <c r="M45" s="674"/>
    </row>
    <row r="46" spans="1:29" s="666" customFormat="1" ht="14.1" customHeight="1">
      <c r="A46" s="648" t="s">
        <v>114</v>
      </c>
      <c r="B46" s="733">
        <f t="shared" ref="B46:H46" si="8">B39-B42-B44</f>
        <v>52.788530005752115</v>
      </c>
      <c r="C46" s="733">
        <f t="shared" si="8"/>
        <v>-7.0222091242462934</v>
      </c>
      <c r="D46" s="733">
        <f t="shared" si="8"/>
        <v>45.678883185456542</v>
      </c>
      <c r="E46" s="733">
        <f t="shared" si="8"/>
        <v>61.626530762507123</v>
      </c>
      <c r="F46" s="733">
        <f t="shared" si="8"/>
        <v>54.712471749537684</v>
      </c>
      <c r="G46" s="733">
        <f t="shared" si="8"/>
        <v>67.253928431025571</v>
      </c>
      <c r="H46" s="997">
        <f t="shared" si="8"/>
        <v>80.562282379691652</v>
      </c>
      <c r="I46" s="677"/>
      <c r="J46" s="674"/>
      <c r="K46" s="674"/>
      <c r="L46" s="674"/>
      <c r="M46" s="674"/>
    </row>
    <row r="47" spans="1:29" s="666" customFormat="1" ht="14.1" customHeight="1">
      <c r="A47" s="667" t="s">
        <v>998</v>
      </c>
      <c r="B47" s="676">
        <f t="shared" ref="B47:H47" si="9">B46/B36</f>
        <v>6.8316183719553059E-2</v>
      </c>
      <c r="C47" s="676">
        <f t="shared" si="9"/>
        <v>-1.3028610727981163E-2</v>
      </c>
      <c r="D47" s="676">
        <f t="shared" si="9"/>
        <v>7.395190986625462E-2</v>
      </c>
      <c r="E47" s="676">
        <f t="shared" si="9"/>
        <v>9.2867788456086592E-2</v>
      </c>
      <c r="F47" s="676">
        <f t="shared" si="9"/>
        <v>7.6198014116993451E-2</v>
      </c>
      <c r="G47" s="676">
        <f t="shared" si="9"/>
        <v>8.7079574045332911E-2</v>
      </c>
      <c r="H47" s="676">
        <f t="shared" si="9"/>
        <v>9.7203440151739776E-2</v>
      </c>
      <c r="I47" s="677"/>
      <c r="J47" s="674"/>
      <c r="K47" s="674"/>
      <c r="L47" s="674"/>
      <c r="M47" s="674"/>
    </row>
    <row r="48" spans="1:29" s="666" customFormat="1" ht="14.1" customHeight="1">
      <c r="I48" s="677"/>
      <c r="J48" s="674"/>
      <c r="K48" s="674"/>
      <c r="L48" s="674"/>
      <c r="M48" s="674"/>
      <c r="O48" s="666" t="s">
        <v>1001</v>
      </c>
    </row>
    <row r="49" spans="1:19" ht="14.1" customHeight="1">
      <c r="A49" s="648" t="s">
        <v>1002</v>
      </c>
      <c r="B49" s="679"/>
      <c r="C49" s="678">
        <f>IF(C61&gt;0,C61*IF($B$30=1,$B$24,B24),0)</f>
        <v>7.2873478408704528</v>
      </c>
      <c r="D49" s="678">
        <f>IF(C68&gt;0,C68*IF(OR($B$30=1,O49=0),$B$24,O49),0)</f>
        <v>5.9338247726113567</v>
      </c>
      <c r="E49" s="678">
        <f ca="1">IF(D68&gt;0,D68*IF(OR($B$30=1,P49=0),$B$24,P49),0)</f>
        <v>5.2761917503215274</v>
      </c>
      <c r="F49" s="678">
        <f ca="1">IF(E68&gt;0,E68*IF(OR($B$30=1,Q49=0),$B$24,Q49),0)</f>
        <v>3.9748948225375065</v>
      </c>
      <c r="G49" s="678">
        <f ca="1">IF(F68&gt;0,F68*IF(OR($B$30=1,R49=0),$B$24,R49),0)</f>
        <v>2.9013908064735103</v>
      </c>
      <c r="H49" s="678">
        <f ca="1">IF(G68&gt;0,G68*IF(OR($B$30=1,S49=0),$B$24,S49),0)</f>
        <v>1.4182559407623436</v>
      </c>
      <c r="I49" s="680"/>
      <c r="J49" s="679"/>
      <c r="K49" s="679"/>
      <c r="L49" s="679"/>
      <c r="M49" s="679"/>
      <c r="O49" s="681">
        <v>0</v>
      </c>
      <c r="P49" s="681">
        <v>0</v>
      </c>
      <c r="Q49" s="681">
        <v>0</v>
      </c>
      <c r="R49" s="681">
        <v>0</v>
      </c>
      <c r="S49" s="681">
        <v>0</v>
      </c>
    </row>
    <row r="50" spans="1:19" ht="14.1" customHeight="1">
      <c r="A50" s="648" t="s">
        <v>1003</v>
      </c>
      <c r="B50" s="679"/>
      <c r="C50" s="678">
        <f t="shared" ref="C50:H50" si="10">C46-C49</f>
        <v>-14.309556965116746</v>
      </c>
      <c r="D50" s="678">
        <f t="shared" si="10"/>
        <v>39.745058412845182</v>
      </c>
      <c r="E50" s="678">
        <f t="shared" ca="1" si="10"/>
        <v>56.350339012185593</v>
      </c>
      <c r="F50" s="678">
        <f t="shared" ca="1" si="10"/>
        <v>50.737576927000177</v>
      </c>
      <c r="G50" s="682">
        <f t="shared" ca="1" si="10"/>
        <v>64.352537624552056</v>
      </c>
      <c r="H50" s="682">
        <f t="shared" ca="1" si="10"/>
        <v>79.144026438929302</v>
      </c>
      <c r="I50" s="680"/>
      <c r="J50" s="679"/>
      <c r="K50" s="679"/>
      <c r="L50" s="679"/>
      <c r="M50" s="679"/>
    </row>
    <row r="51" spans="1:19" ht="14.1" customHeight="1">
      <c r="A51" s="648" t="s">
        <v>1004</v>
      </c>
      <c r="B51" s="679"/>
      <c r="C51" s="678">
        <f t="shared" ref="C51:H51" ca="1" si="11">C50*$B$13</f>
        <v>-0.67016965089857017</v>
      </c>
      <c r="D51" s="678">
        <f t="shared" ca="1" si="11"/>
        <v>1.8614085667649753</v>
      </c>
      <c r="E51" s="678">
        <f t="shared" ca="1" si="11"/>
        <v>2.6390954741556802</v>
      </c>
      <c r="F51" s="678">
        <f t="shared" ca="1" si="11"/>
        <v>2.3762289985285818</v>
      </c>
      <c r="G51" s="682">
        <f t="shared" ca="1" si="11"/>
        <v>3.0138681287908966</v>
      </c>
      <c r="H51" s="682">
        <f t="shared" ca="1" si="11"/>
        <v>3.7066084364864</v>
      </c>
      <c r="I51" s="680"/>
      <c r="J51" s="679"/>
      <c r="K51" s="679"/>
      <c r="L51" s="679"/>
      <c r="M51" s="679"/>
    </row>
    <row r="52" spans="1:19" s="683" customFormat="1" ht="14.1" customHeight="1">
      <c r="A52" s="684" t="s">
        <v>138</v>
      </c>
      <c r="B52" s="685"/>
      <c r="C52" s="686">
        <f t="shared" ref="C52:H52" ca="1" si="12">C50-C51</f>
        <v>-13.639387314218176</v>
      </c>
      <c r="D52" s="686">
        <f t="shared" ca="1" si="12"/>
        <v>37.883649846080203</v>
      </c>
      <c r="E52" s="686">
        <f t="shared" ca="1" si="12"/>
        <v>53.711243538029912</v>
      </c>
      <c r="F52" s="686">
        <f t="shared" ca="1" si="12"/>
        <v>48.361347928471595</v>
      </c>
      <c r="G52" s="686">
        <f t="shared" ca="1" si="12"/>
        <v>61.33866949576116</v>
      </c>
      <c r="H52" s="686">
        <f t="shared" ca="1" si="12"/>
        <v>75.437418002442897</v>
      </c>
      <c r="I52" s="687"/>
      <c r="J52" s="685"/>
      <c r="K52" s="685"/>
      <c r="L52" s="685"/>
      <c r="M52" s="685"/>
    </row>
    <row r="53" spans="1:19" s="683" customFormat="1" ht="14.1" customHeight="1">
      <c r="A53" s="648"/>
      <c r="B53" s="688"/>
      <c r="C53" s="688"/>
      <c r="D53" s="688"/>
      <c r="E53" s="688"/>
      <c r="F53" s="688"/>
      <c r="G53" s="688"/>
      <c r="H53" s="688"/>
      <c r="I53" s="689"/>
      <c r="J53" s="688"/>
      <c r="K53" s="688"/>
      <c r="L53" s="688"/>
      <c r="M53" s="688"/>
    </row>
    <row r="54" spans="1:19" s="683" customFormat="1" ht="14.1" customHeight="1">
      <c r="A54" s="648" t="s">
        <v>1005</v>
      </c>
      <c r="B54" s="688"/>
      <c r="C54" s="664">
        <f t="shared" ref="C54:M54" si="13">$B$27*C36</f>
        <v>8.0847558548566898</v>
      </c>
      <c r="D54" s="664">
        <f t="shared" si="13"/>
        <v>9.2652542580851946</v>
      </c>
      <c r="E54" s="664">
        <f t="shared" si="13"/>
        <v>9.9539138037589545</v>
      </c>
      <c r="F54" s="664">
        <f t="shared" si="13"/>
        <v>10.770452297916751</v>
      </c>
      <c r="G54" s="664">
        <f t="shared" si="13"/>
        <v>11.584908832238959</v>
      </c>
      <c r="H54" s="690">
        <f t="shared" si="13"/>
        <v>12.432010984476928</v>
      </c>
      <c r="I54" s="664">
        <f t="shared" si="13"/>
        <v>12.792539303026759</v>
      </c>
      <c r="J54" s="664">
        <f t="shared" si="13"/>
        <v>13.163522942814534</v>
      </c>
      <c r="K54" s="664">
        <f t="shared" si="13"/>
        <v>13.545265108156153</v>
      </c>
      <c r="L54" s="664">
        <f t="shared" si="13"/>
        <v>13.938077796292681</v>
      </c>
      <c r="M54" s="664">
        <f t="shared" si="13"/>
        <v>14.342282052385167</v>
      </c>
    </row>
    <row r="55" spans="1:19" s="683" customFormat="1" ht="14.1" customHeight="1">
      <c r="A55" s="691" t="s">
        <v>1006</v>
      </c>
      <c r="B55" s="688"/>
      <c r="C55" s="664">
        <f t="shared" ref="C55:M55" si="14">+C39-C54</f>
        <v>20.105597291319533</v>
      </c>
      <c r="D55" s="664">
        <f t="shared" si="14"/>
        <v>42.188346274254187</v>
      </c>
      <c r="E55" s="664">
        <f t="shared" si="14"/>
        <v>57.759084991323874</v>
      </c>
      <c r="F55" s="664">
        <f t="shared" si="14"/>
        <v>50.687135012365886</v>
      </c>
      <c r="G55" s="664">
        <f t="shared" si="14"/>
        <v>63.083503534369633</v>
      </c>
      <c r="H55" s="690">
        <f t="shared" si="14"/>
        <v>76.20724010577743</v>
      </c>
      <c r="I55" s="664">
        <f t="shared" si="14"/>
        <v>78.417250068844965</v>
      </c>
      <c r="J55" s="664">
        <f t="shared" si="14"/>
        <v>80.691350320841465</v>
      </c>
      <c r="K55" s="664">
        <f t="shared" si="14"/>
        <v>83.031399480145851</v>
      </c>
      <c r="L55" s="664">
        <f t="shared" si="14"/>
        <v>85.439310065070089</v>
      </c>
      <c r="M55" s="664">
        <f t="shared" si="14"/>
        <v>87.917050056957109</v>
      </c>
      <c r="O55" s="683" t="s">
        <v>1007</v>
      </c>
    </row>
    <row r="56" spans="1:19" s="683" customFormat="1" ht="14.1" customHeight="1">
      <c r="A56" s="691" t="s">
        <v>1008</v>
      </c>
      <c r="B56" s="688"/>
      <c r="C56" s="664">
        <f t="shared" ref="C56:H56" si="15">IF($B$30=1,0,N56)</f>
        <v>0</v>
      </c>
      <c r="D56" s="664">
        <f t="shared" si="15"/>
        <v>0</v>
      </c>
      <c r="E56" s="664">
        <f t="shared" si="15"/>
        <v>0</v>
      </c>
      <c r="F56" s="664">
        <f t="shared" si="15"/>
        <v>0</v>
      </c>
      <c r="G56" s="664">
        <f t="shared" si="15"/>
        <v>0</v>
      </c>
      <c r="H56" s="664">
        <f t="shared" si="15"/>
        <v>0</v>
      </c>
      <c r="I56" s="688"/>
      <c r="J56" s="688"/>
      <c r="K56" s="688"/>
      <c r="L56" s="688"/>
      <c r="M56" s="688"/>
      <c r="O56" s="673">
        <v>0</v>
      </c>
      <c r="P56" s="673">
        <v>0</v>
      </c>
      <c r="Q56" s="673">
        <v>0</v>
      </c>
      <c r="R56" s="673">
        <v>0</v>
      </c>
      <c r="S56" s="673">
        <v>0</v>
      </c>
    </row>
    <row r="57" spans="1:19" s="683" customFormat="1" ht="14.1" customHeight="1">
      <c r="A57" s="648" t="s">
        <v>1004</v>
      </c>
      <c r="B57" s="688"/>
      <c r="C57" s="692">
        <f t="shared" ref="C57:M57" ca="1" si="16">+C55*$B$13</f>
        <v>0.94161972663986793</v>
      </c>
      <c r="D57" s="692">
        <f t="shared" ca="1" si="16"/>
        <v>1.9758368035801903</v>
      </c>
      <c r="E57" s="692">
        <f t="shared" ca="1" si="16"/>
        <v>2.7050722757677326</v>
      </c>
      <c r="F57" s="692">
        <f t="shared" ca="1" si="16"/>
        <v>2.3738666164923297</v>
      </c>
      <c r="G57" s="692">
        <f t="shared" ca="1" si="16"/>
        <v>2.9544345533651044</v>
      </c>
      <c r="H57" s="693">
        <f t="shared" ca="1" si="16"/>
        <v>3.5690678350233394</v>
      </c>
      <c r="I57" s="692">
        <f t="shared" ca="1" si="16"/>
        <v>3.672570802239016</v>
      </c>
      <c r="J57" s="692">
        <f t="shared" ca="1" si="16"/>
        <v>3.7790753555039469</v>
      </c>
      <c r="K57" s="692">
        <f t="shared" ca="1" si="16"/>
        <v>3.8886685408135606</v>
      </c>
      <c r="L57" s="692">
        <f t="shared" ca="1" si="16"/>
        <v>4.0014399284971542</v>
      </c>
      <c r="M57" s="692">
        <f t="shared" ca="1" si="16"/>
        <v>4.117481686423571</v>
      </c>
    </row>
    <row r="58" spans="1:19" s="683" customFormat="1" ht="14.1" customHeight="1">
      <c r="A58" s="691" t="s">
        <v>1009</v>
      </c>
      <c r="B58" s="688"/>
      <c r="C58" s="664">
        <f t="shared" ref="C58:H58" ca="1" si="17">+C55-C57-C56</f>
        <v>19.163977564679666</v>
      </c>
      <c r="D58" s="664">
        <f t="shared" ca="1" si="17"/>
        <v>40.212509470673993</v>
      </c>
      <c r="E58" s="664">
        <f t="shared" ca="1" si="17"/>
        <v>55.054012715556141</v>
      </c>
      <c r="F58" s="664">
        <f t="shared" ca="1" si="17"/>
        <v>48.313268395873557</v>
      </c>
      <c r="G58" s="664">
        <f t="shared" ca="1" si="17"/>
        <v>60.129068981004529</v>
      </c>
      <c r="H58" s="664">
        <f t="shared" ca="1" si="17"/>
        <v>72.638172270754097</v>
      </c>
      <c r="I58" s="664">
        <f ca="1">+I55-I57</f>
        <v>74.744679266605942</v>
      </c>
      <c r="J58" s="664">
        <f ca="1">+J55-J57</f>
        <v>76.912274965337517</v>
      </c>
      <c r="K58" s="664">
        <f ca="1">+K55-K57</f>
        <v>79.142730939332296</v>
      </c>
      <c r="L58" s="664">
        <f ca="1">+L55-L57</f>
        <v>81.43787013657294</v>
      </c>
      <c r="M58" s="664">
        <f ca="1">+M55-M57</f>
        <v>83.799568370533535</v>
      </c>
    </row>
    <row r="59" spans="1:19" s="683" customFormat="1" ht="14.1" customHeight="1">
      <c r="A59" s="694" t="s">
        <v>1010</v>
      </c>
      <c r="B59" s="695"/>
      <c r="C59" s="695">
        <f t="shared" ref="C59:M59" ca="1" si="18">+C58/C103</f>
        <v>0.588158781103019</v>
      </c>
      <c r="D59" s="695">
        <f t="shared" ca="1" si="18"/>
        <v>1.234156138804714</v>
      </c>
      <c r="E59" s="695">
        <f t="shared" ca="1" si="18"/>
        <v>1.6896545043598239</v>
      </c>
      <c r="F59" s="695">
        <f t="shared" ca="1" si="18"/>
        <v>1.482775324429106</v>
      </c>
      <c r="G59" s="695">
        <f t="shared" ca="1" si="18"/>
        <v>1.8454123003101166</v>
      </c>
      <c r="H59" s="696">
        <f t="shared" ca="1" si="18"/>
        <v>2.2293273262361999</v>
      </c>
      <c r="I59" s="695">
        <f t="shared" ca="1" si="18"/>
        <v>2.2939778186970488</v>
      </c>
      <c r="J59" s="695">
        <f t="shared" ca="1" si="18"/>
        <v>2.3605031754392636</v>
      </c>
      <c r="K59" s="695">
        <f t="shared" ca="1" si="18"/>
        <v>2.428957767527002</v>
      </c>
      <c r="L59" s="695">
        <f t="shared" ca="1" si="18"/>
        <v>2.4993975427852853</v>
      </c>
      <c r="M59" s="695">
        <f t="shared" ca="1" si="18"/>
        <v>2.5718800715260577</v>
      </c>
    </row>
    <row r="60" spans="1:19" s="683" customFormat="1" ht="14.1" customHeight="1">
      <c r="A60" s="691"/>
      <c r="B60" s="697"/>
      <c r="C60" s="698" t="s">
        <v>1011</v>
      </c>
      <c r="D60" s="697"/>
      <c r="E60" s="697"/>
      <c r="F60" s="697"/>
      <c r="G60" s="697"/>
      <c r="H60" s="699"/>
      <c r="I60" s="697"/>
      <c r="J60" s="697"/>
      <c r="K60" s="697"/>
      <c r="L60" s="697"/>
      <c r="M60" s="697"/>
    </row>
    <row r="61" spans="1:19" s="683" customFormat="1" ht="14.1" customHeight="1">
      <c r="A61" s="691" t="s">
        <v>1012</v>
      </c>
      <c r="B61" s="678"/>
      <c r="C61" s="664">
        <f>_xlfn.SINGLE(INDEX(MO_BSS_Debt_Net,0,_xlfn.SINGLE(_xlfn.XMATCH("FY"&amp;B$34-1,MO_Common_ColumnHeader))))+(35-29)</f>
        <v>223.36</v>
      </c>
      <c r="D61" s="664">
        <f>C68</f>
        <v>181.874</v>
      </c>
      <c r="E61" s="678">
        <f ca="1">D68</f>
        <v>161.71729620786829</v>
      </c>
      <c r="F61" s="678">
        <f ca="1">E68</f>
        <v>121.83204739900661</v>
      </c>
      <c r="G61" s="682">
        <f ca="1">F68</f>
        <v>88.928738504750044</v>
      </c>
      <c r="H61" s="682">
        <f ca="1">G68</f>
        <v>43.470087313800903</v>
      </c>
      <c r="I61" s="700"/>
      <c r="J61" s="614"/>
      <c r="K61" s="614"/>
      <c r="L61" s="614"/>
      <c r="M61" s="614"/>
    </row>
    <row r="62" spans="1:19" ht="14.1" customHeight="1">
      <c r="A62" s="691" t="s">
        <v>1013</v>
      </c>
      <c r="B62" s="682"/>
      <c r="C62" s="701">
        <f>C39*$C$33</f>
        <v>7.0475882865440553</v>
      </c>
      <c r="D62" s="682">
        <f>D39</f>
        <v>51.453600532339379</v>
      </c>
      <c r="E62" s="682">
        <f>E39</f>
        <v>67.712998795082825</v>
      </c>
      <c r="F62" s="682">
        <f>F39</f>
        <v>61.457587310282641</v>
      </c>
      <c r="G62" s="682">
        <f>G39</f>
        <v>74.668412366608592</v>
      </c>
      <c r="H62" s="682">
        <f>H39</f>
        <v>88.639251090254362</v>
      </c>
      <c r="I62" s="702"/>
      <c r="J62" s="697"/>
      <c r="K62" s="697"/>
      <c r="L62" s="697"/>
      <c r="M62" s="697"/>
    </row>
    <row r="63" spans="1:19" ht="14.1" customHeight="1">
      <c r="A63" s="691" t="s">
        <v>1014</v>
      </c>
      <c r="B63" s="682"/>
      <c r="C63" s="701">
        <f ca="1">C51*$C$33</f>
        <v>-0.16754241272464254</v>
      </c>
      <c r="D63" s="682">
        <f ca="1">D51</f>
        <v>1.8614085667649753</v>
      </c>
      <c r="E63" s="682">
        <f ca="1">E51</f>
        <v>2.6390954741556802</v>
      </c>
      <c r="F63" s="682">
        <f ca="1">F51</f>
        <v>2.3762289985285818</v>
      </c>
      <c r="G63" s="682">
        <f ca="1">G51</f>
        <v>3.0138681287908966</v>
      </c>
      <c r="H63" s="682">
        <f ca="1">H51</f>
        <v>3.7066084364864</v>
      </c>
      <c r="I63" s="702"/>
      <c r="J63" s="697"/>
      <c r="K63" s="697"/>
      <c r="L63" s="697"/>
      <c r="M63" s="697"/>
    </row>
    <row r="64" spans="1:19" ht="14.1" customHeight="1">
      <c r="A64" s="691" t="s">
        <v>1015</v>
      </c>
      <c r="B64" s="682"/>
      <c r="C64" s="701">
        <f>C49*$C$33</f>
        <v>1.8218369602176132</v>
      </c>
      <c r="D64" s="682">
        <f>D49</f>
        <v>5.9338247726113567</v>
      </c>
      <c r="E64" s="682">
        <f ca="1">E49</f>
        <v>5.2761917503215274</v>
      </c>
      <c r="F64" s="682">
        <f ca="1">F49</f>
        <v>3.9748948225375065</v>
      </c>
      <c r="G64" s="682">
        <f ca="1">G49</f>
        <v>2.9013908064735103</v>
      </c>
      <c r="H64" s="682">
        <f ca="1">H49</f>
        <v>1.4182559407623436</v>
      </c>
      <c r="I64" s="702"/>
      <c r="J64" s="697"/>
      <c r="K64" s="697"/>
      <c r="L64" s="697"/>
      <c r="M64" s="697"/>
    </row>
    <row r="65" spans="1:15" ht="14.1" customHeight="1">
      <c r="A65" s="691" t="s">
        <v>1016</v>
      </c>
      <c r="B65" s="682"/>
      <c r="C65" s="701">
        <f>(C36-B36)*$B$25*$C$33</f>
        <v>-8.0693561461549645</v>
      </c>
      <c r="D65" s="701">
        <f>(D36-C36)*$B$25</f>
        <v>10.868443150773436</v>
      </c>
      <c r="E65" s="701">
        <f>(E36-D36)*$B$25</f>
        <v>6.3402517969725372</v>
      </c>
      <c r="F65" s="701">
        <f>(F36-E36)*$B$25</f>
        <v>7.5175893333710491</v>
      </c>
      <c r="G65" s="701">
        <f>(G36-F36)*$B$25</f>
        <v>7.4984214445764401</v>
      </c>
      <c r="H65" s="703">
        <f>(H36-G36)*$B$25</f>
        <v>7.7989784309044206</v>
      </c>
      <c r="I65" s="702"/>
      <c r="J65" s="697"/>
      <c r="K65" s="697"/>
      <c r="L65" s="697"/>
      <c r="M65" s="697"/>
    </row>
    <row r="66" spans="1:15" ht="14.1" customHeight="1">
      <c r="A66" s="691" t="s">
        <v>1017</v>
      </c>
      <c r="B66" s="682"/>
      <c r="C66" s="701">
        <f>C36*$B$26*$C$33</f>
        <v>2.7559012018807234</v>
      </c>
      <c r="D66" s="701">
        <f>D36*$B$26</f>
        <v>12.633220250057924</v>
      </c>
      <c r="E66" s="701">
        <f>E36*$B$26</f>
        <v>13.572210964771395</v>
      </c>
      <c r="F66" s="701">
        <f>F36*$B$26</f>
        <v>14.685565261588927</v>
      </c>
      <c r="G66" s="701">
        <f>G36*$B$26</f>
        <v>15.796080795818607</v>
      </c>
      <c r="H66" s="703">
        <f>H36*$B$26</f>
        <v>16.9511087923986</v>
      </c>
      <c r="I66" s="702"/>
      <c r="J66" s="697"/>
      <c r="K66" s="697"/>
      <c r="L66" s="697"/>
      <c r="M66" s="697"/>
    </row>
    <row r="67" spans="1:15" ht="14.1" customHeight="1">
      <c r="A67" s="691" t="s">
        <v>1018</v>
      </c>
      <c r="B67" s="682"/>
      <c r="C67" s="686">
        <f ca="1">_xlfn.SINGLE(INDEX(MO_CFSum_Dividend,0,_xlfn.SINGLE(_xlfn.XMATCH("FY"&amp;C34,MO_Common_ColumnHeader))))</f>
        <v>0</v>
      </c>
      <c r="D67" s="686">
        <f ca="1">_xlfn.SINGLE(INDEX(MO_CFSum_Dividend,0,_xlfn.SINGLE(_xlfn.XMATCH("FY"&amp;D34,MO_Common_ColumnHeader))))</f>
        <v>0</v>
      </c>
      <c r="E67" s="686">
        <f ca="1">_xlfn.SINGLE(INDEX(MO_CFSum_Dividend,0,_xlfn.SINGLE(_xlfn.XMATCH("FY"&amp;E34,MO_Common_ColumnHeader))))</f>
        <v>0</v>
      </c>
      <c r="F67" s="686">
        <f ca="1">_xlfn.SINGLE(INDEX(MO_CFSum_Dividend,0,_xlfn.SINGLE(_xlfn.XMATCH("FY"&amp;F34,MO_Common_ColumnHeader))))</f>
        <v>0</v>
      </c>
      <c r="G67" s="686">
        <f ca="1">IFERROR(_xlfn.SINGLE(INDEX(MO_CFSum_Dividend,0,_xlfn.SINGLE(_xlfn.XMATCH("FY"&amp;G34,MO_Common_ColumnHeader)))),F67)</f>
        <v>0</v>
      </c>
      <c r="H67" s="704">
        <f ca="1">G67</f>
        <v>0</v>
      </c>
      <c r="I67" s="702"/>
      <c r="J67" s="697"/>
      <c r="K67" s="697"/>
      <c r="L67" s="697"/>
      <c r="M67" s="697"/>
    </row>
    <row r="68" spans="1:15" ht="14.1" customHeight="1">
      <c r="A68" s="691" t="s">
        <v>1019</v>
      </c>
      <c r="C68" s="664">
        <f>_xlfn.SINGLE(INDEX(MO_BSS_Debt_Net,0,_xlfn.SINGLE(_xlfn.XMATCH("FY"&amp;B$34,MO_Common_ColumnHeader))))</f>
        <v>181.874</v>
      </c>
      <c r="D68" s="682">
        <f ca="1">D61-D62+D63+D64+D65+D66+D67</f>
        <v>161.71729620786829</v>
      </c>
      <c r="E68" s="682">
        <f ca="1">E61-E62+E63+E64+E65+E66+E67</f>
        <v>121.83204739900661</v>
      </c>
      <c r="F68" s="682">
        <f ca="1">F61-F62+F63+F64+F65+F66+F67</f>
        <v>88.928738504750044</v>
      </c>
      <c r="G68" s="705">
        <f ca="1">G61-G62+G63+G64+G65+G66+G67</f>
        <v>43.470087313800903</v>
      </c>
      <c r="H68" s="705">
        <f ca="1">H61-H62+H63+H64+H65+H66+H67</f>
        <v>-15.294212175901698</v>
      </c>
      <c r="I68" s="702"/>
      <c r="J68" s="697"/>
      <c r="K68" s="697"/>
      <c r="L68" s="697"/>
      <c r="M68" s="697"/>
    </row>
    <row r="69" spans="1:15" ht="14.1" customHeight="1">
      <c r="A69" s="706"/>
      <c r="B69" s="706"/>
      <c r="C69" s="707"/>
      <c r="D69" s="706"/>
      <c r="E69" s="706"/>
      <c r="F69" s="706"/>
      <c r="G69" s="706"/>
      <c r="H69" s="706"/>
      <c r="I69" s="706"/>
      <c r="J69" s="706"/>
      <c r="K69" s="706"/>
      <c r="L69" s="706"/>
      <c r="M69" s="706"/>
    </row>
    <row r="70" spans="1:15" ht="14.1" customHeight="1">
      <c r="A70" s="708" t="s">
        <v>1020</v>
      </c>
      <c r="D70" s="709" t="s">
        <v>1021</v>
      </c>
      <c r="E70" s="709" t="s">
        <v>1022</v>
      </c>
      <c r="F70" s="709" t="s">
        <v>1023</v>
      </c>
      <c r="G70" s="709" t="s">
        <v>1024</v>
      </c>
      <c r="H70" s="709" t="s">
        <v>1025</v>
      </c>
      <c r="I70" s="709" t="s">
        <v>1026</v>
      </c>
      <c r="J70" s="709" t="s">
        <v>1027</v>
      </c>
      <c r="K70" s="709" t="s">
        <v>1028</v>
      </c>
      <c r="L70" s="709" t="s">
        <v>1029</v>
      </c>
      <c r="M70" s="709" t="s">
        <v>1030</v>
      </c>
    </row>
    <row r="71" spans="1:15" ht="14.1" customHeight="1">
      <c r="A71" s="710" t="s">
        <v>129</v>
      </c>
      <c r="D71" s="711">
        <f t="shared" ref="D71:M71" si="19">C36*$C$33+D36*(1-$C$33)</f>
        <v>598.00864381853785</v>
      </c>
      <c r="E71" s="711">
        <f t="shared" si="19"/>
        <v>652.11659448936769</v>
      </c>
      <c r="F71" s="711">
        <f t="shared" si="19"/>
        <v>704.42117829182018</v>
      </c>
      <c r="G71" s="711">
        <f t="shared" si="19"/>
        <v>758.7529799105605</v>
      </c>
      <c r="H71" s="711">
        <f t="shared" si="19"/>
        <v>814.68236309449571</v>
      </c>
      <c r="I71" s="711">
        <f t="shared" si="19"/>
        <v>846.82714822595335</v>
      </c>
      <c r="J71" s="711">
        <f t="shared" si="19"/>
        <v>871.38513552450604</v>
      </c>
      <c r="K71" s="711">
        <f t="shared" si="19"/>
        <v>896.65530445471666</v>
      </c>
      <c r="L71" s="711">
        <f t="shared" si="19"/>
        <v>922.65830828390335</v>
      </c>
      <c r="M71" s="711">
        <f t="shared" si="19"/>
        <v>949.41539922413631</v>
      </c>
    </row>
    <row r="72" spans="1:15" ht="14.1" customHeight="1">
      <c r="A72" s="710" t="s">
        <v>11</v>
      </c>
      <c r="D72" s="712">
        <f t="shared" ref="D72:M72" si="20">C39*$C$33+D39*(1-$C$33)</f>
        <v>45.63778868579859</v>
      </c>
      <c r="E72" s="712">
        <f t="shared" si="20"/>
        <v>63.648149229396964</v>
      </c>
      <c r="F72" s="712">
        <f t="shared" si="20"/>
        <v>63.021440181482689</v>
      </c>
      <c r="G72" s="712">
        <f t="shared" si="20"/>
        <v>71.365706102527099</v>
      </c>
      <c r="H72" s="712">
        <f t="shared" si="20"/>
        <v>85.14654140934293</v>
      </c>
      <c r="I72" s="712">
        <f t="shared" si="20"/>
        <v>90.567154801467382</v>
      </c>
      <c r="J72" s="712">
        <f t="shared" si="20"/>
        <v>93.193602290709919</v>
      </c>
      <c r="K72" s="712">
        <f t="shared" si="20"/>
        <v>95.896216757140508</v>
      </c>
      <c r="L72" s="712">
        <f t="shared" si="20"/>
        <v>98.677207043097582</v>
      </c>
      <c r="M72" s="712">
        <f t="shared" si="20"/>
        <v>101.53884604734741</v>
      </c>
    </row>
    <row r="73" spans="1:15" ht="14.1" customHeight="1">
      <c r="A73" s="710" t="s">
        <v>1031</v>
      </c>
      <c r="D73" s="713">
        <f t="shared" ref="D73:M73" si="21">C54*$C$33+D54*(1-$C$33)</f>
        <v>8.9701296572780684</v>
      </c>
      <c r="E73" s="713">
        <f t="shared" si="21"/>
        <v>9.781748917340515</v>
      </c>
      <c r="F73" s="713">
        <f t="shared" si="21"/>
        <v>10.566317674377302</v>
      </c>
      <c r="G73" s="713">
        <f t="shared" si="21"/>
        <v>11.381294698658408</v>
      </c>
      <c r="H73" s="713">
        <f t="shared" si="21"/>
        <v>12.220235446417435</v>
      </c>
      <c r="I73" s="713">
        <f t="shared" si="21"/>
        <v>12.702407223389301</v>
      </c>
      <c r="J73" s="713">
        <f t="shared" si="21"/>
        <v>13.070777032867589</v>
      </c>
      <c r="K73" s="713">
        <f t="shared" si="21"/>
        <v>13.44982956682075</v>
      </c>
      <c r="L73" s="713">
        <f t="shared" si="21"/>
        <v>13.839874624258549</v>
      </c>
      <c r="M73" s="713">
        <f t="shared" si="21"/>
        <v>14.241230988362046</v>
      </c>
    </row>
    <row r="74" spans="1:15" ht="14.1" customHeight="1">
      <c r="A74" s="714" t="s">
        <v>1006</v>
      </c>
      <c r="D74" s="715">
        <f t="shared" ref="D74:M74" si="22">+D72-D73</f>
        <v>36.667659028520518</v>
      </c>
      <c r="E74" s="715">
        <f t="shared" si="22"/>
        <v>53.866400312056449</v>
      </c>
      <c r="F74" s="715">
        <f t="shared" si="22"/>
        <v>52.455122507105386</v>
      </c>
      <c r="G74" s="715">
        <f t="shared" si="22"/>
        <v>59.984411403868691</v>
      </c>
      <c r="H74" s="715">
        <f t="shared" si="22"/>
        <v>72.926305962925497</v>
      </c>
      <c r="I74" s="715">
        <f t="shared" si="22"/>
        <v>77.864747578078081</v>
      </c>
      <c r="J74" s="715">
        <f t="shared" si="22"/>
        <v>80.122825257842322</v>
      </c>
      <c r="K74" s="715">
        <f t="shared" si="22"/>
        <v>82.446387190319754</v>
      </c>
      <c r="L74" s="715">
        <f t="shared" si="22"/>
        <v>84.837332418839026</v>
      </c>
      <c r="M74" s="715">
        <f t="shared" si="22"/>
        <v>87.297615058985357</v>
      </c>
    </row>
    <row r="75" spans="1:15" ht="14.1" customHeight="1">
      <c r="A75" s="710" t="s">
        <v>1004</v>
      </c>
      <c r="D75" s="716">
        <f ca="1">+D57/D55*D74</f>
        <v>1.7172825343451095</v>
      </c>
      <c r="E75" s="716">
        <f ca="1">+E57/E55*E74</f>
        <v>2.5227634077208467</v>
      </c>
      <c r="F75" s="716">
        <f ca="1">+F57/F55*F74</f>
        <v>2.4566680313111804</v>
      </c>
      <c r="G75" s="716">
        <f ca="1">+G57/G55*G74</f>
        <v>2.8092925691469106</v>
      </c>
      <c r="H75" s="716">
        <f ca="1">+H57/H55*H74</f>
        <v>3.4154095146087813</v>
      </c>
      <c r="I75" s="716">
        <f ca="1">$H75/$H74*I74</f>
        <v>3.6466950604350967</v>
      </c>
      <c r="J75" s="716">
        <f ca="1">$H75/$H74*J74</f>
        <v>3.7524492171877135</v>
      </c>
      <c r="K75" s="716">
        <f ca="1">$H75/$H74*K74</f>
        <v>3.8612702444861573</v>
      </c>
      <c r="L75" s="716">
        <f ca="1">$H75/$H74*L74</f>
        <v>3.9732470815762557</v>
      </c>
      <c r="M75" s="716">
        <f ca="1">$H75/$H74*M74</f>
        <v>4.0884712469419675</v>
      </c>
    </row>
    <row r="76" spans="1:15" ht="14.1" customHeight="1">
      <c r="A76" s="714" t="s">
        <v>1009</v>
      </c>
      <c r="D76" s="715">
        <f t="shared" ref="D76:M76" ca="1" si="23">+D74-D75</f>
        <v>34.950376494175408</v>
      </c>
      <c r="E76" s="715">
        <f t="shared" ca="1" si="23"/>
        <v>51.343636904335604</v>
      </c>
      <c r="F76" s="715">
        <f t="shared" ca="1" si="23"/>
        <v>49.998454475794205</v>
      </c>
      <c r="G76" s="715">
        <f t="shared" ca="1" si="23"/>
        <v>57.175118834721779</v>
      </c>
      <c r="H76" s="715">
        <f t="shared" ca="1" si="23"/>
        <v>69.510896448316714</v>
      </c>
      <c r="I76" s="715">
        <f t="shared" ca="1" si="23"/>
        <v>74.218052517642988</v>
      </c>
      <c r="J76" s="715">
        <f t="shared" ca="1" si="23"/>
        <v>76.370376040654605</v>
      </c>
      <c r="K76" s="715">
        <f t="shared" ca="1" si="23"/>
        <v>78.58511694583359</v>
      </c>
      <c r="L76" s="715">
        <f t="shared" ca="1" si="23"/>
        <v>80.864085337262765</v>
      </c>
      <c r="M76" s="715">
        <f t="shared" ca="1" si="23"/>
        <v>83.209143812043393</v>
      </c>
    </row>
    <row r="77" spans="1:15" ht="14.1" customHeight="1">
      <c r="A77" s="714"/>
    </row>
    <row r="78" spans="1:15" ht="14.1" customHeight="1">
      <c r="A78" s="717" t="s">
        <v>1032</v>
      </c>
      <c r="I78" s="718">
        <f ca="1">+I76-$H76</f>
        <v>4.707156069326274</v>
      </c>
      <c r="J78" s="718">
        <f ca="1">+J76-$H76</f>
        <v>6.8594795923378911</v>
      </c>
      <c r="K78" s="718">
        <f ca="1">+K76-$H76</f>
        <v>9.0742204975168761</v>
      </c>
      <c r="L78" s="718">
        <f ca="1">+L76-$H76</f>
        <v>11.35318888894605</v>
      </c>
      <c r="M78" s="718">
        <f ca="1">+M76-$H76</f>
        <v>13.698247363726679</v>
      </c>
    </row>
    <row r="79" spans="1:15" ht="14.1" customHeight="1">
      <c r="A79" s="717" t="s">
        <v>1033</v>
      </c>
      <c r="I79" s="719">
        <v>0</v>
      </c>
      <c r="J79" s="719">
        <v>0</v>
      </c>
      <c r="K79" s="719">
        <v>0</v>
      </c>
      <c r="L79" s="719">
        <v>0</v>
      </c>
      <c r="M79" s="719">
        <v>0</v>
      </c>
      <c r="O79" s="614" t="s">
        <v>1034</v>
      </c>
    </row>
    <row r="80" spans="1:15" ht="14.1" customHeight="1">
      <c r="A80" s="717" t="s">
        <v>1035</v>
      </c>
      <c r="I80" s="720">
        <f>-(I71-H71)*$B$25</f>
        <v>-4.439189864716611</v>
      </c>
      <c r="J80" s="720">
        <f>-(J71-I71)*$B$25</f>
        <v>-3.3914542551067552</v>
      </c>
      <c r="K80" s="720">
        <f>-(K71-J71)*$B$25</f>
        <v>-3.4898064285048376</v>
      </c>
      <c r="L80" s="720">
        <f>-(L71-K71)*$B$25</f>
        <v>-3.5910108149314737</v>
      </c>
      <c r="M80" s="720">
        <f>-(M71-L71)*$B$25</f>
        <v>-3.6951501285644652</v>
      </c>
    </row>
    <row r="81" spans="1:15" ht="14.1" customHeight="1">
      <c r="A81" s="717" t="s">
        <v>1036</v>
      </c>
      <c r="I81" s="718">
        <f ca="1">SUM(I78:I80)</f>
        <v>0.26796620460966292</v>
      </c>
      <c r="J81" s="718">
        <f ca="1">SUM(J78:J80)</f>
        <v>3.4680253372311358</v>
      </c>
      <c r="K81" s="718">
        <f ca="1">SUM(K78:K80)</f>
        <v>5.5844140690120385</v>
      </c>
      <c r="L81" s="718">
        <f ca="1">SUM(L78:L80)</f>
        <v>7.7621780740145763</v>
      </c>
      <c r="M81" s="718">
        <f ca="1">SUM(M78:M80)</f>
        <v>10.003097235162214</v>
      </c>
    </row>
    <row r="82" spans="1:15" ht="14.1" customHeight="1">
      <c r="A82" s="721"/>
      <c r="B82" s="722"/>
      <c r="C82" s="722"/>
      <c r="D82" s="722"/>
      <c r="E82" s="722"/>
      <c r="F82" s="722"/>
      <c r="G82" s="722"/>
      <c r="H82" s="722"/>
      <c r="I82" s="723"/>
      <c r="J82" s="723"/>
      <c r="K82" s="723"/>
      <c r="L82" s="723"/>
      <c r="M82" s="723"/>
    </row>
    <row r="83" spans="1:15" ht="14.1" customHeight="1">
      <c r="A83" s="717" t="s">
        <v>1037</v>
      </c>
      <c r="I83" s="724">
        <f ca="1">I81/(1+$B$11)^(I33-$H$33)</f>
        <v>0.243605640554239</v>
      </c>
      <c r="J83" s="724">
        <f ca="1">J81/(1+$B$11)^(J33-$H$33)</f>
        <v>2.8661366423397814</v>
      </c>
      <c r="K83" s="724">
        <f ca="1">K81/(1+$B$11)^(K33-$H$33)</f>
        <v>4.1956529444117479</v>
      </c>
      <c r="L83" s="724">
        <f ca="1">L81/(1+$B$11)^(L33-$H$33)</f>
        <v>5.3016720674916833</v>
      </c>
      <c r="M83" s="724">
        <f ca="1">M81/(1+$B$11)^(M33-$H$33)</f>
        <v>6.2111363699462965</v>
      </c>
    </row>
    <row r="84" spans="1:15" ht="14.1" customHeight="1">
      <c r="A84" s="717" t="s">
        <v>1038</v>
      </c>
      <c r="I84" s="718">
        <f ca="1">SUM($I$83:I83)</f>
        <v>0.243605640554239</v>
      </c>
      <c r="J84" s="718">
        <f ca="1">SUM($I$83:J83)</f>
        <v>3.1097422828940204</v>
      </c>
      <c r="K84" s="718">
        <f ca="1">SUM($I$83:K83)</f>
        <v>7.3053952273057678</v>
      </c>
      <c r="L84" s="718">
        <f ca="1">SUM($I$83:L83)</f>
        <v>12.607067294797451</v>
      </c>
      <c r="M84" s="718">
        <f ca="1">SUM($I$83:M83)</f>
        <v>18.818203664743749</v>
      </c>
    </row>
    <row r="85" spans="1:15" ht="14.1" customHeight="1">
      <c r="A85" s="717" t="s">
        <v>1039</v>
      </c>
      <c r="I85" s="718"/>
      <c r="J85" s="718"/>
      <c r="K85" s="718"/>
      <c r="L85" s="718"/>
      <c r="M85" s="718">
        <f ca="1">M78/$B$11</f>
        <v>136.98247363726679</v>
      </c>
    </row>
    <row r="86" spans="1:15" ht="14.1" customHeight="1">
      <c r="A86" s="725" t="s">
        <v>1040</v>
      </c>
      <c r="B86" s="706"/>
      <c r="C86" s="706"/>
      <c r="D86" s="706"/>
      <c r="E86" s="706"/>
      <c r="F86" s="706"/>
      <c r="G86" s="706"/>
      <c r="H86" s="706"/>
      <c r="I86" s="726"/>
      <c r="J86" s="726"/>
      <c r="K86" s="726"/>
      <c r="L86" s="726"/>
      <c r="M86" s="727">
        <f ca="1">M85/(1+$B$11)^(M33-$H$33)</f>
        <v>85.055338766767505</v>
      </c>
    </row>
    <row r="88" spans="1:15" ht="14.1" customHeight="1">
      <c r="A88" s="728" t="s">
        <v>1041</v>
      </c>
    </row>
    <row r="89" spans="1:15" ht="14.1" customHeight="1">
      <c r="A89" s="717" t="s">
        <v>1042</v>
      </c>
      <c r="B89" s="678"/>
      <c r="C89" s="678"/>
      <c r="D89" s="678">
        <f ca="1">D76/$B$11</f>
        <v>349.50376494175407</v>
      </c>
      <c r="E89" s="678">
        <f ca="1">E76/$B$11</f>
        <v>513.43636904335597</v>
      </c>
      <c r="F89" s="678">
        <f ca="1">F76/$B$11</f>
        <v>499.98454475794205</v>
      </c>
      <c r="G89" s="678">
        <f ca="1">G76/$B$11</f>
        <v>571.75118834721775</v>
      </c>
      <c r="H89" s="678">
        <f ca="1">H76/$B$11</f>
        <v>695.10896448316714</v>
      </c>
    </row>
    <row r="90" spans="1:15" ht="14.1" customHeight="1">
      <c r="A90" s="717" t="s">
        <v>1043</v>
      </c>
      <c r="B90" s="678"/>
      <c r="C90" s="678"/>
      <c r="D90" s="678">
        <f ca="1">E90/(1+$B$11)</f>
        <v>70.94702713715678</v>
      </c>
      <c r="E90" s="678">
        <f ca="1">F90/(1+$B$11)</f>
        <v>78.041729850872457</v>
      </c>
      <c r="F90" s="678">
        <f ca="1">G90/(1+$B$11)</f>
        <v>85.845902835959706</v>
      </c>
      <c r="G90" s="678">
        <f ca="1">H90/(1+$B$11)</f>
        <v>94.430493119555678</v>
      </c>
      <c r="H90" s="729">
        <f ca="1">M84+M86</f>
        <v>103.87354243151125</v>
      </c>
      <c r="O90" s="730"/>
    </row>
    <row r="91" spans="1:15" ht="14.1" customHeight="1">
      <c r="A91" s="717" t="s">
        <v>1044</v>
      </c>
      <c r="B91" s="678"/>
      <c r="C91" s="678"/>
      <c r="D91" s="678">
        <f ca="1">D89+D90</f>
        <v>420.45079207891087</v>
      </c>
      <c r="E91" s="678">
        <f ca="1">E89+E90</f>
        <v>591.47809889422842</v>
      </c>
      <c r="F91" s="678">
        <f ca="1">F89+F90</f>
        <v>585.83044759390179</v>
      </c>
      <c r="G91" s="678">
        <f ca="1">G89+G90</f>
        <v>666.1816814667734</v>
      </c>
      <c r="H91" s="678">
        <f ca="1">H89+H90</f>
        <v>798.98250691467842</v>
      </c>
    </row>
    <row r="92" spans="1:15" s="659" customFormat="1" ht="14.1" customHeight="1">
      <c r="A92" s="728" t="s">
        <v>1045</v>
      </c>
      <c r="B92" s="731"/>
      <c r="C92" s="731"/>
      <c r="D92" s="732">
        <f ca="1">+D91/(D72)</f>
        <v>9.2127774852015403</v>
      </c>
      <c r="E92" s="732">
        <f ca="1">+E91/(E72)</f>
        <v>9.2929347680237715</v>
      </c>
      <c r="F92" s="732">
        <f ca="1">+F91/(F72)</f>
        <v>9.2957324667111276</v>
      </c>
      <c r="G92" s="732">
        <f ca="1">+G91/(G72)</f>
        <v>9.3347591980622688</v>
      </c>
      <c r="H92" s="732">
        <f ca="1">+H91/(H72)</f>
        <v>9.3836166882405863</v>
      </c>
    </row>
    <row r="93" spans="1:15" ht="14.1" customHeight="1">
      <c r="A93" s="717" t="s">
        <v>1046</v>
      </c>
      <c r="B93" s="664"/>
      <c r="C93" s="733">
        <f>(C61*$C$33+C68*(1-$C$33))</f>
        <v>192.24549999999999</v>
      </c>
      <c r="D93" s="734">
        <f ca="1">(C68*$C$33+D68*(1-$C$33))</f>
        <v>166.75647215590121</v>
      </c>
      <c r="E93" s="734">
        <f ca="1">(D68*$C$33+E68*(1-$C$33))</f>
        <v>131.80335960122204</v>
      </c>
      <c r="F93" s="734">
        <f ca="1">(E68*$C$33+F68*(1-$C$33))</f>
        <v>97.154565728314182</v>
      </c>
      <c r="G93" s="734">
        <f ca="1">(F68*$C$33+G68*(1-$C$33))</f>
        <v>54.834750111538192</v>
      </c>
      <c r="H93" s="734">
        <f ca="1">(G68*$C$33+H68*(1-$C$33))</f>
        <v>-0.6031373034760481</v>
      </c>
    </row>
    <row r="94" spans="1:15" ht="14.1" customHeight="1">
      <c r="A94" s="717" t="s">
        <v>1047</v>
      </c>
      <c r="B94" s="664"/>
      <c r="C94" s="664"/>
      <c r="D94" s="735">
        <f ca="1">+D91-D93</f>
        <v>253.69431992300966</v>
      </c>
      <c r="E94" s="735">
        <f ca="1">+E91-E93</f>
        <v>459.67473929300638</v>
      </c>
      <c r="F94" s="735">
        <f ca="1">+F91-F93</f>
        <v>488.6758818655876</v>
      </c>
      <c r="G94" s="735">
        <f ca="1">+G91-G93</f>
        <v>611.34693135523526</v>
      </c>
      <c r="H94" s="735">
        <f ca="1">+H91-H93</f>
        <v>799.58564421815447</v>
      </c>
    </row>
    <row r="95" spans="1:15" ht="14.1" customHeight="1">
      <c r="A95" s="717" t="s">
        <v>1048</v>
      </c>
      <c r="B95" s="688"/>
      <c r="C95" s="688"/>
      <c r="D95" s="688">
        <f>$B$12</f>
        <v>32.582999999999998</v>
      </c>
      <c r="E95" s="688">
        <f>$B$12</f>
        <v>32.582999999999998</v>
      </c>
      <c r="F95" s="688">
        <f>$B$12</f>
        <v>32.582999999999998</v>
      </c>
      <c r="G95" s="688">
        <f>$B$12</f>
        <v>32.582999999999998</v>
      </c>
      <c r="H95" s="688">
        <f>$B$12</f>
        <v>32.582999999999998</v>
      </c>
    </row>
    <row r="96" spans="1:15" ht="14.1" customHeight="1">
      <c r="A96" s="717" t="s">
        <v>1049</v>
      </c>
      <c r="B96" s="697"/>
      <c r="C96" s="697"/>
      <c r="D96" s="697">
        <f ca="1">D94/D95</f>
        <v>7.7860945868400595</v>
      </c>
      <c r="E96" s="697">
        <f ca="1">E94/E95</f>
        <v>14.107808958444783</v>
      </c>
      <c r="F96" s="697">
        <f ca="1">F94/F95</f>
        <v>14.997878705631392</v>
      </c>
      <c r="G96" s="697">
        <f ca="1">G94/G95</f>
        <v>18.762757614560822</v>
      </c>
      <c r="H96" s="697">
        <f ca="1">H94/H95</f>
        <v>24.539963914254503</v>
      </c>
    </row>
    <row r="97" spans="1:13" ht="14.1" customHeight="1">
      <c r="A97" s="717" t="s">
        <v>1050</v>
      </c>
      <c r="B97" s="736"/>
      <c r="C97" s="736">
        <f ca="1">IF(C67&gt;0,C67/$B$12,0)</f>
        <v>0</v>
      </c>
      <c r="D97" s="737">
        <f ca="1">IF(D67&gt;0,(C67*$C$33+D67*(1-$C$33))/$B$12,0)</f>
        <v>0</v>
      </c>
      <c r="E97" s="737">
        <f ca="1">IF(E67&gt;0,(D67*$C$33+E67*(1-$C$33))/$B$12,0)</f>
        <v>0</v>
      </c>
      <c r="F97" s="737">
        <f ca="1">IF(F67&gt;0,(E67*$C$33+F67*(1-$C$33))/$B$12,0)</f>
        <v>0</v>
      </c>
      <c r="G97" s="737">
        <f ca="1">IF(G67&gt;0,(F67*$C$33+G67*(1-$C$33))/$B$12,0)</f>
        <v>0</v>
      </c>
      <c r="H97" s="737">
        <f ca="1">IF(H67&gt;0,(G67*$C$33+H67*(1-$C$33))/$B$12,0)</f>
        <v>0</v>
      </c>
    </row>
    <row r="98" spans="1:13" ht="14.1" customHeight="1" thickBot="1">
      <c r="A98" s="717" t="s">
        <v>1051</v>
      </c>
      <c r="B98" s="736"/>
      <c r="C98" s="736"/>
      <c r="D98" s="736">
        <f ca="1">SUM($C97:D97)</f>
        <v>0</v>
      </c>
      <c r="E98" s="736">
        <f ca="1">SUM($C97:E97)</f>
        <v>0</v>
      </c>
      <c r="F98" s="736">
        <f ca="1">SUM($C97:F97)</f>
        <v>0</v>
      </c>
      <c r="G98" s="736">
        <f ca="1">SUM($C97:G97)</f>
        <v>0</v>
      </c>
      <c r="H98" s="736">
        <f ca="1">SUM($C97:H97)</f>
        <v>0</v>
      </c>
    </row>
    <row r="99" spans="1:13" s="659" customFormat="1" ht="14.1" customHeight="1" thickBot="1">
      <c r="A99" s="728" t="s">
        <v>1052</v>
      </c>
      <c r="C99" s="738"/>
      <c r="D99" s="736">
        <f ca="1">D96+D98</f>
        <v>7.7860945868400595</v>
      </c>
      <c r="E99" s="736">
        <f ca="1">E96+E98</f>
        <v>14.107808958444783</v>
      </c>
      <c r="F99" s="736">
        <f ca="1">F96+F98</f>
        <v>14.997878705631392</v>
      </c>
      <c r="G99" s="736">
        <f ca="1">G96+G98</f>
        <v>18.762757614560822</v>
      </c>
      <c r="H99" s="739">
        <f ca="1">H96+H98</f>
        <v>24.539963914254503</v>
      </c>
    </row>
    <row r="100" spans="1:13" ht="14.1" customHeight="1">
      <c r="H100" s="740"/>
    </row>
    <row r="101" spans="1:13" ht="14.1" customHeight="1">
      <c r="A101" s="741" t="s">
        <v>1053</v>
      </c>
      <c r="B101" s="742"/>
      <c r="C101" s="742"/>
      <c r="D101" s="742"/>
      <c r="E101" s="742"/>
      <c r="F101" s="742"/>
      <c r="G101" s="659"/>
      <c r="H101" s="742">
        <f ca="1">+H96/H104</f>
        <v>10.599324120455202</v>
      </c>
    </row>
    <row r="102" spans="1:13" ht="14.1" customHeight="1">
      <c r="A102" s="743" t="s">
        <v>1054</v>
      </c>
      <c r="B102" s="740"/>
      <c r="C102" s="740"/>
      <c r="D102" s="740"/>
      <c r="E102" s="740"/>
      <c r="F102" s="740"/>
      <c r="H102" s="740">
        <f ca="1">MIN(H94,H91)/H103/H104</f>
        <v>10.591328919672263</v>
      </c>
    </row>
    <row r="103" spans="1:13" ht="14.1" customHeight="1">
      <c r="A103" s="648" t="s">
        <v>1055</v>
      </c>
      <c r="B103" s="688"/>
      <c r="C103" s="688">
        <f t="shared" ref="C103:M103" si="24">$B$12</f>
        <v>32.582999999999998</v>
      </c>
      <c r="D103" s="688">
        <f t="shared" si="24"/>
        <v>32.582999999999998</v>
      </c>
      <c r="E103" s="688">
        <f t="shared" si="24"/>
        <v>32.582999999999998</v>
      </c>
      <c r="F103" s="688">
        <f t="shared" si="24"/>
        <v>32.582999999999998</v>
      </c>
      <c r="G103" s="688">
        <f t="shared" si="24"/>
        <v>32.582999999999998</v>
      </c>
      <c r="H103" s="688">
        <f t="shared" si="24"/>
        <v>32.582999999999998</v>
      </c>
      <c r="I103" s="688">
        <f t="shared" si="24"/>
        <v>32.582999999999998</v>
      </c>
      <c r="J103" s="688">
        <f t="shared" si="24"/>
        <v>32.582999999999998</v>
      </c>
      <c r="K103" s="688">
        <f t="shared" si="24"/>
        <v>32.582999999999998</v>
      </c>
      <c r="L103" s="688">
        <f t="shared" si="24"/>
        <v>32.582999999999998</v>
      </c>
      <c r="M103" s="688">
        <f t="shared" si="24"/>
        <v>32.582999999999998</v>
      </c>
    </row>
    <row r="104" spans="1:13" ht="14.1" customHeight="1">
      <c r="A104" s="614" t="s">
        <v>1056</v>
      </c>
      <c r="B104" s="744"/>
      <c r="C104" s="744">
        <f t="shared" ref="C104:H104" ca="1" si="25">C52/C103</f>
        <v>-0.41860440457349468</v>
      </c>
      <c r="D104" s="744">
        <f t="shared" ca="1" si="25"/>
        <v>1.1626814549329467</v>
      </c>
      <c r="E104" s="744">
        <f t="shared" ca="1" si="25"/>
        <v>1.6484437755280335</v>
      </c>
      <c r="F104" s="744">
        <f t="shared" ca="1" si="25"/>
        <v>1.4842509262029768</v>
      </c>
      <c r="G104" s="744">
        <f t="shared" ca="1" si="25"/>
        <v>1.8825359695473456</v>
      </c>
      <c r="H104" s="744">
        <f t="shared" ca="1" si="25"/>
        <v>2.315238560060243</v>
      </c>
    </row>
    <row r="105" spans="1:13" ht="14.1" customHeight="1">
      <c r="A105" s="745"/>
      <c r="B105" s="688"/>
      <c r="C105" s="688"/>
      <c r="D105" s="688"/>
      <c r="E105" s="688"/>
      <c r="F105" s="688"/>
      <c r="G105" s="688"/>
      <c r="H105" s="688"/>
    </row>
    <row r="106" spans="1:13" ht="14.1" customHeight="1">
      <c r="A106" s="659" t="s">
        <v>1057</v>
      </c>
      <c r="F106" s="688"/>
      <c r="G106" s="688"/>
      <c r="H106" s="688"/>
    </row>
    <row r="107" spans="1:13" ht="14.1" customHeight="1">
      <c r="C107" s="652">
        <v>2019</v>
      </c>
      <c r="D107" s="652">
        <v>2020</v>
      </c>
      <c r="E107" s="652">
        <v>2021</v>
      </c>
      <c r="F107" s="652"/>
      <c r="G107" s="652"/>
      <c r="H107" s="688"/>
    </row>
    <row r="108" spans="1:13" ht="14.1" customHeight="1">
      <c r="H108" s="688"/>
    </row>
    <row r="109" spans="1:13" ht="14.1" customHeight="1">
      <c r="A109" s="614" t="s">
        <v>996</v>
      </c>
      <c r="C109" s="746"/>
      <c r="D109" s="746"/>
      <c r="E109" s="746"/>
      <c r="F109" s="652" t="s">
        <v>1058</v>
      </c>
      <c r="G109" s="652"/>
      <c r="H109" s="688"/>
    </row>
    <row r="110" spans="1:13" ht="14.1" customHeight="1">
      <c r="A110" s="666" t="s">
        <v>1059</v>
      </c>
      <c r="C110" s="746"/>
      <c r="D110" s="746"/>
      <c r="E110" s="746"/>
      <c r="F110" s="652"/>
      <c r="G110" s="747" t="s">
        <v>1060</v>
      </c>
      <c r="H110" s="688"/>
    </row>
    <row r="111" spans="1:13" ht="14.1" customHeight="1">
      <c r="A111" s="748"/>
      <c r="B111" s="740"/>
      <c r="C111" s="652"/>
      <c r="D111" s="652"/>
      <c r="E111" s="652"/>
      <c r="F111" s="652"/>
      <c r="G111" s="652"/>
      <c r="H111" s="740"/>
    </row>
    <row r="112" spans="1:13" ht="14.1" customHeight="1">
      <c r="A112" s="614" t="s">
        <v>11</v>
      </c>
      <c r="C112" s="746"/>
      <c r="D112" s="746"/>
      <c r="E112" s="746"/>
      <c r="F112" s="652"/>
      <c r="G112" s="652"/>
      <c r="H112" s="740"/>
    </row>
    <row r="113" spans="1:8" ht="14.1" customHeight="1">
      <c r="A113" s="666" t="s">
        <v>1059</v>
      </c>
      <c r="C113" s="746">
        <f>C110</f>
        <v>0</v>
      </c>
      <c r="D113" s="746">
        <f>D110</f>
        <v>0</v>
      </c>
      <c r="E113" s="746">
        <f>E110</f>
        <v>0</v>
      </c>
      <c r="F113" s="652"/>
      <c r="G113" s="652"/>
      <c r="H113" s="740"/>
    </row>
    <row r="114" spans="1:8" ht="14.1" customHeight="1">
      <c r="A114" s="748"/>
      <c r="B114" s="740"/>
      <c r="C114" s="740"/>
      <c r="D114" s="740"/>
      <c r="E114" s="652"/>
      <c r="F114" s="652"/>
      <c r="G114" s="652"/>
      <c r="H114" s="740"/>
    </row>
    <row r="115" spans="1:8" s="683" customFormat="1" ht="14.1" customHeight="1"/>
    <row r="116" spans="1:8" s="683" customFormat="1" ht="14.1" customHeight="1">
      <c r="A116" s="749" t="s">
        <v>1061</v>
      </c>
    </row>
    <row r="117" spans="1:8" ht="14.1" customHeight="1">
      <c r="A117" s="627" t="s">
        <v>1062</v>
      </c>
      <c r="B117" s="740"/>
      <c r="C117" s="740"/>
      <c r="D117" s="740"/>
      <c r="E117" s="740"/>
      <c r="F117" s="740"/>
      <c r="G117" s="740"/>
      <c r="H117" s="740"/>
    </row>
    <row r="118" spans="1:8" ht="14.1" customHeight="1">
      <c r="A118" s="627" t="s">
        <v>1063</v>
      </c>
      <c r="B118" s="740"/>
      <c r="C118" s="740"/>
      <c r="D118" s="740"/>
      <c r="E118" s="740"/>
      <c r="F118" s="740"/>
      <c r="G118" s="627">
        <f>C34</f>
        <v>2020</v>
      </c>
      <c r="H118" s="740"/>
    </row>
    <row r="119" spans="1:8" ht="14.1" customHeight="1">
      <c r="A119" s="627" t="s">
        <v>1064</v>
      </c>
      <c r="B119" s="627">
        <v>-5</v>
      </c>
      <c r="C119" s="627">
        <f>B119+1</f>
        <v>-4</v>
      </c>
      <c r="D119" s="627">
        <f>C119+1</f>
        <v>-3</v>
      </c>
      <c r="E119" s="627">
        <f>D119+1</f>
        <v>-2</v>
      </c>
      <c r="F119" s="627">
        <f>E119+1</f>
        <v>-1</v>
      </c>
      <c r="G119" s="627">
        <f>F119+1</f>
        <v>0</v>
      </c>
      <c r="H119" s="740"/>
    </row>
    <row r="120" spans="1:8" ht="14.1" customHeight="1">
      <c r="A120" s="627" t="s">
        <v>1065</v>
      </c>
      <c r="B120" s="750">
        <f t="shared" ref="B120:G120" si="26">$G$118+B119</f>
        <v>2015</v>
      </c>
      <c r="C120" s="750">
        <f t="shared" si="26"/>
        <v>2016</v>
      </c>
      <c r="D120" s="750">
        <f t="shared" si="26"/>
        <v>2017</v>
      </c>
      <c r="E120" s="750">
        <f t="shared" si="26"/>
        <v>2018</v>
      </c>
      <c r="F120" s="750">
        <f t="shared" si="26"/>
        <v>2019</v>
      </c>
      <c r="G120" s="750">
        <f t="shared" si="26"/>
        <v>2020</v>
      </c>
      <c r="H120" s="751" t="s">
        <v>1066</v>
      </c>
    </row>
    <row r="121" spans="1:8" ht="14.1" customHeight="1">
      <c r="A121" s="627" t="s">
        <v>1067</v>
      </c>
      <c r="B121" s="752">
        <f>_xlfn.SINGLE(INDEX(MO_RIS_REV,0,_xlfn.SINGLE(_xlfn.XMATCH("FY"&amp;B$120,MO_Common_ColumnHeader))))</f>
        <v>692.279</v>
      </c>
      <c r="C121" s="752">
        <f>_xlfn.SINGLE(INDEX(MO_RIS_REV,0,_xlfn.SINGLE(_xlfn.XMATCH("FY"&amp;C$120,MO_Common_ColumnHeader))))</f>
        <v>633.12300000000005</v>
      </c>
      <c r="D121" s="752">
        <f>_xlfn.SINGLE(INDEX(MO_RIS_REV,0,_xlfn.SINGLE(_xlfn.XMATCH("FY"&amp;D$120,MO_Common_ColumnHeader))))</f>
        <v>624.46400000000006</v>
      </c>
      <c r="E121" s="752">
        <f>_xlfn.SINGLE(INDEX(MO_RIS_REV,0,_xlfn.SINGLE(_xlfn.XMATCH("FY"&amp;E$120,MO_Common_ColumnHeader))))</f>
        <v>803.25599999999997</v>
      </c>
      <c r="F121" s="752">
        <f>_xlfn.SINGLE(INDEX(MO_RIS_REV,0,_xlfn.SINGLE(_xlfn.XMATCH("FY"&amp;F$120,MO_Common_ColumnHeader))))</f>
        <v>772.702</v>
      </c>
      <c r="G121" s="752">
        <f>C36</f>
        <v>538.98372365711271</v>
      </c>
      <c r="H121" s="740"/>
    </row>
    <row r="122" spans="1:8" ht="14.1" customHeight="1">
      <c r="A122" s="627"/>
      <c r="B122" s="752"/>
      <c r="C122" s="752"/>
      <c r="D122" s="752"/>
      <c r="E122" s="752"/>
      <c r="F122" s="752"/>
      <c r="G122" s="752"/>
      <c r="H122" s="740"/>
    </row>
    <row r="123" spans="1:8" ht="14.1" customHeight="1">
      <c r="A123" s="627" t="s">
        <v>37</v>
      </c>
      <c r="B123" s="753">
        <f t="shared" ref="B123:G123" si="27">_xlfn.SINGLE(INDEX(MO_RIS_DA,0,_xlfn.SINGLE(_xlfn.XMATCH("FY"&amp;B$120,MO_Common_ColumnHeader))))</f>
        <v>25.309000000000001</v>
      </c>
      <c r="C123" s="753">
        <f t="shared" si="27"/>
        <v>25.79</v>
      </c>
      <c r="D123" s="753">
        <f t="shared" si="27"/>
        <v>27.062999999999999</v>
      </c>
      <c r="E123" s="753">
        <f t="shared" si="27"/>
        <v>35.031999999999996</v>
      </c>
      <c r="F123" s="753">
        <f t="shared" si="27"/>
        <v>33.048999999999999</v>
      </c>
      <c r="G123" s="753">
        <f t="shared" si="27"/>
        <v>33.052</v>
      </c>
      <c r="H123" s="740"/>
    </row>
    <row r="124" spans="1:8" ht="14.1" customHeight="1">
      <c r="A124" s="627" t="s">
        <v>1068</v>
      </c>
      <c r="B124" s="754">
        <f t="shared" ref="B124:G124" si="28">B123/B$121</f>
        <v>3.6558959610214957E-2</v>
      </c>
      <c r="C124" s="754">
        <f t="shared" si="28"/>
        <v>4.0734580800255236E-2</v>
      </c>
      <c r="D124" s="754">
        <f t="shared" si="28"/>
        <v>4.3337966640190621E-2</v>
      </c>
      <c r="E124" s="754">
        <f t="shared" si="28"/>
        <v>4.3612497136653813E-2</v>
      </c>
      <c r="F124" s="754">
        <f t="shared" si="28"/>
        <v>4.277069297089952E-2</v>
      </c>
      <c r="G124" s="754">
        <f t="shared" si="28"/>
        <v>6.1322816532817633E-2</v>
      </c>
      <c r="H124" s="754">
        <f t="array" ref="H124">MEDIAN(IF(B124:G124&lt;&gt;0,B124:G124))</f>
        <v>4.305432980554507E-2</v>
      </c>
    </row>
    <row r="125" spans="1:8" ht="14.1" customHeight="1">
      <c r="A125" s="627"/>
      <c r="B125" s="740"/>
      <c r="C125" s="740"/>
      <c r="D125" s="740"/>
      <c r="E125" s="740"/>
      <c r="F125" s="740"/>
      <c r="G125" s="740"/>
      <c r="H125" s="740"/>
    </row>
    <row r="126" spans="1:8" ht="14.1" customHeight="1">
      <c r="A126" s="627" t="s">
        <v>22</v>
      </c>
      <c r="B126" s="753">
        <f t="shared" ref="B126:G126" si="29">_xlfn.SINGLE(INDEX(SP_CFA_Capex,_xlfn.SINGLE(_xlfn.XMATCH("FY"&amp;B$120,MO_Common_ColumnHeader))))</f>
        <v>-18.640999999999998</v>
      </c>
      <c r="C126" s="753">
        <f t="shared" si="29"/>
        <v>-13.037000000000001</v>
      </c>
      <c r="D126" s="753">
        <f t="shared" si="29"/>
        <v>-13.478</v>
      </c>
      <c r="E126" s="753">
        <f t="shared" si="29"/>
        <v>-16.317</v>
      </c>
      <c r="F126" s="753">
        <f t="shared" si="29"/>
        <v>-12.083</v>
      </c>
      <c r="G126" s="753">
        <f t="shared" si="29"/>
        <v>-8.0050000000000008</v>
      </c>
      <c r="H126" s="740"/>
    </row>
    <row r="127" spans="1:8" ht="14.1" customHeight="1">
      <c r="A127" s="627" t="s">
        <v>1069</v>
      </c>
      <c r="B127" s="754">
        <f t="shared" ref="B127:G127" si="30">B126/B$121</f>
        <v>-2.6927004863646013E-2</v>
      </c>
      <c r="C127" s="754">
        <f t="shared" si="30"/>
        <v>-2.0591575412676526E-2</v>
      </c>
      <c r="D127" s="754">
        <f t="shared" si="30"/>
        <v>-2.1583309846524377E-2</v>
      </c>
      <c r="E127" s="754">
        <f t="shared" si="30"/>
        <v>-2.0313573754817894E-2</v>
      </c>
      <c r="F127" s="754">
        <f t="shared" si="30"/>
        <v>-1.5637334962249352E-2</v>
      </c>
      <c r="G127" s="754">
        <f t="shared" si="30"/>
        <v>-1.4852025485453382E-2</v>
      </c>
      <c r="H127" s="754">
        <f t="array" ref="H127">MEDIAN(IF(B127:G127&lt;&gt;0,B127:G127))</f>
        <v>-2.0452574583747211E-2</v>
      </c>
    </row>
    <row r="128" spans="1:8" ht="14.1" customHeight="1">
      <c r="A128" s="627"/>
      <c r="B128" s="740"/>
      <c r="C128" s="740"/>
      <c r="D128" s="740"/>
      <c r="E128" s="740"/>
      <c r="F128" s="740"/>
      <c r="G128" s="740"/>
      <c r="H128" s="740"/>
    </row>
    <row r="129" spans="1:8" customFormat="1" ht="14.1" customHeight="1">
      <c r="A129" s="627" t="s">
        <v>164</v>
      </c>
      <c r="B129" s="754">
        <f t="shared" ref="B129:G129" si="31">_xlfn.SINGLE(INDEX(MO_BS_AR,0,_xlfn.SINGLE(_xlfn.XMATCH("FY"&amp;B$120,MO_Common_ColumnHeader))))/B$121</f>
        <v>0.13762803725087719</v>
      </c>
      <c r="C129" s="754">
        <f t="shared" si="31"/>
        <v>0.17281792005660826</v>
      </c>
      <c r="D129" s="754">
        <f t="shared" si="31"/>
        <v>0.21239494990904198</v>
      </c>
      <c r="E129" s="754">
        <f t="shared" si="31"/>
        <v>0.22696126764070235</v>
      </c>
      <c r="F129" s="754">
        <f t="shared" si="31"/>
        <v>0.19153308778804765</v>
      </c>
      <c r="G129" s="754">
        <f t="shared" si="31"/>
        <v>0.19272221950467264</v>
      </c>
    </row>
    <row r="130" spans="1:8" customFormat="1" ht="14.1" customHeight="1">
      <c r="A130" s="627" t="s">
        <v>149</v>
      </c>
      <c r="B130" s="754">
        <v>4.9224040892399103E-2</v>
      </c>
      <c r="C130" s="754">
        <v>4.3050661149009087E-2</v>
      </c>
      <c r="D130" s="754">
        <v>6.0332276361037919E-2</v>
      </c>
      <c r="E130" s="754">
        <v>5.5168541350132425E-2</v>
      </c>
      <c r="F130" s="754">
        <v>5.4027808008495964E-2</v>
      </c>
      <c r="G130" s="754">
        <v>5.4027808008495964E-2</v>
      </c>
    </row>
    <row r="131" spans="1:8" ht="14.1" customHeight="1">
      <c r="A131" s="627" t="s">
        <v>1070</v>
      </c>
      <c r="B131" s="755">
        <f t="shared" ref="B131:G131" si="32">SUM(B129:B129)-SUM(B130:B130)</f>
        <v>8.8403996358478093E-2</v>
      </c>
      <c r="C131" s="755">
        <f t="shared" si="32"/>
        <v>0.12976725890759916</v>
      </c>
      <c r="D131" s="755">
        <f t="shared" si="32"/>
        <v>0.15206267354800407</v>
      </c>
      <c r="E131" s="755">
        <f t="shared" si="32"/>
        <v>0.17179272629056991</v>
      </c>
      <c r="F131" s="755">
        <f t="shared" si="32"/>
        <v>0.13750527977955168</v>
      </c>
      <c r="G131" s="755">
        <f t="shared" si="32"/>
        <v>0.13869441149617667</v>
      </c>
      <c r="H131" s="754">
        <f t="array" ref="H131">MEDIAN(IF(B131:G131&lt;&gt;0,B131:G131))</f>
        <v>0.13809984563786418</v>
      </c>
    </row>
    <row r="132" spans="1:8" ht="14.1" customHeight="1">
      <c r="A132" s="627"/>
    </row>
    <row r="133" spans="1:8" ht="14.1" customHeight="1">
      <c r="A133" s="627" t="s">
        <v>1071</v>
      </c>
    </row>
    <row r="134" spans="1:8" ht="14.1" customHeight="1">
      <c r="A134" s="627" t="s">
        <v>73</v>
      </c>
      <c r="B134" s="753">
        <f t="shared" ref="B134:G134" si="33">_xlfn.SINGLE(INDEX(MO_RIS_SBC,_xlfn.SINGLE(_xlfn.XMATCH("FY"&amp;B$120,MO_Common_ColumnHeader))))</f>
        <v>2.274</v>
      </c>
      <c r="C134" s="753">
        <f t="shared" si="33"/>
        <v>2.2810000000000001</v>
      </c>
      <c r="D134" s="753">
        <f t="shared" si="33"/>
        <v>2.5979999999999999</v>
      </c>
      <c r="E134" s="753">
        <f t="shared" si="33"/>
        <v>3.0979999999999999</v>
      </c>
      <c r="F134" s="753">
        <f t="shared" si="33"/>
        <v>3.843</v>
      </c>
      <c r="G134" s="753">
        <f t="shared" si="33"/>
        <v>5.2060000000000004</v>
      </c>
    </row>
    <row r="135" spans="1:8" ht="14.1" customHeight="1">
      <c r="A135" s="627" t="s">
        <v>1072</v>
      </c>
      <c r="B135" s="754">
        <f t="shared" ref="B135:G135" si="34">B134/B$121</f>
        <v>3.284802803493967E-3</v>
      </c>
      <c r="C135" s="754">
        <f t="shared" si="34"/>
        <v>3.6027754480566967E-3</v>
      </c>
      <c r="D135" s="754">
        <f t="shared" si="34"/>
        <v>4.1603679315380861E-3</v>
      </c>
      <c r="E135" s="754">
        <f t="shared" si="34"/>
        <v>3.8568028125529098E-3</v>
      </c>
      <c r="F135" s="754">
        <f t="shared" si="34"/>
        <v>4.9734567789393586E-3</v>
      </c>
      <c r="G135" s="754">
        <f t="shared" si="34"/>
        <v>9.6589187604335172E-3</v>
      </c>
      <c r="H135" s="754">
        <f t="array" ref="H135">MEDIAN(IF(B135:G135&lt;&gt;0,B135:G135))</f>
        <v>4.008585372045498E-3</v>
      </c>
    </row>
    <row r="137" spans="1:8" ht="14.1" customHeight="1">
      <c r="A137" s="627" t="s">
        <v>1073</v>
      </c>
      <c r="B137" s="756"/>
      <c r="C137" s="756"/>
      <c r="D137" s="756"/>
      <c r="E137" s="756"/>
      <c r="F137" s="756"/>
      <c r="G137" s="756"/>
    </row>
    <row r="138" spans="1:8" ht="14.1" customHeight="1">
      <c r="A138" s="627" t="s">
        <v>1074</v>
      </c>
      <c r="B138" s="754">
        <f t="shared" ref="B138:G138" si="35">B137/B$121</f>
        <v>0</v>
      </c>
      <c r="C138" s="754">
        <f t="shared" si="35"/>
        <v>0</v>
      </c>
      <c r="D138" s="754">
        <f t="shared" si="35"/>
        <v>0</v>
      </c>
      <c r="E138" s="754">
        <f t="shared" si="35"/>
        <v>0</v>
      </c>
      <c r="F138" s="754">
        <f t="shared" si="35"/>
        <v>0</v>
      </c>
      <c r="G138" s="754">
        <f t="shared" si="35"/>
        <v>0</v>
      </c>
      <c r="H138" s="754">
        <f t="array" ref="H138">IFERROR(MEDIAN(IF(B138:G138&lt;&gt;0,B138:G138)),0)</f>
        <v>0</v>
      </c>
    </row>
    <row r="140" spans="1:8" ht="14.1" customHeight="1">
      <c r="A140" s="614" t="s">
        <v>1075</v>
      </c>
      <c r="B140" s="753">
        <f t="shared" ref="B140:G140" ca="1" si="36">_xlfn.SINGLE(INDEX(MO_VA_EV,_xlfn.SINGLE(_xlfn.XMATCH("FY"&amp;B$120,MO_Common_ColumnHeader))))</f>
        <v>1686.0202342337998</v>
      </c>
      <c r="C140" s="753">
        <f t="shared" ca="1" si="36"/>
        <v>1094.4714399999998</v>
      </c>
      <c r="D140" s="753">
        <f t="shared" ca="1" si="36"/>
        <v>1196.3810499999993</v>
      </c>
      <c r="E140" s="753">
        <f t="shared" ca="1" si="36"/>
        <v>1317.2217558055777</v>
      </c>
      <c r="F140" s="753">
        <f t="shared" ca="1" si="36"/>
        <v>1247.6820097222233</v>
      </c>
      <c r="G140" s="753">
        <f t="shared" ca="1" si="36"/>
        <v>408.50729051172516</v>
      </c>
    </row>
    <row r="141" spans="1:8" ht="14.1" customHeight="1">
      <c r="A141" s="614" t="s">
        <v>11</v>
      </c>
      <c r="B141" s="753">
        <f t="shared" ref="B141:G141" si="37">_xlfn.SINGLE(INDEX(MO_RIS_EBITDA,_xlfn.SINGLE(_xlfn.XMATCH("FY"&amp;B$120,MO_Common_ColumnHeader))))</f>
        <v>126.38400000000003</v>
      </c>
      <c r="C141" s="753">
        <f t="shared" si="37"/>
        <v>101.21000000000006</v>
      </c>
      <c r="D141" s="753">
        <f t="shared" si="37"/>
        <v>77.999000000000038</v>
      </c>
      <c r="E141" s="753">
        <f t="shared" si="37"/>
        <v>101.79300000000006</v>
      </c>
      <c r="F141" s="753">
        <f t="shared" si="37"/>
        <v>49.676000000000016</v>
      </c>
      <c r="G141" s="753">
        <f t="shared" si="37"/>
        <v>37.91264000000001</v>
      </c>
    </row>
    <row r="142" spans="1:8" ht="14.1" customHeight="1">
      <c r="A142" s="614" t="s">
        <v>1076</v>
      </c>
      <c r="B142" s="757">
        <f t="shared" ref="B142:G142" ca="1" si="38">B140/B141</f>
        <v>13.340456341259966</v>
      </c>
      <c r="C142" s="757">
        <f t="shared" ca="1" si="38"/>
        <v>10.813866613970943</v>
      </c>
      <c r="D142" s="757">
        <f t="shared" ca="1" si="38"/>
        <v>15.338415236092754</v>
      </c>
      <c r="E142" s="757">
        <f t="shared" ca="1" si="38"/>
        <v>12.940199776070818</v>
      </c>
      <c r="F142" s="757">
        <f t="shared" ca="1" si="38"/>
        <v>25.116394430353147</v>
      </c>
      <c r="G142" s="757">
        <f t="shared" ca="1" si="38"/>
        <v>10.774962928240425</v>
      </c>
      <c r="H142" s="758">
        <f t="array" aca="1" ref="H142" ca="1">MEDIAN(IF(B142:G142&lt;&gt;0,B142:G142))</f>
        <v>13.140328058665393</v>
      </c>
    </row>
    <row r="144" spans="1:8" ht="14.1" customHeight="1">
      <c r="A144" s="614" t="s">
        <v>1077</v>
      </c>
      <c r="B144" s="753">
        <f t="shared" ref="B144:G144" si="39">_xlfn.SINGLE(INDEX(MO_RIS_SBC,_xlfn.SINGLE(_xlfn.XMATCH("FY"&amp;B$120,MO_Common_ColumnHeader))))</f>
        <v>2.274</v>
      </c>
      <c r="C144" s="753">
        <f t="shared" si="39"/>
        <v>2.2810000000000001</v>
      </c>
      <c r="D144" s="753">
        <f t="shared" si="39"/>
        <v>2.5979999999999999</v>
      </c>
      <c r="E144" s="753">
        <f t="shared" si="39"/>
        <v>3.0979999999999999</v>
      </c>
      <c r="F144" s="753">
        <f t="shared" si="39"/>
        <v>3.843</v>
      </c>
      <c r="G144" s="753">
        <f t="shared" si="39"/>
        <v>5.2060000000000004</v>
      </c>
    </row>
    <row r="145" spans="1:8" ht="14.1" customHeight="1">
      <c r="A145" s="614" t="s">
        <v>1078</v>
      </c>
      <c r="B145" s="753">
        <f t="shared" ref="B145:G145" ca="1" si="40">_xlfn.SINGLE(INDEX(MO_VA_StockPrice,_xlfn.SINGLE(_xlfn.XMATCH("FY"&amp;B$120,MO_Common_ColumnHeader))))</f>
        <v>44.275683999999998</v>
      </c>
      <c r="C145" s="753">
        <f t="shared" ca="1" si="40"/>
        <v>27.919565217391298</v>
      </c>
      <c r="D145" s="753">
        <f t="shared" ca="1" si="40"/>
        <v>27.953260869565199</v>
      </c>
      <c r="E145" s="753">
        <f t="shared" ca="1" si="40"/>
        <v>33.192351394422303</v>
      </c>
      <c r="F145" s="753">
        <f t="shared" ca="1" si="40"/>
        <v>32.8355158730159</v>
      </c>
      <c r="G145" s="753">
        <f t="shared" ca="1" si="40"/>
        <v>10.119999999999999</v>
      </c>
    </row>
    <row r="146" spans="1:8" ht="14.1" customHeight="1">
      <c r="A146" s="614" t="s">
        <v>1079</v>
      </c>
      <c r="B146" s="757">
        <f t="shared" ref="B146:G146" ca="1" si="41">B144/B145*1000</f>
        <v>51.360019644191162</v>
      </c>
      <c r="C146" s="757">
        <f t="shared" ca="1" si="41"/>
        <v>81.698979989099143</v>
      </c>
      <c r="D146" s="757">
        <f t="shared" ca="1" si="41"/>
        <v>92.940856242952194</v>
      </c>
      <c r="E146" s="757">
        <f t="shared" ca="1" si="41"/>
        <v>93.334755443707209</v>
      </c>
      <c r="F146" s="757">
        <f t="shared" ca="1" si="41"/>
        <v>117.03790538458276</v>
      </c>
      <c r="G146" s="757">
        <f t="shared" ca="1" si="41"/>
        <v>514.42687747035575</v>
      </c>
    </row>
    <row r="148" spans="1:8" ht="14.1" customHeight="1">
      <c r="A148" s="627" t="s">
        <v>1004</v>
      </c>
      <c r="B148" s="759">
        <f t="shared" ref="B148:G148" si="42">_xlfn.SINGLE(INDEX(MO_RIS_Tax_Current,_xlfn.SINGLE(_xlfn.XMATCH("FY"&amp;B$120,MO_Common_ColumnHeader))))+_xlfn.SINGLE(INDEX(MO_RIS_Tax_Deferred,_xlfn.SINGLE(_xlfn.XMATCH("FY"&amp;B$120,MO_Common_ColumnHeader))))</f>
        <v>27.076000000000001</v>
      </c>
      <c r="C148" s="759">
        <f t="shared" si="42"/>
        <v>20.361000000000001</v>
      </c>
      <c r="D148" s="759">
        <f t="shared" si="42"/>
        <v>5.3120000000000012</v>
      </c>
      <c r="E148" s="759">
        <f t="shared" si="42"/>
        <v>5.479000000000001</v>
      </c>
      <c r="F148" s="759">
        <f t="shared" si="42"/>
        <v>16.286000000000001</v>
      </c>
      <c r="G148" s="759">
        <f t="shared" ca="1" si="42"/>
        <v>-3.4351098921234056</v>
      </c>
    </row>
    <row r="149" spans="1:8" ht="14.1" customHeight="1">
      <c r="A149" s="627" t="s">
        <v>1080</v>
      </c>
      <c r="B149" s="760">
        <f t="shared" ref="B149:G149" si="43">B148/(_xlfn.SINGLE(INDEX(MO_RIS_EBIT,0,_xlfn.SINGLE(_xlfn.XMATCH("FY"&amp;B$120,MO_Common_ColumnHeader))))-_xlfn.SINGLE(INDEX(MO_RIS_IE,0,_xlfn.SINGLE(_xlfn.XMATCH("FY"&amp;B$120,MO_Common_ColumnHeader)))))</f>
        <v>0.28788942052099942</v>
      </c>
      <c r="C149" s="760">
        <f t="shared" si="43"/>
        <v>0.29600930435414669</v>
      </c>
      <c r="D149" s="760">
        <f t="shared" si="43"/>
        <v>0.12362400800577153</v>
      </c>
      <c r="E149" s="760">
        <f t="shared" si="43"/>
        <v>0.10155135024929095</v>
      </c>
      <c r="F149" s="760">
        <f t="shared" si="43"/>
        <v>2.4516031913292116</v>
      </c>
      <c r="G149" s="760">
        <f t="shared" ca="1" si="43"/>
        <v>0.50222854332025124</v>
      </c>
      <c r="H149" s="754">
        <f t="array" aca="1" ref="H149" ca="1">IFERROR(MEDIAN(IF(B149:G149&lt;&gt;0,B149:G149)),0)</f>
        <v>0.29194936243757308</v>
      </c>
    </row>
  </sheetData>
  <pageMargins left="0.25" right="0.25" top="0.75" bottom="0.75" header="0.3" footer="0.3"/>
  <pageSetup scale="98" fitToHeight="2" orientation="landscape" errors="blank" r:id="rId1"/>
  <headerFooter alignWithMargins="0"/>
  <rowBreaks count="1" manualBreakCount="1">
    <brk id="59" max="12"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61E59-423D-4C7C-BF33-657F5B4FF03B}">
  <sheetPr codeName="Sheet6"/>
  <dimension ref="B3:EE213"/>
  <sheetViews>
    <sheetView topLeftCell="BV173" workbookViewId="0">
      <selection activeCell="CQ204" sqref="CQ204"/>
    </sheetView>
  </sheetViews>
  <sheetFormatPr defaultRowHeight="15"/>
  <cols>
    <col min="2" max="2" width="10.5703125" bestFit="1" customWidth="1"/>
    <col min="4" max="7" width="9.7109375" bestFit="1" customWidth="1"/>
    <col min="8" max="18" width="9.85546875" bestFit="1" customWidth="1"/>
    <col min="19" max="19" width="9.7109375" bestFit="1" customWidth="1"/>
    <col min="20" max="78" width="9.140625" bestFit="1" customWidth="1"/>
    <col min="79" max="90" width="9.85546875" bestFit="1" customWidth="1"/>
    <col min="91" max="92" width="9.140625" bestFit="1" customWidth="1"/>
    <col min="93" max="107" width="9.85546875" bestFit="1" customWidth="1"/>
  </cols>
  <sheetData>
    <row r="3" spans="2:46">
      <c r="B3" t="s">
        <v>658</v>
      </c>
      <c r="C3" t="s">
        <v>659</v>
      </c>
      <c r="D3">
        <v>2005</v>
      </c>
      <c r="E3">
        <f t="shared" ref="E3:R3" si="0">D3+1</f>
        <v>2006</v>
      </c>
      <c r="F3">
        <f t="shared" si="0"/>
        <v>2007</v>
      </c>
      <c r="G3">
        <f t="shared" si="0"/>
        <v>2008</v>
      </c>
      <c r="H3">
        <f t="shared" si="0"/>
        <v>2009</v>
      </c>
      <c r="I3">
        <f t="shared" si="0"/>
        <v>2010</v>
      </c>
      <c r="J3">
        <f t="shared" si="0"/>
        <v>2011</v>
      </c>
      <c r="K3">
        <f t="shared" si="0"/>
        <v>2012</v>
      </c>
      <c r="L3">
        <f t="shared" si="0"/>
        <v>2013</v>
      </c>
      <c r="M3">
        <f t="shared" si="0"/>
        <v>2014</v>
      </c>
      <c r="N3">
        <f t="shared" si="0"/>
        <v>2015</v>
      </c>
      <c r="O3">
        <f t="shared" si="0"/>
        <v>2016</v>
      </c>
      <c r="P3">
        <f t="shared" si="0"/>
        <v>2017</v>
      </c>
      <c r="Q3">
        <f t="shared" si="0"/>
        <v>2018</v>
      </c>
      <c r="R3">
        <f t="shared" si="0"/>
        <v>2019</v>
      </c>
      <c r="S3">
        <v>2020</v>
      </c>
      <c r="T3">
        <f>S3+1</f>
        <v>2021</v>
      </c>
      <c r="U3">
        <f>T3+1</f>
        <v>2022</v>
      </c>
      <c r="V3">
        <f>U3+1</f>
        <v>2023</v>
      </c>
      <c r="W3">
        <f>V3+1</f>
        <v>2024</v>
      </c>
      <c r="X3">
        <f>W3+1</f>
        <v>2025</v>
      </c>
    </row>
    <row r="4" spans="2:46">
      <c r="C4" t="s">
        <v>658</v>
      </c>
      <c r="D4">
        <v>0.08</v>
      </c>
      <c r="E4">
        <v>6.2E-2</v>
      </c>
      <c r="F4">
        <v>8.2500000000000004E-2</v>
      </c>
      <c r="G4">
        <v>0.02</v>
      </c>
      <c r="H4">
        <v>-1.0999999999999999E-2</v>
      </c>
      <c r="I4">
        <v>0.08</v>
      </c>
      <c r="J4">
        <v>6.6000000000000003E-2</v>
      </c>
      <c r="K4">
        <v>5.2999999999999999E-2</v>
      </c>
      <c r="L4">
        <v>5.5E-2</v>
      </c>
      <c r="M4">
        <v>0.06</v>
      </c>
      <c r="N4">
        <v>7.4999999999999997E-2</v>
      </c>
      <c r="O4">
        <v>7.3999999999999996E-2</v>
      </c>
      <c r="P4">
        <v>0.08</v>
      </c>
      <c r="Q4">
        <v>7.0999999999999994E-2</v>
      </c>
      <c r="R4">
        <v>4.2000000000000003E-2</v>
      </c>
      <c r="S4">
        <v>-0.23</v>
      </c>
      <c r="T4">
        <v>0.12</v>
      </c>
      <c r="U4">
        <v>0.08</v>
      </c>
      <c r="V4">
        <f>MEDIAN(I4:R4)</f>
        <v>6.8500000000000005E-2</v>
      </c>
      <c r="W4">
        <f>AVERAGE(P4:R4)</f>
        <v>6.433333333333334E-2</v>
      </c>
      <c r="X4">
        <v>0.05</v>
      </c>
    </row>
    <row r="6" spans="2:46">
      <c r="B6" t="s">
        <v>660</v>
      </c>
      <c r="D6" s="587">
        <v>43466</v>
      </c>
      <c r="E6" s="587">
        <v>43497</v>
      </c>
      <c r="F6" s="587">
        <v>43525</v>
      </c>
      <c r="G6" s="587">
        <v>43556</v>
      </c>
      <c r="H6" s="587">
        <v>43586</v>
      </c>
      <c r="I6" s="587">
        <v>43617</v>
      </c>
      <c r="J6" s="587">
        <v>43647</v>
      </c>
      <c r="K6" s="587">
        <v>43678</v>
      </c>
      <c r="L6" s="587">
        <v>43709</v>
      </c>
      <c r="M6" s="587">
        <v>43739</v>
      </c>
      <c r="N6" s="587">
        <v>43770</v>
      </c>
      <c r="O6" s="587">
        <v>43800</v>
      </c>
      <c r="P6" s="587">
        <v>43831</v>
      </c>
      <c r="Q6" s="587">
        <v>43862</v>
      </c>
      <c r="R6" s="587">
        <v>43891</v>
      </c>
      <c r="S6" s="587">
        <v>43922</v>
      </c>
      <c r="T6" s="587">
        <v>43952</v>
      </c>
      <c r="U6" s="587">
        <v>43983</v>
      </c>
      <c r="V6" s="587">
        <v>44013</v>
      </c>
      <c r="W6" s="587">
        <v>44044</v>
      </c>
      <c r="X6" s="587">
        <v>44075</v>
      </c>
      <c r="Y6" s="587">
        <v>44105</v>
      </c>
      <c r="Z6" s="587">
        <v>44136</v>
      </c>
      <c r="AA6" s="587">
        <v>44166</v>
      </c>
      <c r="AB6" s="587">
        <v>44197</v>
      </c>
      <c r="AC6" s="587">
        <v>44228</v>
      </c>
      <c r="AD6" s="587">
        <v>44256</v>
      </c>
      <c r="AE6" s="587">
        <v>44287</v>
      </c>
      <c r="AF6" s="587">
        <v>44317</v>
      </c>
      <c r="AG6" s="587">
        <v>44348</v>
      </c>
      <c r="AH6" s="587">
        <v>44378</v>
      </c>
      <c r="AI6" s="587">
        <v>44409</v>
      </c>
      <c r="AJ6" s="587">
        <v>44440</v>
      </c>
      <c r="AK6" s="587">
        <v>44470</v>
      </c>
      <c r="AL6" s="587">
        <v>44501</v>
      </c>
      <c r="AM6" s="587">
        <v>44531</v>
      </c>
    </row>
    <row r="7" spans="2:46">
      <c r="C7" t="s">
        <v>661</v>
      </c>
      <c r="D7">
        <v>35</v>
      </c>
      <c r="E7">
        <v>35</v>
      </c>
      <c r="F7">
        <v>35</v>
      </c>
      <c r="G7">
        <v>37</v>
      </c>
      <c r="H7">
        <v>38</v>
      </c>
      <c r="I7">
        <v>40</v>
      </c>
      <c r="J7">
        <v>40</v>
      </c>
      <c r="K7">
        <v>40</v>
      </c>
      <c r="L7">
        <v>40</v>
      </c>
      <c r="M7">
        <v>40</v>
      </c>
      <c r="N7">
        <v>41</v>
      </c>
      <c r="O7">
        <v>41</v>
      </c>
      <c r="P7">
        <v>0</v>
      </c>
      <c r="Q7">
        <v>0</v>
      </c>
      <c r="R7">
        <v>0</v>
      </c>
      <c r="S7">
        <v>0</v>
      </c>
      <c r="T7">
        <v>0</v>
      </c>
      <c r="U7">
        <v>5</v>
      </c>
      <c r="V7">
        <v>7</v>
      </c>
      <c r="W7">
        <v>15</v>
      </c>
      <c r="X7">
        <v>15</v>
      </c>
      <c r="Y7">
        <v>20</v>
      </c>
      <c r="Z7">
        <v>20</v>
      </c>
      <c r="AA7">
        <v>25</v>
      </c>
      <c r="AB7">
        <v>25</v>
      </c>
      <c r="AC7">
        <v>25</v>
      </c>
      <c r="AD7">
        <v>25</v>
      </c>
      <c r="AE7">
        <v>30</v>
      </c>
      <c r="AF7">
        <v>30</v>
      </c>
      <c r="AG7">
        <v>30</v>
      </c>
      <c r="AH7">
        <v>30</v>
      </c>
      <c r="AI7">
        <v>35</v>
      </c>
      <c r="AJ7">
        <v>35</v>
      </c>
      <c r="AK7">
        <v>35</v>
      </c>
      <c r="AL7">
        <v>40</v>
      </c>
      <c r="AM7">
        <v>40</v>
      </c>
      <c r="AN7" s="587"/>
      <c r="AO7" s="587"/>
      <c r="AP7" s="587"/>
      <c r="AQ7" s="587"/>
      <c r="AR7" s="587"/>
      <c r="AS7" s="587"/>
      <c r="AT7" s="587"/>
    </row>
    <row r="8" spans="2:46">
      <c r="C8" t="s">
        <v>567</v>
      </c>
      <c r="D8">
        <v>19</v>
      </c>
      <c r="E8">
        <v>19</v>
      </c>
      <c r="F8">
        <v>19</v>
      </c>
      <c r="G8">
        <v>10</v>
      </c>
      <c r="H8">
        <v>0</v>
      </c>
      <c r="I8">
        <v>0</v>
      </c>
      <c r="J8">
        <v>0</v>
      </c>
      <c r="K8">
        <v>0</v>
      </c>
      <c r="L8">
        <v>0</v>
      </c>
      <c r="M8">
        <v>0</v>
      </c>
      <c r="N8">
        <v>0</v>
      </c>
      <c r="O8">
        <v>0</v>
      </c>
      <c r="P8">
        <v>0</v>
      </c>
      <c r="Q8">
        <v>0</v>
      </c>
      <c r="R8">
        <v>0</v>
      </c>
      <c r="S8">
        <v>0</v>
      </c>
      <c r="T8">
        <v>0</v>
      </c>
      <c r="U8">
        <v>0</v>
      </c>
      <c r="V8">
        <v>7</v>
      </c>
      <c r="W8">
        <v>15</v>
      </c>
      <c r="X8">
        <v>20</v>
      </c>
      <c r="Y8">
        <v>20</v>
      </c>
      <c r="Z8">
        <v>25</v>
      </c>
      <c r="AA8">
        <v>30</v>
      </c>
      <c r="AB8">
        <v>45</v>
      </c>
      <c r="AC8">
        <v>50</v>
      </c>
      <c r="AD8">
        <v>50</v>
      </c>
      <c r="AE8">
        <v>60</v>
      </c>
      <c r="AF8">
        <v>60</v>
      </c>
      <c r="AG8">
        <v>60</v>
      </c>
      <c r="AH8">
        <v>60</v>
      </c>
      <c r="AI8">
        <v>60</v>
      </c>
      <c r="AJ8">
        <v>60</v>
      </c>
      <c r="AK8">
        <v>50</v>
      </c>
      <c r="AL8">
        <v>50</v>
      </c>
      <c r="AM8">
        <v>60</v>
      </c>
    </row>
    <row r="9" spans="2:46">
      <c r="C9" t="s">
        <v>662</v>
      </c>
      <c r="D9">
        <f>D7-D8</f>
        <v>16</v>
      </c>
      <c r="E9">
        <f t="shared" ref="E9:AM9" si="1">(E7-E8)+D9</f>
        <v>32</v>
      </c>
      <c r="F9">
        <f t="shared" si="1"/>
        <v>48</v>
      </c>
      <c r="G9">
        <f t="shared" si="1"/>
        <v>75</v>
      </c>
      <c r="H9">
        <f t="shared" si="1"/>
        <v>113</v>
      </c>
      <c r="I9">
        <f t="shared" si="1"/>
        <v>153</v>
      </c>
      <c r="J9">
        <f t="shared" si="1"/>
        <v>193</v>
      </c>
      <c r="K9">
        <f t="shared" si="1"/>
        <v>233</v>
      </c>
      <c r="L9">
        <f t="shared" si="1"/>
        <v>273</v>
      </c>
      <c r="M9">
        <f t="shared" si="1"/>
        <v>313</v>
      </c>
      <c r="N9">
        <f t="shared" si="1"/>
        <v>354</v>
      </c>
      <c r="O9">
        <f t="shared" si="1"/>
        <v>395</v>
      </c>
      <c r="P9">
        <f t="shared" si="1"/>
        <v>395</v>
      </c>
      <c r="Q9">
        <f t="shared" si="1"/>
        <v>395</v>
      </c>
      <c r="R9">
        <f t="shared" si="1"/>
        <v>395</v>
      </c>
      <c r="S9">
        <f t="shared" si="1"/>
        <v>395</v>
      </c>
      <c r="T9">
        <f t="shared" si="1"/>
        <v>395</v>
      </c>
      <c r="U9">
        <f t="shared" si="1"/>
        <v>400</v>
      </c>
      <c r="V9">
        <f t="shared" si="1"/>
        <v>400</v>
      </c>
      <c r="W9">
        <f t="shared" si="1"/>
        <v>400</v>
      </c>
      <c r="X9">
        <f t="shared" si="1"/>
        <v>395</v>
      </c>
      <c r="Y9">
        <f t="shared" si="1"/>
        <v>395</v>
      </c>
      <c r="Z9">
        <f t="shared" si="1"/>
        <v>390</v>
      </c>
      <c r="AA9">
        <f t="shared" si="1"/>
        <v>385</v>
      </c>
      <c r="AB9">
        <f t="shared" si="1"/>
        <v>365</v>
      </c>
      <c r="AC9">
        <f t="shared" si="1"/>
        <v>340</v>
      </c>
      <c r="AD9">
        <f t="shared" si="1"/>
        <v>315</v>
      </c>
      <c r="AE9">
        <f t="shared" si="1"/>
        <v>285</v>
      </c>
      <c r="AF9">
        <f t="shared" si="1"/>
        <v>255</v>
      </c>
      <c r="AG9">
        <f t="shared" si="1"/>
        <v>225</v>
      </c>
      <c r="AH9">
        <f t="shared" si="1"/>
        <v>195</v>
      </c>
      <c r="AI9">
        <f t="shared" si="1"/>
        <v>170</v>
      </c>
      <c r="AJ9">
        <f t="shared" si="1"/>
        <v>145</v>
      </c>
      <c r="AK9">
        <f t="shared" si="1"/>
        <v>130</v>
      </c>
      <c r="AL9">
        <f t="shared" si="1"/>
        <v>120</v>
      </c>
      <c r="AM9">
        <f t="shared" si="1"/>
        <v>100</v>
      </c>
    </row>
    <row r="11" spans="2:46">
      <c r="B11" t="s">
        <v>660</v>
      </c>
      <c r="D11" s="587">
        <v>43466</v>
      </c>
      <c r="E11" s="587">
        <v>43497</v>
      </c>
      <c r="F11" s="587">
        <v>43525</v>
      </c>
      <c r="G11" s="587">
        <v>43556</v>
      </c>
      <c r="H11" s="587">
        <v>43586</v>
      </c>
      <c r="I11" s="587">
        <v>43617</v>
      </c>
      <c r="J11" s="587">
        <v>43647</v>
      </c>
      <c r="K11" s="587">
        <v>43678</v>
      </c>
      <c r="L11" s="587">
        <v>43709</v>
      </c>
      <c r="M11" s="587">
        <v>43739</v>
      </c>
      <c r="N11" s="587">
        <v>43770</v>
      </c>
      <c r="O11" s="587">
        <v>43800</v>
      </c>
      <c r="P11" s="587">
        <v>43831</v>
      </c>
      <c r="Q11" s="587">
        <v>43862</v>
      </c>
      <c r="R11" s="587">
        <v>43891</v>
      </c>
      <c r="S11" s="587">
        <v>43922</v>
      </c>
      <c r="T11" s="587">
        <v>43952</v>
      </c>
      <c r="U11" s="587">
        <v>43983</v>
      </c>
      <c r="V11" s="587">
        <v>44013</v>
      </c>
      <c r="W11" s="587">
        <v>44044</v>
      </c>
      <c r="X11" s="587">
        <v>44075</v>
      </c>
      <c r="Y11" s="587">
        <v>44105</v>
      </c>
      <c r="Z11" s="587">
        <v>44136</v>
      </c>
      <c r="AA11" s="587">
        <v>44166</v>
      </c>
      <c r="AB11" s="587">
        <v>44197</v>
      </c>
      <c r="AC11" s="587">
        <v>44228</v>
      </c>
      <c r="AD11" s="587">
        <v>44256</v>
      </c>
      <c r="AE11" s="587">
        <v>44287</v>
      </c>
      <c r="AF11" s="587">
        <v>44317</v>
      </c>
      <c r="AG11" s="587">
        <v>44348</v>
      </c>
      <c r="AH11" s="587">
        <v>44378</v>
      </c>
      <c r="AI11" s="587">
        <v>44409</v>
      </c>
      <c r="AJ11" s="587">
        <v>44440</v>
      </c>
      <c r="AK11" s="587">
        <v>44470</v>
      </c>
      <c r="AL11" s="587">
        <v>44501</v>
      </c>
      <c r="AM11" s="587">
        <v>44531</v>
      </c>
    </row>
    <row r="12" spans="2:46">
      <c r="B12" t="s">
        <v>663</v>
      </c>
      <c r="C12" t="s">
        <v>661</v>
      </c>
      <c r="D12">
        <v>35</v>
      </c>
      <c r="E12">
        <v>35</v>
      </c>
      <c r="F12">
        <v>35</v>
      </c>
      <c r="G12">
        <v>37</v>
      </c>
      <c r="H12">
        <v>38</v>
      </c>
      <c r="I12">
        <v>40</v>
      </c>
      <c r="J12">
        <v>40</v>
      </c>
      <c r="K12">
        <v>40</v>
      </c>
      <c r="L12">
        <v>40</v>
      </c>
      <c r="M12">
        <v>40</v>
      </c>
      <c r="N12">
        <v>41</v>
      </c>
      <c r="O12">
        <v>41</v>
      </c>
      <c r="P12">
        <v>0</v>
      </c>
      <c r="Q12">
        <v>0</v>
      </c>
      <c r="R12">
        <v>0</v>
      </c>
      <c r="S12">
        <v>0</v>
      </c>
      <c r="T12">
        <v>0</v>
      </c>
      <c r="U12">
        <v>5</v>
      </c>
      <c r="V12">
        <v>5</v>
      </c>
      <c r="W12">
        <v>10</v>
      </c>
      <c r="X12">
        <v>10</v>
      </c>
      <c r="Y12">
        <v>15</v>
      </c>
      <c r="Z12">
        <v>15</v>
      </c>
      <c r="AA12">
        <v>15</v>
      </c>
      <c r="AB12">
        <v>20</v>
      </c>
      <c r="AC12">
        <v>20</v>
      </c>
      <c r="AD12">
        <v>20</v>
      </c>
      <c r="AE12">
        <v>20</v>
      </c>
      <c r="AF12">
        <v>20</v>
      </c>
      <c r="AG12">
        <v>20</v>
      </c>
      <c r="AH12">
        <v>25</v>
      </c>
      <c r="AI12">
        <v>25</v>
      </c>
      <c r="AJ12">
        <v>25</v>
      </c>
      <c r="AK12">
        <v>30</v>
      </c>
      <c r="AL12">
        <v>30</v>
      </c>
      <c r="AM12">
        <v>30</v>
      </c>
    </row>
    <row r="13" spans="2:46">
      <c r="C13" t="s">
        <v>567</v>
      </c>
      <c r="D13">
        <v>19</v>
      </c>
      <c r="E13">
        <v>19</v>
      </c>
      <c r="F13">
        <v>19</v>
      </c>
      <c r="G13">
        <v>10</v>
      </c>
      <c r="H13">
        <v>0</v>
      </c>
      <c r="I13">
        <v>0</v>
      </c>
      <c r="J13">
        <v>0</v>
      </c>
      <c r="K13">
        <v>0</v>
      </c>
      <c r="L13">
        <v>0</v>
      </c>
      <c r="M13">
        <v>0</v>
      </c>
      <c r="N13">
        <v>0</v>
      </c>
      <c r="O13">
        <v>0</v>
      </c>
      <c r="P13">
        <v>0</v>
      </c>
      <c r="Q13">
        <v>0</v>
      </c>
      <c r="R13">
        <v>0</v>
      </c>
      <c r="S13">
        <v>0</v>
      </c>
      <c r="T13">
        <v>0</v>
      </c>
      <c r="U13">
        <v>0</v>
      </c>
      <c r="V13">
        <v>5</v>
      </c>
      <c r="W13">
        <v>10</v>
      </c>
      <c r="X13">
        <v>10</v>
      </c>
      <c r="Y13">
        <v>15</v>
      </c>
      <c r="Z13">
        <v>15</v>
      </c>
      <c r="AA13">
        <v>15</v>
      </c>
      <c r="AB13">
        <v>25</v>
      </c>
      <c r="AC13">
        <v>30</v>
      </c>
      <c r="AD13">
        <v>30</v>
      </c>
      <c r="AE13">
        <v>33</v>
      </c>
      <c r="AF13">
        <v>35</v>
      </c>
      <c r="AG13">
        <v>35</v>
      </c>
      <c r="AH13">
        <v>35</v>
      </c>
      <c r="AI13">
        <v>35</v>
      </c>
      <c r="AJ13">
        <v>35</v>
      </c>
      <c r="AK13">
        <v>40</v>
      </c>
      <c r="AL13">
        <v>40</v>
      </c>
      <c r="AM13">
        <v>45</v>
      </c>
    </row>
    <row r="14" spans="2:46">
      <c r="C14" t="s">
        <v>662</v>
      </c>
      <c r="D14">
        <f>D12-D13</f>
        <v>16</v>
      </c>
      <c r="E14">
        <f t="shared" ref="E14:AM14" si="2">(E12-E13)+D14</f>
        <v>32</v>
      </c>
      <c r="F14">
        <f t="shared" si="2"/>
        <v>48</v>
      </c>
      <c r="G14">
        <f t="shared" si="2"/>
        <v>75</v>
      </c>
      <c r="H14">
        <f t="shared" si="2"/>
        <v>113</v>
      </c>
      <c r="I14">
        <f t="shared" si="2"/>
        <v>153</v>
      </c>
      <c r="J14">
        <f t="shared" si="2"/>
        <v>193</v>
      </c>
      <c r="K14">
        <f t="shared" si="2"/>
        <v>233</v>
      </c>
      <c r="L14">
        <f t="shared" si="2"/>
        <v>273</v>
      </c>
      <c r="M14">
        <f t="shared" si="2"/>
        <v>313</v>
      </c>
      <c r="N14">
        <f t="shared" si="2"/>
        <v>354</v>
      </c>
      <c r="O14">
        <f t="shared" si="2"/>
        <v>395</v>
      </c>
      <c r="P14">
        <f t="shared" si="2"/>
        <v>395</v>
      </c>
      <c r="Q14">
        <f t="shared" si="2"/>
        <v>395</v>
      </c>
      <c r="R14">
        <f t="shared" si="2"/>
        <v>395</v>
      </c>
      <c r="S14">
        <f t="shared" si="2"/>
        <v>395</v>
      </c>
      <c r="T14">
        <f t="shared" si="2"/>
        <v>395</v>
      </c>
      <c r="U14">
        <f t="shared" si="2"/>
        <v>400</v>
      </c>
      <c r="V14">
        <f t="shared" si="2"/>
        <v>400</v>
      </c>
      <c r="W14">
        <f t="shared" si="2"/>
        <v>400</v>
      </c>
      <c r="X14">
        <f t="shared" si="2"/>
        <v>400</v>
      </c>
      <c r="Y14">
        <f t="shared" si="2"/>
        <v>400</v>
      </c>
      <c r="Z14">
        <f t="shared" si="2"/>
        <v>400</v>
      </c>
      <c r="AA14">
        <f t="shared" si="2"/>
        <v>400</v>
      </c>
      <c r="AB14">
        <f t="shared" si="2"/>
        <v>395</v>
      </c>
      <c r="AC14">
        <f t="shared" si="2"/>
        <v>385</v>
      </c>
      <c r="AD14">
        <f t="shared" si="2"/>
        <v>375</v>
      </c>
      <c r="AE14">
        <f t="shared" si="2"/>
        <v>362</v>
      </c>
      <c r="AF14">
        <f t="shared" si="2"/>
        <v>347</v>
      </c>
      <c r="AG14">
        <f t="shared" si="2"/>
        <v>332</v>
      </c>
      <c r="AH14">
        <f t="shared" si="2"/>
        <v>322</v>
      </c>
      <c r="AI14">
        <f t="shared" si="2"/>
        <v>312</v>
      </c>
      <c r="AJ14">
        <f t="shared" si="2"/>
        <v>302</v>
      </c>
      <c r="AK14">
        <f t="shared" si="2"/>
        <v>292</v>
      </c>
      <c r="AL14">
        <f t="shared" si="2"/>
        <v>282</v>
      </c>
      <c r="AM14">
        <f t="shared" si="2"/>
        <v>267</v>
      </c>
    </row>
    <row r="17" spans="2:34">
      <c r="B17" t="s">
        <v>664</v>
      </c>
      <c r="C17" t="s">
        <v>665</v>
      </c>
      <c r="D17">
        <v>0</v>
      </c>
      <c r="E17">
        <f t="shared" ref="E17:AH17" si="3">D17+1</f>
        <v>1</v>
      </c>
      <c r="F17">
        <f t="shared" si="3"/>
        <v>2</v>
      </c>
      <c r="G17">
        <f t="shared" si="3"/>
        <v>3</v>
      </c>
      <c r="H17">
        <f t="shared" si="3"/>
        <v>4</v>
      </c>
      <c r="I17">
        <f t="shared" si="3"/>
        <v>5</v>
      </c>
      <c r="J17">
        <f t="shared" si="3"/>
        <v>6</v>
      </c>
      <c r="K17">
        <f t="shared" si="3"/>
        <v>7</v>
      </c>
      <c r="L17">
        <f t="shared" si="3"/>
        <v>8</v>
      </c>
      <c r="M17">
        <f t="shared" si="3"/>
        <v>9</v>
      </c>
      <c r="N17">
        <f t="shared" si="3"/>
        <v>10</v>
      </c>
      <c r="O17">
        <f t="shared" si="3"/>
        <v>11</v>
      </c>
      <c r="P17">
        <f t="shared" si="3"/>
        <v>12</v>
      </c>
      <c r="Q17">
        <f t="shared" si="3"/>
        <v>13</v>
      </c>
      <c r="R17">
        <f t="shared" si="3"/>
        <v>14</v>
      </c>
      <c r="S17">
        <f t="shared" si="3"/>
        <v>15</v>
      </c>
      <c r="T17">
        <f t="shared" si="3"/>
        <v>16</v>
      </c>
      <c r="U17">
        <f t="shared" si="3"/>
        <v>17</v>
      </c>
      <c r="V17">
        <f t="shared" si="3"/>
        <v>18</v>
      </c>
      <c r="W17">
        <f t="shared" si="3"/>
        <v>19</v>
      </c>
      <c r="X17">
        <f t="shared" si="3"/>
        <v>20</v>
      </c>
      <c r="Y17">
        <f t="shared" si="3"/>
        <v>21</v>
      </c>
      <c r="Z17">
        <f t="shared" si="3"/>
        <v>22</v>
      </c>
      <c r="AA17">
        <f t="shared" si="3"/>
        <v>23</v>
      </c>
      <c r="AB17">
        <f t="shared" si="3"/>
        <v>24</v>
      </c>
      <c r="AC17">
        <f t="shared" si="3"/>
        <v>25</v>
      </c>
      <c r="AD17">
        <f t="shared" si="3"/>
        <v>26</v>
      </c>
      <c r="AE17">
        <f t="shared" si="3"/>
        <v>27</v>
      </c>
      <c r="AF17">
        <f t="shared" si="3"/>
        <v>28</v>
      </c>
      <c r="AG17">
        <f t="shared" si="3"/>
        <v>29</v>
      </c>
      <c r="AH17">
        <f t="shared" si="3"/>
        <v>30</v>
      </c>
    </row>
    <row r="18" spans="2:34">
      <c r="C18" t="s">
        <v>666</v>
      </c>
      <c r="D18">
        <v>149</v>
      </c>
      <c r="E18">
        <v>360</v>
      </c>
      <c r="F18">
        <v>365</v>
      </c>
      <c r="G18">
        <v>410</v>
      </c>
      <c r="H18">
        <v>380</v>
      </c>
      <c r="I18">
        <v>385</v>
      </c>
      <c r="J18">
        <v>360</v>
      </c>
      <c r="K18">
        <v>345</v>
      </c>
      <c r="L18">
        <v>260</v>
      </c>
      <c r="M18">
        <v>195</v>
      </c>
      <c r="N18">
        <v>199</v>
      </c>
      <c r="O18">
        <v>175</v>
      </c>
      <c r="P18">
        <v>190</v>
      </c>
      <c r="Q18">
        <v>175</v>
      </c>
      <c r="R18">
        <v>150</v>
      </c>
      <c r="S18">
        <v>145</v>
      </c>
      <c r="T18">
        <v>140</v>
      </c>
      <c r="U18">
        <v>150</v>
      </c>
      <c r="V18" s="588">
        <v>175</v>
      </c>
      <c r="W18" s="588">
        <v>180</v>
      </c>
      <c r="X18" s="588">
        <v>170</v>
      </c>
      <c r="Y18" s="588">
        <v>205</v>
      </c>
      <c r="Z18" s="588">
        <v>149</v>
      </c>
      <c r="AA18" s="588">
        <v>145</v>
      </c>
      <c r="AB18" s="588">
        <v>75</v>
      </c>
      <c r="AC18">
        <v>78</v>
      </c>
      <c r="AD18">
        <v>80</v>
      </c>
      <c r="AE18">
        <v>110</v>
      </c>
      <c r="AF18">
        <v>120</v>
      </c>
      <c r="AG18">
        <v>70</v>
      </c>
      <c r="AH18">
        <v>225</v>
      </c>
    </row>
    <row r="19" spans="2:34">
      <c r="V19">
        <v>1115</v>
      </c>
      <c r="W19" t="s">
        <v>667</v>
      </c>
    </row>
    <row r="20" spans="2:34">
      <c r="C20" t="s">
        <v>668</v>
      </c>
      <c r="D20" t="s">
        <v>669</v>
      </c>
    </row>
    <row r="21" spans="2:34">
      <c r="B21" t="s">
        <v>670</v>
      </c>
      <c r="D21" s="589">
        <v>2010</v>
      </c>
      <c r="E21" s="589">
        <f t="shared" ref="E21:R21" si="4">D21+1</f>
        <v>2011</v>
      </c>
      <c r="F21" s="589">
        <f t="shared" si="4"/>
        <v>2012</v>
      </c>
      <c r="G21" s="589">
        <f t="shared" si="4"/>
        <v>2013</v>
      </c>
      <c r="H21" s="589">
        <f t="shared" si="4"/>
        <v>2014</v>
      </c>
      <c r="I21" s="589">
        <f t="shared" si="4"/>
        <v>2015</v>
      </c>
      <c r="J21" s="589">
        <f t="shared" si="4"/>
        <v>2016</v>
      </c>
      <c r="K21" s="589">
        <f t="shared" si="4"/>
        <v>2017</v>
      </c>
      <c r="L21" s="589">
        <f t="shared" si="4"/>
        <v>2018</v>
      </c>
      <c r="M21" s="589">
        <f t="shared" si="4"/>
        <v>2019</v>
      </c>
      <c r="N21" s="589">
        <f t="shared" si="4"/>
        <v>2020</v>
      </c>
      <c r="O21" s="589">
        <f t="shared" si="4"/>
        <v>2021</v>
      </c>
      <c r="P21" s="589">
        <f t="shared" si="4"/>
        <v>2022</v>
      </c>
      <c r="Q21" s="589">
        <f t="shared" si="4"/>
        <v>2023</v>
      </c>
      <c r="R21" s="589">
        <f t="shared" si="4"/>
        <v>2024</v>
      </c>
      <c r="S21" s="590">
        <v>2025</v>
      </c>
      <c r="T21" t="s">
        <v>671</v>
      </c>
      <c r="U21" t="s">
        <v>672</v>
      </c>
      <c r="V21" t="s">
        <v>673</v>
      </c>
      <c r="W21" t="s">
        <v>674</v>
      </c>
      <c r="X21" t="s">
        <v>675</v>
      </c>
    </row>
    <row r="22" spans="2:34">
      <c r="C22" t="s">
        <v>676</v>
      </c>
      <c r="D22">
        <v>75</v>
      </c>
      <c r="E22">
        <v>92</v>
      </c>
      <c r="F22">
        <v>85</v>
      </c>
      <c r="G22">
        <v>62</v>
      </c>
      <c r="H22">
        <v>29</v>
      </c>
      <c r="I22">
        <v>17</v>
      </c>
      <c r="J22">
        <v>18</v>
      </c>
      <c r="K22">
        <v>22</v>
      </c>
      <c r="L22">
        <v>22</v>
      </c>
      <c r="M22">
        <v>22</v>
      </c>
      <c r="N22">
        <v>29</v>
      </c>
      <c r="O22">
        <v>57</v>
      </c>
      <c r="P22">
        <v>65</v>
      </c>
      <c r="Q22">
        <v>80</v>
      </c>
      <c r="R22">
        <v>95</v>
      </c>
      <c r="S22">
        <f>MEDIAN(Q22:R22)</f>
        <v>87.5</v>
      </c>
      <c r="V22" s="591">
        <f>(S22/D22)^(1/15)-1</f>
        <v>1.0329698747467919E-2</v>
      </c>
      <c r="W22" s="591">
        <f>(N22/I22)^(1/5)-1</f>
        <v>0.11273004664881792</v>
      </c>
      <c r="X22" s="591">
        <f>(S22/N22)^(1/5)-1</f>
        <v>0.24715953389801415</v>
      </c>
    </row>
    <row r="23" spans="2:34">
      <c r="C23" t="s">
        <v>677</v>
      </c>
      <c r="J23">
        <v>7</v>
      </c>
      <c r="K23">
        <v>17</v>
      </c>
      <c r="L23">
        <v>13</v>
      </c>
      <c r="S23">
        <v>0</v>
      </c>
      <c r="V23" s="591"/>
      <c r="W23" s="591"/>
      <c r="X23" s="591"/>
    </row>
    <row r="24" spans="2:34">
      <c r="C24" t="s">
        <v>678</v>
      </c>
      <c r="D24">
        <v>25</v>
      </c>
      <c r="E24">
        <v>13</v>
      </c>
      <c r="F24">
        <v>21</v>
      </c>
      <c r="G24">
        <v>28</v>
      </c>
      <c r="H24">
        <v>63</v>
      </c>
      <c r="I24">
        <v>84</v>
      </c>
      <c r="J24">
        <v>90</v>
      </c>
      <c r="K24">
        <v>79</v>
      </c>
      <c r="L24">
        <v>68</v>
      </c>
      <c r="M24">
        <v>67</v>
      </c>
      <c r="N24">
        <v>59</v>
      </c>
      <c r="O24">
        <v>38</v>
      </c>
      <c r="P24">
        <v>23</v>
      </c>
      <c r="Q24">
        <v>22</v>
      </c>
      <c r="R24">
        <v>19</v>
      </c>
      <c r="S24">
        <f>MEDIAN(Q24:R24)</f>
        <v>20.5</v>
      </c>
      <c r="V24" s="591">
        <f>(S24/D24)^(1/15)-1</f>
        <v>-1.314292998347899E-2</v>
      </c>
      <c r="W24" s="591">
        <f>(N24/I24)^(1/5)-1</f>
        <v>-6.8217509650895458E-2</v>
      </c>
      <c r="X24" s="591">
        <f>(S24/N24)^(1/5)-1</f>
        <v>-0.19056799974807093</v>
      </c>
    </row>
    <row r="25" spans="2:34">
      <c r="C25" t="s">
        <v>679</v>
      </c>
      <c r="D25">
        <v>41</v>
      </c>
      <c r="E25">
        <v>33</v>
      </c>
      <c r="F25">
        <v>14</v>
      </c>
      <c r="G25">
        <v>26</v>
      </c>
      <c r="H25">
        <v>59</v>
      </c>
      <c r="I25">
        <v>44</v>
      </c>
      <c r="J25">
        <v>46</v>
      </c>
      <c r="K25">
        <v>26</v>
      </c>
      <c r="L25">
        <v>20</v>
      </c>
      <c r="M25">
        <v>24</v>
      </c>
      <c r="N25">
        <v>10</v>
      </c>
      <c r="O25">
        <v>10</v>
      </c>
      <c r="P25">
        <v>10</v>
      </c>
      <c r="Q25">
        <v>10</v>
      </c>
      <c r="R25">
        <v>10</v>
      </c>
      <c r="S25">
        <f>MEDIAN(Q25:R25)</f>
        <v>10</v>
      </c>
      <c r="V25" s="591">
        <f>(S25/D25)^(1/15)-1</f>
        <v>-8.9777130799131966E-2</v>
      </c>
      <c r="W25" s="591">
        <f>(N25/I25)^(1/5)-1</f>
        <v>-0.25645122115897001</v>
      </c>
      <c r="X25" s="591">
        <f>(S25/N25)^(1/5)-1</f>
        <v>0</v>
      </c>
    </row>
    <row r="26" spans="2:34">
      <c r="C26" t="s">
        <v>680</v>
      </c>
      <c r="D26">
        <v>56</v>
      </c>
      <c r="E26">
        <v>45</v>
      </c>
      <c r="F26">
        <v>36</v>
      </c>
      <c r="G26">
        <v>29</v>
      </c>
      <c r="H26">
        <v>25</v>
      </c>
      <c r="I26">
        <v>29</v>
      </c>
      <c r="J26">
        <v>33</v>
      </c>
      <c r="K26">
        <v>30</v>
      </c>
      <c r="L26">
        <v>15</v>
      </c>
      <c r="M26">
        <v>15</v>
      </c>
      <c r="N26">
        <v>15</v>
      </c>
      <c r="O26">
        <v>15</v>
      </c>
      <c r="P26">
        <v>15</v>
      </c>
      <c r="Q26">
        <v>15</v>
      </c>
      <c r="R26">
        <v>15</v>
      </c>
      <c r="S26">
        <f>MEDIAN(Q26:R26)</f>
        <v>15</v>
      </c>
      <c r="V26" s="591">
        <f>(S26/D26)^(1/15)-1</f>
        <v>-8.407436244218558E-2</v>
      </c>
      <c r="W26" s="591">
        <f>(N26/I26)^(1/5)-1</f>
        <v>-0.12352677767919173</v>
      </c>
      <c r="X26" s="591">
        <f>(S26/N26)^(1/5)-1</f>
        <v>0</v>
      </c>
    </row>
    <row r="27" spans="2:34">
      <c r="C27" t="s">
        <v>681</v>
      </c>
      <c r="D27">
        <v>51</v>
      </c>
      <c r="E27">
        <v>54</v>
      </c>
      <c r="F27">
        <v>64</v>
      </c>
      <c r="G27">
        <v>74</v>
      </c>
      <c r="H27">
        <v>83</v>
      </c>
      <c r="I27">
        <v>88</v>
      </c>
      <c r="J27">
        <v>80</v>
      </c>
      <c r="K27">
        <v>78</v>
      </c>
      <c r="L27">
        <v>76</v>
      </c>
      <c r="M27">
        <v>66</v>
      </c>
      <c r="N27">
        <v>67</v>
      </c>
      <c r="O27">
        <v>73</v>
      </c>
      <c r="P27">
        <v>73</v>
      </c>
      <c r="Q27">
        <v>73</v>
      </c>
      <c r="R27">
        <v>73</v>
      </c>
      <c r="S27">
        <f>MEDIAN(Q27:R27)</f>
        <v>73</v>
      </c>
      <c r="V27" s="591">
        <f>(S27/D27)^(1/15)-1</f>
        <v>2.4197030352066662E-2</v>
      </c>
      <c r="W27" s="591">
        <f>(N27/I27)^(1/5)-1</f>
        <v>-5.3068800101350844E-2</v>
      </c>
      <c r="X27" s="591">
        <f>(S27/N27)^(1/5)-1</f>
        <v>1.7301328120523207E-2</v>
      </c>
    </row>
    <row r="28" spans="2:34">
      <c r="C28" t="s">
        <v>682</v>
      </c>
      <c r="D28" s="592">
        <f t="shared" ref="D28:S28" si="5">SUM(D22:D27)</f>
        <v>248</v>
      </c>
      <c r="E28" s="592">
        <f t="shared" si="5"/>
        <v>237</v>
      </c>
      <c r="F28" s="592">
        <f t="shared" si="5"/>
        <v>220</v>
      </c>
      <c r="G28" s="592">
        <f t="shared" si="5"/>
        <v>219</v>
      </c>
      <c r="H28" s="592">
        <f t="shared" si="5"/>
        <v>259</v>
      </c>
      <c r="I28" s="592">
        <f t="shared" si="5"/>
        <v>262</v>
      </c>
      <c r="J28" s="592">
        <f t="shared" si="5"/>
        <v>274</v>
      </c>
      <c r="K28" s="592">
        <f t="shared" si="5"/>
        <v>252</v>
      </c>
      <c r="L28" s="592">
        <f t="shared" si="5"/>
        <v>214</v>
      </c>
      <c r="M28" s="592">
        <f t="shared" si="5"/>
        <v>194</v>
      </c>
      <c r="N28" s="592">
        <f t="shared" si="5"/>
        <v>180</v>
      </c>
      <c r="O28" s="592">
        <f t="shared" si="5"/>
        <v>193</v>
      </c>
      <c r="P28" s="592">
        <f t="shared" si="5"/>
        <v>186</v>
      </c>
      <c r="Q28" s="592">
        <f t="shared" si="5"/>
        <v>200</v>
      </c>
      <c r="R28" s="592">
        <f t="shared" si="5"/>
        <v>212</v>
      </c>
      <c r="S28" s="592">
        <f t="shared" si="5"/>
        <v>206</v>
      </c>
      <c r="V28" s="593">
        <f>(S28/D28)^(1/15)-1</f>
        <v>-1.2293975759288922E-2</v>
      </c>
      <c r="W28" s="593">
        <f>(N28/I28)^(1/5)-1</f>
        <v>-7.2328439368375075E-2</v>
      </c>
      <c r="X28" s="593">
        <f>(S28/N28)^(1/5)-1</f>
        <v>2.735122485875463E-2</v>
      </c>
    </row>
    <row r="30" spans="2:34">
      <c r="C30" t="s">
        <v>683</v>
      </c>
      <c r="L30">
        <v>20</v>
      </c>
      <c r="M30">
        <v>48</v>
      </c>
      <c r="N30">
        <v>58</v>
      </c>
      <c r="O30">
        <v>75</v>
      </c>
      <c r="P30">
        <v>90</v>
      </c>
      <c r="Q30">
        <v>105</v>
      </c>
      <c r="R30">
        <v>140</v>
      </c>
      <c r="S30">
        <v>150</v>
      </c>
      <c r="T30">
        <v>487</v>
      </c>
      <c r="U30">
        <f>54+475</f>
        <v>529</v>
      </c>
      <c r="V30" s="591"/>
      <c r="W30" s="591"/>
      <c r="X30" s="591">
        <f>(S30/N30)^(1/5)-1</f>
        <v>0.20929610231250884</v>
      </c>
    </row>
    <row r="31" spans="2:34">
      <c r="C31" t="s">
        <v>684</v>
      </c>
      <c r="D31">
        <v>401</v>
      </c>
      <c r="E31">
        <v>421</v>
      </c>
      <c r="F31">
        <v>455</v>
      </c>
      <c r="G31">
        <v>493</v>
      </c>
      <c r="H31">
        <v>490</v>
      </c>
      <c r="I31">
        <v>491</v>
      </c>
      <c r="J31">
        <v>477</v>
      </c>
      <c r="K31">
        <v>377</v>
      </c>
      <c r="L31">
        <v>240</v>
      </c>
      <c r="M31">
        <v>91</v>
      </c>
      <c r="N31">
        <f>55*0.8</f>
        <v>44</v>
      </c>
      <c r="O31">
        <v>19</v>
      </c>
      <c r="S31">
        <v>0</v>
      </c>
      <c r="T31">
        <v>77</v>
      </c>
      <c r="U31">
        <f>7+20+34</f>
        <v>61</v>
      </c>
      <c r="V31" s="591">
        <f>(S31/D31)^(1/15)-1</f>
        <v>-1</v>
      </c>
      <c r="W31" s="591">
        <f>(N31/I31)^(1/5)-1</f>
        <v>-0.38273132668190868</v>
      </c>
      <c r="X31" s="591">
        <f>(S31/N31)^(1/5)-1</f>
        <v>-1</v>
      </c>
    </row>
    <row r="32" spans="2:34">
      <c r="C32" t="s">
        <v>685</v>
      </c>
      <c r="J32">
        <v>68</v>
      </c>
      <c r="K32">
        <v>181</v>
      </c>
      <c r="L32">
        <v>386</v>
      </c>
      <c r="M32">
        <v>551</v>
      </c>
      <c r="N32">
        <f>INT(613*0.775)</f>
        <v>475</v>
      </c>
      <c r="O32">
        <v>500</v>
      </c>
      <c r="P32">
        <v>580</v>
      </c>
      <c r="Q32">
        <v>630</v>
      </c>
      <c r="R32">
        <v>660</v>
      </c>
      <c r="S32">
        <v>800</v>
      </c>
      <c r="T32">
        <v>6077</v>
      </c>
      <c r="U32">
        <f>82+2995+3082</f>
        <v>6159</v>
      </c>
      <c r="V32" s="591"/>
      <c r="W32" s="591"/>
      <c r="X32" s="591">
        <f>(S32/N32)^(1/5)-1</f>
        <v>0.1098883056567086</v>
      </c>
    </row>
    <row r="33" spans="3:24">
      <c r="C33" t="s">
        <v>686</v>
      </c>
      <c r="D33">
        <v>4</v>
      </c>
      <c r="E33">
        <v>0</v>
      </c>
      <c r="F33">
        <v>2</v>
      </c>
      <c r="S33">
        <v>0</v>
      </c>
      <c r="T33">
        <v>0</v>
      </c>
      <c r="U33">
        <v>0</v>
      </c>
      <c r="V33" s="591">
        <f>(S33/D33)^(1/15)-1</f>
        <v>-1</v>
      </c>
      <c r="W33" s="591"/>
      <c r="X33" s="591"/>
    </row>
    <row r="34" spans="3:24">
      <c r="C34" t="s">
        <v>687</v>
      </c>
      <c r="D34">
        <v>87</v>
      </c>
      <c r="E34">
        <v>87</v>
      </c>
      <c r="F34">
        <v>101</v>
      </c>
      <c r="G34">
        <v>108</v>
      </c>
      <c r="H34">
        <v>108</v>
      </c>
      <c r="I34">
        <v>103</v>
      </c>
      <c r="J34">
        <v>66</v>
      </c>
      <c r="K34">
        <v>67</v>
      </c>
      <c r="L34">
        <v>46</v>
      </c>
      <c r="M34">
        <v>12</v>
      </c>
      <c r="N34">
        <v>16</v>
      </c>
      <c r="O34">
        <v>10</v>
      </c>
      <c r="S34">
        <v>0</v>
      </c>
      <c r="T34">
        <v>43</v>
      </c>
      <c r="U34">
        <v>38</v>
      </c>
      <c r="V34" s="591">
        <f>(S34/D34)^(1/15)-1</f>
        <v>-1</v>
      </c>
      <c r="W34" s="591">
        <f>(N34/I34)^(1/5)-1</f>
        <v>-0.31094077461780467</v>
      </c>
      <c r="X34" s="591">
        <f>(S34/N34)^(1/5)-1</f>
        <v>-1</v>
      </c>
    </row>
    <row r="35" spans="3:24">
      <c r="C35" t="s">
        <v>688</v>
      </c>
      <c r="L35">
        <v>3</v>
      </c>
      <c r="M35">
        <v>41</v>
      </c>
      <c r="N35">
        <v>27</v>
      </c>
      <c r="O35">
        <v>30</v>
      </c>
      <c r="P35">
        <v>40</v>
      </c>
      <c r="Q35">
        <v>44</v>
      </c>
      <c r="R35">
        <v>46</v>
      </c>
      <c r="S35">
        <v>48</v>
      </c>
      <c r="T35">
        <v>299</v>
      </c>
      <c r="U35">
        <f>323-U34</f>
        <v>285</v>
      </c>
      <c r="V35" s="591"/>
      <c r="W35" s="591"/>
      <c r="X35" s="591">
        <f>(S35/N35)^(1/5)-1</f>
        <v>0.12195514544619956</v>
      </c>
    </row>
    <row r="36" spans="3:24">
      <c r="C36" t="s">
        <v>689</v>
      </c>
      <c r="H36">
        <v>1</v>
      </c>
      <c r="I36">
        <v>14</v>
      </c>
      <c r="J36">
        <v>49</v>
      </c>
      <c r="K36">
        <v>78</v>
      </c>
      <c r="L36">
        <v>93</v>
      </c>
      <c r="M36">
        <v>112</v>
      </c>
      <c r="N36">
        <v>110</v>
      </c>
      <c r="O36">
        <v>110</v>
      </c>
      <c r="P36">
        <v>115</v>
      </c>
      <c r="Q36">
        <v>115</v>
      </c>
      <c r="R36">
        <v>115</v>
      </c>
      <c r="S36">
        <v>115</v>
      </c>
      <c r="T36">
        <v>591</v>
      </c>
      <c r="U36">
        <v>569</v>
      </c>
      <c r="V36" s="591"/>
      <c r="W36" s="591">
        <f>(N36/I36)^(1/5)-1</f>
        <v>0.51026420728868915</v>
      </c>
      <c r="X36" s="591">
        <f>(S36/N36)^(1/5)-1</f>
        <v>8.9299890719962693E-3</v>
      </c>
    </row>
    <row r="37" spans="3:24">
      <c r="C37" t="s">
        <v>690</v>
      </c>
      <c r="D37">
        <v>18</v>
      </c>
      <c r="E37">
        <v>26</v>
      </c>
      <c r="F37">
        <v>30</v>
      </c>
      <c r="G37">
        <v>25</v>
      </c>
      <c r="H37">
        <v>30</v>
      </c>
      <c r="I37">
        <v>27</v>
      </c>
      <c r="J37">
        <v>28</v>
      </c>
      <c r="K37">
        <v>15</v>
      </c>
      <c r="L37">
        <v>12</v>
      </c>
      <c r="M37">
        <v>8</v>
      </c>
      <c r="N37">
        <v>7</v>
      </c>
      <c r="O37">
        <v>2</v>
      </c>
      <c r="S37">
        <v>0</v>
      </c>
      <c r="T37">
        <v>11</v>
      </c>
      <c r="U37">
        <v>9</v>
      </c>
      <c r="V37" s="591">
        <f>(S37/D37)^(1/15)-1</f>
        <v>-1</v>
      </c>
      <c r="W37" s="591">
        <f>(N37/I37)^(1/5)-1</f>
        <v>-0.2366093170254725</v>
      </c>
      <c r="X37" s="591">
        <f>(S37/N37)^(1/5)-1</f>
        <v>-1</v>
      </c>
    </row>
    <row r="38" spans="3:24">
      <c r="C38" t="s">
        <v>691</v>
      </c>
      <c r="D38" s="592">
        <f t="shared" ref="D38:S38" si="6">SUM(D30:D37)</f>
        <v>510</v>
      </c>
      <c r="E38" s="592">
        <f t="shared" si="6"/>
        <v>534</v>
      </c>
      <c r="F38" s="592">
        <f t="shared" si="6"/>
        <v>588</v>
      </c>
      <c r="G38" s="592">
        <f t="shared" si="6"/>
        <v>626</v>
      </c>
      <c r="H38" s="592">
        <f t="shared" si="6"/>
        <v>629</v>
      </c>
      <c r="I38" s="592">
        <f t="shared" si="6"/>
        <v>635</v>
      </c>
      <c r="J38" s="592">
        <f t="shared" si="6"/>
        <v>688</v>
      </c>
      <c r="K38" s="592">
        <f t="shared" si="6"/>
        <v>718</v>
      </c>
      <c r="L38" s="592">
        <f t="shared" si="6"/>
        <v>800</v>
      </c>
      <c r="M38" s="592">
        <f t="shared" si="6"/>
        <v>863</v>
      </c>
      <c r="N38" s="592">
        <f t="shared" si="6"/>
        <v>737</v>
      </c>
      <c r="O38" s="592">
        <f t="shared" si="6"/>
        <v>746</v>
      </c>
      <c r="P38" s="592">
        <f t="shared" si="6"/>
        <v>825</v>
      </c>
      <c r="Q38" s="592">
        <f t="shared" si="6"/>
        <v>894</v>
      </c>
      <c r="R38" s="592">
        <f t="shared" si="6"/>
        <v>961</v>
      </c>
      <c r="S38" s="592">
        <f t="shared" si="6"/>
        <v>1113</v>
      </c>
      <c r="T38" s="592"/>
      <c r="U38">
        <f>SUM(U30:U37)/MAX(D38:M38)</f>
        <v>8.8644264194669748</v>
      </c>
      <c r="V38" s="593">
        <f>(S38/D38)^(1/15)-1</f>
        <v>5.3404087519454357E-2</v>
      </c>
      <c r="W38" s="593">
        <f>(N38/I38)^(1/5)-1</f>
        <v>3.0240817857989377E-2</v>
      </c>
      <c r="X38" s="593">
        <f>(S38/N38)^(1/5)-1</f>
        <v>8.5939262050314102E-2</v>
      </c>
    </row>
    <row r="39" spans="3:24">
      <c r="N39" s="594"/>
      <c r="O39" s="594"/>
      <c r="P39">
        <v>0.8</v>
      </c>
    </row>
    <row r="40" spans="3:24">
      <c r="C40" t="s">
        <v>692</v>
      </c>
      <c r="D40">
        <v>376</v>
      </c>
      <c r="E40">
        <v>372</v>
      </c>
      <c r="F40">
        <v>415</v>
      </c>
      <c r="G40">
        <v>440</v>
      </c>
      <c r="H40">
        <v>485</v>
      </c>
      <c r="I40">
        <v>495</v>
      </c>
      <c r="J40">
        <v>490</v>
      </c>
      <c r="K40">
        <v>455</v>
      </c>
      <c r="L40">
        <v>324</v>
      </c>
      <c r="M40">
        <v>70</v>
      </c>
      <c r="S40">
        <v>0</v>
      </c>
      <c r="T40">
        <v>43</v>
      </c>
      <c r="U40">
        <f>53</f>
        <v>53</v>
      </c>
      <c r="V40" s="591">
        <f>(S40/D40)^(1/15)-1</f>
        <v>-1</v>
      </c>
      <c r="W40" s="591">
        <f>(N40/I40)^(1/5)-1</f>
        <v>-1</v>
      </c>
      <c r="X40" s="591"/>
    </row>
    <row r="41" spans="3:24">
      <c r="C41" t="s">
        <v>693</v>
      </c>
      <c r="K41">
        <v>74</v>
      </c>
      <c r="L41">
        <v>256</v>
      </c>
      <c r="M41">
        <v>57</v>
      </c>
      <c r="N41">
        <v>60</v>
      </c>
      <c r="O41">
        <v>420</v>
      </c>
      <c r="P41">
        <v>470</v>
      </c>
      <c r="Q41">
        <v>525</v>
      </c>
      <c r="R41">
        <v>550</v>
      </c>
      <c r="S41">
        <v>655</v>
      </c>
      <c r="T41">
        <v>4420</v>
      </c>
      <c r="U41">
        <f>4354</f>
        <v>4354</v>
      </c>
      <c r="V41" s="591"/>
      <c r="W41" s="591"/>
      <c r="X41" s="591">
        <f>(S41/N41)^(1/5)-1</f>
        <v>0.61293924836940361</v>
      </c>
    </row>
    <row r="42" spans="3:24">
      <c r="C42">
        <v>747</v>
      </c>
      <c r="D42">
        <v>0</v>
      </c>
      <c r="E42">
        <v>9</v>
      </c>
      <c r="F42">
        <v>31</v>
      </c>
      <c r="G42">
        <v>24</v>
      </c>
      <c r="H42">
        <v>19</v>
      </c>
      <c r="I42">
        <v>18</v>
      </c>
      <c r="J42">
        <v>9</v>
      </c>
      <c r="K42">
        <v>14</v>
      </c>
      <c r="L42">
        <v>6</v>
      </c>
      <c r="M42">
        <v>7</v>
      </c>
      <c r="N42">
        <v>6</v>
      </c>
      <c r="O42">
        <v>6</v>
      </c>
      <c r="P42">
        <v>6</v>
      </c>
      <c r="Q42">
        <v>6</v>
      </c>
      <c r="R42">
        <v>6</v>
      </c>
      <c r="S42">
        <v>5</v>
      </c>
      <c r="T42">
        <v>17</v>
      </c>
      <c r="U42">
        <v>17</v>
      </c>
      <c r="V42" s="591"/>
      <c r="W42" s="994">
        <f>(N42/I42)^(1/5)-1</f>
        <v>-0.1972584382397693</v>
      </c>
      <c r="X42" s="994">
        <f>(S42/N42)^(1/5)-1</f>
        <v>-3.5807495997372762E-2</v>
      </c>
    </row>
    <row r="43" spans="3:24">
      <c r="C43">
        <v>767</v>
      </c>
      <c r="D43">
        <v>12</v>
      </c>
      <c r="E43">
        <v>20</v>
      </c>
      <c r="F43">
        <v>26</v>
      </c>
      <c r="G43">
        <v>21</v>
      </c>
      <c r="H43">
        <v>6</v>
      </c>
      <c r="I43">
        <v>16</v>
      </c>
      <c r="J43">
        <v>13</v>
      </c>
      <c r="K43">
        <v>10</v>
      </c>
      <c r="L43">
        <v>27</v>
      </c>
      <c r="M43">
        <v>43</v>
      </c>
      <c r="N43" s="594">
        <v>23</v>
      </c>
      <c r="O43">
        <v>30</v>
      </c>
      <c r="P43">
        <v>30</v>
      </c>
      <c r="Q43">
        <v>36</v>
      </c>
      <c r="R43">
        <v>36</v>
      </c>
      <c r="S43">
        <v>36</v>
      </c>
      <c r="T43">
        <v>96</v>
      </c>
      <c r="U43">
        <v>86</v>
      </c>
      <c r="V43" s="591">
        <f>(S43/D43)^(1/15)-1</f>
        <v>7.5989624725345761E-2</v>
      </c>
      <c r="W43" s="591">
        <f>(N43/I43)^(1/5)-1</f>
        <v>7.5280006405569644E-2</v>
      </c>
      <c r="X43" s="591">
        <f>(S43/N43)^(1/5)-1</f>
        <v>9.3742109514389105E-2</v>
      </c>
    </row>
    <row r="44" spans="3:24">
      <c r="C44">
        <v>777</v>
      </c>
      <c r="D44">
        <v>74</v>
      </c>
      <c r="E44">
        <v>73</v>
      </c>
      <c r="F44">
        <v>83</v>
      </c>
      <c r="G44">
        <v>98</v>
      </c>
      <c r="H44">
        <v>99</v>
      </c>
      <c r="I44">
        <v>98</v>
      </c>
      <c r="J44">
        <v>99</v>
      </c>
      <c r="K44">
        <v>74</v>
      </c>
      <c r="L44">
        <v>48</v>
      </c>
      <c r="M44">
        <v>45</v>
      </c>
      <c r="N44" s="594">
        <v>22</v>
      </c>
      <c r="O44" s="594">
        <v>12</v>
      </c>
      <c r="P44">
        <v>10</v>
      </c>
      <c r="Q44">
        <v>8</v>
      </c>
      <c r="R44">
        <v>5</v>
      </c>
      <c r="S44">
        <v>4</v>
      </c>
      <c r="T44">
        <v>74</v>
      </c>
      <c r="U44">
        <f>376-U45</f>
        <v>67</v>
      </c>
      <c r="V44" s="591">
        <f>(S44/D44)^(1/15)-1</f>
        <v>-0.1767686802196351</v>
      </c>
      <c r="W44" s="591">
        <f>(N44/I44)^(1/5)-1</f>
        <v>-0.25828114190635632</v>
      </c>
      <c r="X44" s="591">
        <f>(S44/N44)^(1/5)-1</f>
        <v>-0.28890526663955163</v>
      </c>
    </row>
    <row r="45" spans="3:24">
      <c r="C45" t="s">
        <v>694</v>
      </c>
      <c r="N45" s="594">
        <v>0</v>
      </c>
      <c r="O45" s="594">
        <v>5</v>
      </c>
      <c r="P45">
        <v>20</v>
      </c>
      <c r="Q45">
        <v>36</v>
      </c>
      <c r="R45">
        <v>40</v>
      </c>
      <c r="S45">
        <v>45</v>
      </c>
      <c r="T45">
        <v>309</v>
      </c>
      <c r="U45">
        <v>309</v>
      </c>
      <c r="V45" s="591"/>
      <c r="W45" s="591"/>
      <c r="X45" s="591"/>
    </row>
    <row r="46" spans="3:24">
      <c r="C46">
        <v>787</v>
      </c>
      <c r="E46">
        <v>3</v>
      </c>
      <c r="F46">
        <v>46</v>
      </c>
      <c r="G46">
        <v>65</v>
      </c>
      <c r="H46">
        <v>114</v>
      </c>
      <c r="I46">
        <v>136</v>
      </c>
      <c r="J46">
        <v>137</v>
      </c>
      <c r="K46">
        <v>136</v>
      </c>
      <c r="L46">
        <v>145</v>
      </c>
      <c r="M46">
        <v>158</v>
      </c>
      <c r="N46" s="594">
        <v>91</v>
      </c>
      <c r="O46" s="594">
        <v>78</v>
      </c>
      <c r="P46">
        <v>100</v>
      </c>
      <c r="Q46">
        <v>100</v>
      </c>
      <c r="R46">
        <v>110</v>
      </c>
      <c r="S46">
        <v>115</v>
      </c>
      <c r="T46">
        <v>537</v>
      </c>
      <c r="U46">
        <v>542</v>
      </c>
      <c r="V46" s="591"/>
      <c r="W46" s="591">
        <f>(N46/I46)^(1/5)-1</f>
        <v>-7.7215062890312103E-2</v>
      </c>
      <c r="X46" s="591">
        <f>(S46/N46)^(1/5)-1</f>
        <v>4.7927626016168068E-2</v>
      </c>
    </row>
    <row r="47" spans="3:24">
      <c r="C47" t="s">
        <v>695</v>
      </c>
      <c r="D47" s="592">
        <f t="shared" ref="D47:S47" si="7">SUM(D40:D46)</f>
        <v>462</v>
      </c>
      <c r="E47" s="592">
        <f t="shared" si="7"/>
        <v>477</v>
      </c>
      <c r="F47" s="592">
        <f t="shared" si="7"/>
        <v>601</v>
      </c>
      <c r="G47" s="592">
        <f t="shared" si="7"/>
        <v>648</v>
      </c>
      <c r="H47" s="592">
        <f t="shared" si="7"/>
        <v>723</v>
      </c>
      <c r="I47" s="592">
        <f t="shared" si="7"/>
        <v>763</v>
      </c>
      <c r="J47" s="592">
        <f t="shared" si="7"/>
        <v>748</v>
      </c>
      <c r="K47" s="592">
        <f t="shared" si="7"/>
        <v>763</v>
      </c>
      <c r="L47" s="592">
        <f t="shared" si="7"/>
        <v>806</v>
      </c>
      <c r="M47" s="592">
        <f t="shared" si="7"/>
        <v>380</v>
      </c>
      <c r="N47" s="592">
        <f t="shared" si="7"/>
        <v>202</v>
      </c>
      <c r="O47" s="592">
        <f t="shared" si="7"/>
        <v>551</v>
      </c>
      <c r="P47" s="592">
        <f t="shared" si="7"/>
        <v>636</v>
      </c>
      <c r="Q47" s="592">
        <f t="shared" si="7"/>
        <v>711</v>
      </c>
      <c r="R47" s="592">
        <f t="shared" si="7"/>
        <v>747</v>
      </c>
      <c r="S47" s="592">
        <f t="shared" si="7"/>
        <v>860</v>
      </c>
      <c r="U47">
        <f>SUM(U39:U46)/MAX(D47:M47)</f>
        <v>6.7344913151364763</v>
      </c>
      <c r="V47" s="593">
        <f>(S47/D47)^(1/15)-1</f>
        <v>4.2294465521121927E-2</v>
      </c>
      <c r="W47" s="593">
        <f>(N47/I47)^(1/5)-1</f>
        <v>-0.23340608734785706</v>
      </c>
      <c r="X47" s="593">
        <f>(S47/N47)^(1/5)-1</f>
        <v>0.33607062717520853</v>
      </c>
    </row>
    <row r="48" spans="3:24">
      <c r="U48">
        <f>SUM(U40:U46,-400,-3,-2)/MAX(D47:L47)</f>
        <v>6.2320099255583123</v>
      </c>
    </row>
    <row r="49" spans="3:24">
      <c r="C49" t="s">
        <v>696</v>
      </c>
      <c r="D49" s="595">
        <f t="shared" ref="D49:S49" si="8">D47+D38+D28</f>
        <v>1220</v>
      </c>
      <c r="E49" s="595">
        <f t="shared" si="8"/>
        <v>1248</v>
      </c>
      <c r="F49" s="595">
        <f t="shared" si="8"/>
        <v>1409</v>
      </c>
      <c r="G49" s="595">
        <f t="shared" si="8"/>
        <v>1493</v>
      </c>
      <c r="H49" s="595">
        <f t="shared" si="8"/>
        <v>1611</v>
      </c>
      <c r="I49" s="595">
        <f t="shared" si="8"/>
        <v>1660</v>
      </c>
      <c r="J49" s="595">
        <f t="shared" si="8"/>
        <v>1710</v>
      </c>
      <c r="K49" s="595">
        <f t="shared" si="8"/>
        <v>1733</v>
      </c>
      <c r="L49" s="595">
        <f t="shared" si="8"/>
        <v>1820</v>
      </c>
      <c r="M49" s="595">
        <f t="shared" si="8"/>
        <v>1437</v>
      </c>
      <c r="N49" s="595">
        <f t="shared" si="8"/>
        <v>1119</v>
      </c>
      <c r="O49" s="595">
        <f t="shared" si="8"/>
        <v>1490</v>
      </c>
      <c r="P49" s="595">
        <f t="shared" si="8"/>
        <v>1647</v>
      </c>
      <c r="Q49" s="595">
        <f t="shared" si="8"/>
        <v>1805</v>
      </c>
      <c r="R49" s="595">
        <f t="shared" si="8"/>
        <v>1920</v>
      </c>
      <c r="S49" s="595">
        <f t="shared" si="8"/>
        <v>2179</v>
      </c>
      <c r="T49" s="592"/>
      <c r="U49" s="592"/>
      <c r="V49" s="593">
        <f>(S49/D49)^(1/15)-1</f>
        <v>3.942500433819518E-2</v>
      </c>
      <c r="W49" s="593">
        <f>(N49/I49)^(1/5)-1</f>
        <v>-7.584588914457957E-2</v>
      </c>
      <c r="X49" s="593">
        <f>(S49/N49)^(1/5)-1</f>
        <v>0.14257687174580691</v>
      </c>
    </row>
    <row r="50" spans="3:24">
      <c r="C50" t="s">
        <v>697</v>
      </c>
      <c r="D50" s="596">
        <f t="shared" ref="D50:S50" si="9">SUM(D28,D30)</f>
        <v>248</v>
      </c>
      <c r="E50" s="596">
        <f t="shared" si="9"/>
        <v>237</v>
      </c>
      <c r="F50" s="596">
        <f t="shared" si="9"/>
        <v>220</v>
      </c>
      <c r="G50" s="596">
        <f t="shared" si="9"/>
        <v>219</v>
      </c>
      <c r="H50" s="596">
        <f t="shared" si="9"/>
        <v>259</v>
      </c>
      <c r="I50" s="596">
        <f t="shared" si="9"/>
        <v>262</v>
      </c>
      <c r="J50" s="596">
        <f t="shared" si="9"/>
        <v>274</v>
      </c>
      <c r="K50" s="596">
        <f t="shared" si="9"/>
        <v>252</v>
      </c>
      <c r="L50" s="596">
        <f t="shared" si="9"/>
        <v>234</v>
      </c>
      <c r="M50" s="596">
        <f t="shared" si="9"/>
        <v>242</v>
      </c>
      <c r="N50" s="596">
        <f t="shared" si="9"/>
        <v>238</v>
      </c>
      <c r="O50" s="596">
        <f t="shared" si="9"/>
        <v>268</v>
      </c>
      <c r="P50" s="596">
        <f t="shared" si="9"/>
        <v>276</v>
      </c>
      <c r="Q50" s="596">
        <f t="shared" si="9"/>
        <v>305</v>
      </c>
      <c r="R50" s="596">
        <f t="shared" si="9"/>
        <v>352</v>
      </c>
      <c r="S50" s="596">
        <f t="shared" si="9"/>
        <v>356</v>
      </c>
      <c r="T50" s="597"/>
      <c r="U50" s="597"/>
      <c r="V50" s="593"/>
      <c r="W50" s="593"/>
      <c r="X50" s="593"/>
    </row>
    <row r="51" spans="3:24">
      <c r="C51" t="s">
        <v>670</v>
      </c>
      <c r="D51" s="596">
        <f t="shared" ref="D51:S51" si="10">D49-D50</f>
        <v>972</v>
      </c>
      <c r="E51" s="596">
        <f t="shared" si="10"/>
        <v>1011</v>
      </c>
      <c r="F51" s="596">
        <f t="shared" si="10"/>
        <v>1189</v>
      </c>
      <c r="G51" s="596">
        <f t="shared" si="10"/>
        <v>1274</v>
      </c>
      <c r="H51" s="596">
        <f t="shared" si="10"/>
        <v>1352</v>
      </c>
      <c r="I51" s="596">
        <f t="shared" si="10"/>
        <v>1398</v>
      </c>
      <c r="J51" s="596">
        <f t="shared" si="10"/>
        <v>1436</v>
      </c>
      <c r="K51" s="596">
        <f t="shared" si="10"/>
        <v>1481</v>
      </c>
      <c r="L51" s="596">
        <f t="shared" si="10"/>
        <v>1586</v>
      </c>
      <c r="M51" s="596">
        <f t="shared" si="10"/>
        <v>1195</v>
      </c>
      <c r="N51" s="596">
        <f t="shared" si="10"/>
        <v>881</v>
      </c>
      <c r="O51" s="596">
        <f t="shared" si="10"/>
        <v>1222</v>
      </c>
      <c r="P51" s="596">
        <f t="shared" si="10"/>
        <v>1371</v>
      </c>
      <c r="Q51" s="596">
        <f t="shared" si="10"/>
        <v>1500</v>
      </c>
      <c r="R51" s="596">
        <f t="shared" si="10"/>
        <v>1568</v>
      </c>
      <c r="S51" s="596">
        <f t="shared" si="10"/>
        <v>1823</v>
      </c>
      <c r="T51" s="597"/>
      <c r="U51" s="597"/>
      <c r="V51" s="593"/>
      <c r="W51" s="593"/>
      <c r="X51" s="593"/>
    </row>
    <row r="52" spans="3:24">
      <c r="D52" s="596"/>
      <c r="E52" s="596"/>
      <c r="F52" s="596"/>
      <c r="G52" s="596"/>
      <c r="H52" s="596"/>
      <c r="I52" s="596"/>
      <c r="J52" s="596"/>
      <c r="K52" s="596"/>
      <c r="L52" s="596"/>
      <c r="M52" s="596"/>
      <c r="N52" s="596"/>
      <c r="O52" s="596"/>
      <c r="P52" s="596"/>
      <c r="Q52" s="596"/>
      <c r="R52" s="596"/>
      <c r="S52" s="596"/>
      <c r="T52" s="597"/>
      <c r="U52" s="597"/>
      <c r="V52" s="593"/>
      <c r="W52" s="593"/>
      <c r="X52" s="593"/>
    </row>
    <row r="53" spans="3:24">
      <c r="C53" t="s">
        <v>698</v>
      </c>
      <c r="D53" s="596">
        <f t="shared" ref="D53:S53" si="11">D49-D47</f>
        <v>758</v>
      </c>
      <c r="E53" s="596">
        <f t="shared" si="11"/>
        <v>771</v>
      </c>
      <c r="F53" s="596">
        <f t="shared" si="11"/>
        <v>808</v>
      </c>
      <c r="G53" s="596">
        <f t="shared" si="11"/>
        <v>845</v>
      </c>
      <c r="H53" s="596">
        <f t="shared" si="11"/>
        <v>888</v>
      </c>
      <c r="I53" s="596">
        <f t="shared" si="11"/>
        <v>897</v>
      </c>
      <c r="J53" s="596">
        <f t="shared" si="11"/>
        <v>962</v>
      </c>
      <c r="K53" s="596">
        <f t="shared" si="11"/>
        <v>970</v>
      </c>
      <c r="L53" s="596">
        <f t="shared" si="11"/>
        <v>1014</v>
      </c>
      <c r="M53" s="596">
        <f t="shared" si="11"/>
        <v>1057</v>
      </c>
      <c r="N53" s="596">
        <f t="shared" si="11"/>
        <v>917</v>
      </c>
      <c r="O53" s="596">
        <f t="shared" si="11"/>
        <v>939</v>
      </c>
      <c r="P53" s="596">
        <f t="shared" si="11"/>
        <v>1011</v>
      </c>
      <c r="Q53" s="596">
        <f t="shared" si="11"/>
        <v>1094</v>
      </c>
      <c r="R53" s="596">
        <f t="shared" si="11"/>
        <v>1173</v>
      </c>
      <c r="S53" s="596">
        <f t="shared" si="11"/>
        <v>1319</v>
      </c>
      <c r="T53" s="597"/>
      <c r="U53" s="597"/>
      <c r="V53" s="593">
        <f>(S53/D53)^(1/15)-1</f>
        <v>3.7620092057739862E-2</v>
      </c>
      <c r="W53" s="593">
        <f>(N53/I53)^(1/5)-1</f>
        <v>4.4200618230432198E-3</v>
      </c>
      <c r="X53" s="593">
        <f>(S53/N53)^(1/5)-1</f>
        <v>7.541252923440056E-2</v>
      </c>
    </row>
    <row r="54" spans="3:24">
      <c r="C54" t="s">
        <v>699</v>
      </c>
      <c r="D54">
        <v>192</v>
      </c>
      <c r="E54">
        <v>205</v>
      </c>
      <c r="F54">
        <v>247</v>
      </c>
      <c r="G54">
        <v>262</v>
      </c>
      <c r="H54">
        <v>284</v>
      </c>
      <c r="I54">
        <v>303</v>
      </c>
      <c r="J54">
        <v>315</v>
      </c>
      <c r="K54">
        <v>324</v>
      </c>
      <c r="L54">
        <v>345</v>
      </c>
      <c r="M54">
        <v>289</v>
      </c>
      <c r="N54">
        <v>291</v>
      </c>
      <c r="O54">
        <v>387</v>
      </c>
      <c r="P54">
        <v>396</v>
      </c>
      <c r="Q54">
        <v>410</v>
      </c>
      <c r="R54">
        <v>423</v>
      </c>
      <c r="S54" s="598">
        <f>(R54/R49)*S49</f>
        <v>480.06093749999997</v>
      </c>
      <c r="V54" s="593">
        <f>(S54/D54)^(1/15)-1</f>
        <v>6.2999375419943826E-2</v>
      </c>
      <c r="W54" s="593">
        <f>(N54/I54)^(1/5)-1</f>
        <v>-8.0493368556302514E-3</v>
      </c>
      <c r="X54" s="593">
        <f>(S54/N54)^(1/5)-1</f>
        <v>0.1053012877025985</v>
      </c>
    </row>
    <row r="55" spans="3:24">
      <c r="C55" t="s">
        <v>700</v>
      </c>
      <c r="D55" s="591">
        <v>6.2E-2</v>
      </c>
      <c r="E55" s="591">
        <v>6.4000000000000001E-2</v>
      </c>
      <c r="F55" s="591">
        <v>7.3999999999999996E-2</v>
      </c>
      <c r="G55" s="591">
        <v>7.5999999999999998E-2</v>
      </c>
      <c r="H55" s="591">
        <v>7.8E-2</v>
      </c>
      <c r="I55" s="591">
        <v>0.08</v>
      </c>
      <c r="J55" s="591">
        <v>7.9000000000000001E-2</v>
      </c>
      <c r="K55" s="591">
        <v>7.6999999999999999E-2</v>
      </c>
      <c r="L55" s="591">
        <v>7.8E-2</v>
      </c>
      <c r="M55" s="591">
        <v>6.3E-2</v>
      </c>
      <c r="N55" s="591">
        <v>6.0999999999999999E-2</v>
      </c>
      <c r="O55" s="591">
        <v>7.8E-2</v>
      </c>
      <c r="P55" s="591">
        <v>7.5999999999999998E-2</v>
      </c>
      <c r="Q55" s="591">
        <v>7.4999999999999997E-2</v>
      </c>
      <c r="R55" s="591">
        <v>7.3999999999999996E-2</v>
      </c>
      <c r="S55" s="591">
        <f>S54/R56</f>
        <v>7.819580229671011E-2</v>
      </c>
    </row>
    <row r="56" spans="3:24">
      <c r="C56" t="s">
        <v>701</v>
      </c>
      <c r="D56" s="599">
        <f t="shared" ref="D56:S56" si="12">C57+D54</f>
        <v>3288.7741935483873</v>
      </c>
      <c r="E56" s="599">
        <f t="shared" si="12"/>
        <v>3408.125</v>
      </c>
      <c r="F56" s="599">
        <f t="shared" si="12"/>
        <v>3584.8378378378379</v>
      </c>
      <c r="G56" s="599">
        <f t="shared" si="12"/>
        <v>3709.3684210526317</v>
      </c>
      <c r="H56" s="599">
        <f t="shared" si="12"/>
        <v>3925.0256410256411</v>
      </c>
      <c r="I56" s="599">
        <f t="shared" si="12"/>
        <v>4090.5</v>
      </c>
      <c r="J56" s="599">
        <f t="shared" si="12"/>
        <v>4302.3417721518981</v>
      </c>
      <c r="K56" s="599">
        <f t="shared" si="12"/>
        <v>4531.7922077922076</v>
      </c>
      <c r="L56" s="599">
        <f t="shared" si="12"/>
        <v>4768.0769230769229</v>
      </c>
      <c r="M56" s="599">
        <f t="shared" si="12"/>
        <v>4876.3015873015875</v>
      </c>
      <c r="N56" s="599">
        <f t="shared" si="12"/>
        <v>5061.4918032786891</v>
      </c>
      <c r="O56" s="599">
        <f t="shared" si="12"/>
        <v>5348.5384615384619</v>
      </c>
      <c r="P56" s="599">
        <f t="shared" si="12"/>
        <v>5606.5263157894742</v>
      </c>
      <c r="Q56" s="599">
        <f t="shared" si="12"/>
        <v>5876.666666666667</v>
      </c>
      <c r="R56" s="599">
        <f t="shared" si="12"/>
        <v>6139.2162162162167</v>
      </c>
      <c r="S56" s="599">
        <f t="shared" si="12"/>
        <v>6449.2771537162171</v>
      </c>
      <c r="V56" s="600">
        <f>(S56/D56)^(1/15)-1</f>
        <v>4.5919995279379844E-2</v>
      </c>
      <c r="W56" s="600">
        <f>(N56/I56)^(1/5)-1</f>
        <v>4.3519161545441776E-2</v>
      </c>
      <c r="X56" s="600">
        <f>(S56/N56)^(1/5)-1</f>
        <v>4.9654810843566155E-2</v>
      </c>
    </row>
    <row r="57" spans="3:24">
      <c r="C57" s="599">
        <f t="shared" ref="C57:Q57" si="13">D54/D55</f>
        <v>3096.7741935483873</v>
      </c>
      <c r="D57" s="599">
        <f t="shared" si="13"/>
        <v>3203.125</v>
      </c>
      <c r="E57" s="599">
        <f t="shared" si="13"/>
        <v>3337.8378378378379</v>
      </c>
      <c r="F57" s="599">
        <f t="shared" si="13"/>
        <v>3447.3684210526317</v>
      </c>
      <c r="G57" s="599">
        <f t="shared" si="13"/>
        <v>3641.0256410256411</v>
      </c>
      <c r="H57" s="599">
        <f t="shared" si="13"/>
        <v>3787.5</v>
      </c>
      <c r="I57" s="599">
        <f t="shared" si="13"/>
        <v>3987.3417721518986</v>
      </c>
      <c r="J57" s="599">
        <f t="shared" si="13"/>
        <v>4207.7922077922076</v>
      </c>
      <c r="K57" s="599">
        <f t="shared" si="13"/>
        <v>4423.0769230769229</v>
      </c>
      <c r="L57" s="599">
        <f t="shared" si="13"/>
        <v>4587.3015873015875</v>
      </c>
      <c r="M57" s="599">
        <f t="shared" si="13"/>
        <v>4770.4918032786891</v>
      </c>
      <c r="N57" s="599">
        <f t="shared" si="13"/>
        <v>4961.5384615384619</v>
      </c>
      <c r="O57" s="599">
        <f t="shared" si="13"/>
        <v>5210.5263157894742</v>
      </c>
      <c r="P57" s="599">
        <f t="shared" si="13"/>
        <v>5466.666666666667</v>
      </c>
      <c r="Q57" s="599">
        <f t="shared" si="13"/>
        <v>5716.2162162162167</v>
      </c>
      <c r="R57" s="599">
        <f>R56-R58</f>
        <v>5969.2162162162167</v>
      </c>
      <c r="S57" s="599">
        <f>S56-S58</f>
        <v>6274.2771537162171</v>
      </c>
      <c r="V57" s="600">
        <f>(S57/D57)^(1/15)-1</f>
        <v>4.5841780293447654E-2</v>
      </c>
      <c r="W57" s="600">
        <f>(N57/I57)^(1/5)-1</f>
        <v>4.4687937059769256E-2</v>
      </c>
      <c r="X57" s="600">
        <f>(S57/N57)^(1/5)-1</f>
        <v>4.8068014875238596E-2</v>
      </c>
    </row>
    <row r="58" spans="3:24">
      <c r="C58" t="s">
        <v>702</v>
      </c>
      <c r="D58" s="220">
        <f t="shared" ref="D58:Q58" si="14">D56-D57</f>
        <v>85.649193548387302</v>
      </c>
      <c r="E58" s="220">
        <f t="shared" si="14"/>
        <v>70.287162162162076</v>
      </c>
      <c r="F58" s="220">
        <f t="shared" si="14"/>
        <v>137.46941678520625</v>
      </c>
      <c r="G58" s="220">
        <f t="shared" si="14"/>
        <v>68.342780026990567</v>
      </c>
      <c r="H58" s="220">
        <f t="shared" si="14"/>
        <v>137.52564102564111</v>
      </c>
      <c r="I58" s="220">
        <f t="shared" si="14"/>
        <v>103.15822784810143</v>
      </c>
      <c r="J58" s="220">
        <f t="shared" si="14"/>
        <v>94.549564359690521</v>
      </c>
      <c r="K58" s="220">
        <f t="shared" si="14"/>
        <v>108.71528471528472</v>
      </c>
      <c r="L58" s="220">
        <f t="shared" si="14"/>
        <v>180.77533577533541</v>
      </c>
      <c r="M58" s="220">
        <f t="shared" si="14"/>
        <v>105.80978402289838</v>
      </c>
      <c r="N58" s="220">
        <f t="shared" si="14"/>
        <v>99.953341740227188</v>
      </c>
      <c r="O58" s="220">
        <f t="shared" si="14"/>
        <v>138.01214574898768</v>
      </c>
      <c r="P58" s="220">
        <f t="shared" si="14"/>
        <v>139.85964912280724</v>
      </c>
      <c r="Q58" s="220">
        <f t="shared" si="14"/>
        <v>160.45045045045026</v>
      </c>
      <c r="R58" s="601">
        <v>170</v>
      </c>
      <c r="S58" s="601">
        <v>175</v>
      </c>
      <c r="V58" s="600">
        <f>(S58/D58)^(1/15)-1</f>
        <v>4.8787859360832853E-2</v>
      </c>
      <c r="W58" s="600">
        <f>(N58/I58)^(1/5)-1</f>
        <v>-6.2922220733160339E-3</v>
      </c>
      <c r="X58" s="600">
        <f>(S58/N58)^(1/5)-1</f>
        <v>0.11853131165488695</v>
      </c>
    </row>
    <row r="60" spans="3:24">
      <c r="C60" t="s">
        <v>703</v>
      </c>
      <c r="D60">
        <f t="shared" ref="D60:R60" si="15">SUM(D31:D32)</f>
        <v>401</v>
      </c>
      <c r="E60">
        <f t="shared" si="15"/>
        <v>421</v>
      </c>
      <c r="F60">
        <f t="shared" si="15"/>
        <v>455</v>
      </c>
      <c r="G60">
        <f t="shared" si="15"/>
        <v>493</v>
      </c>
      <c r="H60">
        <f t="shared" si="15"/>
        <v>490</v>
      </c>
      <c r="I60">
        <f t="shared" si="15"/>
        <v>491</v>
      </c>
      <c r="J60">
        <f t="shared" si="15"/>
        <v>545</v>
      </c>
      <c r="K60">
        <f t="shared" si="15"/>
        <v>558</v>
      </c>
      <c r="L60">
        <f t="shared" si="15"/>
        <v>626</v>
      </c>
      <c r="M60">
        <f t="shared" si="15"/>
        <v>642</v>
      </c>
      <c r="N60">
        <f t="shared" si="15"/>
        <v>519</v>
      </c>
      <c r="O60">
        <f t="shared" si="15"/>
        <v>519</v>
      </c>
      <c r="P60">
        <f t="shared" si="15"/>
        <v>580</v>
      </c>
      <c r="Q60">
        <f t="shared" si="15"/>
        <v>630</v>
      </c>
      <c r="R60">
        <f t="shared" si="15"/>
        <v>660</v>
      </c>
    </row>
    <row r="61" spans="3:24">
      <c r="C61" t="s">
        <v>704</v>
      </c>
      <c r="D61">
        <f t="shared" ref="D61:R61" si="16">SUM(D40:D41)</f>
        <v>376</v>
      </c>
      <c r="E61">
        <f t="shared" si="16"/>
        <v>372</v>
      </c>
      <c r="F61">
        <f t="shared" si="16"/>
        <v>415</v>
      </c>
      <c r="G61">
        <f t="shared" si="16"/>
        <v>440</v>
      </c>
      <c r="H61">
        <f t="shared" si="16"/>
        <v>485</v>
      </c>
      <c r="I61">
        <f t="shared" si="16"/>
        <v>495</v>
      </c>
      <c r="J61">
        <f t="shared" si="16"/>
        <v>490</v>
      </c>
      <c r="K61">
        <f t="shared" si="16"/>
        <v>529</v>
      </c>
      <c r="L61">
        <f t="shared" si="16"/>
        <v>580</v>
      </c>
      <c r="M61">
        <f t="shared" si="16"/>
        <v>127</v>
      </c>
      <c r="N61">
        <f t="shared" si="16"/>
        <v>60</v>
      </c>
      <c r="O61">
        <f t="shared" si="16"/>
        <v>420</v>
      </c>
      <c r="P61">
        <f t="shared" si="16"/>
        <v>470</v>
      </c>
      <c r="Q61">
        <f t="shared" si="16"/>
        <v>525</v>
      </c>
      <c r="R61">
        <f t="shared" si="16"/>
        <v>550</v>
      </c>
    </row>
    <row r="63" spans="3:24">
      <c r="C63" t="s">
        <v>705</v>
      </c>
      <c r="D63">
        <f t="shared" ref="D63:K63" si="17">D38-D60</f>
        <v>109</v>
      </c>
      <c r="E63">
        <f t="shared" si="17"/>
        <v>113</v>
      </c>
      <c r="F63">
        <f t="shared" si="17"/>
        <v>133</v>
      </c>
      <c r="G63">
        <f t="shared" si="17"/>
        <v>133</v>
      </c>
      <c r="H63">
        <f t="shared" si="17"/>
        <v>139</v>
      </c>
      <c r="I63">
        <f t="shared" si="17"/>
        <v>144</v>
      </c>
      <c r="J63">
        <f t="shared" si="17"/>
        <v>143</v>
      </c>
      <c r="K63">
        <f t="shared" si="17"/>
        <v>160</v>
      </c>
      <c r="L63">
        <f t="shared" ref="L63:R63" si="18">L38-L60-L30</f>
        <v>154</v>
      </c>
      <c r="M63">
        <f t="shared" si="18"/>
        <v>173</v>
      </c>
      <c r="N63">
        <f t="shared" si="18"/>
        <v>160</v>
      </c>
      <c r="O63">
        <f t="shared" si="18"/>
        <v>152</v>
      </c>
      <c r="P63">
        <f t="shared" si="18"/>
        <v>155</v>
      </c>
      <c r="Q63">
        <f t="shared" si="18"/>
        <v>159</v>
      </c>
      <c r="R63">
        <f t="shared" si="18"/>
        <v>161</v>
      </c>
    </row>
    <row r="64" spans="3:24">
      <c r="C64" t="s">
        <v>706</v>
      </c>
      <c r="D64">
        <f t="shared" ref="D64:R64" si="19">D47-D61</f>
        <v>86</v>
      </c>
      <c r="E64">
        <f t="shared" si="19"/>
        <v>105</v>
      </c>
      <c r="F64">
        <f t="shared" si="19"/>
        <v>186</v>
      </c>
      <c r="G64">
        <f t="shared" si="19"/>
        <v>208</v>
      </c>
      <c r="H64">
        <f t="shared" si="19"/>
        <v>238</v>
      </c>
      <c r="I64">
        <f t="shared" si="19"/>
        <v>268</v>
      </c>
      <c r="J64">
        <f t="shared" si="19"/>
        <v>258</v>
      </c>
      <c r="K64">
        <f t="shared" si="19"/>
        <v>234</v>
      </c>
      <c r="L64">
        <f t="shared" si="19"/>
        <v>226</v>
      </c>
      <c r="M64">
        <f t="shared" si="19"/>
        <v>253</v>
      </c>
      <c r="N64">
        <f t="shared" si="19"/>
        <v>142</v>
      </c>
      <c r="O64">
        <f t="shared" si="19"/>
        <v>131</v>
      </c>
      <c r="P64">
        <f t="shared" si="19"/>
        <v>166</v>
      </c>
      <c r="Q64">
        <f t="shared" si="19"/>
        <v>186</v>
      </c>
      <c r="R64">
        <f t="shared" si="19"/>
        <v>197</v>
      </c>
    </row>
    <row r="66" spans="2:18">
      <c r="C66" t="s">
        <v>707</v>
      </c>
      <c r="D66" s="602">
        <f t="shared" ref="D66:R66" si="20">SUM(D40:D41)/12</f>
        <v>31.333333333333332</v>
      </c>
      <c r="E66" s="602">
        <f t="shared" si="20"/>
        <v>31</v>
      </c>
      <c r="F66" s="602">
        <f t="shared" si="20"/>
        <v>34.583333333333336</v>
      </c>
      <c r="G66" s="602">
        <f t="shared" si="20"/>
        <v>36.666666666666664</v>
      </c>
      <c r="H66" s="602">
        <f t="shared" si="20"/>
        <v>40.416666666666664</v>
      </c>
      <c r="I66" s="602">
        <f t="shared" si="20"/>
        <v>41.25</v>
      </c>
      <c r="J66" s="602">
        <f t="shared" si="20"/>
        <v>40.833333333333336</v>
      </c>
      <c r="K66" s="602">
        <f t="shared" si="20"/>
        <v>44.083333333333336</v>
      </c>
      <c r="L66" s="602">
        <f t="shared" si="20"/>
        <v>48.333333333333336</v>
      </c>
      <c r="M66" s="602">
        <f t="shared" si="20"/>
        <v>10.583333333333334</v>
      </c>
      <c r="N66" s="602">
        <f t="shared" si="20"/>
        <v>5</v>
      </c>
      <c r="O66" s="602">
        <f t="shared" si="20"/>
        <v>35</v>
      </c>
      <c r="P66" s="602">
        <f t="shared" si="20"/>
        <v>39.166666666666664</v>
      </c>
      <c r="Q66" s="602">
        <f t="shared" si="20"/>
        <v>43.75</v>
      </c>
      <c r="R66" s="602">
        <f t="shared" si="20"/>
        <v>45.833333333333336</v>
      </c>
    </row>
    <row r="67" spans="2:18">
      <c r="C67" t="s">
        <v>708</v>
      </c>
      <c r="D67" s="602">
        <f t="shared" ref="D67:R67" si="21">SUM(D31:D32)/12</f>
        <v>33.416666666666664</v>
      </c>
      <c r="E67" s="602">
        <f t="shared" si="21"/>
        <v>35.083333333333336</v>
      </c>
      <c r="F67" s="602">
        <f t="shared" si="21"/>
        <v>37.916666666666664</v>
      </c>
      <c r="G67" s="602">
        <f t="shared" si="21"/>
        <v>41.083333333333336</v>
      </c>
      <c r="H67" s="602">
        <f t="shared" si="21"/>
        <v>40.833333333333336</v>
      </c>
      <c r="I67" s="602">
        <f t="shared" si="21"/>
        <v>40.916666666666664</v>
      </c>
      <c r="J67" s="602">
        <f t="shared" si="21"/>
        <v>45.416666666666664</v>
      </c>
      <c r="K67" s="602">
        <f t="shared" si="21"/>
        <v>46.5</v>
      </c>
      <c r="L67" s="602">
        <f t="shared" si="21"/>
        <v>52.166666666666664</v>
      </c>
      <c r="M67" s="602">
        <f t="shared" si="21"/>
        <v>53.5</v>
      </c>
      <c r="N67" s="602">
        <f t="shared" si="21"/>
        <v>43.25</v>
      </c>
      <c r="O67" s="602">
        <f t="shared" si="21"/>
        <v>43.25</v>
      </c>
      <c r="P67" s="602">
        <f t="shared" si="21"/>
        <v>48.333333333333336</v>
      </c>
      <c r="Q67" s="602">
        <f t="shared" si="21"/>
        <v>52.5</v>
      </c>
      <c r="R67" s="602">
        <f t="shared" si="21"/>
        <v>55</v>
      </c>
    </row>
    <row r="69" spans="2:18">
      <c r="B69" t="s">
        <v>709</v>
      </c>
      <c r="D69" s="589">
        <v>2010</v>
      </c>
      <c r="E69" s="589">
        <f t="shared" ref="E69:R69" si="22">D69+1</f>
        <v>2011</v>
      </c>
      <c r="F69" s="589">
        <f t="shared" si="22"/>
        <v>2012</v>
      </c>
      <c r="G69" s="589">
        <f t="shared" si="22"/>
        <v>2013</v>
      </c>
      <c r="H69" s="589">
        <f t="shared" si="22"/>
        <v>2014</v>
      </c>
      <c r="I69" s="589">
        <f t="shared" si="22"/>
        <v>2015</v>
      </c>
      <c r="J69" s="589">
        <f t="shared" si="22"/>
        <v>2016</v>
      </c>
      <c r="K69" s="589">
        <f t="shared" si="22"/>
        <v>2017</v>
      </c>
      <c r="L69" s="589">
        <f t="shared" si="22"/>
        <v>2018</v>
      </c>
      <c r="M69" s="589">
        <f t="shared" si="22"/>
        <v>2019</v>
      </c>
      <c r="N69" s="589">
        <f t="shared" si="22"/>
        <v>2020</v>
      </c>
      <c r="O69" s="589">
        <f t="shared" si="22"/>
        <v>2021</v>
      </c>
      <c r="P69" s="589">
        <f t="shared" si="22"/>
        <v>2022</v>
      </c>
      <c r="Q69" s="589">
        <f t="shared" si="22"/>
        <v>2023</v>
      </c>
      <c r="R69" s="589">
        <f t="shared" si="22"/>
        <v>2024</v>
      </c>
    </row>
    <row r="70" spans="2:18">
      <c r="C70" t="s">
        <v>710</v>
      </c>
      <c r="I70">
        <v>9</v>
      </c>
      <c r="J70">
        <v>4</v>
      </c>
      <c r="K70">
        <v>3</v>
      </c>
    </row>
    <row r="71" spans="2:18">
      <c r="C71" t="s">
        <v>711</v>
      </c>
      <c r="I71">
        <v>26</v>
      </c>
      <c r="J71">
        <v>20</v>
      </c>
      <c r="K71">
        <v>27</v>
      </c>
      <c r="L71">
        <v>29</v>
      </c>
      <c r="M71">
        <v>33</v>
      </c>
      <c r="N71">
        <v>30</v>
      </c>
      <c r="O71">
        <v>30</v>
      </c>
    </row>
    <row r="72" spans="2:18">
      <c r="C72" t="s">
        <v>712</v>
      </c>
      <c r="I72">
        <v>20</v>
      </c>
      <c r="J72">
        <v>11</v>
      </c>
      <c r="K72">
        <v>9</v>
      </c>
      <c r="L72">
        <v>2</v>
      </c>
      <c r="M72">
        <v>0</v>
      </c>
    </row>
    <row r="73" spans="2:18">
      <c r="C73" t="s">
        <v>713</v>
      </c>
      <c r="I73">
        <v>0</v>
      </c>
      <c r="J73">
        <v>0</v>
      </c>
      <c r="K73">
        <v>0</v>
      </c>
      <c r="L73">
        <v>10</v>
      </c>
      <c r="M73">
        <v>26</v>
      </c>
      <c r="N73">
        <v>30</v>
      </c>
      <c r="O73">
        <v>30</v>
      </c>
    </row>
    <row r="74" spans="2:18">
      <c r="C74" t="s">
        <v>714</v>
      </c>
      <c r="I74">
        <v>40</v>
      </c>
      <c r="J74">
        <v>31</v>
      </c>
      <c r="K74">
        <v>15</v>
      </c>
      <c r="L74">
        <v>19</v>
      </c>
      <c r="M74">
        <v>19</v>
      </c>
      <c r="N74">
        <v>16</v>
      </c>
      <c r="O74">
        <v>12</v>
      </c>
    </row>
    <row r="75" spans="2:18">
      <c r="C75" t="s">
        <v>715</v>
      </c>
      <c r="I75">
        <v>0</v>
      </c>
      <c r="J75">
        <v>0</v>
      </c>
      <c r="K75">
        <v>0</v>
      </c>
      <c r="L75">
        <v>0</v>
      </c>
      <c r="M75">
        <v>10</v>
      </c>
      <c r="N75">
        <v>20</v>
      </c>
      <c r="O75">
        <v>30</v>
      </c>
    </row>
    <row r="76" spans="2:18">
      <c r="C76" t="s">
        <v>716</v>
      </c>
      <c r="I76">
        <v>52</v>
      </c>
      <c r="J76">
        <v>62</v>
      </c>
      <c r="K76">
        <v>66</v>
      </c>
      <c r="L76">
        <v>61</v>
      </c>
      <c r="M76">
        <v>59</v>
      </c>
      <c r="N76">
        <v>54</v>
      </c>
      <c r="O76">
        <v>48</v>
      </c>
    </row>
    <row r="77" spans="2:18">
      <c r="C77" t="s">
        <v>717</v>
      </c>
      <c r="I77" s="592">
        <f t="shared" ref="I77:O77" si="23">SUM(I70:I76)</f>
        <v>147</v>
      </c>
      <c r="J77" s="592">
        <f t="shared" si="23"/>
        <v>128</v>
      </c>
      <c r="K77" s="592">
        <f t="shared" si="23"/>
        <v>120</v>
      </c>
      <c r="L77" s="592">
        <f t="shared" si="23"/>
        <v>121</v>
      </c>
      <c r="M77" s="592">
        <f t="shared" si="23"/>
        <v>147</v>
      </c>
      <c r="N77" s="592">
        <f t="shared" si="23"/>
        <v>150</v>
      </c>
      <c r="O77" s="592">
        <f t="shared" si="23"/>
        <v>150</v>
      </c>
    </row>
    <row r="78" spans="2:18">
      <c r="C78" t="s">
        <v>718</v>
      </c>
      <c r="I78" s="594">
        <v>32</v>
      </c>
      <c r="J78" s="594">
        <v>24</v>
      </c>
      <c r="K78" s="594">
        <v>14</v>
      </c>
      <c r="L78" s="594">
        <v>12</v>
      </c>
      <c r="M78" s="594">
        <v>16</v>
      </c>
      <c r="N78" s="594">
        <v>15</v>
      </c>
      <c r="O78" s="594">
        <v>15</v>
      </c>
    </row>
    <row r="79" spans="2:18">
      <c r="C79" t="s">
        <v>719</v>
      </c>
      <c r="I79" s="594">
        <v>1</v>
      </c>
      <c r="J79" s="594">
        <v>0</v>
      </c>
      <c r="K79" s="594">
        <v>2</v>
      </c>
    </row>
    <row r="80" spans="2:18">
      <c r="C80" t="s">
        <v>720</v>
      </c>
      <c r="I80" s="594">
        <v>68</v>
      </c>
      <c r="J80" s="594">
        <v>62</v>
      </c>
      <c r="K80" s="594">
        <v>56</v>
      </c>
      <c r="L80" s="594">
        <v>60</v>
      </c>
      <c r="M80" s="594">
        <v>55</v>
      </c>
      <c r="N80" s="594">
        <v>55</v>
      </c>
      <c r="O80" s="594">
        <v>53</v>
      </c>
    </row>
    <row r="81" spans="3:15">
      <c r="C81" t="s">
        <v>721</v>
      </c>
      <c r="I81" s="594">
        <v>25</v>
      </c>
      <c r="J81" s="594">
        <v>26</v>
      </c>
      <c r="K81" s="594">
        <v>23</v>
      </c>
      <c r="L81" s="594">
        <v>23</v>
      </c>
      <c r="M81" s="594">
        <v>20</v>
      </c>
      <c r="N81" s="594">
        <v>22</v>
      </c>
      <c r="O81" s="594">
        <v>22</v>
      </c>
    </row>
    <row r="82" spans="3:15">
      <c r="C82" t="s">
        <v>722</v>
      </c>
      <c r="I82" s="594">
        <v>73</v>
      </c>
      <c r="J82" s="594">
        <v>51</v>
      </c>
      <c r="K82" s="594">
        <v>45</v>
      </c>
      <c r="L82" s="594">
        <v>41</v>
      </c>
      <c r="M82" s="594">
        <v>41</v>
      </c>
      <c r="N82" s="594">
        <v>40</v>
      </c>
      <c r="O82" s="594">
        <v>38</v>
      </c>
    </row>
    <row r="83" spans="3:15">
      <c r="C83" t="s">
        <v>723</v>
      </c>
      <c r="I83" s="594">
        <v>0</v>
      </c>
      <c r="J83" s="594">
        <v>0</v>
      </c>
      <c r="K83" s="594">
        <v>0</v>
      </c>
      <c r="L83" s="594">
        <v>1</v>
      </c>
      <c r="M83" s="594">
        <v>16</v>
      </c>
      <c r="N83" s="594">
        <v>35</v>
      </c>
      <c r="O83" s="594">
        <v>37</v>
      </c>
    </row>
    <row r="84" spans="3:15">
      <c r="C84" t="s">
        <v>724</v>
      </c>
      <c r="I84" s="592">
        <f t="shared" ref="I84:O84" si="24">SUM(I78:I83)</f>
        <v>199</v>
      </c>
      <c r="J84" s="592">
        <f t="shared" si="24"/>
        <v>163</v>
      </c>
      <c r="K84" s="592">
        <f t="shared" si="24"/>
        <v>140</v>
      </c>
      <c r="L84" s="592">
        <f t="shared" si="24"/>
        <v>137</v>
      </c>
      <c r="M84" s="592">
        <f t="shared" si="24"/>
        <v>148</v>
      </c>
      <c r="N84" s="592">
        <f t="shared" si="24"/>
        <v>167</v>
      </c>
      <c r="O84" s="592">
        <f t="shared" si="24"/>
        <v>165</v>
      </c>
    </row>
    <row r="85" spans="3:15">
      <c r="C85" t="s">
        <v>725</v>
      </c>
      <c r="I85" s="594">
        <v>142</v>
      </c>
      <c r="J85" s="594">
        <v>163</v>
      </c>
      <c r="K85" s="594">
        <v>167</v>
      </c>
      <c r="L85" s="594">
        <v>178</v>
      </c>
      <c r="M85" s="594">
        <v>189</v>
      </c>
      <c r="N85" s="594">
        <v>191</v>
      </c>
      <c r="O85" s="594">
        <v>193</v>
      </c>
    </row>
    <row r="86" spans="3:15">
      <c r="C86" t="s">
        <v>726</v>
      </c>
      <c r="I86" s="594">
        <v>24</v>
      </c>
      <c r="J86" s="594">
        <v>15</v>
      </c>
      <c r="K86" s="594">
        <v>13</v>
      </c>
      <c r="L86" s="594">
        <v>10</v>
      </c>
      <c r="M86" s="594">
        <v>20</v>
      </c>
      <c r="N86" s="594">
        <v>27</v>
      </c>
      <c r="O86" s="594">
        <v>22</v>
      </c>
    </row>
    <row r="87" spans="3:15">
      <c r="C87" t="s">
        <v>727</v>
      </c>
      <c r="I87" s="592">
        <f t="shared" ref="I87:O87" si="25">SUM(I85:I86)</f>
        <v>166</v>
      </c>
      <c r="J87" s="592">
        <f t="shared" si="25"/>
        <v>178</v>
      </c>
      <c r="K87" s="592">
        <f t="shared" si="25"/>
        <v>180</v>
      </c>
      <c r="L87" s="592">
        <f t="shared" si="25"/>
        <v>188</v>
      </c>
      <c r="M87" s="592">
        <f t="shared" si="25"/>
        <v>209</v>
      </c>
      <c r="N87" s="592">
        <f t="shared" si="25"/>
        <v>218</v>
      </c>
      <c r="O87" s="592">
        <f t="shared" si="25"/>
        <v>215</v>
      </c>
    </row>
    <row r="88" spans="3:15">
      <c r="C88" t="s">
        <v>728</v>
      </c>
      <c r="I88" s="594">
        <v>33</v>
      </c>
      <c r="J88" s="594">
        <v>23</v>
      </c>
      <c r="K88" s="594">
        <v>12</v>
      </c>
      <c r="L88" s="594">
        <v>10</v>
      </c>
      <c r="M88" s="594">
        <v>17</v>
      </c>
      <c r="N88" s="594">
        <v>8</v>
      </c>
      <c r="O88" s="594">
        <v>9</v>
      </c>
    </row>
    <row r="89" spans="3:15">
      <c r="C89" t="s">
        <v>729</v>
      </c>
      <c r="I89" s="594">
        <v>10</v>
      </c>
      <c r="J89" s="594">
        <v>4</v>
      </c>
      <c r="K89" s="594">
        <v>11</v>
      </c>
      <c r="L89" s="594">
        <v>5</v>
      </c>
      <c r="M89" s="594">
        <v>4</v>
      </c>
      <c r="N89" s="594">
        <v>5</v>
      </c>
      <c r="O89" s="594">
        <v>5</v>
      </c>
    </row>
    <row r="90" spans="3:15">
      <c r="C90" t="s">
        <v>730</v>
      </c>
      <c r="I90" s="594">
        <v>12</v>
      </c>
      <c r="J90" s="594">
        <v>18</v>
      </c>
      <c r="K90" s="594">
        <v>6</v>
      </c>
      <c r="L90" s="594">
        <v>6</v>
      </c>
      <c r="M90" s="594">
        <v>5</v>
      </c>
      <c r="N90" s="594">
        <v>11</v>
      </c>
      <c r="O90" s="594">
        <v>11</v>
      </c>
    </row>
    <row r="91" spans="3:15">
      <c r="C91" t="s">
        <v>731</v>
      </c>
      <c r="I91" s="594">
        <v>0</v>
      </c>
      <c r="J91" s="594">
        <v>4</v>
      </c>
      <c r="K91" s="594">
        <v>20</v>
      </c>
      <c r="L91" s="594">
        <v>20</v>
      </c>
      <c r="M91" s="594">
        <v>14</v>
      </c>
      <c r="N91" s="594">
        <v>19</v>
      </c>
      <c r="O91" s="594">
        <v>20</v>
      </c>
    </row>
    <row r="92" spans="3:15">
      <c r="C92" t="s">
        <v>732</v>
      </c>
      <c r="I92" s="592">
        <f t="shared" ref="I92:O92" si="26">SUM(I88:I91)</f>
        <v>55</v>
      </c>
      <c r="J92" s="592">
        <f t="shared" si="26"/>
        <v>49</v>
      </c>
      <c r="K92" s="592">
        <f t="shared" si="26"/>
        <v>49</v>
      </c>
      <c r="L92" s="592">
        <f t="shared" si="26"/>
        <v>41</v>
      </c>
      <c r="M92" s="592">
        <f t="shared" si="26"/>
        <v>40</v>
      </c>
      <c r="N92" s="592">
        <f t="shared" si="26"/>
        <v>43</v>
      </c>
      <c r="O92" s="592">
        <f t="shared" si="26"/>
        <v>45</v>
      </c>
    </row>
    <row r="93" spans="3:15">
      <c r="C93" t="s">
        <v>733</v>
      </c>
      <c r="I93" s="594">
        <v>85</v>
      </c>
      <c r="J93" s="594">
        <v>85</v>
      </c>
      <c r="K93" s="594">
        <v>86</v>
      </c>
      <c r="L93" s="594">
        <v>78</v>
      </c>
      <c r="M93" s="594">
        <v>72</v>
      </c>
      <c r="N93" s="594">
        <v>73</v>
      </c>
      <c r="O93" s="594">
        <v>73</v>
      </c>
    </row>
    <row r="94" spans="3:15">
      <c r="C94" t="s">
        <v>734</v>
      </c>
      <c r="I94" s="594">
        <v>20</v>
      </c>
      <c r="J94" s="594">
        <v>21</v>
      </c>
      <c r="K94" s="594">
        <v>15</v>
      </c>
      <c r="L94" s="594">
        <v>10</v>
      </c>
      <c r="M94" s="594">
        <v>20</v>
      </c>
      <c r="N94" s="594">
        <v>24</v>
      </c>
      <c r="O94" s="594">
        <v>24</v>
      </c>
    </row>
    <row r="95" spans="3:15">
      <c r="C95" t="s">
        <v>735</v>
      </c>
      <c r="I95" s="594">
        <v>12</v>
      </c>
      <c r="J95" s="594">
        <v>9</v>
      </c>
      <c r="K95" s="594">
        <v>7</v>
      </c>
      <c r="L95" s="594">
        <v>4</v>
      </c>
      <c r="M95" s="594">
        <v>3</v>
      </c>
      <c r="N95" s="594">
        <v>3</v>
      </c>
      <c r="O95" s="594">
        <v>3</v>
      </c>
    </row>
    <row r="96" spans="3:15">
      <c r="C96" t="s">
        <v>736</v>
      </c>
      <c r="I96" s="594">
        <v>3</v>
      </c>
      <c r="J96" s="594">
        <v>2</v>
      </c>
      <c r="K96" s="594">
        <v>1</v>
      </c>
      <c r="L96" s="594">
        <v>0</v>
      </c>
    </row>
    <row r="97" spans="2:21">
      <c r="C97" t="s">
        <v>737</v>
      </c>
      <c r="I97" s="592">
        <f t="shared" ref="I97:O97" si="27">SUM(I93:I96)</f>
        <v>120</v>
      </c>
      <c r="J97" s="592">
        <f t="shared" si="27"/>
        <v>117</v>
      </c>
      <c r="K97" s="592">
        <f t="shared" si="27"/>
        <v>109</v>
      </c>
      <c r="L97" s="592">
        <f t="shared" si="27"/>
        <v>92</v>
      </c>
      <c r="M97" s="592">
        <f t="shared" si="27"/>
        <v>95</v>
      </c>
      <c r="N97" s="592">
        <f t="shared" si="27"/>
        <v>100</v>
      </c>
      <c r="O97" s="592">
        <f t="shared" si="27"/>
        <v>100</v>
      </c>
    </row>
    <row r="98" spans="2:21">
      <c r="C98" t="s">
        <v>738</v>
      </c>
      <c r="I98" s="594">
        <v>2</v>
      </c>
      <c r="J98" s="594">
        <v>22</v>
      </c>
      <c r="K98" s="594">
        <v>31</v>
      </c>
      <c r="L98" s="594">
        <v>33</v>
      </c>
      <c r="M98" s="594">
        <v>34</v>
      </c>
      <c r="N98" s="594">
        <v>32</v>
      </c>
      <c r="O98" s="594">
        <v>32</v>
      </c>
    </row>
    <row r="99" spans="2:21">
      <c r="C99" t="s">
        <v>696</v>
      </c>
      <c r="I99">
        <f t="shared" ref="I99:O99" si="28">I98+I97+I92+I87+I84+I77</f>
        <v>689</v>
      </c>
      <c r="J99">
        <f t="shared" si="28"/>
        <v>657</v>
      </c>
      <c r="K99">
        <f t="shared" si="28"/>
        <v>629</v>
      </c>
      <c r="L99">
        <f t="shared" si="28"/>
        <v>612</v>
      </c>
      <c r="M99">
        <f t="shared" si="28"/>
        <v>673</v>
      </c>
      <c r="N99">
        <f t="shared" si="28"/>
        <v>710</v>
      </c>
      <c r="O99">
        <f t="shared" si="28"/>
        <v>707</v>
      </c>
    </row>
    <row r="102" spans="2:21">
      <c r="B102" t="s">
        <v>739</v>
      </c>
      <c r="I102">
        <v>2018</v>
      </c>
      <c r="J102">
        <v>2019</v>
      </c>
    </row>
    <row r="103" spans="2:21">
      <c r="H103" t="s">
        <v>740</v>
      </c>
      <c r="I103">
        <f>J103-69</f>
        <v>4513</v>
      </c>
      <c r="J103">
        <v>4582</v>
      </c>
    </row>
    <row r="104" spans="2:21">
      <c r="H104" t="s">
        <v>741</v>
      </c>
      <c r="J104">
        <v>-51</v>
      </c>
    </row>
    <row r="105" spans="2:21">
      <c r="H105" t="s">
        <v>742</v>
      </c>
      <c r="J105">
        <v>-187</v>
      </c>
    </row>
    <row r="106" spans="2:21">
      <c r="H106" t="s">
        <v>743</v>
      </c>
      <c r="I106" s="592">
        <f>SUM(I103:I105)</f>
        <v>4513</v>
      </c>
      <c r="J106" s="592">
        <f>SUM(J103:J105)</f>
        <v>4344</v>
      </c>
    </row>
    <row r="108" spans="2:21">
      <c r="G108" t="s">
        <v>744</v>
      </c>
      <c r="I108">
        <v>42</v>
      </c>
      <c r="J108">
        <v>42</v>
      </c>
    </row>
    <row r="109" spans="2:21">
      <c r="G109" t="s">
        <v>745</v>
      </c>
      <c r="J109">
        <f>J106/J108</f>
        <v>103.42857142857143</v>
      </c>
    </row>
    <row r="111" spans="2:21">
      <c r="B111" t="s">
        <v>746</v>
      </c>
      <c r="D111">
        <f t="shared" ref="D111:T111" si="29">D21</f>
        <v>2010</v>
      </c>
      <c r="E111">
        <f t="shared" si="29"/>
        <v>2011</v>
      </c>
      <c r="F111">
        <f t="shared" si="29"/>
        <v>2012</v>
      </c>
      <c r="G111">
        <f t="shared" si="29"/>
        <v>2013</v>
      </c>
      <c r="H111">
        <f t="shared" si="29"/>
        <v>2014</v>
      </c>
      <c r="I111">
        <f t="shared" si="29"/>
        <v>2015</v>
      </c>
      <c r="J111">
        <f t="shared" si="29"/>
        <v>2016</v>
      </c>
      <c r="K111">
        <f t="shared" si="29"/>
        <v>2017</v>
      </c>
      <c r="L111">
        <f t="shared" si="29"/>
        <v>2018</v>
      </c>
      <c r="M111">
        <f t="shared" si="29"/>
        <v>2019</v>
      </c>
      <c r="N111">
        <f t="shared" si="29"/>
        <v>2020</v>
      </c>
      <c r="O111">
        <f t="shared" si="29"/>
        <v>2021</v>
      </c>
      <c r="P111">
        <f t="shared" si="29"/>
        <v>2022</v>
      </c>
      <c r="Q111">
        <f t="shared" si="29"/>
        <v>2023</v>
      </c>
      <c r="R111">
        <f t="shared" si="29"/>
        <v>2024</v>
      </c>
      <c r="S111">
        <f t="shared" si="29"/>
        <v>2025</v>
      </c>
      <c r="T111" t="str">
        <f t="shared" si="29"/>
        <v>Jan 2020 Backlog</v>
      </c>
    </row>
    <row r="112" spans="2:21">
      <c r="B112">
        <v>0.24</v>
      </c>
      <c r="C112">
        <v>777</v>
      </c>
      <c r="D112" s="602">
        <f t="shared" ref="D112:T112" si="30">$B112*(D45+D44)</f>
        <v>17.759999999999998</v>
      </c>
      <c r="E112" s="602">
        <f t="shared" si="30"/>
        <v>17.52</v>
      </c>
      <c r="F112" s="602">
        <f t="shared" si="30"/>
        <v>19.919999999999998</v>
      </c>
      <c r="G112" s="602">
        <f t="shared" si="30"/>
        <v>23.52</v>
      </c>
      <c r="H112" s="602">
        <f t="shared" si="30"/>
        <v>23.759999999999998</v>
      </c>
      <c r="I112" s="602">
        <f t="shared" si="30"/>
        <v>23.52</v>
      </c>
      <c r="J112" s="602">
        <f t="shared" si="30"/>
        <v>23.759999999999998</v>
      </c>
      <c r="K112" s="602">
        <f t="shared" si="30"/>
        <v>17.759999999999998</v>
      </c>
      <c r="L112" s="602">
        <f t="shared" si="30"/>
        <v>11.52</v>
      </c>
      <c r="M112" s="602">
        <f t="shared" si="30"/>
        <v>10.799999999999999</v>
      </c>
      <c r="N112" s="602">
        <f t="shared" si="30"/>
        <v>5.2799999999999994</v>
      </c>
      <c r="O112" s="602">
        <f t="shared" si="30"/>
        <v>4.08</v>
      </c>
      <c r="P112" s="602">
        <f t="shared" si="30"/>
        <v>7.1999999999999993</v>
      </c>
      <c r="Q112" s="602">
        <f t="shared" si="30"/>
        <v>10.559999999999999</v>
      </c>
      <c r="R112" s="602">
        <f t="shared" si="30"/>
        <v>10.799999999999999</v>
      </c>
      <c r="S112" s="602">
        <f t="shared" si="30"/>
        <v>11.76</v>
      </c>
      <c r="T112" s="602">
        <f t="shared" si="30"/>
        <v>91.92</v>
      </c>
      <c r="U112" s="602"/>
    </row>
    <row r="113" spans="2:21">
      <c r="B113">
        <v>9.5000000000000001E-2</v>
      </c>
      <c r="C113">
        <v>737</v>
      </c>
      <c r="D113" s="602">
        <f t="shared" ref="D113:T113" si="31">$B113*(D41+D40)</f>
        <v>35.72</v>
      </c>
      <c r="E113" s="602">
        <f t="shared" si="31"/>
        <v>35.340000000000003</v>
      </c>
      <c r="F113" s="602">
        <f t="shared" si="31"/>
        <v>39.424999999999997</v>
      </c>
      <c r="G113" s="602">
        <f t="shared" si="31"/>
        <v>41.8</v>
      </c>
      <c r="H113" s="602">
        <f t="shared" si="31"/>
        <v>46.075000000000003</v>
      </c>
      <c r="I113" s="602">
        <f t="shared" si="31"/>
        <v>47.024999999999999</v>
      </c>
      <c r="J113" s="602">
        <f t="shared" si="31"/>
        <v>46.55</v>
      </c>
      <c r="K113" s="602">
        <f t="shared" si="31"/>
        <v>50.255000000000003</v>
      </c>
      <c r="L113" s="602">
        <f t="shared" si="31"/>
        <v>55.1</v>
      </c>
      <c r="M113" s="602">
        <f t="shared" si="31"/>
        <v>12.065</v>
      </c>
      <c r="N113" s="602">
        <f t="shared" si="31"/>
        <v>5.7</v>
      </c>
      <c r="O113" s="602">
        <f t="shared" si="31"/>
        <v>39.9</v>
      </c>
      <c r="P113" s="602">
        <f t="shared" si="31"/>
        <v>44.65</v>
      </c>
      <c r="Q113" s="602">
        <f t="shared" si="31"/>
        <v>49.875</v>
      </c>
      <c r="R113" s="602">
        <f t="shared" si="31"/>
        <v>52.25</v>
      </c>
      <c r="S113" s="602">
        <f t="shared" si="31"/>
        <v>62.225000000000001</v>
      </c>
      <c r="T113" s="602">
        <f t="shared" si="31"/>
        <v>423.98500000000001</v>
      </c>
      <c r="U113" s="602"/>
    </row>
    <row r="114" spans="2:21">
      <c r="B114">
        <v>4.4999999999999998E-2</v>
      </c>
      <c r="C114">
        <v>787</v>
      </c>
      <c r="D114" s="602">
        <f t="shared" ref="D114:T114" si="32">$B114*(D46)</f>
        <v>0</v>
      </c>
      <c r="E114" s="602">
        <f t="shared" si="32"/>
        <v>0.13500000000000001</v>
      </c>
      <c r="F114" s="602">
        <f t="shared" si="32"/>
        <v>2.0699999999999998</v>
      </c>
      <c r="G114" s="602">
        <f t="shared" si="32"/>
        <v>2.9249999999999998</v>
      </c>
      <c r="H114" s="602">
        <f t="shared" si="32"/>
        <v>5.13</v>
      </c>
      <c r="I114" s="602">
        <f t="shared" si="32"/>
        <v>6.12</v>
      </c>
      <c r="J114" s="602">
        <f t="shared" si="32"/>
        <v>6.165</v>
      </c>
      <c r="K114" s="602">
        <f t="shared" si="32"/>
        <v>6.12</v>
      </c>
      <c r="L114" s="602">
        <f t="shared" si="32"/>
        <v>6.5249999999999995</v>
      </c>
      <c r="M114" s="602">
        <f t="shared" si="32"/>
        <v>7.1099999999999994</v>
      </c>
      <c r="N114" s="602">
        <f t="shared" si="32"/>
        <v>4.0949999999999998</v>
      </c>
      <c r="O114" s="602">
        <f t="shared" si="32"/>
        <v>3.51</v>
      </c>
      <c r="P114" s="602">
        <f t="shared" si="32"/>
        <v>4.5</v>
      </c>
      <c r="Q114" s="602">
        <f t="shared" si="32"/>
        <v>4.5</v>
      </c>
      <c r="R114" s="602">
        <f t="shared" si="32"/>
        <v>4.95</v>
      </c>
      <c r="S114" s="602">
        <f t="shared" si="32"/>
        <v>5.1749999999999998</v>
      </c>
      <c r="T114" s="602">
        <f t="shared" si="32"/>
        <v>24.164999999999999</v>
      </c>
      <c r="U114" s="602"/>
    </row>
    <row r="115" spans="2:21">
      <c r="B115">
        <v>0.03</v>
      </c>
      <c r="C115">
        <v>747</v>
      </c>
      <c r="D115" s="995">
        <f t="shared" ref="D115:T115" si="33">$B115*(D42)</f>
        <v>0</v>
      </c>
      <c r="E115" s="995">
        <f t="shared" si="33"/>
        <v>0.27</v>
      </c>
      <c r="F115" s="995">
        <f t="shared" si="33"/>
        <v>0.92999999999999994</v>
      </c>
      <c r="G115" s="995">
        <f t="shared" si="33"/>
        <v>0.72</v>
      </c>
      <c r="H115" s="995">
        <f t="shared" si="33"/>
        <v>0.56999999999999995</v>
      </c>
      <c r="I115" s="995">
        <f t="shared" si="33"/>
        <v>0.54</v>
      </c>
      <c r="J115" s="995">
        <f t="shared" si="33"/>
        <v>0.27</v>
      </c>
      <c r="K115" s="995">
        <f t="shared" si="33"/>
        <v>0.42</v>
      </c>
      <c r="L115" s="995">
        <f t="shared" si="33"/>
        <v>0.18</v>
      </c>
      <c r="M115" s="995">
        <f t="shared" si="33"/>
        <v>0.21</v>
      </c>
      <c r="N115" s="995">
        <f t="shared" si="33"/>
        <v>0.18</v>
      </c>
      <c r="O115" s="995">
        <f t="shared" si="33"/>
        <v>0.18</v>
      </c>
      <c r="P115" s="995">
        <f t="shared" si="33"/>
        <v>0.18</v>
      </c>
      <c r="Q115" s="995">
        <f t="shared" si="33"/>
        <v>0.18</v>
      </c>
      <c r="R115" s="995">
        <f t="shared" si="33"/>
        <v>0.18</v>
      </c>
      <c r="S115" s="995">
        <f t="shared" si="33"/>
        <v>0.15</v>
      </c>
      <c r="T115" s="995">
        <f t="shared" si="33"/>
        <v>0.51</v>
      </c>
      <c r="U115" s="602"/>
    </row>
    <row r="116" spans="2:21">
      <c r="B116">
        <v>0.03</v>
      </c>
      <c r="C116" t="s">
        <v>689</v>
      </c>
      <c r="D116" s="602">
        <f t="shared" ref="D116:T116" si="34">$B116*(D36)</f>
        <v>0</v>
      </c>
      <c r="E116" s="602">
        <f t="shared" si="34"/>
        <v>0</v>
      </c>
      <c r="F116" s="602">
        <f t="shared" si="34"/>
        <v>0</v>
      </c>
      <c r="G116" s="602">
        <f t="shared" si="34"/>
        <v>0</v>
      </c>
      <c r="H116" s="602">
        <f t="shared" si="34"/>
        <v>0.03</v>
      </c>
      <c r="I116" s="602">
        <f t="shared" si="34"/>
        <v>0.42</v>
      </c>
      <c r="J116" s="602">
        <f t="shared" si="34"/>
        <v>1.47</v>
      </c>
      <c r="K116" s="602">
        <f t="shared" si="34"/>
        <v>2.34</v>
      </c>
      <c r="L116" s="602">
        <f t="shared" si="34"/>
        <v>2.79</v>
      </c>
      <c r="M116" s="602">
        <f t="shared" si="34"/>
        <v>3.36</v>
      </c>
      <c r="N116" s="602">
        <f t="shared" si="34"/>
        <v>3.3</v>
      </c>
      <c r="O116" s="602">
        <f t="shared" si="34"/>
        <v>3.3</v>
      </c>
      <c r="P116" s="602">
        <f t="shared" si="34"/>
        <v>3.4499999999999997</v>
      </c>
      <c r="Q116" s="602">
        <f t="shared" si="34"/>
        <v>3.4499999999999997</v>
      </c>
      <c r="R116" s="602">
        <f t="shared" si="34"/>
        <v>3.4499999999999997</v>
      </c>
      <c r="S116" s="602">
        <f t="shared" si="34"/>
        <v>3.4499999999999997</v>
      </c>
      <c r="T116" s="602">
        <f t="shared" si="34"/>
        <v>17.73</v>
      </c>
      <c r="U116" s="602"/>
    </row>
    <row r="117" spans="2:21">
      <c r="B117">
        <v>1.4999999999999999E-2</v>
      </c>
      <c r="C117" t="s">
        <v>747</v>
      </c>
      <c r="D117" s="602">
        <f t="shared" ref="D117:S117" si="35">$B117*(E93)</f>
        <v>0</v>
      </c>
      <c r="E117" s="602">
        <f t="shared" si="35"/>
        <v>0</v>
      </c>
      <c r="F117" s="602">
        <f t="shared" si="35"/>
        <v>0</v>
      </c>
      <c r="G117" s="602">
        <f t="shared" si="35"/>
        <v>0</v>
      </c>
      <c r="H117" s="602">
        <f t="shared" si="35"/>
        <v>1.2749999999999999</v>
      </c>
      <c r="I117" s="602">
        <f t="shared" si="35"/>
        <v>1.2749999999999999</v>
      </c>
      <c r="J117" s="602">
        <f t="shared" si="35"/>
        <v>1.29</v>
      </c>
      <c r="K117" s="602">
        <f t="shared" si="35"/>
        <v>1.17</v>
      </c>
      <c r="L117" s="602">
        <f t="shared" si="35"/>
        <v>1.08</v>
      </c>
      <c r="M117" s="602">
        <f t="shared" si="35"/>
        <v>1.095</v>
      </c>
      <c r="N117" s="602">
        <f t="shared" si="35"/>
        <v>1.095</v>
      </c>
      <c r="O117" s="602">
        <f t="shared" si="35"/>
        <v>0</v>
      </c>
      <c r="P117" s="602">
        <f t="shared" si="35"/>
        <v>0</v>
      </c>
      <c r="Q117" s="602">
        <f t="shared" si="35"/>
        <v>0</v>
      </c>
      <c r="R117" s="602">
        <f t="shared" si="35"/>
        <v>0</v>
      </c>
      <c r="S117" s="602">
        <f t="shared" si="35"/>
        <v>0</v>
      </c>
      <c r="T117" s="602">
        <f>$B117*(V93)</f>
        <v>0</v>
      </c>
      <c r="U117" s="602"/>
    </row>
    <row r="118" spans="2:21">
      <c r="D118" s="603">
        <f t="shared" ref="D118:T118" si="36">SUM(D112:D117)</f>
        <v>53.48</v>
      </c>
      <c r="E118" s="603">
        <f t="shared" si="36"/>
        <v>53.265000000000001</v>
      </c>
      <c r="F118" s="603">
        <f t="shared" si="36"/>
        <v>62.344999999999999</v>
      </c>
      <c r="G118" s="603">
        <f t="shared" si="36"/>
        <v>68.964999999999989</v>
      </c>
      <c r="H118" s="603">
        <f t="shared" si="36"/>
        <v>76.84</v>
      </c>
      <c r="I118" s="603">
        <f t="shared" si="36"/>
        <v>78.90000000000002</v>
      </c>
      <c r="J118" s="603">
        <f t="shared" si="36"/>
        <v>79.50500000000001</v>
      </c>
      <c r="K118" s="603">
        <f t="shared" si="36"/>
        <v>78.065000000000012</v>
      </c>
      <c r="L118" s="603">
        <f t="shared" si="36"/>
        <v>77.195000000000022</v>
      </c>
      <c r="M118" s="603">
        <f t="shared" si="36"/>
        <v>34.64</v>
      </c>
      <c r="N118" s="603">
        <f t="shared" si="36"/>
        <v>19.649999999999999</v>
      </c>
      <c r="O118" s="603">
        <f t="shared" si="36"/>
        <v>50.969999999999992</v>
      </c>
      <c r="P118" s="603">
        <f t="shared" si="36"/>
        <v>59.98</v>
      </c>
      <c r="Q118" s="603">
        <f t="shared" si="36"/>
        <v>68.565000000000012</v>
      </c>
      <c r="R118" s="603">
        <f t="shared" si="36"/>
        <v>71.63000000000001</v>
      </c>
      <c r="S118" s="603">
        <f t="shared" si="36"/>
        <v>82.76</v>
      </c>
      <c r="T118" s="603">
        <f t="shared" si="36"/>
        <v>558.30999999999995</v>
      </c>
      <c r="U118" s="604"/>
    </row>
    <row r="119" spans="2:21">
      <c r="B119" t="s">
        <v>748</v>
      </c>
    </row>
    <row r="120" spans="2:21">
      <c r="B120">
        <v>9.5000000000000001E-2</v>
      </c>
      <c r="C120" t="s">
        <v>695</v>
      </c>
      <c r="D120" s="602">
        <f t="shared" ref="D120:S120" si="37">$B120*D47</f>
        <v>43.89</v>
      </c>
      <c r="E120" s="602">
        <f t="shared" si="37"/>
        <v>45.314999999999998</v>
      </c>
      <c r="F120" s="602">
        <f t="shared" si="37"/>
        <v>57.094999999999999</v>
      </c>
      <c r="G120" s="602">
        <f t="shared" si="37"/>
        <v>61.56</v>
      </c>
      <c r="H120" s="602">
        <f t="shared" si="37"/>
        <v>68.685000000000002</v>
      </c>
      <c r="I120" s="602">
        <f t="shared" si="37"/>
        <v>72.484999999999999</v>
      </c>
      <c r="J120" s="602">
        <f t="shared" si="37"/>
        <v>71.06</v>
      </c>
      <c r="K120" s="602">
        <f t="shared" si="37"/>
        <v>72.484999999999999</v>
      </c>
      <c r="L120" s="602">
        <f t="shared" si="37"/>
        <v>76.570000000000007</v>
      </c>
      <c r="M120" s="602">
        <f t="shared" si="37"/>
        <v>36.1</v>
      </c>
      <c r="N120" s="602">
        <f t="shared" si="37"/>
        <v>19.190000000000001</v>
      </c>
      <c r="O120" s="602">
        <f t="shared" si="37"/>
        <v>52.344999999999999</v>
      </c>
      <c r="P120" s="602">
        <f t="shared" si="37"/>
        <v>60.42</v>
      </c>
      <c r="Q120" s="602">
        <f t="shared" si="37"/>
        <v>67.545000000000002</v>
      </c>
      <c r="R120" s="602">
        <f t="shared" si="37"/>
        <v>70.965000000000003</v>
      </c>
      <c r="S120" s="602">
        <f t="shared" si="37"/>
        <v>81.7</v>
      </c>
      <c r="T120" s="602"/>
      <c r="U120" s="602"/>
    </row>
    <row r="121" spans="2:21">
      <c r="C121" t="s">
        <v>749</v>
      </c>
      <c r="D121" s="602">
        <f t="shared" ref="D121:S121" si="38">$B120*D53</f>
        <v>72.010000000000005</v>
      </c>
      <c r="E121" s="602">
        <f t="shared" si="38"/>
        <v>73.245000000000005</v>
      </c>
      <c r="F121" s="602">
        <f t="shared" si="38"/>
        <v>76.760000000000005</v>
      </c>
      <c r="G121" s="602">
        <f t="shared" si="38"/>
        <v>80.275000000000006</v>
      </c>
      <c r="H121" s="602">
        <f t="shared" si="38"/>
        <v>84.36</v>
      </c>
      <c r="I121" s="602">
        <f t="shared" si="38"/>
        <v>85.215000000000003</v>
      </c>
      <c r="J121" s="602">
        <f t="shared" si="38"/>
        <v>91.39</v>
      </c>
      <c r="K121" s="602">
        <f t="shared" si="38"/>
        <v>92.15</v>
      </c>
      <c r="L121" s="602">
        <f t="shared" si="38"/>
        <v>96.33</v>
      </c>
      <c r="M121" s="602">
        <f t="shared" si="38"/>
        <v>100.41500000000001</v>
      </c>
      <c r="N121" s="602">
        <f t="shared" si="38"/>
        <v>87.114999999999995</v>
      </c>
      <c r="O121" s="602">
        <f t="shared" si="38"/>
        <v>89.204999999999998</v>
      </c>
      <c r="P121" s="602">
        <f t="shared" si="38"/>
        <v>96.045000000000002</v>
      </c>
      <c r="Q121" s="602">
        <f t="shared" si="38"/>
        <v>103.93</v>
      </c>
      <c r="R121" s="602">
        <f t="shared" si="38"/>
        <v>111.435</v>
      </c>
      <c r="S121" s="602">
        <f t="shared" si="38"/>
        <v>125.30500000000001</v>
      </c>
    </row>
    <row r="122" spans="2:21">
      <c r="D122" s="602"/>
      <c r="E122" s="602"/>
      <c r="F122" s="602"/>
      <c r="G122" s="602"/>
      <c r="H122" s="602"/>
      <c r="I122" s="602"/>
      <c r="J122" s="602"/>
      <c r="K122" s="602"/>
      <c r="L122" s="602"/>
      <c r="M122" s="602"/>
      <c r="N122" s="602"/>
      <c r="O122" s="602"/>
      <c r="P122" s="602"/>
      <c r="Q122" s="602"/>
      <c r="R122" s="602"/>
      <c r="S122" s="602"/>
    </row>
    <row r="123" spans="2:21">
      <c r="C123" t="s">
        <v>696</v>
      </c>
      <c r="D123" s="602">
        <f t="shared" ref="D123:S123" si="39">SUM(D118:D121)</f>
        <v>169.38</v>
      </c>
      <c r="E123" s="602">
        <f t="shared" si="39"/>
        <v>171.82499999999999</v>
      </c>
      <c r="F123" s="602">
        <f t="shared" si="39"/>
        <v>196.2</v>
      </c>
      <c r="G123" s="602">
        <f t="shared" si="39"/>
        <v>210.79999999999998</v>
      </c>
      <c r="H123" s="602">
        <f t="shared" si="39"/>
        <v>229.88499999999999</v>
      </c>
      <c r="I123" s="602">
        <f t="shared" si="39"/>
        <v>236.60000000000002</v>
      </c>
      <c r="J123" s="602">
        <f t="shared" si="39"/>
        <v>241.95499999999998</v>
      </c>
      <c r="K123" s="602">
        <f t="shared" si="39"/>
        <v>242.70000000000002</v>
      </c>
      <c r="L123" s="602">
        <f t="shared" si="39"/>
        <v>250.09500000000003</v>
      </c>
      <c r="M123" s="602">
        <f t="shared" si="39"/>
        <v>171.15500000000003</v>
      </c>
      <c r="N123" s="602">
        <f t="shared" si="39"/>
        <v>125.955</v>
      </c>
      <c r="O123" s="602">
        <f t="shared" si="39"/>
        <v>192.51999999999998</v>
      </c>
      <c r="P123" s="602">
        <f t="shared" si="39"/>
        <v>216.44499999999999</v>
      </c>
      <c r="Q123" s="602">
        <f t="shared" si="39"/>
        <v>240.04000000000002</v>
      </c>
      <c r="R123" s="602">
        <f t="shared" si="39"/>
        <v>254.03000000000003</v>
      </c>
      <c r="S123" s="602">
        <f t="shared" si="39"/>
        <v>289.76499999999999</v>
      </c>
    </row>
    <row r="124" spans="2:21">
      <c r="D124" s="602"/>
      <c r="E124" s="602"/>
      <c r="F124" s="602"/>
      <c r="G124" s="602"/>
      <c r="H124" s="602"/>
      <c r="I124" s="602"/>
      <c r="J124" s="602"/>
      <c r="K124" s="602"/>
      <c r="L124" s="602"/>
      <c r="M124" s="602"/>
      <c r="N124" s="602"/>
      <c r="O124" s="602"/>
      <c r="P124" s="602"/>
      <c r="Q124" s="602"/>
      <c r="R124" s="602"/>
      <c r="S124" s="602"/>
    </row>
    <row r="126" spans="2:21">
      <c r="C126" t="s">
        <v>750</v>
      </c>
      <c r="J126" s="605">
        <f>J124+J125</f>
        <v>0</v>
      </c>
      <c r="K126" s="605">
        <f>K124+K125</f>
        <v>0</v>
      </c>
      <c r="L126" s="605">
        <f>L124+L125</f>
        <v>0</v>
      </c>
      <c r="M126" s="605">
        <f>M124+M125</f>
        <v>0</v>
      </c>
    </row>
    <row r="127" spans="2:21">
      <c r="M127" s="605">
        <f>M123-L123</f>
        <v>-78.94</v>
      </c>
      <c r="N127" s="605">
        <f>N123-M123</f>
        <v>-45.200000000000031</v>
      </c>
    </row>
    <row r="129" spans="2:17">
      <c r="B129" t="s">
        <v>751</v>
      </c>
      <c r="M129" t="s">
        <v>751</v>
      </c>
      <c r="P129" t="s">
        <v>428</v>
      </c>
      <c r="Q129" t="s">
        <v>752</v>
      </c>
    </row>
    <row r="130" spans="2:17">
      <c r="C130" t="s">
        <v>691</v>
      </c>
      <c r="M130">
        <v>162</v>
      </c>
      <c r="N130">
        <v>122</v>
      </c>
      <c r="O130" s="591">
        <f>N130/M130-1</f>
        <v>-0.24691358024691357</v>
      </c>
      <c r="P130">
        <v>564</v>
      </c>
      <c r="Q130" s="591">
        <f>P130/N38-1</f>
        <v>-0.23473541383989149</v>
      </c>
    </row>
    <row r="131" spans="2:17">
      <c r="C131" t="s">
        <v>695</v>
      </c>
      <c r="M131">
        <f>N131+99</f>
        <v>149</v>
      </c>
      <c r="N131">
        <v>50</v>
      </c>
      <c r="O131" s="591">
        <f>N131/M131-1</f>
        <v>-0.66442953020134232</v>
      </c>
      <c r="P131">
        <v>421</v>
      </c>
      <c r="Q131" s="591">
        <f>P131/N47-1</f>
        <v>1.0841584158415842</v>
      </c>
    </row>
    <row r="132" spans="2:17">
      <c r="O132" s="591"/>
      <c r="P132">
        <f>SUM(P130:P131)</f>
        <v>985</v>
      </c>
      <c r="Q132" s="606">
        <f>SUM(P130:P131)/SUM(N38,N47)-1</f>
        <v>4.8988285410010546E-2</v>
      </c>
    </row>
    <row r="133" spans="2:17">
      <c r="O133" s="591"/>
      <c r="Q133" s="591"/>
    </row>
    <row r="135" spans="2:17">
      <c r="B135" t="s">
        <v>753</v>
      </c>
      <c r="C135" t="s">
        <v>691</v>
      </c>
      <c r="L135" t="s">
        <v>754</v>
      </c>
      <c r="M135">
        <v>53</v>
      </c>
      <c r="N135">
        <v>40</v>
      </c>
      <c r="O135">
        <f>N135/M135-1</f>
        <v>-0.24528301886792447</v>
      </c>
    </row>
    <row r="136" spans="2:17">
      <c r="C136" t="s">
        <v>695</v>
      </c>
    </row>
    <row r="138" spans="2:17">
      <c r="B138" t="s">
        <v>755</v>
      </c>
      <c r="C138" t="s">
        <v>691</v>
      </c>
    </row>
    <row r="139" spans="2:17">
      <c r="C139" t="s">
        <v>695</v>
      </c>
      <c r="N139">
        <v>-119</v>
      </c>
    </row>
    <row r="141" spans="2:17">
      <c r="B141" t="s">
        <v>756</v>
      </c>
      <c r="C141" t="s">
        <v>567</v>
      </c>
    </row>
    <row r="142" spans="2:17">
      <c r="B142" t="s">
        <v>691</v>
      </c>
      <c r="C142" t="s">
        <v>757</v>
      </c>
      <c r="N142">
        <v>8</v>
      </c>
    </row>
    <row r="143" spans="2:17">
      <c r="C143" t="s">
        <v>758</v>
      </c>
      <c r="N143">
        <v>96</v>
      </c>
    </row>
    <row r="144" spans="2:17">
      <c r="C144" t="s">
        <v>759</v>
      </c>
      <c r="N144">
        <v>4</v>
      </c>
    </row>
    <row r="145" spans="2:14">
      <c r="C145" t="s">
        <v>689</v>
      </c>
      <c r="N145">
        <v>14</v>
      </c>
    </row>
    <row r="146" spans="2:14">
      <c r="C146" t="s">
        <v>690</v>
      </c>
      <c r="N146">
        <v>0</v>
      </c>
    </row>
    <row r="147" spans="2:14">
      <c r="B147" t="s">
        <v>695</v>
      </c>
      <c r="C147">
        <v>737</v>
      </c>
      <c r="N147">
        <v>5</v>
      </c>
    </row>
    <row r="148" spans="2:14">
      <c r="C148" t="s">
        <v>760</v>
      </c>
      <c r="N148">
        <v>0</v>
      </c>
    </row>
    <row r="149" spans="2:14">
      <c r="C149">
        <v>767</v>
      </c>
      <c r="N149">
        <v>10</v>
      </c>
    </row>
    <row r="150" spans="2:14">
      <c r="C150">
        <v>777</v>
      </c>
      <c r="N150">
        <v>6</v>
      </c>
    </row>
    <row r="151" spans="2:14">
      <c r="C151">
        <v>787</v>
      </c>
      <c r="N151">
        <v>29</v>
      </c>
    </row>
    <row r="153" spans="2:14">
      <c r="B153" t="s">
        <v>761</v>
      </c>
      <c r="C153" t="s">
        <v>757</v>
      </c>
      <c r="N153">
        <v>42</v>
      </c>
    </row>
    <row r="154" spans="2:14">
      <c r="C154" t="s">
        <v>758</v>
      </c>
      <c r="N154">
        <v>248</v>
      </c>
    </row>
    <row r="155" spans="2:14">
      <c r="C155" t="s">
        <v>759</v>
      </c>
      <c r="N155">
        <v>-4</v>
      </c>
    </row>
    <row r="156" spans="2:14">
      <c r="C156" t="s">
        <v>689</v>
      </c>
      <c r="N156">
        <v>4</v>
      </c>
    </row>
    <row r="157" spans="2:14">
      <c r="C157" t="s">
        <v>690</v>
      </c>
      <c r="N157">
        <v>0</v>
      </c>
    </row>
    <row r="158" spans="2:14">
      <c r="C158">
        <v>737</v>
      </c>
      <c r="N158">
        <v>-173</v>
      </c>
    </row>
    <row r="159" spans="2:14">
      <c r="C159" t="s">
        <v>760</v>
      </c>
      <c r="N159">
        <v>0</v>
      </c>
    </row>
    <row r="160" spans="2:14">
      <c r="C160">
        <v>767</v>
      </c>
      <c r="N160">
        <v>2</v>
      </c>
    </row>
    <row r="161" spans="2:14">
      <c r="C161">
        <v>777</v>
      </c>
      <c r="N161">
        <v>-1</v>
      </c>
    </row>
    <row r="162" spans="2:14">
      <c r="C162">
        <v>787</v>
      </c>
      <c r="N162">
        <v>25</v>
      </c>
    </row>
    <row r="164" spans="2:14">
      <c r="B164" t="s">
        <v>740</v>
      </c>
      <c r="C164" t="s">
        <v>757</v>
      </c>
      <c r="N164">
        <v>58</v>
      </c>
    </row>
    <row r="165" spans="2:14">
      <c r="C165" t="s">
        <v>758</v>
      </c>
      <c r="N165">
        <v>227</v>
      </c>
    </row>
    <row r="166" spans="2:14">
      <c r="C166" t="s">
        <v>759</v>
      </c>
      <c r="N166">
        <v>0</v>
      </c>
    </row>
    <row r="167" spans="2:14">
      <c r="C167" t="s">
        <v>689</v>
      </c>
      <c r="N167">
        <v>21</v>
      </c>
    </row>
    <row r="168" spans="2:14">
      <c r="C168" t="s">
        <v>690</v>
      </c>
      <c r="N168">
        <v>0</v>
      </c>
    </row>
    <row r="169" spans="2:14">
      <c r="C169">
        <v>737</v>
      </c>
      <c r="N169">
        <v>18</v>
      </c>
    </row>
    <row r="170" spans="2:14">
      <c r="C170" t="s">
        <v>760</v>
      </c>
      <c r="N170">
        <v>0</v>
      </c>
    </row>
    <row r="171" spans="2:14">
      <c r="C171">
        <v>767</v>
      </c>
      <c r="N171">
        <v>2</v>
      </c>
    </row>
    <row r="172" spans="2:14">
      <c r="C172">
        <v>777</v>
      </c>
      <c r="N172">
        <v>0</v>
      </c>
    </row>
    <row r="173" spans="2:14">
      <c r="C173">
        <v>787</v>
      </c>
      <c r="N173">
        <v>29</v>
      </c>
    </row>
    <row r="175" spans="2:14">
      <c r="B175" t="s">
        <v>762</v>
      </c>
      <c r="C175" t="s">
        <v>757</v>
      </c>
      <c r="N175">
        <v>529</v>
      </c>
    </row>
    <row r="176" spans="2:14">
      <c r="C176" t="s">
        <v>758</v>
      </c>
      <c r="N176">
        <v>6220</v>
      </c>
    </row>
    <row r="177" spans="2:135">
      <c r="C177" t="s">
        <v>759</v>
      </c>
      <c r="N177">
        <v>323</v>
      </c>
    </row>
    <row r="178" spans="2:135">
      <c r="C178" t="s">
        <v>689</v>
      </c>
      <c r="N178">
        <v>569</v>
      </c>
    </row>
    <row r="179" spans="2:135">
      <c r="C179" t="s">
        <v>690</v>
      </c>
      <c r="N179">
        <v>9</v>
      </c>
    </row>
    <row r="180" spans="2:135">
      <c r="C180">
        <v>737</v>
      </c>
      <c r="N180">
        <v>4407</v>
      </c>
    </row>
    <row r="181" spans="2:135">
      <c r="C181" t="s">
        <v>760</v>
      </c>
      <c r="N181">
        <v>17</v>
      </c>
    </row>
    <row r="182" spans="2:135">
      <c r="C182">
        <v>767</v>
      </c>
      <c r="N182">
        <v>86</v>
      </c>
    </row>
    <row r="183" spans="2:135">
      <c r="C183">
        <v>777</v>
      </c>
      <c r="N183">
        <v>376</v>
      </c>
    </row>
    <row r="184" spans="2:135">
      <c r="C184">
        <v>787</v>
      </c>
      <c r="N184">
        <v>542</v>
      </c>
    </row>
    <row r="186" spans="2:135">
      <c r="B186" t="s">
        <v>763</v>
      </c>
      <c r="F186" s="607">
        <v>100</v>
      </c>
    </row>
    <row r="187" spans="2:135" ht="45">
      <c r="B187" s="608" t="s">
        <v>764</v>
      </c>
      <c r="C187" s="608" t="s">
        <v>765</v>
      </c>
      <c r="D187" s="608" t="s">
        <v>766</v>
      </c>
      <c r="E187" s="608" t="s">
        <v>767</v>
      </c>
      <c r="F187" s="608" t="s">
        <v>768</v>
      </c>
      <c r="G187" s="608" t="s">
        <v>769</v>
      </c>
      <c r="H187" s="609" t="s">
        <v>770</v>
      </c>
      <c r="I187" s="609" t="s">
        <v>771</v>
      </c>
      <c r="J187" s="609" t="s">
        <v>772</v>
      </c>
      <c r="K187" s="609" t="s">
        <v>773</v>
      </c>
      <c r="L187" s="609" t="s">
        <v>774</v>
      </c>
      <c r="M187" s="609" t="s">
        <v>775</v>
      </c>
      <c r="N187" s="609" t="s">
        <v>776</v>
      </c>
      <c r="O187" s="609" t="s">
        <v>777</v>
      </c>
      <c r="P187" s="609" t="s">
        <v>778</v>
      </c>
      <c r="Q187" s="609" t="s">
        <v>779</v>
      </c>
      <c r="R187" s="609" t="s">
        <v>780</v>
      </c>
      <c r="S187" s="609" t="s">
        <v>781</v>
      </c>
      <c r="T187" s="609" t="s">
        <v>782</v>
      </c>
      <c r="U187" s="609" t="s">
        <v>783</v>
      </c>
      <c r="V187" s="609" t="s">
        <v>784</v>
      </c>
      <c r="W187" s="609" t="s">
        <v>785</v>
      </c>
      <c r="X187" s="609" t="s">
        <v>786</v>
      </c>
      <c r="Y187" s="609" t="s">
        <v>787</v>
      </c>
      <c r="Z187" s="609" t="s">
        <v>788</v>
      </c>
      <c r="AA187" s="609" t="s">
        <v>789</v>
      </c>
      <c r="AB187" s="609" t="s">
        <v>790</v>
      </c>
      <c r="AC187" s="609" t="s">
        <v>791</v>
      </c>
      <c r="AD187" s="609" t="s">
        <v>792</v>
      </c>
      <c r="AE187" s="609" t="s">
        <v>793</v>
      </c>
      <c r="AF187" s="609" t="s">
        <v>794</v>
      </c>
      <c r="AG187" s="609" t="s">
        <v>795</v>
      </c>
      <c r="AH187" s="609" t="s">
        <v>796</v>
      </c>
      <c r="AI187" s="609" t="s">
        <v>797</v>
      </c>
      <c r="AJ187" s="609" t="s">
        <v>798</v>
      </c>
      <c r="AK187" s="609" t="s">
        <v>799</v>
      </c>
      <c r="AL187" s="609" t="s">
        <v>800</v>
      </c>
      <c r="AM187" s="609" t="s">
        <v>801</v>
      </c>
      <c r="AN187" s="609" t="s">
        <v>802</v>
      </c>
      <c r="AO187" s="609" t="s">
        <v>803</v>
      </c>
      <c r="AP187" s="609" t="s">
        <v>804</v>
      </c>
      <c r="AQ187" s="609" t="s">
        <v>805</v>
      </c>
      <c r="AR187" s="609" t="s">
        <v>806</v>
      </c>
      <c r="AS187" s="609" t="s">
        <v>807</v>
      </c>
      <c r="AT187" s="609" t="s">
        <v>808</v>
      </c>
      <c r="AU187" s="609" t="s">
        <v>809</v>
      </c>
      <c r="AV187" s="609" t="s">
        <v>810</v>
      </c>
      <c r="AW187" s="609" t="s">
        <v>811</v>
      </c>
      <c r="AX187" s="609" t="s">
        <v>812</v>
      </c>
      <c r="AY187" s="609" t="s">
        <v>813</v>
      </c>
      <c r="AZ187" s="609" t="s">
        <v>814</v>
      </c>
      <c r="BA187" s="609" t="s">
        <v>815</v>
      </c>
      <c r="BB187" s="609" t="s">
        <v>816</v>
      </c>
      <c r="BC187" s="609" t="s">
        <v>817</v>
      </c>
      <c r="BD187" s="609" t="s">
        <v>818</v>
      </c>
      <c r="BE187" s="609" t="s">
        <v>819</v>
      </c>
      <c r="BF187" s="609" t="s">
        <v>820</v>
      </c>
      <c r="BG187" s="609" t="s">
        <v>821</v>
      </c>
      <c r="BH187" s="609" t="s">
        <v>822</v>
      </c>
      <c r="BI187" s="609" t="s">
        <v>823</v>
      </c>
      <c r="BJ187" s="609" t="s">
        <v>824</v>
      </c>
      <c r="BK187" s="609" t="s">
        <v>825</v>
      </c>
      <c r="BL187" s="609" t="s">
        <v>826</v>
      </c>
      <c r="BM187" s="609" t="s">
        <v>827</v>
      </c>
      <c r="BN187" s="609" t="s">
        <v>828</v>
      </c>
      <c r="BO187" s="609" t="s">
        <v>829</v>
      </c>
      <c r="BP187" s="609" t="s">
        <v>830</v>
      </c>
      <c r="BQ187" s="609" t="s">
        <v>831</v>
      </c>
      <c r="BR187" s="609" t="s">
        <v>832</v>
      </c>
      <c r="BS187" s="609" t="s">
        <v>833</v>
      </c>
      <c r="BT187" s="609" t="s">
        <v>834</v>
      </c>
      <c r="BU187" s="609" t="s">
        <v>835</v>
      </c>
      <c r="BV187" s="609" t="s">
        <v>836</v>
      </c>
      <c r="BW187" s="609" t="s">
        <v>837</v>
      </c>
      <c r="BX187" s="609" t="s">
        <v>838</v>
      </c>
      <c r="BY187" s="609" t="s">
        <v>839</v>
      </c>
      <c r="BZ187" s="609" t="s">
        <v>840</v>
      </c>
      <c r="CA187" s="609" t="s">
        <v>841</v>
      </c>
      <c r="CB187" s="609" t="s">
        <v>842</v>
      </c>
      <c r="CC187" s="609" t="s">
        <v>843</v>
      </c>
      <c r="CD187" s="609" t="s">
        <v>844</v>
      </c>
      <c r="CE187" s="609" t="s">
        <v>845</v>
      </c>
      <c r="CF187" s="609" t="s">
        <v>846</v>
      </c>
      <c r="CG187" s="609" t="s">
        <v>847</v>
      </c>
      <c r="CH187" s="609" t="s">
        <v>848</v>
      </c>
      <c r="CI187" s="609" t="s">
        <v>849</v>
      </c>
      <c r="CJ187" s="609" t="s">
        <v>850</v>
      </c>
      <c r="CK187" s="609" t="s">
        <v>851</v>
      </c>
      <c r="CL187" s="609" t="s">
        <v>852</v>
      </c>
      <c r="CM187" s="609" t="s">
        <v>853</v>
      </c>
      <c r="CN187" s="609" t="s">
        <v>854</v>
      </c>
      <c r="CO187" s="609" t="s">
        <v>855</v>
      </c>
      <c r="CP187" s="609" t="s">
        <v>856</v>
      </c>
      <c r="CQ187" s="609" t="s">
        <v>857</v>
      </c>
      <c r="CR187" s="609" t="s">
        <v>858</v>
      </c>
      <c r="CS187" s="609" t="s">
        <v>859</v>
      </c>
      <c r="CT187" s="609" t="s">
        <v>860</v>
      </c>
      <c r="CU187" s="609" t="s">
        <v>861</v>
      </c>
      <c r="CV187" s="609" t="s">
        <v>862</v>
      </c>
      <c r="CW187" s="609" t="s">
        <v>863</v>
      </c>
      <c r="CX187" s="609" t="s">
        <v>864</v>
      </c>
      <c r="CY187" s="609" t="s">
        <v>865</v>
      </c>
      <c r="CZ187" s="609" t="s">
        <v>866</v>
      </c>
      <c r="DA187" s="609" t="s">
        <v>867</v>
      </c>
      <c r="DB187" s="609" t="s">
        <v>868</v>
      </c>
      <c r="DC187" s="609" t="s">
        <v>869</v>
      </c>
      <c r="DD187" s="609" t="s">
        <v>870</v>
      </c>
      <c r="DE187" s="609" t="s">
        <v>871</v>
      </c>
      <c r="DF187" s="609" t="s">
        <v>872</v>
      </c>
      <c r="DG187" s="609" t="s">
        <v>873</v>
      </c>
      <c r="DH187" s="609" t="s">
        <v>874</v>
      </c>
      <c r="DI187" s="609" t="s">
        <v>875</v>
      </c>
      <c r="DJ187" s="609" t="s">
        <v>876</v>
      </c>
      <c r="DK187" s="609" t="s">
        <v>877</v>
      </c>
      <c r="DL187" s="609" t="s">
        <v>878</v>
      </c>
      <c r="DM187" s="609" t="s">
        <v>879</v>
      </c>
      <c r="DN187" s="609" t="s">
        <v>880</v>
      </c>
      <c r="DO187" s="609" t="s">
        <v>881</v>
      </c>
      <c r="DP187" s="609" t="s">
        <v>882</v>
      </c>
      <c r="DQ187" s="609" t="s">
        <v>883</v>
      </c>
      <c r="DR187" s="609" t="s">
        <v>884</v>
      </c>
      <c r="DS187" s="609" t="s">
        <v>885</v>
      </c>
      <c r="DT187" s="608" t="s">
        <v>886</v>
      </c>
      <c r="DU187" s="608" t="s">
        <v>887</v>
      </c>
      <c r="DV187" s="608" t="s">
        <v>888</v>
      </c>
      <c r="DW187" s="608" t="s">
        <v>889</v>
      </c>
      <c r="DX187" s="608" t="s">
        <v>890</v>
      </c>
      <c r="DY187" s="608" t="s">
        <v>891</v>
      </c>
      <c r="DZ187" s="608" t="s">
        <v>892</v>
      </c>
      <c r="EA187" s="608" t="s">
        <v>893</v>
      </c>
      <c r="EB187" s="608" t="s">
        <v>894</v>
      </c>
      <c r="EC187" s="608" t="s">
        <v>895</v>
      </c>
      <c r="ED187" s="608" t="s">
        <v>896</v>
      </c>
      <c r="EE187" s="608" t="s">
        <v>897</v>
      </c>
    </row>
    <row r="188" spans="2:135">
      <c r="B188" s="610" t="s">
        <v>898</v>
      </c>
      <c r="C188" s="610" t="s">
        <v>899</v>
      </c>
      <c r="D188" s="610" t="s">
        <v>900</v>
      </c>
      <c r="E188" s="610" t="s">
        <v>901</v>
      </c>
      <c r="F188" s="610" t="s">
        <v>902</v>
      </c>
      <c r="G188" s="610" t="s">
        <v>903</v>
      </c>
      <c r="H188" s="591">
        <v>7.7100000000000002E-2</v>
      </c>
      <c r="I188" s="591">
        <v>-2.0000000000000001E-4</v>
      </c>
      <c r="J188" s="591">
        <v>3.0999999999999999E-3</v>
      </c>
      <c r="K188" s="591">
        <v>-8.3000000000000001E-3</v>
      </c>
      <c r="L188" s="591">
        <v>6.8600000000000008E-2</v>
      </c>
      <c r="M188" s="591">
        <v>-1.15E-2</v>
      </c>
      <c r="N188" s="591">
        <v>2.7699999999999999E-2</v>
      </c>
      <c r="O188" s="591">
        <v>6.4000000000000003E-3</v>
      </c>
      <c r="P188" s="591">
        <v>-0.11509999999999999</v>
      </c>
      <c r="Q188" s="591">
        <v>2.7999999999999997E-2</v>
      </c>
      <c r="R188" s="591">
        <v>2.5000000000000001E-3</v>
      </c>
      <c r="S188" s="591">
        <v>0.1075</v>
      </c>
      <c r="T188" s="591">
        <v>0.24230000000000002</v>
      </c>
      <c r="U188" s="591">
        <v>0.1681</v>
      </c>
      <c r="V188" s="591">
        <v>0.20670000000000002</v>
      </c>
      <c r="W188" s="591">
        <v>0.2097</v>
      </c>
      <c r="X188" s="591">
        <v>0.24629999999999999</v>
      </c>
      <c r="Y188" s="591">
        <v>0.24359999999999998</v>
      </c>
      <c r="Z188" s="591">
        <v>0.23929999999999998</v>
      </c>
      <c r="AA188" s="591">
        <v>0.25390000000000001</v>
      </c>
      <c r="AB188" s="591">
        <v>3.7100000000000001E-2</v>
      </c>
      <c r="AC188" s="591">
        <v>7.4400000000000008E-2</v>
      </c>
      <c r="AD188" s="591">
        <v>4.0000000000000001E-3</v>
      </c>
      <c r="AE188" s="591">
        <v>-5.2000000000000005E-2</v>
      </c>
      <c r="AF188" s="591">
        <v>0.1013</v>
      </c>
      <c r="AG188" s="591">
        <v>0.13789999999999999</v>
      </c>
      <c r="AH188" s="591">
        <v>0.21479999999999999</v>
      </c>
      <c r="AI188" s="591">
        <v>0.2026</v>
      </c>
      <c r="AJ188" s="591">
        <v>0.1729</v>
      </c>
      <c r="AK188" s="591">
        <v>9.3800000000000008E-2</v>
      </c>
      <c r="AL188" s="591">
        <v>9.7500000000000003E-2</v>
      </c>
      <c r="AM188" s="591">
        <v>0.1295</v>
      </c>
      <c r="AN188" s="591">
        <v>0.1191</v>
      </c>
      <c r="AO188" s="591">
        <v>0.17190000000000003</v>
      </c>
      <c r="AP188" s="591">
        <v>0.14019999999999999</v>
      </c>
      <c r="AQ188" s="591">
        <v>1.2699999999999999E-2</v>
      </c>
      <c r="AR188" s="591">
        <v>-5.5199999999999999E-2</v>
      </c>
      <c r="AS188" s="591">
        <v>-4.8899999999999999E-2</v>
      </c>
      <c r="AT188" s="591">
        <v>-3.3399999999999999E-2</v>
      </c>
      <c r="AU188" s="591">
        <v>6.83E-2</v>
      </c>
      <c r="AV188" s="591">
        <v>2.7400000000000001E-2</v>
      </c>
      <c r="AW188" s="591">
        <v>-7.8E-2</v>
      </c>
      <c r="AX188" s="591">
        <v>-0.1011</v>
      </c>
      <c r="AY188" s="591">
        <v>-8.5699999999999998E-2</v>
      </c>
      <c r="AZ188" s="591">
        <v>9.2799999999999994E-2</v>
      </c>
      <c r="BA188" s="591">
        <v>0.2107</v>
      </c>
      <c r="BB188" s="591">
        <v>0.1943</v>
      </c>
      <c r="BC188" s="591">
        <v>0.1641</v>
      </c>
      <c r="BD188" s="591">
        <v>6.5000000000000006E-3</v>
      </c>
      <c r="BE188" s="591">
        <v>-7.4400000000000008E-2</v>
      </c>
      <c r="BF188" s="591">
        <v>-7.5999999999999998E-2</v>
      </c>
      <c r="BG188" s="591">
        <v>-3.4099999999999998E-2</v>
      </c>
      <c r="BH188" s="591">
        <v>2.87E-2</v>
      </c>
      <c r="BI188" s="591">
        <v>0.1152</v>
      </c>
      <c r="BJ188" s="591">
        <v>0.1729</v>
      </c>
      <c r="BK188" s="591">
        <v>0.15079999999999999</v>
      </c>
      <c r="BL188" s="591">
        <v>0.17699999999999999</v>
      </c>
      <c r="BM188" s="591">
        <v>0.21579999999999999</v>
      </c>
      <c r="BN188" s="591">
        <v>0.18170000000000003</v>
      </c>
      <c r="BO188" s="591">
        <v>6.4500000000000002E-2</v>
      </c>
      <c r="BP188" s="591">
        <v>-5.8700000000000002E-2</v>
      </c>
      <c r="BQ188" s="591">
        <v>-0.16120000000000001</v>
      </c>
      <c r="BR188" s="591">
        <v>-0.15130000000000002</v>
      </c>
      <c r="BS188" s="591">
        <v>-8.0700000000000008E-2</v>
      </c>
      <c r="BT188" s="591">
        <v>3.3500000000000002E-2</v>
      </c>
      <c r="BU188" s="591">
        <v>0.1166</v>
      </c>
      <c r="BV188" s="591">
        <v>5.33E-2</v>
      </c>
      <c r="BW188" s="591">
        <v>2.35E-2</v>
      </c>
      <c r="BX188" s="591">
        <v>2.5600000000000001E-2</v>
      </c>
      <c r="BY188" s="591">
        <v>5.1799999999999999E-2</v>
      </c>
      <c r="BZ188" s="591">
        <v>0.19359999999999999</v>
      </c>
      <c r="CA188" s="591">
        <v>0.24719999999999998</v>
      </c>
      <c r="CB188" s="591">
        <v>0.22850000000000001</v>
      </c>
      <c r="CC188" s="591">
        <v>0.17010000000000003</v>
      </c>
      <c r="CD188" s="591">
        <v>3.3099999999999997E-2</v>
      </c>
      <c r="CE188" s="591">
        <v>4.3E-3</v>
      </c>
      <c r="CF188" s="591">
        <v>-3.8900000000000004E-2</v>
      </c>
      <c r="CG188" s="591">
        <v>-6.6900000000000001E-2</v>
      </c>
      <c r="CH188" s="591">
        <v>-4.1399999999999999E-2</v>
      </c>
      <c r="CI188" s="591">
        <v>-4.4900000000000002E-2</v>
      </c>
      <c r="CJ188" s="591">
        <v>-4.5400000000000003E-2</v>
      </c>
      <c r="CK188" s="591">
        <v>-0.1137</v>
      </c>
      <c r="CL188" s="591">
        <v>-9.6699999999999994E-2</v>
      </c>
      <c r="CM188" s="591">
        <v>-6.9199999999999998E-2</v>
      </c>
      <c r="CN188" s="591">
        <v>-4.0300000000000002E-2</v>
      </c>
      <c r="CO188" s="591">
        <v>5.2900000000000003E-2</v>
      </c>
      <c r="CP188" s="591">
        <v>5.1799999999999999E-2</v>
      </c>
      <c r="CQ188" s="591">
        <v>5.1799999999999999E-2</v>
      </c>
      <c r="CR188" s="591">
        <v>6.5700000000000008E-2</v>
      </c>
      <c r="CS188" s="591">
        <v>7.6100000000000001E-2</v>
      </c>
      <c r="CT188" s="591">
        <v>7.6799999999999993E-2</v>
      </c>
      <c r="CU188" s="591">
        <v>8.7599999999999997E-2</v>
      </c>
      <c r="CV188" s="591">
        <v>7.6600000000000001E-2</v>
      </c>
      <c r="CW188" s="591">
        <v>7.7899999999999997E-2</v>
      </c>
      <c r="CX188" s="591">
        <v>8.0700000000000008E-2</v>
      </c>
      <c r="CY188" s="591">
        <v>7.8299999999999995E-2</v>
      </c>
      <c r="CZ188" s="591">
        <v>8.7400000000000005E-2</v>
      </c>
      <c r="DA188" s="591">
        <v>8.5900000000000004E-2</v>
      </c>
      <c r="DB188" s="591">
        <v>8.3800000000000013E-2</v>
      </c>
      <c r="DC188" s="591">
        <v>8.14E-2</v>
      </c>
      <c r="DD188" s="611" t="s">
        <v>904</v>
      </c>
      <c r="DE188" s="611" t="s">
        <v>904</v>
      </c>
      <c r="DF188" s="611" t="s">
        <v>904</v>
      </c>
      <c r="DG188" s="611" t="s">
        <v>904</v>
      </c>
      <c r="DH188" s="611" t="s">
        <v>904</v>
      </c>
      <c r="DI188" s="611" t="s">
        <v>904</v>
      </c>
      <c r="DJ188" s="611" t="s">
        <v>904</v>
      </c>
      <c r="DK188" s="611" t="s">
        <v>904</v>
      </c>
      <c r="DL188" s="611" t="s">
        <v>904</v>
      </c>
      <c r="DM188" s="611" t="s">
        <v>904</v>
      </c>
      <c r="DN188" s="611" t="s">
        <v>904</v>
      </c>
      <c r="DO188" s="611" t="s">
        <v>904</v>
      </c>
      <c r="DP188" s="611" t="s">
        <v>904</v>
      </c>
      <c r="DQ188" s="611" t="s">
        <v>904</v>
      </c>
      <c r="DR188" s="611" t="s">
        <v>904</v>
      </c>
      <c r="DS188" s="611" t="s">
        <v>904</v>
      </c>
      <c r="DT188" s="610" t="s">
        <v>905</v>
      </c>
      <c r="DU188" s="610" t="s">
        <v>906</v>
      </c>
      <c r="DV188" s="610" t="s">
        <v>907</v>
      </c>
      <c r="DW188" s="610" t="s">
        <v>902</v>
      </c>
      <c r="DX188" s="610" t="s">
        <v>902</v>
      </c>
      <c r="DY188" s="610" t="s">
        <v>849</v>
      </c>
      <c r="DZ188" s="610" t="s">
        <v>908</v>
      </c>
      <c r="EA188" s="610" t="s">
        <v>909</v>
      </c>
      <c r="EB188" s="610" t="s">
        <v>902</v>
      </c>
      <c r="EC188" s="610" t="s">
        <v>910</v>
      </c>
      <c r="ED188" s="610" t="s">
        <v>911</v>
      </c>
      <c r="EE188" s="610" t="s">
        <v>912</v>
      </c>
    </row>
    <row r="189" spans="2:135">
      <c r="B189" s="610" t="s">
        <v>898</v>
      </c>
      <c r="C189" s="610" t="s">
        <v>899</v>
      </c>
      <c r="D189" s="610" t="s">
        <v>913</v>
      </c>
      <c r="E189" s="610" t="s">
        <v>901</v>
      </c>
      <c r="F189" s="610" t="s">
        <v>902</v>
      </c>
      <c r="G189" s="610" t="s">
        <v>903</v>
      </c>
      <c r="H189" s="591">
        <v>7.7100000000000002E-2</v>
      </c>
      <c r="I189" s="591">
        <v>-2.0000000000000001E-4</v>
      </c>
      <c r="J189" s="591">
        <v>3.0999999999999999E-3</v>
      </c>
      <c r="K189" s="591">
        <v>-8.3000000000000001E-3</v>
      </c>
      <c r="L189" s="591">
        <v>6.8600000000000008E-2</v>
      </c>
      <c r="M189" s="591">
        <v>-1.15E-2</v>
      </c>
      <c r="N189" s="591">
        <v>2.7699999999999999E-2</v>
      </c>
      <c r="O189" s="591">
        <v>6.4000000000000003E-3</v>
      </c>
      <c r="P189" s="591">
        <v>-0.11509999999999999</v>
      </c>
      <c r="Q189" s="591">
        <v>2.7999999999999997E-2</v>
      </c>
      <c r="R189" s="591">
        <v>2.5000000000000001E-3</v>
      </c>
      <c r="S189" s="591">
        <v>0.1075</v>
      </c>
      <c r="T189" s="591">
        <v>0.24230000000000002</v>
      </c>
      <c r="U189" s="591">
        <v>0.1681</v>
      </c>
      <c r="V189" s="591">
        <v>0.20670000000000002</v>
      </c>
      <c r="W189" s="591">
        <v>0.2097</v>
      </c>
      <c r="X189" s="591">
        <v>0.24629999999999999</v>
      </c>
      <c r="Y189" s="591">
        <v>0.24359999999999998</v>
      </c>
      <c r="Z189" s="591">
        <v>0.23929999999999998</v>
      </c>
      <c r="AA189" s="591">
        <v>0.25390000000000001</v>
      </c>
      <c r="AB189" s="591">
        <v>3.7100000000000001E-2</v>
      </c>
      <c r="AC189" s="591">
        <v>7.4400000000000008E-2</v>
      </c>
      <c r="AD189" s="591">
        <v>4.0000000000000001E-3</v>
      </c>
      <c r="AE189" s="591">
        <v>-5.2000000000000005E-2</v>
      </c>
      <c r="AF189" s="591">
        <v>0.1013</v>
      </c>
      <c r="AG189" s="591">
        <v>0.13789999999999999</v>
      </c>
      <c r="AH189" s="591">
        <v>0.21479999999999999</v>
      </c>
      <c r="AI189" s="591">
        <v>0.2026</v>
      </c>
      <c r="AJ189" s="591">
        <v>0.1729</v>
      </c>
      <c r="AK189" s="591">
        <v>9.3800000000000008E-2</v>
      </c>
      <c r="AL189" s="591">
        <v>9.7500000000000003E-2</v>
      </c>
      <c r="AM189" s="591">
        <v>0.1295</v>
      </c>
      <c r="AN189" s="591">
        <v>0.1191</v>
      </c>
      <c r="AO189" s="591">
        <v>0.17190000000000003</v>
      </c>
      <c r="AP189" s="591">
        <v>0.14019999999999999</v>
      </c>
      <c r="AQ189" s="591">
        <v>1.2699999999999999E-2</v>
      </c>
      <c r="AR189" s="591">
        <v>-5.5199999999999999E-2</v>
      </c>
      <c r="AS189" s="591">
        <v>-4.8899999999999999E-2</v>
      </c>
      <c r="AT189" s="591">
        <v>-3.3399999999999999E-2</v>
      </c>
      <c r="AU189" s="591">
        <v>6.83E-2</v>
      </c>
      <c r="AV189" s="591">
        <v>2.7400000000000001E-2</v>
      </c>
      <c r="AW189" s="591">
        <v>-7.8E-2</v>
      </c>
      <c r="AX189" s="591">
        <v>-0.1011</v>
      </c>
      <c r="AY189" s="591">
        <v>-8.5699999999999998E-2</v>
      </c>
      <c r="AZ189" s="591">
        <v>9.2799999999999994E-2</v>
      </c>
      <c r="BA189" s="591">
        <v>0.2107</v>
      </c>
      <c r="BB189" s="591">
        <v>0.1943</v>
      </c>
      <c r="BC189" s="591">
        <v>0.1641</v>
      </c>
      <c r="BD189" s="591">
        <v>6.5000000000000006E-3</v>
      </c>
      <c r="BE189" s="591">
        <v>-7.4400000000000008E-2</v>
      </c>
      <c r="BF189" s="591">
        <v>-7.5999999999999998E-2</v>
      </c>
      <c r="BG189" s="591">
        <v>-3.4099999999999998E-2</v>
      </c>
      <c r="BH189" s="591">
        <v>2.87E-2</v>
      </c>
      <c r="BI189" s="591">
        <v>0.1152</v>
      </c>
      <c r="BJ189" s="591">
        <v>0.1729</v>
      </c>
      <c r="BK189" s="591">
        <v>0.15079999999999999</v>
      </c>
      <c r="BL189" s="591">
        <v>0.17699999999999999</v>
      </c>
      <c r="BM189" s="591">
        <v>0.21579999999999999</v>
      </c>
      <c r="BN189" s="591">
        <v>0.18170000000000003</v>
      </c>
      <c r="BO189" s="591">
        <v>6.4500000000000002E-2</v>
      </c>
      <c r="BP189" s="591">
        <v>-5.8700000000000002E-2</v>
      </c>
      <c r="BQ189" s="591">
        <v>-0.16120000000000001</v>
      </c>
      <c r="BR189" s="591">
        <v>-0.15130000000000002</v>
      </c>
      <c r="BS189" s="591">
        <v>-8.0700000000000008E-2</v>
      </c>
      <c r="BT189" s="591">
        <v>3.3500000000000002E-2</v>
      </c>
      <c r="BU189" s="591">
        <v>0.1166</v>
      </c>
      <c r="BV189" s="591">
        <v>5.33E-2</v>
      </c>
      <c r="BW189" s="591">
        <v>2.35E-2</v>
      </c>
      <c r="BX189" s="591">
        <v>2.5600000000000001E-2</v>
      </c>
      <c r="BY189" s="591">
        <v>5.1799999999999999E-2</v>
      </c>
      <c r="BZ189" s="591">
        <v>0.19359999999999999</v>
      </c>
      <c r="CA189" s="591">
        <v>0.24719999999999998</v>
      </c>
      <c r="CB189" s="591">
        <v>0.22850000000000001</v>
      </c>
      <c r="CC189" s="591">
        <v>0.17010000000000003</v>
      </c>
      <c r="CD189" s="591">
        <v>3.3099999999999997E-2</v>
      </c>
      <c r="CE189" s="591">
        <v>4.3E-3</v>
      </c>
      <c r="CF189" s="591">
        <v>-3.8900000000000004E-2</v>
      </c>
      <c r="CG189" s="591">
        <v>-6.6900000000000001E-2</v>
      </c>
      <c r="CH189" s="591">
        <v>-4.1399999999999999E-2</v>
      </c>
      <c r="CI189" s="591">
        <v>-4.4900000000000002E-2</v>
      </c>
      <c r="CJ189" s="591">
        <v>-4.5700000000000005E-2</v>
      </c>
      <c r="CK189" s="591">
        <v>-0.12</v>
      </c>
      <c r="CL189" s="591">
        <v>-0.12720000000000001</v>
      </c>
      <c r="CM189" s="591">
        <v>-0.1106</v>
      </c>
      <c r="CN189" s="591">
        <v>-8.3599999999999994E-2</v>
      </c>
      <c r="CO189" s="591">
        <v>1.09E-2</v>
      </c>
      <c r="CP189" s="591">
        <v>3.0800000000000001E-2</v>
      </c>
      <c r="CQ189" s="591">
        <v>3.9100000000000003E-2</v>
      </c>
      <c r="CR189" s="591">
        <v>4.5199999999999997E-2</v>
      </c>
      <c r="CS189" s="591">
        <v>5.1399999999999994E-2</v>
      </c>
      <c r="CT189" s="591">
        <v>6.1200000000000004E-2</v>
      </c>
      <c r="CU189" s="591">
        <v>6.8499999999999991E-2</v>
      </c>
      <c r="CV189" s="591">
        <v>6.7099999999999993E-2</v>
      </c>
      <c r="CW189" s="591">
        <v>6.7699999999999996E-2</v>
      </c>
      <c r="CX189" s="591">
        <v>6.83E-2</v>
      </c>
      <c r="CY189" s="591">
        <v>6.7000000000000004E-2</v>
      </c>
      <c r="CZ189" s="591">
        <v>7.2400000000000006E-2</v>
      </c>
      <c r="DA189" s="591">
        <v>7.2000000000000008E-2</v>
      </c>
      <c r="DB189" s="591">
        <v>7.2000000000000008E-2</v>
      </c>
      <c r="DC189" s="591">
        <v>7.1900000000000006E-2</v>
      </c>
      <c r="DD189" s="611" t="s">
        <v>904</v>
      </c>
      <c r="DE189" s="611" t="s">
        <v>904</v>
      </c>
      <c r="DF189" s="611" t="s">
        <v>904</v>
      </c>
      <c r="DG189" s="611" t="s">
        <v>904</v>
      </c>
      <c r="DH189" s="611" t="s">
        <v>904</v>
      </c>
      <c r="DI189" s="611" t="s">
        <v>904</v>
      </c>
      <c r="DJ189" s="611" t="s">
        <v>904</v>
      </c>
      <c r="DK189" s="611" t="s">
        <v>904</v>
      </c>
      <c r="DL189" s="611" t="s">
        <v>904</v>
      </c>
      <c r="DM189" s="611" t="s">
        <v>904</v>
      </c>
      <c r="DN189" s="611" t="s">
        <v>904</v>
      </c>
      <c r="DO189" s="611" t="s">
        <v>904</v>
      </c>
      <c r="DP189" s="611" t="s">
        <v>904</v>
      </c>
      <c r="DQ189" s="611" t="s">
        <v>904</v>
      </c>
      <c r="DR189" s="611" t="s">
        <v>904</v>
      </c>
      <c r="DS189" s="611" t="s">
        <v>904</v>
      </c>
      <c r="DT189" s="610" t="s">
        <v>905</v>
      </c>
      <c r="DU189" s="610" t="s">
        <v>906</v>
      </c>
      <c r="DV189" s="610" t="s">
        <v>907</v>
      </c>
      <c r="DW189" s="610" t="s">
        <v>902</v>
      </c>
      <c r="DX189" s="610" t="s">
        <v>902</v>
      </c>
      <c r="DY189" s="610" t="s">
        <v>849</v>
      </c>
      <c r="DZ189" s="610" t="s">
        <v>908</v>
      </c>
      <c r="EA189" s="610" t="s">
        <v>909</v>
      </c>
      <c r="EB189" s="610" t="s">
        <v>902</v>
      </c>
      <c r="EC189" s="610" t="s">
        <v>910</v>
      </c>
      <c r="ED189" s="610" t="s">
        <v>911</v>
      </c>
      <c r="EE189" s="610" t="s">
        <v>914</v>
      </c>
    </row>
    <row r="190" spans="2:135">
      <c r="B190" s="610" t="s">
        <v>898</v>
      </c>
      <c r="C190" s="610" t="s">
        <v>899</v>
      </c>
      <c r="D190" s="610" t="s">
        <v>915</v>
      </c>
      <c r="E190" s="610" t="s">
        <v>901</v>
      </c>
      <c r="F190" s="610" t="s">
        <v>902</v>
      </c>
      <c r="G190" s="610" t="s">
        <v>903</v>
      </c>
      <c r="H190" s="591">
        <v>7.7100000000000002E-2</v>
      </c>
      <c r="I190" s="591">
        <v>-2.0000000000000001E-4</v>
      </c>
      <c r="J190" s="591">
        <v>3.0999999999999999E-3</v>
      </c>
      <c r="K190" s="591">
        <v>-8.3000000000000001E-3</v>
      </c>
      <c r="L190" s="591">
        <v>6.8600000000000008E-2</v>
      </c>
      <c r="M190" s="591">
        <v>-1.15E-2</v>
      </c>
      <c r="N190" s="591">
        <v>2.7699999999999999E-2</v>
      </c>
      <c r="O190" s="591">
        <v>6.4000000000000003E-3</v>
      </c>
      <c r="P190" s="591">
        <v>-0.11509999999999999</v>
      </c>
      <c r="Q190" s="591">
        <v>2.7999999999999997E-2</v>
      </c>
      <c r="R190" s="591">
        <v>2.5000000000000001E-3</v>
      </c>
      <c r="S190" s="591">
        <v>0.1075</v>
      </c>
      <c r="T190" s="591">
        <v>0.24230000000000002</v>
      </c>
      <c r="U190" s="591">
        <v>0.1681</v>
      </c>
      <c r="V190" s="591">
        <v>0.20670000000000002</v>
      </c>
      <c r="W190" s="591">
        <v>0.2097</v>
      </c>
      <c r="X190" s="591">
        <v>0.24629999999999999</v>
      </c>
      <c r="Y190" s="591">
        <v>0.24359999999999998</v>
      </c>
      <c r="Z190" s="591">
        <v>0.23929999999999998</v>
      </c>
      <c r="AA190" s="591">
        <v>0.25390000000000001</v>
      </c>
      <c r="AB190" s="591">
        <v>3.7100000000000001E-2</v>
      </c>
      <c r="AC190" s="591">
        <v>7.4400000000000008E-2</v>
      </c>
      <c r="AD190" s="591">
        <v>4.0000000000000001E-3</v>
      </c>
      <c r="AE190" s="591">
        <v>-5.2000000000000005E-2</v>
      </c>
      <c r="AF190" s="591">
        <v>0.1013</v>
      </c>
      <c r="AG190" s="591">
        <v>0.13789999999999999</v>
      </c>
      <c r="AH190" s="591">
        <v>0.21479999999999999</v>
      </c>
      <c r="AI190" s="591">
        <v>0.2026</v>
      </c>
      <c r="AJ190" s="591">
        <v>0.1729</v>
      </c>
      <c r="AK190" s="591">
        <v>9.3800000000000008E-2</v>
      </c>
      <c r="AL190" s="591">
        <v>9.7500000000000003E-2</v>
      </c>
      <c r="AM190" s="591">
        <v>0.1295</v>
      </c>
      <c r="AN190" s="591">
        <v>0.1191</v>
      </c>
      <c r="AO190" s="591">
        <v>0.17190000000000003</v>
      </c>
      <c r="AP190" s="591">
        <v>0.14019999999999999</v>
      </c>
      <c r="AQ190" s="591">
        <v>1.2699999999999999E-2</v>
      </c>
      <c r="AR190" s="591">
        <v>-5.5199999999999999E-2</v>
      </c>
      <c r="AS190" s="591">
        <v>-4.8899999999999999E-2</v>
      </c>
      <c r="AT190" s="591">
        <v>-3.3399999999999999E-2</v>
      </c>
      <c r="AU190" s="591">
        <v>6.83E-2</v>
      </c>
      <c r="AV190" s="591">
        <v>2.7400000000000001E-2</v>
      </c>
      <c r="AW190" s="591">
        <v>-7.8E-2</v>
      </c>
      <c r="AX190" s="591">
        <v>-0.1011</v>
      </c>
      <c r="AY190" s="591">
        <v>-8.5699999999999998E-2</v>
      </c>
      <c r="AZ190" s="591">
        <v>9.2799999999999994E-2</v>
      </c>
      <c r="BA190" s="591">
        <v>0.2107</v>
      </c>
      <c r="BB190" s="591">
        <v>0.1943</v>
      </c>
      <c r="BC190" s="591">
        <v>0.1641</v>
      </c>
      <c r="BD190" s="591">
        <v>6.5000000000000006E-3</v>
      </c>
      <c r="BE190" s="591">
        <v>-7.4400000000000008E-2</v>
      </c>
      <c r="BF190" s="591">
        <v>-7.5999999999999998E-2</v>
      </c>
      <c r="BG190" s="591">
        <v>-3.4099999999999998E-2</v>
      </c>
      <c r="BH190" s="591">
        <v>2.87E-2</v>
      </c>
      <c r="BI190" s="591">
        <v>0.1152</v>
      </c>
      <c r="BJ190" s="591">
        <v>0.1729</v>
      </c>
      <c r="BK190" s="591">
        <v>0.15079999999999999</v>
      </c>
      <c r="BL190" s="591">
        <v>0.17699999999999999</v>
      </c>
      <c r="BM190" s="591">
        <v>0.21579999999999999</v>
      </c>
      <c r="BN190" s="591">
        <v>0.18170000000000003</v>
      </c>
      <c r="BO190" s="591">
        <v>6.4500000000000002E-2</v>
      </c>
      <c r="BP190" s="591">
        <v>-5.8700000000000002E-2</v>
      </c>
      <c r="BQ190" s="591">
        <v>-0.16120000000000001</v>
      </c>
      <c r="BR190" s="591">
        <v>-0.15130000000000002</v>
      </c>
      <c r="BS190" s="591">
        <v>-8.0700000000000008E-2</v>
      </c>
      <c r="BT190" s="591">
        <v>3.3500000000000002E-2</v>
      </c>
      <c r="BU190" s="591">
        <v>0.1166</v>
      </c>
      <c r="BV190" s="591">
        <v>5.33E-2</v>
      </c>
      <c r="BW190" s="591">
        <v>2.35E-2</v>
      </c>
      <c r="BX190" s="591">
        <v>2.5600000000000001E-2</v>
      </c>
      <c r="BY190" s="591">
        <v>5.1799999999999999E-2</v>
      </c>
      <c r="BZ190" s="591">
        <v>0.19359999999999999</v>
      </c>
      <c r="CA190" s="591">
        <v>0.24719999999999998</v>
      </c>
      <c r="CB190" s="591">
        <v>0.22850000000000001</v>
      </c>
      <c r="CC190" s="591">
        <v>0.17010000000000003</v>
      </c>
      <c r="CD190" s="591">
        <v>3.3099999999999997E-2</v>
      </c>
      <c r="CE190" s="591">
        <v>4.3E-3</v>
      </c>
      <c r="CF190" s="591">
        <v>-3.8900000000000004E-2</v>
      </c>
      <c r="CG190" s="591">
        <v>-6.6900000000000001E-2</v>
      </c>
      <c r="CH190" s="591">
        <v>-4.1399999999999999E-2</v>
      </c>
      <c r="CI190" s="591">
        <v>-4.4900000000000002E-2</v>
      </c>
      <c r="CJ190" s="591">
        <v>-4.3299999999999998E-2</v>
      </c>
      <c r="CK190" s="591">
        <v>-0.10189999999999999</v>
      </c>
      <c r="CL190" s="591">
        <v>-7.9399999999999998E-2</v>
      </c>
      <c r="CM190" s="591">
        <v>-4.5400000000000003E-2</v>
      </c>
      <c r="CN190" s="591">
        <v>-1.1599999999999999E-2</v>
      </c>
      <c r="CO190" s="591">
        <v>7.9699999999999993E-2</v>
      </c>
      <c r="CP190" s="591">
        <v>7.2900000000000006E-2</v>
      </c>
      <c r="CQ190" s="591">
        <v>7.0599999999999996E-2</v>
      </c>
      <c r="CR190" s="591">
        <v>7.4499999999999997E-2</v>
      </c>
      <c r="CS190" s="591">
        <v>7.5199999999999989E-2</v>
      </c>
      <c r="CT190" s="591">
        <v>0.08</v>
      </c>
      <c r="CU190" s="591">
        <v>8.14E-2</v>
      </c>
      <c r="CV190" s="591">
        <v>7.5999999999999998E-2</v>
      </c>
      <c r="CW190" s="591">
        <v>7.5199999999999989E-2</v>
      </c>
      <c r="CX190" s="591">
        <v>7.4400000000000008E-2</v>
      </c>
      <c r="CY190" s="591">
        <v>7.1800000000000003E-2</v>
      </c>
      <c r="CZ190" s="591">
        <v>7.6499999999999999E-2</v>
      </c>
      <c r="DA190" s="591">
        <v>7.5499999999999998E-2</v>
      </c>
      <c r="DB190" s="591">
        <v>7.4900000000000008E-2</v>
      </c>
      <c r="DC190" s="591">
        <v>7.4200000000000002E-2</v>
      </c>
      <c r="DD190" s="611" t="s">
        <v>904</v>
      </c>
      <c r="DE190" s="611" t="s">
        <v>904</v>
      </c>
      <c r="DF190" s="611" t="s">
        <v>904</v>
      </c>
      <c r="DG190" s="611" t="s">
        <v>904</v>
      </c>
      <c r="DH190" s="611" t="s">
        <v>904</v>
      </c>
      <c r="DI190" s="611" t="s">
        <v>904</v>
      </c>
      <c r="DJ190" s="611" t="s">
        <v>904</v>
      </c>
      <c r="DK190" s="611" t="s">
        <v>904</v>
      </c>
      <c r="DL190" s="611" t="s">
        <v>904</v>
      </c>
      <c r="DM190" s="611" t="s">
        <v>904</v>
      </c>
      <c r="DN190" s="611" t="s">
        <v>904</v>
      </c>
      <c r="DO190" s="611" t="s">
        <v>904</v>
      </c>
      <c r="DP190" s="611" t="s">
        <v>904</v>
      </c>
      <c r="DQ190" s="611" t="s">
        <v>904</v>
      </c>
      <c r="DR190" s="611" t="s">
        <v>904</v>
      </c>
      <c r="DS190" s="611" t="s">
        <v>904</v>
      </c>
      <c r="DT190" s="610" t="s">
        <v>905</v>
      </c>
      <c r="DU190" s="610" t="s">
        <v>906</v>
      </c>
      <c r="DV190" s="610" t="s">
        <v>907</v>
      </c>
      <c r="DW190" s="610" t="s">
        <v>902</v>
      </c>
      <c r="DX190" s="610" t="s">
        <v>902</v>
      </c>
      <c r="DY190" s="610" t="s">
        <v>849</v>
      </c>
      <c r="DZ190" s="610" t="s">
        <v>908</v>
      </c>
      <c r="EA190" s="610" t="s">
        <v>909</v>
      </c>
      <c r="EB190" s="610" t="s">
        <v>902</v>
      </c>
      <c r="EC190" s="610" t="s">
        <v>910</v>
      </c>
      <c r="ED190" s="610" t="s">
        <v>911</v>
      </c>
      <c r="EE190" s="610" t="s">
        <v>916</v>
      </c>
    </row>
    <row r="191" spans="2:135">
      <c r="B191" s="610" t="s">
        <v>917</v>
      </c>
      <c r="C191" s="610" t="s">
        <v>899</v>
      </c>
      <c r="D191" s="610" t="s">
        <v>900</v>
      </c>
      <c r="E191" s="610" t="s">
        <v>901</v>
      </c>
      <c r="F191" s="610" t="s">
        <v>902</v>
      </c>
      <c r="G191" s="610" t="s">
        <v>903</v>
      </c>
      <c r="H191" s="591">
        <v>-0.26280000000000003</v>
      </c>
      <c r="I191" s="591">
        <v>-0.25540000000000002</v>
      </c>
      <c r="J191" s="591">
        <v>-0.19210000000000002</v>
      </c>
      <c r="K191" s="591">
        <v>-5.8099999999999999E-2</v>
      </c>
      <c r="L191" s="591">
        <v>8.2100000000000006E-2</v>
      </c>
      <c r="M191" s="591">
        <v>0.18489999999999998</v>
      </c>
      <c r="N191" s="591">
        <v>0.22120000000000001</v>
      </c>
      <c r="O191" s="591">
        <v>0.17230000000000001</v>
      </c>
      <c r="P191" s="591">
        <v>6.6900000000000001E-2</v>
      </c>
      <c r="Q191" s="591">
        <v>-3.39E-2</v>
      </c>
      <c r="R191" s="591">
        <v>-0.1108</v>
      </c>
      <c r="S191" s="591">
        <v>-0.13369999999999999</v>
      </c>
      <c r="T191" s="591">
        <v>-0.10970000000000001</v>
      </c>
      <c r="U191" s="591">
        <v>-2.6099999999999998E-2</v>
      </c>
      <c r="V191" s="591">
        <v>-6.8999999999999999E-3</v>
      </c>
      <c r="W191" s="591">
        <v>-1.6500000000000001E-2</v>
      </c>
      <c r="X191" s="591">
        <v>-3.56E-2</v>
      </c>
      <c r="Y191" s="591">
        <v>-6.6400000000000001E-2</v>
      </c>
      <c r="Z191" s="591">
        <v>-2.7999999999999997E-2</v>
      </c>
      <c r="AA191" s="591">
        <v>2.1400000000000002E-2</v>
      </c>
      <c r="AB191" s="591">
        <v>0.107</v>
      </c>
      <c r="AC191" s="591">
        <v>0.19699999999999998</v>
      </c>
      <c r="AD191" s="591">
        <v>0.1206</v>
      </c>
      <c r="AE191" s="591">
        <v>0.1389</v>
      </c>
      <c r="AF191" s="591">
        <v>0.10710000000000001</v>
      </c>
      <c r="AG191" s="591">
        <v>3.3099999999999997E-2</v>
      </c>
      <c r="AH191" s="591">
        <v>7.17E-2</v>
      </c>
      <c r="AI191" s="591">
        <v>7.3700000000000002E-2</v>
      </c>
      <c r="AJ191" s="591">
        <v>8.8699999999999987E-2</v>
      </c>
      <c r="AK191" s="591">
        <v>0.17519999999999999</v>
      </c>
      <c r="AL191" s="591">
        <v>0.29899999999999999</v>
      </c>
      <c r="AM191" s="591">
        <v>0.3004</v>
      </c>
      <c r="AN191" s="591">
        <v>0.22370000000000001</v>
      </c>
      <c r="AO191" s="591">
        <v>0.16250000000000001</v>
      </c>
      <c r="AP191" s="591">
        <v>-8.9499999999999996E-2</v>
      </c>
      <c r="AQ191" s="591">
        <v>-0.2069</v>
      </c>
      <c r="AR191" s="591">
        <v>-6.3500000000000001E-2</v>
      </c>
      <c r="AS191" s="591">
        <v>-0.1363</v>
      </c>
      <c r="AT191" s="591">
        <v>-3.0600000000000002E-2</v>
      </c>
      <c r="AU191" s="591">
        <v>8.1900000000000001E-2</v>
      </c>
      <c r="AV191" s="591">
        <v>-6.0400000000000002E-2</v>
      </c>
      <c r="AW191" s="591">
        <v>-1.5900000000000001E-2</v>
      </c>
      <c r="AX191" s="591">
        <v>3.7900000000000003E-2</v>
      </c>
      <c r="AY191" s="591">
        <v>-8.8999999999999999E-3</v>
      </c>
      <c r="AZ191" s="591">
        <v>-7.46E-2</v>
      </c>
      <c r="BA191" s="591">
        <v>-6.3799999999999996E-2</v>
      </c>
      <c r="BB191" s="591">
        <v>-4.5100000000000001E-2</v>
      </c>
      <c r="BC191" s="591">
        <v>7.0999999999999994E-2</v>
      </c>
      <c r="BD191" s="591">
        <v>0.23430000000000001</v>
      </c>
      <c r="BE191" s="591">
        <v>0.29380000000000001</v>
      </c>
      <c r="BF191" s="591">
        <v>0.30760000000000004</v>
      </c>
      <c r="BG191" s="591">
        <v>0.23149999999999998</v>
      </c>
      <c r="BH191" s="591">
        <v>0.1142</v>
      </c>
      <c r="BI191" s="591">
        <v>0.10210000000000001</v>
      </c>
      <c r="BJ191" s="591">
        <v>1.38E-2</v>
      </c>
      <c r="BK191" s="591">
        <v>1.7100000000000001E-2</v>
      </c>
      <c r="BL191" s="591">
        <v>7.9699999999999993E-2</v>
      </c>
      <c r="BM191" s="591">
        <v>7.4800000000000005E-2</v>
      </c>
      <c r="BN191" s="591">
        <v>0.11710000000000001</v>
      </c>
      <c r="BO191" s="591">
        <v>0.11070000000000001</v>
      </c>
      <c r="BP191" s="591">
        <v>9.5399999999999985E-2</v>
      </c>
      <c r="BQ191" s="591">
        <v>7.0000000000000007E-2</v>
      </c>
      <c r="BR191" s="591">
        <v>1.5100000000000001E-2</v>
      </c>
      <c r="BS191" s="591">
        <v>-3.61E-2</v>
      </c>
      <c r="BT191" s="591">
        <v>-9.7799999999999998E-2</v>
      </c>
      <c r="BU191" s="591">
        <v>-0.12539999999999998</v>
      </c>
      <c r="BV191" s="591">
        <v>-8.7499999999999994E-2</v>
      </c>
      <c r="BW191" s="591">
        <v>-5.9400000000000001E-2</v>
      </c>
      <c r="BX191" s="591">
        <v>-2.4700000000000003E-2</v>
      </c>
      <c r="BY191" s="591">
        <v>-2.92E-2</v>
      </c>
      <c r="BZ191" s="591">
        <v>1.38E-2</v>
      </c>
      <c r="CA191" s="591">
        <v>-2.1000000000000001E-2</v>
      </c>
      <c r="CB191" s="591">
        <v>-1.54E-2</v>
      </c>
      <c r="CC191" s="591">
        <v>6.5000000000000006E-3</v>
      </c>
      <c r="CD191" s="591">
        <v>3.9199999999999999E-2</v>
      </c>
      <c r="CE191" s="591">
        <v>9.9700000000000011E-2</v>
      </c>
      <c r="CF191" s="591">
        <v>0.11410000000000001</v>
      </c>
      <c r="CG191" s="591">
        <v>5.2699999999999997E-2</v>
      </c>
      <c r="CH191" s="591">
        <v>-3.5200000000000002E-2</v>
      </c>
      <c r="CI191" s="591">
        <v>-4.6100000000000002E-2</v>
      </c>
      <c r="CJ191" s="591">
        <v>-0.16399999999999998</v>
      </c>
      <c r="CK191" s="591">
        <v>-0.16260000000000002</v>
      </c>
      <c r="CL191" s="591">
        <v>-0.11460000000000001</v>
      </c>
      <c r="CM191" s="591">
        <v>-5.9400000000000001E-2</v>
      </c>
      <c r="CN191" s="591">
        <v>9.1700000000000004E-2</v>
      </c>
      <c r="CO191" s="591">
        <v>0.17100000000000001</v>
      </c>
      <c r="CP191" s="591">
        <v>0.13550000000000001</v>
      </c>
      <c r="CQ191" s="591">
        <v>6.5500000000000003E-2</v>
      </c>
      <c r="CR191" s="591">
        <v>5.1100000000000007E-2</v>
      </c>
      <c r="CS191" s="591">
        <v>5.6600000000000004E-2</v>
      </c>
      <c r="CT191" s="591">
        <v>6.0400000000000002E-2</v>
      </c>
      <c r="CU191" s="591">
        <v>6.7900000000000002E-2</v>
      </c>
      <c r="CV191" s="591">
        <v>6.9400000000000003E-2</v>
      </c>
      <c r="CW191" s="591">
        <v>6.7000000000000004E-2</v>
      </c>
      <c r="CX191" s="591">
        <v>6.2699999999999992E-2</v>
      </c>
      <c r="CY191" s="591">
        <v>5.5300000000000002E-2</v>
      </c>
      <c r="CZ191" s="591">
        <v>4.9200000000000001E-2</v>
      </c>
      <c r="DA191" s="591">
        <v>4.3099999999999999E-2</v>
      </c>
      <c r="DB191" s="591">
        <v>3.9599999999999996E-2</v>
      </c>
      <c r="DC191" s="591">
        <v>3.7699999999999997E-2</v>
      </c>
      <c r="DD191" s="611" t="s">
        <v>904</v>
      </c>
      <c r="DE191" s="611" t="s">
        <v>904</v>
      </c>
      <c r="DF191" s="611" t="s">
        <v>904</v>
      </c>
      <c r="DG191" s="611" t="s">
        <v>904</v>
      </c>
      <c r="DH191" s="611" t="s">
        <v>904</v>
      </c>
      <c r="DI191" s="611" t="s">
        <v>904</v>
      </c>
      <c r="DJ191" s="611" t="s">
        <v>904</v>
      </c>
      <c r="DK191" s="611" t="s">
        <v>904</v>
      </c>
      <c r="DL191" s="611" t="s">
        <v>904</v>
      </c>
      <c r="DM191" s="611" t="s">
        <v>904</v>
      </c>
      <c r="DN191" s="611" t="s">
        <v>904</v>
      </c>
      <c r="DO191" s="611" t="s">
        <v>904</v>
      </c>
      <c r="DP191" s="611" t="s">
        <v>904</v>
      </c>
      <c r="DQ191" s="611" t="s">
        <v>904</v>
      </c>
      <c r="DR191" s="611" t="s">
        <v>904</v>
      </c>
      <c r="DS191" s="611" t="s">
        <v>904</v>
      </c>
      <c r="DT191" s="610" t="s">
        <v>905</v>
      </c>
      <c r="DU191" s="610" t="s">
        <v>918</v>
      </c>
      <c r="DV191" s="610" t="s">
        <v>907</v>
      </c>
      <c r="DW191" s="610" t="s">
        <v>902</v>
      </c>
      <c r="DX191" s="610" t="s">
        <v>902</v>
      </c>
      <c r="DY191" s="610" t="s">
        <v>848</v>
      </c>
      <c r="DZ191" s="610" t="s">
        <v>908</v>
      </c>
      <c r="EA191" s="610" t="s">
        <v>909</v>
      </c>
      <c r="EB191" s="610" t="s">
        <v>902</v>
      </c>
      <c r="EC191" s="610" t="s">
        <v>910</v>
      </c>
      <c r="ED191" s="610" t="s">
        <v>919</v>
      </c>
      <c r="EE191" s="610" t="s">
        <v>912</v>
      </c>
    </row>
    <row r="192" spans="2:135">
      <c r="B192" s="610" t="s">
        <v>917</v>
      </c>
      <c r="C192" s="610" t="s">
        <v>899</v>
      </c>
      <c r="D192" s="610" t="s">
        <v>913</v>
      </c>
      <c r="E192" s="610" t="s">
        <v>901</v>
      </c>
      <c r="F192" s="610" t="s">
        <v>902</v>
      </c>
      <c r="G192" s="610" t="s">
        <v>903</v>
      </c>
      <c r="H192" s="591">
        <v>-0.26280000000000003</v>
      </c>
      <c r="I192" s="591">
        <v>-0.25540000000000002</v>
      </c>
      <c r="J192" s="591">
        <v>-0.19210000000000002</v>
      </c>
      <c r="K192" s="591">
        <v>-5.8099999999999999E-2</v>
      </c>
      <c r="L192" s="591">
        <v>8.2100000000000006E-2</v>
      </c>
      <c r="M192" s="591">
        <v>0.18489999999999998</v>
      </c>
      <c r="N192" s="591">
        <v>0.22120000000000001</v>
      </c>
      <c r="O192" s="591">
        <v>0.17230000000000001</v>
      </c>
      <c r="P192" s="591">
        <v>6.6900000000000001E-2</v>
      </c>
      <c r="Q192" s="591">
        <v>-3.39E-2</v>
      </c>
      <c r="R192" s="591">
        <v>-0.1108</v>
      </c>
      <c r="S192" s="591">
        <v>-0.13369999999999999</v>
      </c>
      <c r="T192" s="591">
        <v>-0.10970000000000001</v>
      </c>
      <c r="U192" s="591">
        <v>-2.6099999999999998E-2</v>
      </c>
      <c r="V192" s="591">
        <v>-6.8999999999999999E-3</v>
      </c>
      <c r="W192" s="591">
        <v>-1.6500000000000001E-2</v>
      </c>
      <c r="X192" s="591">
        <v>-3.56E-2</v>
      </c>
      <c r="Y192" s="591">
        <v>-6.6400000000000001E-2</v>
      </c>
      <c r="Z192" s="591">
        <v>-2.7999999999999997E-2</v>
      </c>
      <c r="AA192" s="591">
        <v>2.1400000000000002E-2</v>
      </c>
      <c r="AB192" s="591">
        <v>0.107</v>
      </c>
      <c r="AC192" s="591">
        <v>0.19699999999999998</v>
      </c>
      <c r="AD192" s="591">
        <v>0.1206</v>
      </c>
      <c r="AE192" s="591">
        <v>0.1389</v>
      </c>
      <c r="AF192" s="591">
        <v>0.10710000000000001</v>
      </c>
      <c r="AG192" s="591">
        <v>3.3099999999999997E-2</v>
      </c>
      <c r="AH192" s="591">
        <v>7.17E-2</v>
      </c>
      <c r="AI192" s="591">
        <v>7.3700000000000002E-2</v>
      </c>
      <c r="AJ192" s="591">
        <v>8.8699999999999987E-2</v>
      </c>
      <c r="AK192" s="591">
        <v>0.17519999999999999</v>
      </c>
      <c r="AL192" s="591">
        <v>0.29899999999999999</v>
      </c>
      <c r="AM192" s="591">
        <v>0.3004</v>
      </c>
      <c r="AN192" s="591">
        <v>0.22370000000000001</v>
      </c>
      <c r="AO192" s="591">
        <v>0.16250000000000001</v>
      </c>
      <c r="AP192" s="591">
        <v>-8.9499999999999996E-2</v>
      </c>
      <c r="AQ192" s="591">
        <v>-0.2069</v>
      </c>
      <c r="AR192" s="591">
        <v>-6.3500000000000001E-2</v>
      </c>
      <c r="AS192" s="591">
        <v>-0.1363</v>
      </c>
      <c r="AT192" s="591">
        <v>-3.0600000000000002E-2</v>
      </c>
      <c r="AU192" s="591">
        <v>8.1900000000000001E-2</v>
      </c>
      <c r="AV192" s="591">
        <v>-6.0400000000000002E-2</v>
      </c>
      <c r="AW192" s="591">
        <v>-1.5900000000000001E-2</v>
      </c>
      <c r="AX192" s="591">
        <v>3.7900000000000003E-2</v>
      </c>
      <c r="AY192" s="591">
        <v>-8.8999999999999999E-3</v>
      </c>
      <c r="AZ192" s="591">
        <v>-7.46E-2</v>
      </c>
      <c r="BA192" s="591">
        <v>-6.3799999999999996E-2</v>
      </c>
      <c r="BB192" s="591">
        <v>-4.5100000000000001E-2</v>
      </c>
      <c r="BC192" s="591">
        <v>7.0999999999999994E-2</v>
      </c>
      <c r="BD192" s="591">
        <v>0.23430000000000001</v>
      </c>
      <c r="BE192" s="591">
        <v>0.29380000000000001</v>
      </c>
      <c r="BF192" s="591">
        <v>0.30760000000000004</v>
      </c>
      <c r="BG192" s="591">
        <v>0.23149999999999998</v>
      </c>
      <c r="BH192" s="591">
        <v>0.1142</v>
      </c>
      <c r="BI192" s="591">
        <v>0.10210000000000001</v>
      </c>
      <c r="BJ192" s="591">
        <v>1.38E-2</v>
      </c>
      <c r="BK192" s="591">
        <v>1.7100000000000001E-2</v>
      </c>
      <c r="BL192" s="591">
        <v>7.9699999999999993E-2</v>
      </c>
      <c r="BM192" s="591">
        <v>7.4800000000000005E-2</v>
      </c>
      <c r="BN192" s="591">
        <v>0.11710000000000001</v>
      </c>
      <c r="BO192" s="591">
        <v>0.11070000000000001</v>
      </c>
      <c r="BP192" s="591">
        <v>9.5399999999999985E-2</v>
      </c>
      <c r="BQ192" s="591">
        <v>7.0000000000000007E-2</v>
      </c>
      <c r="BR192" s="591">
        <v>1.5100000000000001E-2</v>
      </c>
      <c r="BS192" s="591">
        <v>-3.61E-2</v>
      </c>
      <c r="BT192" s="591">
        <v>-9.7799999999999998E-2</v>
      </c>
      <c r="BU192" s="591">
        <v>-0.12539999999999998</v>
      </c>
      <c r="BV192" s="591">
        <v>-8.7499999999999994E-2</v>
      </c>
      <c r="BW192" s="591">
        <v>-5.9400000000000001E-2</v>
      </c>
      <c r="BX192" s="591">
        <v>-2.4700000000000003E-2</v>
      </c>
      <c r="BY192" s="591">
        <v>-2.92E-2</v>
      </c>
      <c r="BZ192" s="591">
        <v>1.38E-2</v>
      </c>
      <c r="CA192" s="591">
        <v>-2.1000000000000001E-2</v>
      </c>
      <c r="CB192" s="591">
        <v>-1.54E-2</v>
      </c>
      <c r="CC192" s="591">
        <v>6.5000000000000006E-3</v>
      </c>
      <c r="CD192" s="591">
        <v>3.9199999999999999E-2</v>
      </c>
      <c r="CE192" s="591">
        <v>9.9700000000000011E-2</v>
      </c>
      <c r="CF192" s="591">
        <v>0.11410000000000001</v>
      </c>
      <c r="CG192" s="591">
        <v>5.2699999999999997E-2</v>
      </c>
      <c r="CH192" s="591">
        <v>-3.5200000000000002E-2</v>
      </c>
      <c r="CI192" s="591">
        <v>-4.6100000000000002E-2</v>
      </c>
      <c r="CJ192" s="591">
        <v>-0.1588</v>
      </c>
      <c r="CK192" s="591">
        <v>-0.1512</v>
      </c>
      <c r="CL192" s="591">
        <v>-0.1017</v>
      </c>
      <c r="CM192" s="591">
        <v>-3.7900000000000003E-2</v>
      </c>
      <c r="CN192" s="591">
        <v>0.1027</v>
      </c>
      <c r="CO192" s="591">
        <v>0.1618</v>
      </c>
      <c r="CP192" s="591">
        <v>0.107</v>
      </c>
      <c r="CQ192" s="591">
        <v>1.23E-2</v>
      </c>
      <c r="CR192" s="591">
        <v>-1.52E-2</v>
      </c>
      <c r="CS192" s="591">
        <v>-2.0899999999999998E-2</v>
      </c>
      <c r="CT192" s="591">
        <v>-1.7000000000000001E-2</v>
      </c>
      <c r="CU192" s="591">
        <v>-7.9000000000000008E-3</v>
      </c>
      <c r="CV192" s="591">
        <v>2.5000000000000001E-3</v>
      </c>
      <c r="CW192" s="591">
        <v>1.1000000000000001E-2</v>
      </c>
      <c r="CX192" s="591">
        <v>1.5900000000000001E-2</v>
      </c>
      <c r="CY192" s="591">
        <v>1.8200000000000001E-2</v>
      </c>
      <c r="CZ192" s="591">
        <v>1.8200000000000001E-2</v>
      </c>
      <c r="DA192" s="591">
        <v>1.84E-2</v>
      </c>
      <c r="DB192" s="591">
        <v>1.95E-2</v>
      </c>
      <c r="DC192" s="591">
        <v>2.1499999999999998E-2</v>
      </c>
      <c r="DD192" s="611" t="s">
        <v>904</v>
      </c>
      <c r="DE192" s="611" t="s">
        <v>904</v>
      </c>
      <c r="DF192" s="611" t="s">
        <v>904</v>
      </c>
      <c r="DG192" s="611" t="s">
        <v>904</v>
      </c>
      <c r="DH192" s="611" t="s">
        <v>904</v>
      </c>
      <c r="DI192" s="611" t="s">
        <v>904</v>
      </c>
      <c r="DJ192" s="611" t="s">
        <v>904</v>
      </c>
      <c r="DK192" s="611" t="s">
        <v>904</v>
      </c>
      <c r="DL192" s="611" t="s">
        <v>904</v>
      </c>
      <c r="DM192" s="611" t="s">
        <v>904</v>
      </c>
      <c r="DN192" s="611" t="s">
        <v>904</v>
      </c>
      <c r="DO192" s="611" t="s">
        <v>904</v>
      </c>
      <c r="DP192" s="611" t="s">
        <v>904</v>
      </c>
      <c r="DQ192" s="611" t="s">
        <v>904</v>
      </c>
      <c r="DR192" s="611" t="s">
        <v>904</v>
      </c>
      <c r="DS192" s="611" t="s">
        <v>904</v>
      </c>
      <c r="DT192" s="610" t="s">
        <v>905</v>
      </c>
      <c r="DU192" s="610" t="s">
        <v>918</v>
      </c>
      <c r="DV192" s="610" t="s">
        <v>907</v>
      </c>
      <c r="DW192" s="610" t="s">
        <v>902</v>
      </c>
      <c r="DX192" s="610" t="s">
        <v>902</v>
      </c>
      <c r="DY192" s="610" t="s">
        <v>848</v>
      </c>
      <c r="DZ192" s="610" t="s">
        <v>908</v>
      </c>
      <c r="EA192" s="610" t="s">
        <v>909</v>
      </c>
      <c r="EB192" s="610" t="s">
        <v>902</v>
      </c>
      <c r="EC192" s="610" t="s">
        <v>910</v>
      </c>
      <c r="ED192" s="610" t="s">
        <v>919</v>
      </c>
      <c r="EE192" s="610" t="s">
        <v>914</v>
      </c>
    </row>
    <row r="193" spans="2:135">
      <c r="B193" s="610" t="s">
        <v>917</v>
      </c>
      <c r="C193" s="610" t="s">
        <v>899</v>
      </c>
      <c r="D193" s="610" t="s">
        <v>915</v>
      </c>
      <c r="E193" s="610" t="s">
        <v>901</v>
      </c>
      <c r="F193" s="610" t="s">
        <v>902</v>
      </c>
      <c r="G193" s="610" t="s">
        <v>903</v>
      </c>
      <c r="H193" s="591">
        <v>-0.26280000000000003</v>
      </c>
      <c r="I193" s="591">
        <v>-0.25540000000000002</v>
      </c>
      <c r="J193" s="591">
        <v>-0.19210000000000002</v>
      </c>
      <c r="K193" s="591">
        <v>-5.8099999999999999E-2</v>
      </c>
      <c r="L193" s="591">
        <v>8.2100000000000006E-2</v>
      </c>
      <c r="M193" s="591">
        <v>0.18489999999999998</v>
      </c>
      <c r="N193" s="591">
        <v>0.22120000000000001</v>
      </c>
      <c r="O193" s="591">
        <v>0.17230000000000001</v>
      </c>
      <c r="P193" s="591">
        <v>6.6900000000000001E-2</v>
      </c>
      <c r="Q193" s="591">
        <v>-3.39E-2</v>
      </c>
      <c r="R193" s="591">
        <v>-0.1108</v>
      </c>
      <c r="S193" s="591">
        <v>-0.13369999999999999</v>
      </c>
      <c r="T193" s="591">
        <v>-0.10970000000000001</v>
      </c>
      <c r="U193" s="591">
        <v>-2.6099999999999998E-2</v>
      </c>
      <c r="V193" s="591">
        <v>-6.8999999999999999E-3</v>
      </c>
      <c r="W193" s="591">
        <v>-1.6500000000000001E-2</v>
      </c>
      <c r="X193" s="591">
        <v>-3.56E-2</v>
      </c>
      <c r="Y193" s="591">
        <v>-6.6400000000000001E-2</v>
      </c>
      <c r="Z193" s="591">
        <v>-2.7999999999999997E-2</v>
      </c>
      <c r="AA193" s="591">
        <v>2.1400000000000002E-2</v>
      </c>
      <c r="AB193" s="591">
        <v>0.107</v>
      </c>
      <c r="AC193" s="591">
        <v>0.19699999999999998</v>
      </c>
      <c r="AD193" s="591">
        <v>0.1206</v>
      </c>
      <c r="AE193" s="591">
        <v>0.1389</v>
      </c>
      <c r="AF193" s="591">
        <v>0.10710000000000001</v>
      </c>
      <c r="AG193" s="591">
        <v>3.3099999999999997E-2</v>
      </c>
      <c r="AH193" s="591">
        <v>7.17E-2</v>
      </c>
      <c r="AI193" s="591">
        <v>7.3700000000000002E-2</v>
      </c>
      <c r="AJ193" s="591">
        <v>8.8699999999999987E-2</v>
      </c>
      <c r="AK193" s="591">
        <v>0.17519999999999999</v>
      </c>
      <c r="AL193" s="591">
        <v>0.29899999999999999</v>
      </c>
      <c r="AM193" s="591">
        <v>0.3004</v>
      </c>
      <c r="AN193" s="591">
        <v>0.22370000000000001</v>
      </c>
      <c r="AO193" s="591">
        <v>0.16250000000000001</v>
      </c>
      <c r="AP193" s="591">
        <v>-8.9499999999999996E-2</v>
      </c>
      <c r="AQ193" s="591">
        <v>-0.2069</v>
      </c>
      <c r="AR193" s="591">
        <v>-6.3500000000000001E-2</v>
      </c>
      <c r="AS193" s="591">
        <v>-0.1363</v>
      </c>
      <c r="AT193" s="591">
        <v>-3.0600000000000002E-2</v>
      </c>
      <c r="AU193" s="591">
        <v>8.1900000000000001E-2</v>
      </c>
      <c r="AV193" s="591">
        <v>-6.0400000000000002E-2</v>
      </c>
      <c r="AW193" s="591">
        <v>-1.5900000000000001E-2</v>
      </c>
      <c r="AX193" s="591">
        <v>3.7900000000000003E-2</v>
      </c>
      <c r="AY193" s="591">
        <v>-8.8999999999999999E-3</v>
      </c>
      <c r="AZ193" s="591">
        <v>-7.46E-2</v>
      </c>
      <c r="BA193" s="591">
        <v>-6.3799999999999996E-2</v>
      </c>
      <c r="BB193" s="591">
        <v>-4.5100000000000001E-2</v>
      </c>
      <c r="BC193" s="591">
        <v>7.0999999999999994E-2</v>
      </c>
      <c r="BD193" s="591">
        <v>0.23430000000000001</v>
      </c>
      <c r="BE193" s="591">
        <v>0.29380000000000001</v>
      </c>
      <c r="BF193" s="591">
        <v>0.30760000000000004</v>
      </c>
      <c r="BG193" s="591">
        <v>0.23149999999999998</v>
      </c>
      <c r="BH193" s="591">
        <v>0.1142</v>
      </c>
      <c r="BI193" s="591">
        <v>0.10210000000000001</v>
      </c>
      <c r="BJ193" s="591">
        <v>1.38E-2</v>
      </c>
      <c r="BK193" s="591">
        <v>1.7100000000000001E-2</v>
      </c>
      <c r="BL193" s="591">
        <v>7.9699999999999993E-2</v>
      </c>
      <c r="BM193" s="591">
        <v>7.4800000000000005E-2</v>
      </c>
      <c r="BN193" s="591">
        <v>0.11710000000000001</v>
      </c>
      <c r="BO193" s="591">
        <v>0.11070000000000001</v>
      </c>
      <c r="BP193" s="591">
        <v>9.5399999999999985E-2</v>
      </c>
      <c r="BQ193" s="591">
        <v>7.0000000000000007E-2</v>
      </c>
      <c r="BR193" s="591">
        <v>1.5100000000000001E-2</v>
      </c>
      <c r="BS193" s="591">
        <v>-3.61E-2</v>
      </c>
      <c r="BT193" s="591">
        <v>-9.7799999999999998E-2</v>
      </c>
      <c r="BU193" s="591">
        <v>-0.12539999999999998</v>
      </c>
      <c r="BV193" s="591">
        <v>-8.7499999999999994E-2</v>
      </c>
      <c r="BW193" s="591">
        <v>-5.9400000000000001E-2</v>
      </c>
      <c r="BX193" s="591">
        <v>-2.4700000000000003E-2</v>
      </c>
      <c r="BY193" s="591">
        <v>-2.92E-2</v>
      </c>
      <c r="BZ193" s="591">
        <v>1.38E-2</v>
      </c>
      <c r="CA193" s="591">
        <v>-2.1000000000000001E-2</v>
      </c>
      <c r="CB193" s="591">
        <v>-1.54E-2</v>
      </c>
      <c r="CC193" s="591">
        <v>6.5000000000000006E-3</v>
      </c>
      <c r="CD193" s="591">
        <v>3.9199999999999999E-2</v>
      </c>
      <c r="CE193" s="591">
        <v>9.9700000000000011E-2</v>
      </c>
      <c r="CF193" s="591">
        <v>0.11410000000000001</v>
      </c>
      <c r="CG193" s="591">
        <v>5.2699999999999997E-2</v>
      </c>
      <c r="CH193" s="591">
        <v>-3.5200000000000002E-2</v>
      </c>
      <c r="CI193" s="591">
        <v>-4.6100000000000002E-2</v>
      </c>
      <c r="CJ193" s="591">
        <v>-0.15810000000000002</v>
      </c>
      <c r="CK193" s="591">
        <v>-0.1467</v>
      </c>
      <c r="CL193" s="591">
        <v>-8.2599999999999993E-2</v>
      </c>
      <c r="CM193" s="591">
        <v>-2.2000000000000001E-3</v>
      </c>
      <c r="CN193" s="591">
        <v>0.1575</v>
      </c>
      <c r="CO193" s="591">
        <v>0.22829999999999998</v>
      </c>
      <c r="CP193" s="591">
        <v>0.16399999999999998</v>
      </c>
      <c r="CQ193" s="591">
        <v>5.8200000000000002E-2</v>
      </c>
      <c r="CR193" s="591">
        <v>2.6099999999999998E-2</v>
      </c>
      <c r="CS193" s="591">
        <v>1.9E-2</v>
      </c>
      <c r="CT193" s="591">
        <v>2.2400000000000003E-2</v>
      </c>
      <c r="CU193" s="591">
        <v>3.1600000000000003E-2</v>
      </c>
      <c r="CV193" s="591">
        <v>3.9900000000000005E-2</v>
      </c>
      <c r="CW193" s="591">
        <v>4.4900000000000002E-2</v>
      </c>
      <c r="CX193" s="591">
        <v>4.6399999999999997E-2</v>
      </c>
      <c r="CY193" s="591">
        <v>4.5199999999999997E-2</v>
      </c>
      <c r="CZ193" s="591">
        <v>4.3099999999999999E-2</v>
      </c>
      <c r="DA193" s="591">
        <v>4.0999999999999995E-2</v>
      </c>
      <c r="DB193" s="591">
        <v>3.9199999999999999E-2</v>
      </c>
      <c r="DC193" s="591">
        <v>3.78E-2</v>
      </c>
      <c r="DD193" s="611" t="s">
        <v>904</v>
      </c>
      <c r="DE193" s="611" t="s">
        <v>904</v>
      </c>
      <c r="DF193" s="611" t="s">
        <v>904</v>
      </c>
      <c r="DG193" s="611" t="s">
        <v>904</v>
      </c>
      <c r="DH193" s="611" t="s">
        <v>904</v>
      </c>
      <c r="DI193" s="611" t="s">
        <v>904</v>
      </c>
      <c r="DJ193" s="611" t="s">
        <v>904</v>
      </c>
      <c r="DK193" s="611" t="s">
        <v>904</v>
      </c>
      <c r="DL193" s="611" t="s">
        <v>904</v>
      </c>
      <c r="DM193" s="611" t="s">
        <v>904</v>
      </c>
      <c r="DN193" s="611" t="s">
        <v>904</v>
      </c>
      <c r="DO193" s="611" t="s">
        <v>904</v>
      </c>
      <c r="DP193" s="611" t="s">
        <v>904</v>
      </c>
      <c r="DQ193" s="611" t="s">
        <v>904</v>
      </c>
      <c r="DR193" s="611" t="s">
        <v>904</v>
      </c>
      <c r="DS193" s="611" t="s">
        <v>904</v>
      </c>
      <c r="DT193" s="610" t="s">
        <v>905</v>
      </c>
      <c r="DU193" s="610" t="s">
        <v>918</v>
      </c>
      <c r="DV193" s="610" t="s">
        <v>907</v>
      </c>
      <c r="DW193" s="610" t="s">
        <v>902</v>
      </c>
      <c r="DX193" s="610" t="s">
        <v>902</v>
      </c>
      <c r="DY193" s="610" t="s">
        <v>848</v>
      </c>
      <c r="DZ193" s="610" t="s">
        <v>908</v>
      </c>
      <c r="EA193" s="610" t="s">
        <v>909</v>
      </c>
      <c r="EB193" s="610" t="s">
        <v>902</v>
      </c>
      <c r="EC193" s="610" t="s">
        <v>910</v>
      </c>
      <c r="ED193" s="610" t="s">
        <v>919</v>
      </c>
      <c r="EE193" s="610" t="s">
        <v>916</v>
      </c>
    </row>
    <row r="195" spans="2:135">
      <c r="B195" t="s">
        <v>920</v>
      </c>
      <c r="C195" s="612" t="s">
        <v>921</v>
      </c>
      <c r="D195">
        <v>25</v>
      </c>
      <c r="E195">
        <v>25</v>
      </c>
      <c r="F195">
        <v>25</v>
      </c>
      <c r="G195">
        <v>25</v>
      </c>
      <c r="H195" s="602">
        <f t="shared" ref="H195:Q200" si="40">(1+H188)*D195</f>
        <v>26.927499999999998</v>
      </c>
      <c r="I195" s="602">
        <f t="shared" si="40"/>
        <v>24.995000000000001</v>
      </c>
      <c r="J195" s="602">
        <f t="shared" si="40"/>
        <v>25.077500000000004</v>
      </c>
      <c r="K195" s="602">
        <f t="shared" si="40"/>
        <v>24.7925</v>
      </c>
      <c r="L195" s="602">
        <f t="shared" si="40"/>
        <v>28.7747265</v>
      </c>
      <c r="M195" s="602">
        <f t="shared" si="40"/>
        <v>24.707557500000004</v>
      </c>
      <c r="N195" s="602">
        <f t="shared" si="40"/>
        <v>25.772146750000005</v>
      </c>
      <c r="O195" s="602">
        <f t="shared" si="40"/>
        <v>24.951172</v>
      </c>
      <c r="P195" s="602">
        <f t="shared" si="40"/>
        <v>25.462755479849999</v>
      </c>
      <c r="Q195" s="602">
        <f t="shared" si="40"/>
        <v>25.399369110000006</v>
      </c>
      <c r="R195" s="602">
        <f t="shared" ref="R195:AA200" si="41">(1+R188)*N195</f>
        <v>25.836577116875002</v>
      </c>
      <c r="S195" s="602">
        <f t="shared" si="41"/>
        <v>27.633422989999996</v>
      </c>
      <c r="T195" s="602">
        <f t="shared" si="41"/>
        <v>31.632381132617652</v>
      </c>
      <c r="U195" s="602">
        <f t="shared" si="41"/>
        <v>29.669003057391006</v>
      </c>
      <c r="V195" s="602">
        <f t="shared" si="41"/>
        <v>31.176997606933067</v>
      </c>
      <c r="W195" s="602">
        <f t="shared" si="41"/>
        <v>33.428151791002996</v>
      </c>
      <c r="X195" s="602">
        <f t="shared" si="41"/>
        <v>39.423436605581379</v>
      </c>
      <c r="Y195" s="602">
        <f t="shared" si="41"/>
        <v>36.896372202171456</v>
      </c>
      <c r="Z195" s="602">
        <f t="shared" si="41"/>
        <v>38.637653134272149</v>
      </c>
      <c r="AA195" s="602">
        <f t="shared" si="41"/>
        <v>41.915559530738655</v>
      </c>
      <c r="AB195" s="602">
        <f t="shared" ref="AB195:AK200" si="42">(1+AB188)*X195</f>
        <v>40.886046103648447</v>
      </c>
      <c r="AC195" s="602">
        <f t="shared" si="42"/>
        <v>39.64146229401301</v>
      </c>
      <c r="AD195" s="602">
        <f t="shared" si="42"/>
        <v>38.792203746809236</v>
      </c>
      <c r="AE195" s="602">
        <f t="shared" si="42"/>
        <v>39.735950435140239</v>
      </c>
      <c r="AF195" s="602">
        <f t="shared" si="42"/>
        <v>45.02780257394803</v>
      </c>
      <c r="AG195" s="602">
        <f t="shared" si="42"/>
        <v>45.108019944357402</v>
      </c>
      <c r="AH195" s="602">
        <f t="shared" si="42"/>
        <v>47.124769111623856</v>
      </c>
      <c r="AI195" s="602">
        <f t="shared" si="42"/>
        <v>47.786453993299645</v>
      </c>
      <c r="AJ195" s="602">
        <f t="shared" si="42"/>
        <v>52.813109638983647</v>
      </c>
      <c r="AK195" s="602">
        <f t="shared" si="42"/>
        <v>49.339152215138128</v>
      </c>
      <c r="AL195" s="602">
        <f t="shared" ref="AL195:AU200" si="43">(1+AL188)*AH195</f>
        <v>51.719434100007177</v>
      </c>
      <c r="AM195" s="602">
        <f t="shared" si="43"/>
        <v>53.974799785431948</v>
      </c>
      <c r="AN195" s="602">
        <f t="shared" si="43"/>
        <v>59.103150996986599</v>
      </c>
      <c r="AO195" s="602">
        <f t="shared" si="43"/>
        <v>57.820552480920369</v>
      </c>
      <c r="AP195" s="602">
        <f t="shared" si="43"/>
        <v>58.970498760828185</v>
      </c>
      <c r="AQ195" s="602">
        <f t="shared" si="43"/>
        <v>54.660279742706933</v>
      </c>
      <c r="AR195" s="602">
        <f t="shared" si="43"/>
        <v>55.840657061952939</v>
      </c>
      <c r="AS195" s="602">
        <f t="shared" si="43"/>
        <v>54.993127464603369</v>
      </c>
      <c r="AT195" s="602">
        <f t="shared" si="43"/>
        <v>57.000884102216524</v>
      </c>
      <c r="AU195" s="602">
        <f t="shared" si="43"/>
        <v>58.393576849133815</v>
      </c>
      <c r="AV195" s="602">
        <f t="shared" ref="AV195:BE200" si="44">(1+AV188)*AR195</f>
        <v>57.370691065450451</v>
      </c>
      <c r="AW195" s="602">
        <f t="shared" si="44"/>
        <v>50.703663522364309</v>
      </c>
      <c r="AX195" s="602">
        <f t="shared" si="44"/>
        <v>51.238094719482433</v>
      </c>
      <c r="AY195" s="602">
        <f t="shared" si="44"/>
        <v>53.389247313163047</v>
      </c>
      <c r="AZ195" s="602">
        <f t="shared" si="44"/>
        <v>62.69469119632425</v>
      </c>
      <c r="BA195" s="602">
        <f t="shared" si="44"/>
        <v>61.386925426526474</v>
      </c>
      <c r="BB195" s="602">
        <f t="shared" si="44"/>
        <v>61.193656523477863</v>
      </c>
      <c r="BC195" s="602">
        <f t="shared" si="44"/>
        <v>62.1504227972531</v>
      </c>
      <c r="BD195" s="602">
        <f t="shared" si="44"/>
        <v>63.102206689100356</v>
      </c>
      <c r="BE195" s="602">
        <f t="shared" si="44"/>
        <v>56.819738174792903</v>
      </c>
      <c r="BF195" s="602">
        <f t="shared" ref="BF195:BO200" si="45">(1+BF188)*BB195</f>
        <v>56.542938627693545</v>
      </c>
      <c r="BG195" s="602">
        <f t="shared" si="45"/>
        <v>60.031093379866768</v>
      </c>
      <c r="BH195" s="602">
        <f t="shared" si="45"/>
        <v>64.913240021077527</v>
      </c>
      <c r="BI195" s="602">
        <f t="shared" si="45"/>
        <v>63.365372012529043</v>
      </c>
      <c r="BJ195" s="602">
        <f t="shared" si="45"/>
        <v>66.31921271642176</v>
      </c>
      <c r="BK195" s="602">
        <f t="shared" si="45"/>
        <v>69.083782261550681</v>
      </c>
      <c r="BL195" s="602">
        <f t="shared" si="45"/>
        <v>76.402883504808258</v>
      </c>
      <c r="BM195" s="602">
        <f t="shared" si="45"/>
        <v>77.039619292832811</v>
      </c>
      <c r="BN195" s="602">
        <f t="shared" si="45"/>
        <v>78.369413666995598</v>
      </c>
      <c r="BO195" s="602">
        <f t="shared" si="45"/>
        <v>73.539686217420694</v>
      </c>
      <c r="BP195" s="602">
        <f t="shared" ref="BP195:BP200" si="46">(1+BP188)*BO195</f>
        <v>69.222906636458106</v>
      </c>
      <c r="BQ195" s="602">
        <f t="shared" ref="BQ195:BZ200" si="47">(1+BQ188)*BM195</f>
        <v>64.620832662828164</v>
      </c>
      <c r="BR195" s="602">
        <f t="shared" si="47"/>
        <v>66.512121379179163</v>
      </c>
      <c r="BS195" s="602">
        <f t="shared" si="47"/>
        <v>67.605033539674849</v>
      </c>
      <c r="BT195" s="602">
        <f t="shared" si="47"/>
        <v>71.541874008779459</v>
      </c>
      <c r="BU195" s="602">
        <f t="shared" si="47"/>
        <v>72.15562175131393</v>
      </c>
      <c r="BV195" s="602">
        <f t="shared" si="47"/>
        <v>70.0572174486894</v>
      </c>
      <c r="BW195" s="602">
        <f t="shared" si="47"/>
        <v>69.193751827857213</v>
      </c>
      <c r="BX195" s="602">
        <f t="shared" si="47"/>
        <v>73.373345983404221</v>
      </c>
      <c r="BY195" s="602">
        <f t="shared" si="47"/>
        <v>75.893282958032003</v>
      </c>
      <c r="BZ195" s="602">
        <f t="shared" si="47"/>
        <v>83.620294746755661</v>
      </c>
      <c r="CA195" s="602">
        <f t="shared" ref="CA195:CJ200" si="48">(1+CA188)*BW195</f>
        <v>86.29844727970351</v>
      </c>
      <c r="CB195" s="602">
        <f t="shared" si="48"/>
        <v>90.13915554061208</v>
      </c>
      <c r="CC195" s="602">
        <f t="shared" si="48"/>
        <v>88.802730389193258</v>
      </c>
      <c r="CD195" s="602">
        <f t="shared" si="48"/>
        <v>86.388126502873263</v>
      </c>
      <c r="CE195" s="602">
        <f t="shared" si="48"/>
        <v>86.669530603006237</v>
      </c>
      <c r="CF195" s="602">
        <f t="shared" si="48"/>
        <v>86.632742390082271</v>
      </c>
      <c r="CG195" s="602">
        <f t="shared" si="48"/>
        <v>82.861827726156235</v>
      </c>
      <c r="CH195" s="602">
        <f t="shared" si="48"/>
        <v>82.811658065654314</v>
      </c>
      <c r="CI195" s="602">
        <f t="shared" si="48"/>
        <v>82.778068678931248</v>
      </c>
      <c r="CJ195" s="602">
        <f t="shared" si="48"/>
        <v>82.699615885572541</v>
      </c>
      <c r="CK195" s="602">
        <f t="shared" ref="CK195:CT200" si="49">(1+CK188)*CG195</f>
        <v>73.440437913692264</v>
      </c>
      <c r="CL195" s="602">
        <f t="shared" si="49"/>
        <v>74.803770730705537</v>
      </c>
      <c r="CM195" s="602">
        <f t="shared" si="49"/>
        <v>77.049826326349205</v>
      </c>
      <c r="CN195" s="602">
        <f t="shared" si="49"/>
        <v>79.36682136538397</v>
      </c>
      <c r="CO195" s="602">
        <f t="shared" si="49"/>
        <v>77.325437079326576</v>
      </c>
      <c r="CP195" s="602">
        <f t="shared" si="49"/>
        <v>78.678606054556084</v>
      </c>
      <c r="CQ195" s="602">
        <f t="shared" si="49"/>
        <v>81.0410073300541</v>
      </c>
      <c r="CR195" s="602">
        <f t="shared" si="49"/>
        <v>84.581221529089703</v>
      </c>
      <c r="CS195" s="602">
        <f t="shared" si="49"/>
        <v>83.209902841063339</v>
      </c>
      <c r="CT195" s="602">
        <f t="shared" si="49"/>
        <v>84.721122999545983</v>
      </c>
      <c r="CU195" s="602">
        <f t="shared" ref="CU195:DC200" si="50">(1+CU188)*CQ195</f>
        <v>88.140199572166836</v>
      </c>
      <c r="CV195" s="602">
        <f t="shared" si="50"/>
        <v>91.060143098217978</v>
      </c>
      <c r="CW195" s="602">
        <f t="shared" si="50"/>
        <v>89.691954272382176</v>
      </c>
      <c r="CX195" s="602">
        <f t="shared" si="50"/>
        <v>91.558117625609341</v>
      </c>
      <c r="CY195" s="602">
        <f t="shared" si="50"/>
        <v>95.041577198667497</v>
      </c>
      <c r="CZ195" s="602">
        <f t="shared" si="50"/>
        <v>99.018799605002215</v>
      </c>
      <c r="DA195" s="602">
        <f t="shared" si="50"/>
        <v>97.396493144379818</v>
      </c>
      <c r="DB195" s="602">
        <f t="shared" si="50"/>
        <v>99.230687882635408</v>
      </c>
      <c r="DC195" s="602">
        <f t="shared" si="50"/>
        <v>102.77796158263902</v>
      </c>
    </row>
    <row r="196" spans="2:135">
      <c r="C196" s="612" t="s">
        <v>922</v>
      </c>
      <c r="D196">
        <v>25</v>
      </c>
      <c r="E196">
        <v>25</v>
      </c>
      <c r="F196">
        <v>25</v>
      </c>
      <c r="G196">
        <v>25</v>
      </c>
      <c r="H196" s="602">
        <f t="shared" si="40"/>
        <v>26.927499999999998</v>
      </c>
      <c r="I196" s="602">
        <f t="shared" si="40"/>
        <v>24.995000000000001</v>
      </c>
      <c r="J196" s="602">
        <f t="shared" si="40"/>
        <v>25.077500000000004</v>
      </c>
      <c r="K196" s="602">
        <f t="shared" si="40"/>
        <v>24.7925</v>
      </c>
      <c r="L196" s="602">
        <f t="shared" si="40"/>
        <v>28.7747265</v>
      </c>
      <c r="M196" s="602">
        <f t="shared" si="40"/>
        <v>24.707557500000004</v>
      </c>
      <c r="N196" s="602">
        <f t="shared" si="40"/>
        <v>25.772146750000005</v>
      </c>
      <c r="O196" s="602">
        <f t="shared" si="40"/>
        <v>24.951172</v>
      </c>
      <c r="P196" s="602">
        <f t="shared" si="40"/>
        <v>25.462755479849999</v>
      </c>
      <c r="Q196" s="602">
        <f t="shared" si="40"/>
        <v>25.399369110000006</v>
      </c>
      <c r="R196" s="602">
        <f t="shared" si="41"/>
        <v>25.836577116875002</v>
      </c>
      <c r="S196" s="602">
        <f t="shared" si="41"/>
        <v>27.633422989999996</v>
      </c>
      <c r="T196" s="602">
        <f t="shared" si="41"/>
        <v>31.632381132617652</v>
      </c>
      <c r="U196" s="602">
        <f t="shared" si="41"/>
        <v>29.669003057391006</v>
      </c>
      <c r="V196" s="602">
        <f t="shared" si="41"/>
        <v>31.176997606933067</v>
      </c>
      <c r="W196" s="602">
        <f t="shared" si="41"/>
        <v>33.428151791002996</v>
      </c>
      <c r="X196" s="602">
        <f t="shared" si="41"/>
        <v>39.423436605581379</v>
      </c>
      <c r="Y196" s="602">
        <f t="shared" si="41"/>
        <v>36.896372202171456</v>
      </c>
      <c r="Z196" s="602">
        <f t="shared" si="41"/>
        <v>38.637653134272149</v>
      </c>
      <c r="AA196" s="602">
        <f t="shared" si="41"/>
        <v>41.915559530738655</v>
      </c>
      <c r="AB196" s="602">
        <f t="shared" si="42"/>
        <v>40.886046103648447</v>
      </c>
      <c r="AC196" s="602">
        <f t="shared" si="42"/>
        <v>39.64146229401301</v>
      </c>
      <c r="AD196" s="602">
        <f t="shared" si="42"/>
        <v>38.792203746809236</v>
      </c>
      <c r="AE196" s="602">
        <f t="shared" si="42"/>
        <v>39.735950435140239</v>
      </c>
      <c r="AF196" s="602">
        <f t="shared" si="42"/>
        <v>45.02780257394803</v>
      </c>
      <c r="AG196" s="602">
        <f t="shared" si="42"/>
        <v>45.108019944357402</v>
      </c>
      <c r="AH196" s="602">
        <f t="shared" si="42"/>
        <v>47.124769111623856</v>
      </c>
      <c r="AI196" s="602">
        <f t="shared" si="42"/>
        <v>47.786453993299645</v>
      </c>
      <c r="AJ196" s="602">
        <f t="shared" si="42"/>
        <v>52.813109638983647</v>
      </c>
      <c r="AK196" s="602">
        <f t="shared" si="42"/>
        <v>49.339152215138128</v>
      </c>
      <c r="AL196" s="602">
        <f t="shared" si="43"/>
        <v>51.719434100007177</v>
      </c>
      <c r="AM196" s="602">
        <f t="shared" si="43"/>
        <v>53.974799785431948</v>
      </c>
      <c r="AN196" s="602">
        <f t="shared" si="43"/>
        <v>59.103150996986599</v>
      </c>
      <c r="AO196" s="602">
        <f t="shared" si="43"/>
        <v>57.820552480920369</v>
      </c>
      <c r="AP196" s="602">
        <f t="shared" si="43"/>
        <v>58.970498760828185</v>
      </c>
      <c r="AQ196" s="602">
        <f t="shared" si="43"/>
        <v>54.660279742706933</v>
      </c>
      <c r="AR196" s="602">
        <f t="shared" si="43"/>
        <v>55.840657061952939</v>
      </c>
      <c r="AS196" s="602">
        <f t="shared" si="43"/>
        <v>54.993127464603369</v>
      </c>
      <c r="AT196" s="602">
        <f t="shared" si="43"/>
        <v>57.000884102216524</v>
      </c>
      <c r="AU196" s="602">
        <f t="shared" si="43"/>
        <v>58.393576849133815</v>
      </c>
      <c r="AV196" s="602">
        <f t="shared" si="44"/>
        <v>57.370691065450451</v>
      </c>
      <c r="AW196" s="602">
        <f t="shared" si="44"/>
        <v>50.703663522364309</v>
      </c>
      <c r="AX196" s="602">
        <f t="shared" si="44"/>
        <v>51.238094719482433</v>
      </c>
      <c r="AY196" s="602">
        <f t="shared" si="44"/>
        <v>53.389247313163047</v>
      </c>
      <c r="AZ196" s="602">
        <f t="shared" si="44"/>
        <v>62.69469119632425</v>
      </c>
      <c r="BA196" s="602">
        <f t="shared" si="44"/>
        <v>61.386925426526474</v>
      </c>
      <c r="BB196" s="602">
        <f t="shared" si="44"/>
        <v>61.193656523477863</v>
      </c>
      <c r="BC196" s="602">
        <f t="shared" si="44"/>
        <v>62.1504227972531</v>
      </c>
      <c r="BD196" s="602">
        <f t="shared" si="44"/>
        <v>63.102206689100356</v>
      </c>
      <c r="BE196" s="602">
        <f t="shared" si="44"/>
        <v>56.819738174792903</v>
      </c>
      <c r="BF196" s="602">
        <f t="shared" si="45"/>
        <v>56.542938627693545</v>
      </c>
      <c r="BG196" s="602">
        <f t="shared" si="45"/>
        <v>60.031093379866768</v>
      </c>
      <c r="BH196" s="602">
        <f t="shared" si="45"/>
        <v>64.913240021077527</v>
      </c>
      <c r="BI196" s="602">
        <f t="shared" si="45"/>
        <v>63.365372012529043</v>
      </c>
      <c r="BJ196" s="602">
        <f t="shared" si="45"/>
        <v>66.31921271642176</v>
      </c>
      <c r="BK196" s="602">
        <f t="shared" si="45"/>
        <v>69.083782261550681</v>
      </c>
      <c r="BL196" s="602">
        <f t="shared" si="45"/>
        <v>76.402883504808258</v>
      </c>
      <c r="BM196" s="602">
        <f t="shared" si="45"/>
        <v>77.039619292832811</v>
      </c>
      <c r="BN196" s="602">
        <f t="shared" si="45"/>
        <v>78.369413666995598</v>
      </c>
      <c r="BO196" s="602">
        <f t="shared" si="45"/>
        <v>73.539686217420694</v>
      </c>
      <c r="BP196" s="602">
        <f t="shared" si="46"/>
        <v>69.222906636458106</v>
      </c>
      <c r="BQ196" s="602">
        <f t="shared" si="47"/>
        <v>64.620832662828164</v>
      </c>
      <c r="BR196" s="602">
        <f t="shared" si="47"/>
        <v>66.512121379179163</v>
      </c>
      <c r="BS196" s="602">
        <f t="shared" si="47"/>
        <v>67.605033539674849</v>
      </c>
      <c r="BT196" s="602">
        <f t="shared" si="47"/>
        <v>71.541874008779459</v>
      </c>
      <c r="BU196" s="602">
        <f t="shared" si="47"/>
        <v>72.15562175131393</v>
      </c>
      <c r="BV196" s="602">
        <f t="shared" si="47"/>
        <v>70.0572174486894</v>
      </c>
      <c r="BW196" s="602">
        <f t="shared" si="47"/>
        <v>69.193751827857213</v>
      </c>
      <c r="BX196" s="602">
        <f t="shared" si="47"/>
        <v>73.373345983404221</v>
      </c>
      <c r="BY196" s="602">
        <f t="shared" si="47"/>
        <v>75.893282958032003</v>
      </c>
      <c r="BZ196" s="602">
        <f t="shared" si="47"/>
        <v>83.620294746755661</v>
      </c>
      <c r="CA196" s="602">
        <f t="shared" si="48"/>
        <v>86.29844727970351</v>
      </c>
      <c r="CB196" s="602">
        <f t="shared" si="48"/>
        <v>90.13915554061208</v>
      </c>
      <c r="CC196" s="602">
        <f t="shared" si="48"/>
        <v>88.802730389193258</v>
      </c>
      <c r="CD196" s="602">
        <f t="shared" si="48"/>
        <v>86.388126502873263</v>
      </c>
      <c r="CE196" s="602">
        <f t="shared" si="48"/>
        <v>86.669530603006237</v>
      </c>
      <c r="CF196" s="602">
        <f t="shared" si="48"/>
        <v>86.632742390082271</v>
      </c>
      <c r="CG196" s="602">
        <f t="shared" si="48"/>
        <v>82.861827726156235</v>
      </c>
      <c r="CH196" s="602">
        <f t="shared" si="48"/>
        <v>82.811658065654314</v>
      </c>
      <c r="CI196" s="602">
        <f t="shared" si="48"/>
        <v>82.778068678931248</v>
      </c>
      <c r="CJ196" s="602">
        <f t="shared" si="48"/>
        <v>82.673626062855519</v>
      </c>
      <c r="CK196" s="602">
        <f t="shared" si="49"/>
        <v>72.918408399017494</v>
      </c>
      <c r="CL196" s="602">
        <f t="shared" si="49"/>
        <v>72.278015159703088</v>
      </c>
      <c r="CM196" s="602">
        <f t="shared" si="49"/>
        <v>73.62281428304145</v>
      </c>
      <c r="CN196" s="602">
        <f t="shared" si="49"/>
        <v>75.762110924000794</v>
      </c>
      <c r="CO196" s="602">
        <f t="shared" si="49"/>
        <v>73.713219050566778</v>
      </c>
      <c r="CP196" s="602">
        <f t="shared" si="49"/>
        <v>74.504178026621943</v>
      </c>
      <c r="CQ196" s="602">
        <f t="shared" si="49"/>
        <v>76.50146632150836</v>
      </c>
      <c r="CR196" s="602">
        <f t="shared" si="49"/>
        <v>79.186558337765618</v>
      </c>
      <c r="CS196" s="602">
        <f t="shared" si="49"/>
        <v>77.502078509765909</v>
      </c>
      <c r="CT196" s="602">
        <f t="shared" si="49"/>
        <v>79.063833721851196</v>
      </c>
      <c r="CU196" s="602">
        <f t="shared" si="50"/>
        <v>81.741816764531677</v>
      </c>
      <c r="CV196" s="602">
        <f t="shared" si="50"/>
        <v>84.499976402229692</v>
      </c>
      <c r="CW196" s="602">
        <f t="shared" si="50"/>
        <v>82.748969224877072</v>
      </c>
      <c r="CX196" s="602">
        <f t="shared" si="50"/>
        <v>84.463893565053638</v>
      </c>
      <c r="CY196" s="602">
        <f t="shared" si="50"/>
        <v>87.21851848775529</v>
      </c>
      <c r="CZ196" s="602">
        <f t="shared" si="50"/>
        <v>90.617774693751116</v>
      </c>
      <c r="DA196" s="602">
        <f t="shared" si="50"/>
        <v>88.706895009068234</v>
      </c>
      <c r="DB196" s="602">
        <f t="shared" si="50"/>
        <v>90.545293901737509</v>
      </c>
      <c r="DC196" s="602">
        <f t="shared" si="50"/>
        <v>93.489529967024907</v>
      </c>
    </row>
    <row r="197" spans="2:135">
      <c r="C197" s="612" t="s">
        <v>923</v>
      </c>
      <c r="D197">
        <v>25</v>
      </c>
      <c r="E197">
        <v>25</v>
      </c>
      <c r="F197">
        <v>25</v>
      </c>
      <c r="G197">
        <v>25</v>
      </c>
      <c r="H197" s="602">
        <f t="shared" si="40"/>
        <v>26.927499999999998</v>
      </c>
      <c r="I197" s="602">
        <f t="shared" si="40"/>
        <v>24.995000000000001</v>
      </c>
      <c r="J197" s="602">
        <f t="shared" si="40"/>
        <v>25.077500000000004</v>
      </c>
      <c r="K197" s="602">
        <f t="shared" si="40"/>
        <v>24.7925</v>
      </c>
      <c r="L197" s="602">
        <f t="shared" si="40"/>
        <v>28.7747265</v>
      </c>
      <c r="M197" s="602">
        <f t="shared" si="40"/>
        <v>24.707557500000004</v>
      </c>
      <c r="N197" s="602">
        <f t="shared" si="40"/>
        <v>25.772146750000005</v>
      </c>
      <c r="O197" s="602">
        <f t="shared" si="40"/>
        <v>24.951172</v>
      </c>
      <c r="P197" s="602">
        <f t="shared" si="40"/>
        <v>25.462755479849999</v>
      </c>
      <c r="Q197" s="602">
        <f t="shared" si="40"/>
        <v>25.399369110000006</v>
      </c>
      <c r="R197" s="602">
        <f t="shared" si="41"/>
        <v>25.836577116875002</v>
      </c>
      <c r="S197" s="602">
        <f t="shared" si="41"/>
        <v>27.633422989999996</v>
      </c>
      <c r="T197" s="602">
        <f t="shared" si="41"/>
        <v>31.632381132617652</v>
      </c>
      <c r="U197" s="602">
        <f t="shared" si="41"/>
        <v>29.669003057391006</v>
      </c>
      <c r="V197" s="602">
        <f t="shared" si="41"/>
        <v>31.176997606933067</v>
      </c>
      <c r="W197" s="602">
        <f t="shared" si="41"/>
        <v>33.428151791002996</v>
      </c>
      <c r="X197" s="602">
        <f t="shared" si="41"/>
        <v>39.423436605581379</v>
      </c>
      <c r="Y197" s="602">
        <f t="shared" si="41"/>
        <v>36.896372202171456</v>
      </c>
      <c r="Z197" s="602">
        <f t="shared" si="41"/>
        <v>38.637653134272149</v>
      </c>
      <c r="AA197" s="602">
        <f t="shared" si="41"/>
        <v>41.915559530738655</v>
      </c>
      <c r="AB197" s="602">
        <f t="shared" si="42"/>
        <v>40.886046103648447</v>
      </c>
      <c r="AC197" s="602">
        <f t="shared" si="42"/>
        <v>39.64146229401301</v>
      </c>
      <c r="AD197" s="602">
        <f t="shared" si="42"/>
        <v>38.792203746809236</v>
      </c>
      <c r="AE197" s="602">
        <f t="shared" si="42"/>
        <v>39.735950435140239</v>
      </c>
      <c r="AF197" s="602">
        <f t="shared" si="42"/>
        <v>45.02780257394803</v>
      </c>
      <c r="AG197" s="602">
        <f t="shared" si="42"/>
        <v>45.108019944357402</v>
      </c>
      <c r="AH197" s="602">
        <f t="shared" si="42"/>
        <v>47.124769111623856</v>
      </c>
      <c r="AI197" s="602">
        <f t="shared" si="42"/>
        <v>47.786453993299645</v>
      </c>
      <c r="AJ197" s="602">
        <f t="shared" si="42"/>
        <v>52.813109638983647</v>
      </c>
      <c r="AK197" s="602">
        <f t="shared" si="42"/>
        <v>49.339152215138128</v>
      </c>
      <c r="AL197" s="602">
        <f t="shared" si="43"/>
        <v>51.719434100007177</v>
      </c>
      <c r="AM197" s="602">
        <f t="shared" si="43"/>
        <v>53.974799785431948</v>
      </c>
      <c r="AN197" s="602">
        <f t="shared" si="43"/>
        <v>59.103150996986599</v>
      </c>
      <c r="AO197" s="602">
        <f t="shared" si="43"/>
        <v>57.820552480920369</v>
      </c>
      <c r="AP197" s="602">
        <f t="shared" si="43"/>
        <v>58.970498760828185</v>
      </c>
      <c r="AQ197" s="602">
        <f t="shared" si="43"/>
        <v>54.660279742706933</v>
      </c>
      <c r="AR197" s="602">
        <f t="shared" si="43"/>
        <v>55.840657061952939</v>
      </c>
      <c r="AS197" s="602">
        <f t="shared" si="43"/>
        <v>54.993127464603369</v>
      </c>
      <c r="AT197" s="602">
        <f t="shared" si="43"/>
        <v>57.000884102216524</v>
      </c>
      <c r="AU197" s="602">
        <f t="shared" si="43"/>
        <v>58.393576849133815</v>
      </c>
      <c r="AV197" s="602">
        <f t="shared" si="44"/>
        <v>57.370691065450451</v>
      </c>
      <c r="AW197" s="602">
        <f t="shared" si="44"/>
        <v>50.703663522364309</v>
      </c>
      <c r="AX197" s="602">
        <f t="shared" si="44"/>
        <v>51.238094719482433</v>
      </c>
      <c r="AY197" s="602">
        <f t="shared" si="44"/>
        <v>53.389247313163047</v>
      </c>
      <c r="AZ197" s="602">
        <f t="shared" si="44"/>
        <v>62.69469119632425</v>
      </c>
      <c r="BA197" s="602">
        <f t="shared" si="44"/>
        <v>61.386925426526474</v>
      </c>
      <c r="BB197" s="602">
        <f t="shared" si="44"/>
        <v>61.193656523477863</v>
      </c>
      <c r="BC197" s="602">
        <f t="shared" si="44"/>
        <v>62.1504227972531</v>
      </c>
      <c r="BD197" s="602">
        <f t="shared" si="44"/>
        <v>63.102206689100356</v>
      </c>
      <c r="BE197" s="602">
        <f t="shared" si="44"/>
        <v>56.819738174792903</v>
      </c>
      <c r="BF197" s="602">
        <f t="shared" si="45"/>
        <v>56.542938627693545</v>
      </c>
      <c r="BG197" s="602">
        <f t="shared" si="45"/>
        <v>60.031093379866768</v>
      </c>
      <c r="BH197" s="602">
        <f t="shared" si="45"/>
        <v>64.913240021077527</v>
      </c>
      <c r="BI197" s="602">
        <f t="shared" si="45"/>
        <v>63.365372012529043</v>
      </c>
      <c r="BJ197" s="602">
        <f t="shared" si="45"/>
        <v>66.31921271642176</v>
      </c>
      <c r="BK197" s="602">
        <f t="shared" si="45"/>
        <v>69.083782261550681</v>
      </c>
      <c r="BL197" s="602">
        <f t="shared" si="45"/>
        <v>76.402883504808258</v>
      </c>
      <c r="BM197" s="602">
        <f t="shared" si="45"/>
        <v>77.039619292832811</v>
      </c>
      <c r="BN197" s="602">
        <f t="shared" si="45"/>
        <v>78.369413666995598</v>
      </c>
      <c r="BO197" s="602">
        <f t="shared" si="45"/>
        <v>73.539686217420694</v>
      </c>
      <c r="BP197" s="602">
        <f t="shared" si="46"/>
        <v>69.222906636458106</v>
      </c>
      <c r="BQ197" s="602">
        <f t="shared" si="47"/>
        <v>64.620832662828164</v>
      </c>
      <c r="BR197" s="602">
        <f t="shared" si="47"/>
        <v>66.512121379179163</v>
      </c>
      <c r="BS197" s="602">
        <f t="shared" si="47"/>
        <v>67.605033539674849</v>
      </c>
      <c r="BT197" s="602">
        <f t="shared" si="47"/>
        <v>71.541874008779459</v>
      </c>
      <c r="BU197" s="602">
        <f t="shared" si="47"/>
        <v>72.15562175131393</v>
      </c>
      <c r="BV197" s="602">
        <f t="shared" si="47"/>
        <v>70.0572174486894</v>
      </c>
      <c r="BW197" s="602">
        <f t="shared" si="47"/>
        <v>69.193751827857213</v>
      </c>
      <c r="BX197" s="602">
        <f t="shared" si="47"/>
        <v>73.373345983404221</v>
      </c>
      <c r="BY197" s="602">
        <f t="shared" si="47"/>
        <v>75.893282958032003</v>
      </c>
      <c r="BZ197" s="602">
        <f t="shared" si="47"/>
        <v>83.620294746755661</v>
      </c>
      <c r="CA197" s="602">
        <f t="shared" si="48"/>
        <v>86.29844727970351</v>
      </c>
      <c r="CB197" s="602">
        <f t="shared" si="48"/>
        <v>90.13915554061208</v>
      </c>
      <c r="CC197" s="602">
        <f t="shared" si="48"/>
        <v>88.802730389193258</v>
      </c>
      <c r="CD197" s="602">
        <f t="shared" si="48"/>
        <v>86.388126502873263</v>
      </c>
      <c r="CE197" s="602">
        <f t="shared" si="48"/>
        <v>86.669530603006237</v>
      </c>
      <c r="CF197" s="602">
        <f t="shared" si="48"/>
        <v>86.632742390082271</v>
      </c>
      <c r="CG197" s="602">
        <f t="shared" si="48"/>
        <v>82.861827726156235</v>
      </c>
      <c r="CH197" s="602">
        <f t="shared" si="48"/>
        <v>82.811658065654314</v>
      </c>
      <c r="CI197" s="602">
        <f t="shared" si="48"/>
        <v>82.778068678931248</v>
      </c>
      <c r="CJ197" s="602">
        <f t="shared" si="48"/>
        <v>82.881544644591713</v>
      </c>
      <c r="CK197" s="602">
        <f t="shared" si="49"/>
        <v>74.418207480860914</v>
      </c>
      <c r="CL197" s="602">
        <f t="shared" si="49"/>
        <v>76.236412415241361</v>
      </c>
      <c r="CM197" s="602">
        <f t="shared" si="49"/>
        <v>79.019944360907772</v>
      </c>
      <c r="CN197" s="602">
        <f t="shared" si="49"/>
        <v>81.920118726714449</v>
      </c>
      <c r="CO197" s="602">
        <f t="shared" si="49"/>
        <v>80.349338617085522</v>
      </c>
      <c r="CP197" s="602">
        <f t="shared" si="49"/>
        <v>81.79404688031245</v>
      </c>
      <c r="CQ197" s="602">
        <f t="shared" si="49"/>
        <v>84.598752432787862</v>
      </c>
      <c r="CR197" s="602">
        <f t="shared" si="49"/>
        <v>88.023167571854671</v>
      </c>
      <c r="CS197" s="602">
        <f t="shared" si="49"/>
        <v>86.391608881090349</v>
      </c>
      <c r="CT197" s="602">
        <f t="shared" si="49"/>
        <v>88.337570630737446</v>
      </c>
      <c r="CU197" s="602">
        <f t="shared" si="50"/>
        <v>91.485090880816784</v>
      </c>
      <c r="CV197" s="602">
        <f t="shared" si="50"/>
        <v>94.712928307315636</v>
      </c>
      <c r="CW197" s="602">
        <f t="shared" si="50"/>
        <v>92.888257868948344</v>
      </c>
      <c r="CX197" s="602">
        <f t="shared" si="50"/>
        <v>94.909885885664309</v>
      </c>
      <c r="CY197" s="602">
        <f t="shared" si="50"/>
        <v>98.053720406059441</v>
      </c>
      <c r="CZ197" s="602">
        <f t="shared" si="50"/>
        <v>101.95846732282529</v>
      </c>
      <c r="DA197" s="602">
        <f t="shared" si="50"/>
        <v>99.901321338053933</v>
      </c>
      <c r="DB197" s="602">
        <f t="shared" si="50"/>
        <v>102.01863633850056</v>
      </c>
      <c r="DC197" s="602">
        <f t="shared" si="50"/>
        <v>105.32930646018906</v>
      </c>
    </row>
    <row r="198" spans="2:135">
      <c r="B198" s="612" t="s">
        <v>924</v>
      </c>
      <c r="C198" s="612" t="s">
        <v>921</v>
      </c>
      <c r="D198">
        <v>25</v>
      </c>
      <c r="E198">
        <v>25</v>
      </c>
      <c r="F198">
        <v>25</v>
      </c>
      <c r="G198">
        <v>25</v>
      </c>
      <c r="H198" s="602">
        <f t="shared" si="40"/>
        <v>18.43</v>
      </c>
      <c r="I198" s="602">
        <f t="shared" si="40"/>
        <v>18.614999999999998</v>
      </c>
      <c r="J198" s="602">
        <f t="shared" si="40"/>
        <v>20.197499999999998</v>
      </c>
      <c r="K198" s="602">
        <f t="shared" si="40"/>
        <v>23.547499999999999</v>
      </c>
      <c r="L198" s="602">
        <f t="shared" si="40"/>
        <v>19.943103000000001</v>
      </c>
      <c r="M198" s="602">
        <f t="shared" si="40"/>
        <v>22.0569135</v>
      </c>
      <c r="N198" s="602">
        <f t="shared" si="40"/>
        <v>24.665187</v>
      </c>
      <c r="O198" s="602">
        <f t="shared" si="40"/>
        <v>27.604734249999996</v>
      </c>
      <c r="P198" s="602">
        <f t="shared" si="40"/>
        <v>21.277296590700001</v>
      </c>
      <c r="Q198" s="602">
        <f t="shared" si="40"/>
        <v>21.309184132349998</v>
      </c>
      <c r="R198" s="602">
        <f t="shared" si="41"/>
        <v>21.932284280400001</v>
      </c>
      <c r="S198" s="602">
        <f t="shared" si="41"/>
        <v>23.913981280774998</v>
      </c>
      <c r="T198" s="602">
        <f t="shared" si="41"/>
        <v>18.943177154700209</v>
      </c>
      <c r="U198" s="602">
        <f t="shared" si="41"/>
        <v>20.753014426495664</v>
      </c>
      <c r="V198" s="602">
        <f t="shared" si="41"/>
        <v>21.780951518865241</v>
      </c>
      <c r="W198" s="602">
        <f t="shared" si="41"/>
        <v>23.51940058964221</v>
      </c>
      <c r="X198" s="602">
        <f t="shared" si="41"/>
        <v>18.268800047992883</v>
      </c>
      <c r="Y198" s="602">
        <f t="shared" si="41"/>
        <v>19.375014268576351</v>
      </c>
      <c r="Z198" s="602">
        <f t="shared" si="41"/>
        <v>21.171084876337012</v>
      </c>
      <c r="AA198" s="602">
        <f t="shared" si="41"/>
        <v>24.022715762260557</v>
      </c>
      <c r="AB198" s="602">
        <f t="shared" si="42"/>
        <v>20.223561653128122</v>
      </c>
      <c r="AC198" s="602">
        <f t="shared" si="42"/>
        <v>23.191892079485893</v>
      </c>
      <c r="AD198" s="602">
        <f t="shared" si="42"/>
        <v>23.724317712423257</v>
      </c>
      <c r="AE198" s="602">
        <f t="shared" si="42"/>
        <v>27.359470981638548</v>
      </c>
      <c r="AF198" s="602">
        <f t="shared" si="42"/>
        <v>22.389505106178145</v>
      </c>
      <c r="AG198" s="602">
        <f t="shared" si="42"/>
        <v>23.959543707316875</v>
      </c>
      <c r="AH198" s="602">
        <f t="shared" si="42"/>
        <v>25.425351292404006</v>
      </c>
      <c r="AI198" s="602">
        <f t="shared" si="42"/>
        <v>29.375863992985312</v>
      </c>
      <c r="AJ198" s="602">
        <f t="shared" si="42"/>
        <v>24.375454209096148</v>
      </c>
      <c r="AK198" s="602">
        <f t="shared" si="42"/>
        <v>28.157255764838791</v>
      </c>
      <c r="AL198" s="602">
        <f t="shared" si="43"/>
        <v>33.027531328832801</v>
      </c>
      <c r="AM198" s="602">
        <f t="shared" si="43"/>
        <v>38.200373536478104</v>
      </c>
      <c r="AN198" s="602">
        <f t="shared" si="43"/>
        <v>29.828243315670957</v>
      </c>
      <c r="AO198" s="602">
        <f t="shared" si="43"/>
        <v>32.732809826625093</v>
      </c>
      <c r="AP198" s="602">
        <f t="shared" si="43"/>
        <v>30.071567274902264</v>
      </c>
      <c r="AQ198" s="602">
        <f t="shared" si="43"/>
        <v>30.296716251780786</v>
      </c>
      <c r="AR198" s="602">
        <f t="shared" si="43"/>
        <v>27.93414986512585</v>
      </c>
      <c r="AS198" s="602">
        <f t="shared" si="43"/>
        <v>28.271327847256092</v>
      </c>
      <c r="AT198" s="602">
        <f t="shared" si="43"/>
        <v>29.151377316290258</v>
      </c>
      <c r="AU198" s="602">
        <f t="shared" si="43"/>
        <v>32.778017312801637</v>
      </c>
      <c r="AV198" s="602">
        <f t="shared" si="44"/>
        <v>26.246927213272247</v>
      </c>
      <c r="AW198" s="602">
        <f t="shared" si="44"/>
        <v>27.821813734484721</v>
      </c>
      <c r="AX198" s="602">
        <f t="shared" si="44"/>
        <v>30.256214516577661</v>
      </c>
      <c r="AY198" s="602">
        <f t="shared" si="44"/>
        <v>32.486292958717705</v>
      </c>
      <c r="AZ198" s="602">
        <f t="shared" si="44"/>
        <v>24.288906443162137</v>
      </c>
      <c r="BA198" s="602">
        <f t="shared" si="44"/>
        <v>26.046782018224597</v>
      </c>
      <c r="BB198" s="602">
        <f t="shared" si="44"/>
        <v>28.891659241880006</v>
      </c>
      <c r="BC198" s="602">
        <f t="shared" si="44"/>
        <v>34.792819758786663</v>
      </c>
      <c r="BD198" s="602">
        <f t="shared" si="44"/>
        <v>29.979797222795025</v>
      </c>
      <c r="BE198" s="602">
        <f t="shared" si="44"/>
        <v>33.699326575178986</v>
      </c>
      <c r="BF198" s="602">
        <f t="shared" si="45"/>
        <v>37.778733624682296</v>
      </c>
      <c r="BG198" s="602">
        <f t="shared" si="45"/>
        <v>42.847357532945779</v>
      </c>
      <c r="BH198" s="602">
        <f t="shared" si="45"/>
        <v>33.403490065638216</v>
      </c>
      <c r="BI198" s="602">
        <f t="shared" si="45"/>
        <v>37.140027818504763</v>
      </c>
      <c r="BJ198" s="602">
        <f t="shared" si="45"/>
        <v>38.300080148702911</v>
      </c>
      <c r="BK198" s="602">
        <f t="shared" si="45"/>
        <v>43.580047346759144</v>
      </c>
      <c r="BL198" s="602">
        <f t="shared" si="45"/>
        <v>36.065748223869576</v>
      </c>
      <c r="BM198" s="602">
        <f t="shared" si="45"/>
        <v>39.918101899328917</v>
      </c>
      <c r="BN198" s="602">
        <f t="shared" si="45"/>
        <v>42.785019534116024</v>
      </c>
      <c r="BO198" s="602">
        <f t="shared" si="45"/>
        <v>48.404358588045383</v>
      </c>
      <c r="BP198" s="602">
        <f t="shared" si="46"/>
        <v>53.022134397344907</v>
      </c>
      <c r="BQ198" s="602">
        <f t="shared" si="47"/>
        <v>42.712369032281941</v>
      </c>
      <c r="BR198" s="602">
        <f t="shared" si="47"/>
        <v>43.431073329081173</v>
      </c>
      <c r="BS198" s="602">
        <f t="shared" si="47"/>
        <v>46.656961243016944</v>
      </c>
      <c r="BT198" s="602">
        <f t="shared" si="47"/>
        <v>47.836569653284577</v>
      </c>
      <c r="BU198" s="602">
        <f t="shared" si="47"/>
        <v>37.356237955633787</v>
      </c>
      <c r="BV198" s="602">
        <f t="shared" si="47"/>
        <v>39.630854412786569</v>
      </c>
      <c r="BW198" s="602">
        <f t="shared" si="47"/>
        <v>43.885537745181736</v>
      </c>
      <c r="BX198" s="602">
        <f t="shared" si="47"/>
        <v>46.655006382848448</v>
      </c>
      <c r="BY198" s="602">
        <f t="shared" si="47"/>
        <v>36.265435807329283</v>
      </c>
      <c r="BZ198" s="602">
        <f t="shared" si="47"/>
        <v>40.177760203683022</v>
      </c>
      <c r="CA198" s="602">
        <f t="shared" si="48"/>
        <v>42.963941452532922</v>
      </c>
      <c r="CB198" s="602">
        <f t="shared" si="48"/>
        <v>45.936519284552581</v>
      </c>
      <c r="CC198" s="602">
        <f t="shared" si="48"/>
        <v>36.501161140076924</v>
      </c>
      <c r="CD198" s="602">
        <f t="shared" si="48"/>
        <v>41.75272840366739</v>
      </c>
      <c r="CE198" s="602">
        <f t="shared" si="48"/>
        <v>47.247446415350453</v>
      </c>
      <c r="CF198" s="602">
        <f t="shared" si="48"/>
        <v>51.177876134920034</v>
      </c>
      <c r="CG198" s="602">
        <f t="shared" si="48"/>
        <v>38.42477233215898</v>
      </c>
      <c r="CH198" s="602">
        <f t="shared" si="48"/>
        <v>40.283032363858297</v>
      </c>
      <c r="CI198" s="602">
        <f t="shared" si="48"/>
        <v>45.069339135602796</v>
      </c>
      <c r="CJ198" s="602">
        <f t="shared" si="48"/>
        <v>42.78470444879315</v>
      </c>
      <c r="CK198" s="602">
        <f t="shared" si="49"/>
        <v>32.176904350949926</v>
      </c>
      <c r="CL198" s="602">
        <f t="shared" si="49"/>
        <v>35.666596854960133</v>
      </c>
      <c r="CM198" s="602">
        <f t="shared" si="49"/>
        <v>42.39222039094799</v>
      </c>
      <c r="CN198" s="602">
        <f t="shared" si="49"/>
        <v>46.708061846747476</v>
      </c>
      <c r="CO198" s="602">
        <f t="shared" si="49"/>
        <v>37.679154994962367</v>
      </c>
      <c r="CP198" s="602">
        <f t="shared" si="49"/>
        <v>40.49942072880723</v>
      </c>
      <c r="CQ198" s="602">
        <f t="shared" si="49"/>
        <v>45.168910826555091</v>
      </c>
      <c r="CR198" s="602">
        <f t="shared" si="49"/>
        <v>49.09484380711627</v>
      </c>
      <c r="CS198" s="602">
        <f t="shared" si="49"/>
        <v>39.811795167677239</v>
      </c>
      <c r="CT198" s="602">
        <f t="shared" si="49"/>
        <v>42.945585740827184</v>
      </c>
      <c r="CU198" s="602">
        <f t="shared" si="50"/>
        <v>48.235879871678186</v>
      </c>
      <c r="CV198" s="602">
        <f t="shared" si="50"/>
        <v>52.502025967330134</v>
      </c>
      <c r="CW198" s="602">
        <f t="shared" si="50"/>
        <v>42.479185443911611</v>
      </c>
      <c r="CX198" s="602">
        <f t="shared" si="50"/>
        <v>45.638273966777049</v>
      </c>
      <c r="CY198" s="602">
        <f t="shared" si="50"/>
        <v>50.903324028581984</v>
      </c>
      <c r="CZ198" s="602">
        <f t="shared" si="50"/>
        <v>55.085125644922769</v>
      </c>
      <c r="DA198" s="602">
        <f t="shared" si="50"/>
        <v>44.310038336544196</v>
      </c>
      <c r="DB198" s="602">
        <f t="shared" si="50"/>
        <v>47.445549615861424</v>
      </c>
      <c r="DC198" s="602">
        <f t="shared" si="50"/>
        <v>52.822379344459527</v>
      </c>
    </row>
    <row r="199" spans="2:135">
      <c r="C199" s="612" t="s">
        <v>922</v>
      </c>
      <c r="D199">
        <v>25</v>
      </c>
      <c r="E199">
        <v>25</v>
      </c>
      <c r="F199">
        <v>25</v>
      </c>
      <c r="G199">
        <v>25</v>
      </c>
      <c r="H199" s="602">
        <f t="shared" si="40"/>
        <v>18.43</v>
      </c>
      <c r="I199" s="602">
        <f t="shared" si="40"/>
        <v>18.614999999999998</v>
      </c>
      <c r="J199" s="602">
        <f t="shared" si="40"/>
        <v>20.197499999999998</v>
      </c>
      <c r="K199" s="602">
        <f t="shared" si="40"/>
        <v>23.547499999999999</v>
      </c>
      <c r="L199" s="602">
        <f t="shared" si="40"/>
        <v>19.943103000000001</v>
      </c>
      <c r="M199" s="602">
        <f t="shared" si="40"/>
        <v>22.0569135</v>
      </c>
      <c r="N199" s="602">
        <f t="shared" si="40"/>
        <v>24.665187</v>
      </c>
      <c r="O199" s="602">
        <f t="shared" si="40"/>
        <v>27.604734249999996</v>
      </c>
      <c r="P199" s="602">
        <f t="shared" si="40"/>
        <v>21.277296590700001</v>
      </c>
      <c r="Q199" s="602">
        <f t="shared" si="40"/>
        <v>21.309184132349998</v>
      </c>
      <c r="R199" s="602">
        <f t="shared" si="41"/>
        <v>21.932284280400001</v>
      </c>
      <c r="S199" s="602">
        <f t="shared" si="41"/>
        <v>23.913981280774998</v>
      </c>
      <c r="T199" s="602">
        <f t="shared" si="41"/>
        <v>18.943177154700209</v>
      </c>
      <c r="U199" s="602">
        <f t="shared" si="41"/>
        <v>20.753014426495664</v>
      </c>
      <c r="V199" s="602">
        <f t="shared" si="41"/>
        <v>21.780951518865241</v>
      </c>
      <c r="W199" s="602">
        <f t="shared" si="41"/>
        <v>23.51940058964221</v>
      </c>
      <c r="X199" s="602">
        <f t="shared" si="41"/>
        <v>18.268800047992883</v>
      </c>
      <c r="Y199" s="602">
        <f t="shared" si="41"/>
        <v>19.375014268576351</v>
      </c>
      <c r="Z199" s="602">
        <f t="shared" si="41"/>
        <v>21.171084876337012</v>
      </c>
      <c r="AA199" s="602">
        <f t="shared" si="41"/>
        <v>24.022715762260557</v>
      </c>
      <c r="AB199" s="602">
        <f t="shared" si="42"/>
        <v>20.223561653128122</v>
      </c>
      <c r="AC199" s="602">
        <f t="shared" si="42"/>
        <v>23.191892079485893</v>
      </c>
      <c r="AD199" s="602">
        <f t="shared" si="42"/>
        <v>23.724317712423257</v>
      </c>
      <c r="AE199" s="602">
        <f t="shared" si="42"/>
        <v>27.359470981638548</v>
      </c>
      <c r="AF199" s="602">
        <f t="shared" si="42"/>
        <v>22.389505106178145</v>
      </c>
      <c r="AG199" s="602">
        <f t="shared" si="42"/>
        <v>23.959543707316875</v>
      </c>
      <c r="AH199" s="602">
        <f t="shared" si="42"/>
        <v>25.425351292404006</v>
      </c>
      <c r="AI199" s="602">
        <f t="shared" si="42"/>
        <v>29.375863992985312</v>
      </c>
      <c r="AJ199" s="602">
        <f t="shared" si="42"/>
        <v>24.375454209096148</v>
      </c>
      <c r="AK199" s="602">
        <f t="shared" si="42"/>
        <v>28.157255764838791</v>
      </c>
      <c r="AL199" s="602">
        <f t="shared" si="43"/>
        <v>33.027531328832801</v>
      </c>
      <c r="AM199" s="602">
        <f t="shared" si="43"/>
        <v>38.200373536478104</v>
      </c>
      <c r="AN199" s="602">
        <f t="shared" si="43"/>
        <v>29.828243315670957</v>
      </c>
      <c r="AO199" s="602">
        <f t="shared" si="43"/>
        <v>32.732809826625093</v>
      </c>
      <c r="AP199" s="602">
        <f t="shared" si="43"/>
        <v>30.071567274902264</v>
      </c>
      <c r="AQ199" s="602">
        <f t="shared" si="43"/>
        <v>30.296716251780786</v>
      </c>
      <c r="AR199" s="602">
        <f t="shared" si="43"/>
        <v>27.93414986512585</v>
      </c>
      <c r="AS199" s="602">
        <f t="shared" si="43"/>
        <v>28.271327847256092</v>
      </c>
      <c r="AT199" s="602">
        <f t="shared" si="43"/>
        <v>29.151377316290258</v>
      </c>
      <c r="AU199" s="602">
        <f t="shared" si="43"/>
        <v>32.778017312801637</v>
      </c>
      <c r="AV199" s="602">
        <f t="shared" si="44"/>
        <v>26.246927213272247</v>
      </c>
      <c r="AW199" s="602">
        <f t="shared" si="44"/>
        <v>27.821813734484721</v>
      </c>
      <c r="AX199" s="602">
        <f t="shared" si="44"/>
        <v>30.256214516577661</v>
      </c>
      <c r="AY199" s="602">
        <f t="shared" si="44"/>
        <v>32.486292958717705</v>
      </c>
      <c r="AZ199" s="602">
        <f t="shared" si="44"/>
        <v>24.288906443162137</v>
      </c>
      <c r="BA199" s="602">
        <f t="shared" si="44"/>
        <v>26.046782018224597</v>
      </c>
      <c r="BB199" s="602">
        <f t="shared" si="44"/>
        <v>28.891659241880006</v>
      </c>
      <c r="BC199" s="602">
        <f t="shared" si="44"/>
        <v>34.792819758786663</v>
      </c>
      <c r="BD199" s="602">
        <f t="shared" si="44"/>
        <v>29.979797222795025</v>
      </c>
      <c r="BE199" s="602">
        <f t="shared" si="44"/>
        <v>33.699326575178986</v>
      </c>
      <c r="BF199" s="602">
        <f t="shared" si="45"/>
        <v>37.778733624682296</v>
      </c>
      <c r="BG199" s="602">
        <f t="shared" si="45"/>
        <v>42.847357532945779</v>
      </c>
      <c r="BH199" s="602">
        <f t="shared" si="45"/>
        <v>33.403490065638216</v>
      </c>
      <c r="BI199" s="602">
        <f t="shared" si="45"/>
        <v>37.140027818504763</v>
      </c>
      <c r="BJ199" s="602">
        <f t="shared" si="45"/>
        <v>38.300080148702911</v>
      </c>
      <c r="BK199" s="602">
        <f t="shared" si="45"/>
        <v>43.580047346759144</v>
      </c>
      <c r="BL199" s="602">
        <f t="shared" si="45"/>
        <v>36.065748223869576</v>
      </c>
      <c r="BM199" s="602">
        <f t="shared" si="45"/>
        <v>39.918101899328917</v>
      </c>
      <c r="BN199" s="602">
        <f t="shared" si="45"/>
        <v>42.785019534116024</v>
      </c>
      <c r="BO199" s="602">
        <f t="shared" si="45"/>
        <v>48.404358588045383</v>
      </c>
      <c r="BP199" s="602">
        <f t="shared" si="46"/>
        <v>53.022134397344907</v>
      </c>
      <c r="BQ199" s="602">
        <f t="shared" si="47"/>
        <v>42.712369032281941</v>
      </c>
      <c r="BR199" s="602">
        <f t="shared" si="47"/>
        <v>43.431073329081173</v>
      </c>
      <c r="BS199" s="602">
        <f t="shared" si="47"/>
        <v>46.656961243016944</v>
      </c>
      <c r="BT199" s="602">
        <f t="shared" si="47"/>
        <v>47.836569653284577</v>
      </c>
      <c r="BU199" s="602">
        <f t="shared" si="47"/>
        <v>37.356237955633787</v>
      </c>
      <c r="BV199" s="602">
        <f t="shared" si="47"/>
        <v>39.630854412786569</v>
      </c>
      <c r="BW199" s="602">
        <f t="shared" si="47"/>
        <v>43.885537745181736</v>
      </c>
      <c r="BX199" s="602">
        <f t="shared" si="47"/>
        <v>46.655006382848448</v>
      </c>
      <c r="BY199" s="602">
        <f t="shared" si="47"/>
        <v>36.265435807329283</v>
      </c>
      <c r="BZ199" s="602">
        <f t="shared" si="47"/>
        <v>40.177760203683022</v>
      </c>
      <c r="CA199" s="602">
        <f t="shared" si="48"/>
        <v>42.963941452532922</v>
      </c>
      <c r="CB199" s="602">
        <f t="shared" si="48"/>
        <v>45.936519284552581</v>
      </c>
      <c r="CC199" s="602">
        <f t="shared" si="48"/>
        <v>36.501161140076924</v>
      </c>
      <c r="CD199" s="602">
        <f t="shared" si="48"/>
        <v>41.75272840366739</v>
      </c>
      <c r="CE199" s="602">
        <f t="shared" si="48"/>
        <v>47.247446415350453</v>
      </c>
      <c r="CF199" s="602">
        <f t="shared" si="48"/>
        <v>51.177876134920034</v>
      </c>
      <c r="CG199" s="602">
        <f t="shared" si="48"/>
        <v>38.42477233215898</v>
      </c>
      <c r="CH199" s="602">
        <f t="shared" si="48"/>
        <v>40.283032363858297</v>
      </c>
      <c r="CI199" s="602">
        <f t="shared" si="48"/>
        <v>45.069339135602796</v>
      </c>
      <c r="CJ199" s="602">
        <f t="shared" si="48"/>
        <v>43.050829404694731</v>
      </c>
      <c r="CK199" s="602">
        <f t="shared" si="49"/>
        <v>32.614946755536543</v>
      </c>
      <c r="CL199" s="602">
        <f t="shared" si="49"/>
        <v>36.186247972453906</v>
      </c>
      <c r="CM199" s="602">
        <f t="shared" si="49"/>
        <v>43.361211182363448</v>
      </c>
      <c r="CN199" s="602">
        <f t="shared" si="49"/>
        <v>47.472149584556881</v>
      </c>
      <c r="CO199" s="602">
        <f t="shared" si="49"/>
        <v>37.892045140582354</v>
      </c>
      <c r="CP199" s="602">
        <f t="shared" si="49"/>
        <v>40.058176505506474</v>
      </c>
      <c r="CQ199" s="602">
        <f t="shared" si="49"/>
        <v>43.89455407990652</v>
      </c>
      <c r="CR199" s="602">
        <f t="shared" si="49"/>
        <v>46.750572910871618</v>
      </c>
      <c r="CS199" s="602">
        <f t="shared" si="49"/>
        <v>37.100101397144179</v>
      </c>
      <c r="CT199" s="602">
        <f t="shared" si="49"/>
        <v>39.377187504912861</v>
      </c>
      <c r="CU199" s="602">
        <f t="shared" si="50"/>
        <v>43.547787102675258</v>
      </c>
      <c r="CV199" s="602">
        <f t="shared" si="50"/>
        <v>46.867449343148792</v>
      </c>
      <c r="CW199" s="602">
        <f t="shared" si="50"/>
        <v>37.50820251251276</v>
      </c>
      <c r="CX199" s="602">
        <f t="shared" si="50"/>
        <v>40.003284786240975</v>
      </c>
      <c r="CY199" s="602">
        <f t="shared" si="50"/>
        <v>44.34035682794395</v>
      </c>
      <c r="CZ199" s="602">
        <f t="shared" si="50"/>
        <v>47.7204369211941</v>
      </c>
      <c r="DA199" s="602">
        <f t="shared" si="50"/>
        <v>38.198353438742991</v>
      </c>
      <c r="DB199" s="602">
        <f t="shared" si="50"/>
        <v>40.783348839572675</v>
      </c>
      <c r="DC199" s="602">
        <f t="shared" si="50"/>
        <v>45.293674499744746</v>
      </c>
    </row>
    <row r="200" spans="2:135">
      <c r="C200" s="612" t="s">
        <v>923</v>
      </c>
      <c r="D200">
        <v>25</v>
      </c>
      <c r="E200">
        <v>25</v>
      </c>
      <c r="F200">
        <v>25</v>
      </c>
      <c r="G200">
        <v>25</v>
      </c>
      <c r="H200" s="602">
        <f t="shared" si="40"/>
        <v>18.43</v>
      </c>
      <c r="I200" s="602">
        <f t="shared" si="40"/>
        <v>18.614999999999998</v>
      </c>
      <c r="J200" s="602">
        <f t="shared" si="40"/>
        <v>20.197499999999998</v>
      </c>
      <c r="K200" s="602">
        <f t="shared" si="40"/>
        <v>23.547499999999999</v>
      </c>
      <c r="L200" s="602">
        <f t="shared" si="40"/>
        <v>19.943103000000001</v>
      </c>
      <c r="M200" s="602">
        <f t="shared" si="40"/>
        <v>22.0569135</v>
      </c>
      <c r="N200" s="602">
        <f t="shared" si="40"/>
        <v>24.665187</v>
      </c>
      <c r="O200" s="602">
        <f t="shared" si="40"/>
        <v>27.604734249999996</v>
      </c>
      <c r="P200" s="602">
        <f t="shared" si="40"/>
        <v>21.277296590700001</v>
      </c>
      <c r="Q200" s="602">
        <f t="shared" si="40"/>
        <v>21.309184132349998</v>
      </c>
      <c r="R200" s="602">
        <f t="shared" si="41"/>
        <v>21.932284280400001</v>
      </c>
      <c r="S200" s="602">
        <f t="shared" si="41"/>
        <v>23.913981280774998</v>
      </c>
      <c r="T200" s="602">
        <f t="shared" si="41"/>
        <v>18.943177154700209</v>
      </c>
      <c r="U200" s="602">
        <f t="shared" si="41"/>
        <v>20.753014426495664</v>
      </c>
      <c r="V200" s="602">
        <f t="shared" si="41"/>
        <v>21.780951518865241</v>
      </c>
      <c r="W200" s="602">
        <f t="shared" si="41"/>
        <v>23.51940058964221</v>
      </c>
      <c r="X200" s="602">
        <f t="shared" si="41"/>
        <v>18.268800047992883</v>
      </c>
      <c r="Y200" s="602">
        <f t="shared" si="41"/>
        <v>19.375014268576351</v>
      </c>
      <c r="Z200" s="602">
        <f t="shared" si="41"/>
        <v>21.171084876337012</v>
      </c>
      <c r="AA200" s="602">
        <f t="shared" si="41"/>
        <v>24.022715762260557</v>
      </c>
      <c r="AB200" s="602">
        <f t="shared" si="42"/>
        <v>20.223561653128122</v>
      </c>
      <c r="AC200" s="602">
        <f t="shared" si="42"/>
        <v>23.191892079485893</v>
      </c>
      <c r="AD200" s="602">
        <f t="shared" si="42"/>
        <v>23.724317712423257</v>
      </c>
      <c r="AE200" s="602">
        <f t="shared" si="42"/>
        <v>27.359470981638548</v>
      </c>
      <c r="AF200" s="602">
        <f t="shared" si="42"/>
        <v>22.389505106178145</v>
      </c>
      <c r="AG200" s="602">
        <f t="shared" si="42"/>
        <v>23.959543707316875</v>
      </c>
      <c r="AH200" s="602">
        <f t="shared" si="42"/>
        <v>25.425351292404006</v>
      </c>
      <c r="AI200" s="602">
        <f t="shared" si="42"/>
        <v>29.375863992985312</v>
      </c>
      <c r="AJ200" s="602">
        <f t="shared" si="42"/>
        <v>24.375454209096148</v>
      </c>
      <c r="AK200" s="602">
        <f t="shared" si="42"/>
        <v>28.157255764838791</v>
      </c>
      <c r="AL200" s="602">
        <f t="shared" si="43"/>
        <v>33.027531328832801</v>
      </c>
      <c r="AM200" s="602">
        <f t="shared" si="43"/>
        <v>38.200373536478104</v>
      </c>
      <c r="AN200" s="602">
        <f t="shared" si="43"/>
        <v>29.828243315670957</v>
      </c>
      <c r="AO200" s="602">
        <f t="shared" si="43"/>
        <v>32.732809826625093</v>
      </c>
      <c r="AP200" s="602">
        <f t="shared" si="43"/>
        <v>30.071567274902264</v>
      </c>
      <c r="AQ200" s="602">
        <f t="shared" si="43"/>
        <v>30.296716251780786</v>
      </c>
      <c r="AR200" s="602">
        <f t="shared" si="43"/>
        <v>27.93414986512585</v>
      </c>
      <c r="AS200" s="602">
        <f t="shared" si="43"/>
        <v>28.271327847256092</v>
      </c>
      <c r="AT200" s="602">
        <f t="shared" si="43"/>
        <v>29.151377316290258</v>
      </c>
      <c r="AU200" s="602">
        <f t="shared" si="43"/>
        <v>32.778017312801637</v>
      </c>
      <c r="AV200" s="602">
        <f t="shared" si="44"/>
        <v>26.246927213272247</v>
      </c>
      <c r="AW200" s="602">
        <f t="shared" si="44"/>
        <v>27.821813734484721</v>
      </c>
      <c r="AX200" s="602">
        <f t="shared" si="44"/>
        <v>30.256214516577661</v>
      </c>
      <c r="AY200" s="602">
        <f t="shared" si="44"/>
        <v>32.486292958717705</v>
      </c>
      <c r="AZ200" s="602">
        <f t="shared" si="44"/>
        <v>24.288906443162137</v>
      </c>
      <c r="BA200" s="602">
        <f t="shared" si="44"/>
        <v>26.046782018224597</v>
      </c>
      <c r="BB200" s="602">
        <f t="shared" si="44"/>
        <v>28.891659241880006</v>
      </c>
      <c r="BC200" s="602">
        <f t="shared" si="44"/>
        <v>34.792819758786663</v>
      </c>
      <c r="BD200" s="602">
        <f t="shared" si="44"/>
        <v>29.979797222795025</v>
      </c>
      <c r="BE200" s="602">
        <f t="shared" si="44"/>
        <v>33.699326575178986</v>
      </c>
      <c r="BF200" s="602">
        <f t="shared" si="45"/>
        <v>37.778733624682296</v>
      </c>
      <c r="BG200" s="602">
        <f t="shared" si="45"/>
        <v>42.847357532945779</v>
      </c>
      <c r="BH200" s="602">
        <f t="shared" si="45"/>
        <v>33.403490065638216</v>
      </c>
      <c r="BI200" s="602">
        <f t="shared" si="45"/>
        <v>37.140027818504763</v>
      </c>
      <c r="BJ200" s="602">
        <f t="shared" si="45"/>
        <v>38.300080148702911</v>
      </c>
      <c r="BK200" s="602">
        <f t="shared" si="45"/>
        <v>43.580047346759144</v>
      </c>
      <c r="BL200" s="602">
        <f t="shared" si="45"/>
        <v>36.065748223869576</v>
      </c>
      <c r="BM200" s="602">
        <f t="shared" si="45"/>
        <v>39.918101899328917</v>
      </c>
      <c r="BN200" s="602">
        <f t="shared" si="45"/>
        <v>42.785019534116024</v>
      </c>
      <c r="BO200" s="602">
        <f t="shared" si="45"/>
        <v>48.404358588045383</v>
      </c>
      <c r="BP200" s="602">
        <f t="shared" si="46"/>
        <v>53.022134397344907</v>
      </c>
      <c r="BQ200" s="602">
        <f t="shared" si="47"/>
        <v>42.712369032281941</v>
      </c>
      <c r="BR200" s="602">
        <f t="shared" si="47"/>
        <v>43.431073329081173</v>
      </c>
      <c r="BS200" s="602">
        <f t="shared" si="47"/>
        <v>46.656961243016944</v>
      </c>
      <c r="BT200" s="602">
        <f t="shared" si="47"/>
        <v>47.836569653284577</v>
      </c>
      <c r="BU200" s="602">
        <f t="shared" si="47"/>
        <v>37.356237955633787</v>
      </c>
      <c r="BV200" s="602">
        <f t="shared" si="47"/>
        <v>39.630854412786569</v>
      </c>
      <c r="BW200" s="602">
        <f t="shared" si="47"/>
        <v>43.885537745181736</v>
      </c>
      <c r="BX200" s="602">
        <f t="shared" si="47"/>
        <v>46.655006382848448</v>
      </c>
      <c r="BY200" s="602">
        <f t="shared" si="47"/>
        <v>36.265435807329283</v>
      </c>
      <c r="BZ200" s="602">
        <f t="shared" si="47"/>
        <v>40.177760203683022</v>
      </c>
      <c r="CA200" s="602">
        <f t="shared" si="48"/>
        <v>42.963941452532922</v>
      </c>
      <c r="CB200" s="602">
        <f t="shared" si="48"/>
        <v>45.936519284552581</v>
      </c>
      <c r="CC200" s="602">
        <f t="shared" si="48"/>
        <v>36.501161140076924</v>
      </c>
      <c r="CD200" s="602">
        <f t="shared" si="48"/>
        <v>41.75272840366739</v>
      </c>
      <c r="CE200" s="602">
        <f t="shared" si="48"/>
        <v>47.247446415350453</v>
      </c>
      <c r="CF200" s="602">
        <f t="shared" si="48"/>
        <v>51.177876134920034</v>
      </c>
      <c r="CG200" s="602">
        <f t="shared" si="48"/>
        <v>38.42477233215898</v>
      </c>
      <c r="CH200" s="602">
        <f t="shared" si="48"/>
        <v>40.283032363858297</v>
      </c>
      <c r="CI200" s="602">
        <f t="shared" si="48"/>
        <v>45.069339135602796</v>
      </c>
      <c r="CJ200" s="602">
        <f t="shared" si="48"/>
        <v>43.086653917989175</v>
      </c>
      <c r="CK200" s="602">
        <f t="shared" si="49"/>
        <v>32.787858231031258</v>
      </c>
      <c r="CL200" s="602">
        <f t="shared" si="49"/>
        <v>36.9556538906036</v>
      </c>
      <c r="CM200" s="602">
        <f t="shared" si="49"/>
        <v>44.970186589504472</v>
      </c>
      <c r="CN200" s="602">
        <f t="shared" si="49"/>
        <v>49.872801910072468</v>
      </c>
      <c r="CO200" s="602">
        <f t="shared" si="49"/>
        <v>40.27332626517569</v>
      </c>
      <c r="CP200" s="602">
        <f t="shared" si="49"/>
        <v>43.016381128662587</v>
      </c>
      <c r="CQ200" s="602">
        <f t="shared" si="49"/>
        <v>47.587451449013635</v>
      </c>
      <c r="CR200" s="602">
        <f t="shared" si="49"/>
        <v>51.174482039925358</v>
      </c>
      <c r="CS200" s="602">
        <f t="shared" si="49"/>
        <v>41.038519464214026</v>
      </c>
      <c r="CT200" s="602">
        <f t="shared" si="49"/>
        <v>43.979948065944626</v>
      </c>
      <c r="CU200" s="602">
        <f t="shared" si="50"/>
        <v>49.091214914802471</v>
      </c>
      <c r="CV200" s="602">
        <f t="shared" si="50"/>
        <v>53.21634387331838</v>
      </c>
      <c r="CW200" s="602">
        <f t="shared" si="50"/>
        <v>42.881148988157236</v>
      </c>
      <c r="CX200" s="602">
        <f t="shared" si="50"/>
        <v>46.020617656204458</v>
      </c>
      <c r="CY200" s="602">
        <f t="shared" si="50"/>
        <v>51.31013782895154</v>
      </c>
      <c r="CZ200" s="602">
        <f t="shared" si="50"/>
        <v>55.5099682942584</v>
      </c>
      <c r="DA200" s="602">
        <f t="shared" si="50"/>
        <v>44.639276096671679</v>
      </c>
      <c r="DB200" s="602">
        <f t="shared" si="50"/>
        <v>47.824625868327665</v>
      </c>
      <c r="DC200" s="602">
        <f t="shared" si="50"/>
        <v>53.249661038885911</v>
      </c>
    </row>
    <row r="201" spans="2:135">
      <c r="CM201" s="591">
        <f t="shared" ref="CM201:CM206" si="51">SUM(CJ195:CM195)/SUM(CF195:CI195)-1</f>
        <v>-8.0847256222682629E-2</v>
      </c>
      <c r="CQ201" s="591">
        <f t="shared" ref="CQ201:CQ206" si="52">SUM(CN195:CQ195)/SUM(CJ195:CM195)-1</f>
        <v>2.7332449709907447E-2</v>
      </c>
      <c r="CU201" s="591">
        <f t="shared" ref="CU201:CU206" si="53">SUM(CR195:CU195)/SUM(CN195:CQ195)-1</f>
        <v>7.6610826807475219E-2</v>
      </c>
      <c r="CY201" s="591">
        <f t="shared" ref="CY201:CY206" si="54">SUM(CV195:CY195)/SUM(CR195:CU195)-1</f>
        <v>7.8377083425346772E-2</v>
      </c>
      <c r="CZ201" s="606"/>
      <c r="DC201" s="591">
        <f t="shared" ref="DC201:DC206" si="55">SUM(CZ195:DC195)/SUM(CV195:CY195)-1</f>
        <v>8.4584179742604793E-2</v>
      </c>
    </row>
    <row r="202" spans="2:135">
      <c r="CM202" s="591">
        <f t="shared" si="51"/>
        <v>-0.10024770862407362</v>
      </c>
      <c r="CQ202" s="591">
        <f t="shared" si="52"/>
        <v>-3.3562637895132585E-3</v>
      </c>
      <c r="CU202" s="591">
        <f t="shared" si="53"/>
        <v>5.6620267055395468E-2</v>
      </c>
      <c r="CY202" s="591">
        <f t="shared" si="54"/>
        <v>6.7519546653938667E-2</v>
      </c>
      <c r="CZ202" s="606"/>
      <c r="DC202" s="591">
        <f t="shared" si="55"/>
        <v>7.2073991792567904E-2</v>
      </c>
    </row>
    <row r="203" spans="2:135">
      <c r="CM203" s="591">
        <f t="shared" si="51"/>
        <v>-6.7231404665254346E-2</v>
      </c>
      <c r="CQ203" s="591">
        <f t="shared" si="52"/>
        <v>5.1530420607997174E-2</v>
      </c>
      <c r="CU203" s="591">
        <f t="shared" si="53"/>
        <v>7.7815997394241609E-2</v>
      </c>
      <c r="CY203" s="591">
        <f t="shared" si="54"/>
        <v>7.4321208550878648E-2</v>
      </c>
      <c r="CZ203" s="606"/>
      <c r="DC203" s="591">
        <f t="shared" si="55"/>
        <v>7.5264290229870578E-2</v>
      </c>
    </row>
    <row r="204" spans="2:135">
      <c r="CM204" s="591">
        <f t="shared" si="51"/>
        <v>-0.12537276109644568</v>
      </c>
      <c r="CQ204" s="591">
        <f t="shared" si="52"/>
        <v>0.11132580657133206</v>
      </c>
      <c r="CU204" s="591">
        <f t="shared" si="53"/>
        <v>5.8995759237453038E-2</v>
      </c>
      <c r="CY204" s="591">
        <f t="shared" si="54"/>
        <v>6.3495058962980133E-2</v>
      </c>
      <c r="CZ204" s="606"/>
      <c r="DC204" s="591">
        <f t="shared" si="55"/>
        <v>4.2502945525957792E-2</v>
      </c>
    </row>
    <row r="205" spans="2:135">
      <c r="CM205" s="591">
        <f t="shared" si="51"/>
        <v>-0.11283920092871336</v>
      </c>
      <c r="CQ205" s="591">
        <f t="shared" si="52"/>
        <v>9.0866542191948119E-2</v>
      </c>
      <c r="CU205" s="591">
        <f t="shared" si="53"/>
        <v>-1.50089921033425E-2</v>
      </c>
      <c r="CY205" s="591">
        <f t="shared" si="54"/>
        <v>1.1654246689372094E-2</v>
      </c>
      <c r="CZ205" s="606"/>
      <c r="DC205" s="591">
        <f t="shared" si="55"/>
        <v>1.941994991813778E-2</v>
      </c>
    </row>
    <row r="206" spans="2:135">
      <c r="CM206" s="591">
        <f t="shared" si="51"/>
        <v>-9.8051872650995797E-2</v>
      </c>
      <c r="CQ206" s="591">
        <f t="shared" si="52"/>
        <v>0.14543445398841004</v>
      </c>
      <c r="CU206" s="591">
        <f t="shared" si="53"/>
        <v>2.5085503272446852E-2</v>
      </c>
      <c r="CY206" s="591">
        <f t="shared" si="54"/>
        <v>4.3954559659141523E-2</v>
      </c>
      <c r="CZ206" s="606"/>
      <c r="DC206" s="591">
        <f t="shared" si="55"/>
        <v>4.0300643872567044E-2</v>
      </c>
    </row>
    <row r="210" spans="2:109">
      <c r="CI210">
        <v>1</v>
      </c>
      <c r="CJ210">
        <v>2</v>
      </c>
      <c r="CK210">
        <v>3</v>
      </c>
      <c r="CL210">
        <v>4</v>
      </c>
      <c r="CM210">
        <v>5</v>
      </c>
      <c r="CN210">
        <v>6</v>
      </c>
      <c r="CO210">
        <v>7</v>
      </c>
      <c r="CP210">
        <v>8</v>
      </c>
      <c r="CQ210">
        <v>9</v>
      </c>
      <c r="CR210">
        <v>10</v>
      </c>
      <c r="CS210">
        <v>11</v>
      </c>
      <c r="CT210">
        <v>12</v>
      </c>
      <c r="CU210">
        <v>1</v>
      </c>
      <c r="CV210">
        <v>2</v>
      </c>
      <c r="CW210">
        <v>3</v>
      </c>
      <c r="CX210">
        <v>4</v>
      </c>
      <c r="CY210">
        <v>5</v>
      </c>
      <c r="CZ210">
        <v>6</v>
      </c>
      <c r="DA210">
        <v>7</v>
      </c>
      <c r="DB210">
        <v>8</v>
      </c>
      <c r="DC210">
        <v>9</v>
      </c>
      <c r="DD210">
        <v>10</v>
      </c>
      <c r="DE210">
        <v>12</v>
      </c>
    </row>
    <row r="211" spans="2:109">
      <c r="B211" t="s">
        <v>925</v>
      </c>
      <c r="CH211" t="s">
        <v>926</v>
      </c>
      <c r="CI211">
        <v>27.5</v>
      </c>
      <c r="CJ211">
        <v>24.8</v>
      </c>
      <c r="CK211">
        <v>13.7</v>
      </c>
      <c r="CL211">
        <v>7</v>
      </c>
      <c r="CM211">
        <v>8.1999999999999993</v>
      </c>
      <c r="CN211">
        <v>10</v>
      </c>
      <c r="CO211">
        <v>12.5</v>
      </c>
      <c r="CP211">
        <v>15</v>
      </c>
      <c r="CQ211">
        <v>17</v>
      </c>
      <c r="CR211">
        <v>18</v>
      </c>
      <c r="CS211">
        <v>20</v>
      </c>
      <c r="CT211">
        <v>21.5</v>
      </c>
      <c r="CU211">
        <v>22</v>
      </c>
      <c r="CV211">
        <v>23</v>
      </c>
      <c r="CW211">
        <v>23.5</v>
      </c>
      <c r="CX211">
        <v>25</v>
      </c>
      <c r="CY211">
        <v>25.5</v>
      </c>
      <c r="CZ211">
        <v>26</v>
      </c>
      <c r="DA211">
        <v>26.1</v>
      </c>
      <c r="DB211">
        <v>26.3</v>
      </c>
      <c r="DC211">
        <v>26.5</v>
      </c>
      <c r="DD211">
        <v>26.7</v>
      </c>
      <c r="DE211">
        <v>27</v>
      </c>
    </row>
    <row r="212" spans="2:109">
      <c r="B212" t="s">
        <v>927</v>
      </c>
      <c r="CH212" t="s">
        <v>928</v>
      </c>
      <c r="CI212">
        <v>27.5</v>
      </c>
      <c r="CJ212">
        <v>27.6</v>
      </c>
      <c r="CK212">
        <v>27.7</v>
      </c>
      <c r="CL212">
        <v>27.8</v>
      </c>
      <c r="CM212">
        <v>28</v>
      </c>
      <c r="CN212">
        <v>29</v>
      </c>
      <c r="CO212">
        <v>29.1</v>
      </c>
      <c r="CP212">
        <f t="shared" ref="CP212:DB212" si="56">CO212+0.1</f>
        <v>29.200000000000003</v>
      </c>
      <c r="CQ212">
        <f t="shared" si="56"/>
        <v>29.300000000000004</v>
      </c>
      <c r="CR212">
        <f t="shared" si="56"/>
        <v>29.400000000000006</v>
      </c>
      <c r="CS212">
        <f t="shared" si="56"/>
        <v>29.500000000000007</v>
      </c>
      <c r="CT212">
        <f t="shared" si="56"/>
        <v>29.600000000000009</v>
      </c>
      <c r="CU212">
        <f t="shared" si="56"/>
        <v>29.70000000000001</v>
      </c>
      <c r="CV212">
        <f t="shared" si="56"/>
        <v>29.800000000000011</v>
      </c>
      <c r="CW212">
        <f t="shared" si="56"/>
        <v>29.900000000000013</v>
      </c>
      <c r="CX212">
        <f t="shared" si="56"/>
        <v>30.000000000000014</v>
      </c>
      <c r="CY212">
        <f t="shared" si="56"/>
        <v>30.100000000000016</v>
      </c>
      <c r="CZ212">
        <f t="shared" si="56"/>
        <v>30.200000000000017</v>
      </c>
      <c r="DA212">
        <f t="shared" si="56"/>
        <v>30.300000000000018</v>
      </c>
      <c r="DB212">
        <f t="shared" si="56"/>
        <v>30.40000000000002</v>
      </c>
      <c r="DC212">
        <v>30</v>
      </c>
      <c r="DD212">
        <v>31</v>
      </c>
      <c r="DE212">
        <v>31.5</v>
      </c>
    </row>
    <row r="213" spans="2:109">
      <c r="B213" s="613" t="s">
        <v>929</v>
      </c>
      <c r="CN213">
        <f>CN211/CN212</f>
        <v>0.34482758620689657</v>
      </c>
    </row>
  </sheetData>
  <hyperlinks>
    <hyperlink ref="B213" r:id="rId1" xr:uid="{00000000-0004-0000-0300-000000000000}"/>
  </hyperlinks>
  <pageMargins left="0.7" right="0.7" top="0.75" bottom="0.75" header="0.3" footer="0.3"/>
  <pageSetup orientation="portrait"/>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7232-AF40-4551-A79B-D1B94C7A3F23}">
  <sheetPr codeName="Sheet7"/>
  <dimension ref="B3:G417"/>
  <sheetViews>
    <sheetView topLeftCell="A50" workbookViewId="0">
      <selection activeCell="B50" sqref="B50"/>
    </sheetView>
  </sheetViews>
  <sheetFormatPr defaultRowHeight="15"/>
  <cols>
    <col min="2" max="2" width="13.140625" customWidth="1"/>
  </cols>
  <sheetData>
    <row r="3" spans="2:2">
      <c r="B3" t="s">
        <v>533</v>
      </c>
    </row>
    <row r="5" spans="2:2">
      <c r="B5" t="s">
        <v>534</v>
      </c>
    </row>
    <row r="7" spans="2:2">
      <c r="B7" t="s">
        <v>535</v>
      </c>
    </row>
    <row r="9" spans="2:2">
      <c r="B9" t="s">
        <v>536</v>
      </c>
    </row>
    <row r="11" spans="2:2">
      <c r="B11" t="s">
        <v>537</v>
      </c>
    </row>
    <row r="12" spans="2:2">
      <c r="B12" t="s">
        <v>538</v>
      </c>
    </row>
    <row r="14" spans="2:2">
      <c r="B14" t="s">
        <v>539</v>
      </c>
    </row>
    <row r="16" spans="2:2">
      <c r="B16" t="s">
        <v>540</v>
      </c>
    </row>
    <row r="18" spans="2:2">
      <c r="B18" t="s">
        <v>541</v>
      </c>
    </row>
    <row r="20" spans="2:2">
      <c r="B20" t="s">
        <v>542</v>
      </c>
    </row>
    <row r="22" spans="2:2">
      <c r="B22" t="s">
        <v>543</v>
      </c>
    </row>
    <row r="24" spans="2:2">
      <c r="B24" t="s">
        <v>544</v>
      </c>
    </row>
    <row r="26" spans="2:2">
      <c r="B26" t="s">
        <v>545</v>
      </c>
    </row>
    <row r="28" spans="2:2">
      <c r="B28" t="s">
        <v>546</v>
      </c>
    </row>
    <row r="30" spans="2:2">
      <c r="B30" t="s">
        <v>547</v>
      </c>
    </row>
    <row r="32" spans="2:2">
      <c r="B32" t="s">
        <v>548</v>
      </c>
    </row>
    <row r="34" spans="2:2">
      <c r="B34" t="s">
        <v>549</v>
      </c>
    </row>
    <row r="36" spans="2:2">
      <c r="B36" t="s">
        <v>550</v>
      </c>
    </row>
    <row r="37" spans="2:2">
      <c r="B37" t="s">
        <v>551</v>
      </c>
    </row>
    <row r="38" spans="2:2">
      <c r="B38" t="s">
        <v>552</v>
      </c>
    </row>
    <row r="39" spans="2:2">
      <c r="B39" t="s">
        <v>553</v>
      </c>
    </row>
    <row r="40" spans="2:2">
      <c r="B40" t="s">
        <v>554</v>
      </c>
    </row>
    <row r="41" spans="2:2">
      <c r="B41" t="s">
        <v>555</v>
      </c>
    </row>
    <row r="42" spans="2:2">
      <c r="B42" t="s">
        <v>556</v>
      </c>
    </row>
    <row r="43" spans="2:2">
      <c r="B43" t="s">
        <v>557</v>
      </c>
    </row>
    <row r="44" spans="2:2">
      <c r="B44" t="s">
        <v>558</v>
      </c>
    </row>
    <row r="45" spans="2:2">
      <c r="B45" t="s">
        <v>559</v>
      </c>
    </row>
    <row r="46" spans="2:2">
      <c r="B46" t="s">
        <v>560</v>
      </c>
    </row>
    <row r="47" spans="2:2">
      <c r="B47" t="s">
        <v>561</v>
      </c>
    </row>
    <row r="49" spans="2:7">
      <c r="B49" t="s">
        <v>562</v>
      </c>
    </row>
    <row r="50" spans="2:7">
      <c r="B50" t="s">
        <v>563</v>
      </c>
    </row>
    <row r="53" spans="2:7" ht="25.5">
      <c r="B53" s="580" t="s">
        <v>564</v>
      </c>
      <c r="C53" s="580" t="s">
        <v>565</v>
      </c>
      <c r="D53" s="580" t="s">
        <v>566</v>
      </c>
      <c r="E53" s="580" t="s">
        <v>567</v>
      </c>
    </row>
    <row r="54" spans="2:7" ht="42.75">
      <c r="B54" s="581">
        <v>43494</v>
      </c>
      <c r="C54" s="582" t="s">
        <v>568</v>
      </c>
      <c r="D54" s="583" t="s">
        <v>569</v>
      </c>
      <c r="E54" s="582">
        <v>1</v>
      </c>
      <c r="G54">
        <f t="shared" ref="G54:G117" si="0">IF(D54="737 MAX",E54,0)</f>
        <v>1</v>
      </c>
    </row>
    <row r="55" spans="2:7" ht="42.75">
      <c r="B55" s="584">
        <v>43496</v>
      </c>
      <c r="C55" s="585" t="s">
        <v>568</v>
      </c>
      <c r="D55" s="586" t="s">
        <v>569</v>
      </c>
      <c r="E55" s="585">
        <v>1</v>
      </c>
      <c r="G55">
        <f t="shared" si="0"/>
        <v>1</v>
      </c>
    </row>
    <row r="56" spans="2:7" ht="57">
      <c r="B56" s="581">
        <v>43480</v>
      </c>
      <c r="C56" s="582" t="s">
        <v>570</v>
      </c>
      <c r="D56" s="583" t="s">
        <v>571</v>
      </c>
      <c r="E56" s="582">
        <v>1</v>
      </c>
      <c r="G56">
        <f t="shared" si="0"/>
        <v>0</v>
      </c>
    </row>
    <row r="57" spans="2:7" ht="28.5">
      <c r="B57" s="584">
        <v>43489</v>
      </c>
      <c r="C57" s="585" t="s">
        <v>572</v>
      </c>
      <c r="D57" s="586" t="s">
        <v>573</v>
      </c>
      <c r="E57" s="585">
        <v>1</v>
      </c>
      <c r="G57">
        <f t="shared" si="0"/>
        <v>0</v>
      </c>
    </row>
    <row r="58" spans="2:7" ht="42.75">
      <c r="B58" s="581">
        <v>43496</v>
      </c>
      <c r="C58" s="582" t="s">
        <v>574</v>
      </c>
      <c r="D58" s="583" t="s">
        <v>569</v>
      </c>
      <c r="E58" s="582">
        <v>1</v>
      </c>
      <c r="G58">
        <f t="shared" si="0"/>
        <v>1</v>
      </c>
    </row>
    <row r="59" spans="2:7" ht="42.75">
      <c r="B59" s="584">
        <v>43487</v>
      </c>
      <c r="C59" s="585" t="s">
        <v>574</v>
      </c>
      <c r="D59" s="586" t="s">
        <v>569</v>
      </c>
      <c r="E59" s="585">
        <v>1</v>
      </c>
      <c r="G59">
        <f t="shared" si="0"/>
        <v>1</v>
      </c>
    </row>
    <row r="60" spans="2:7" ht="42.75">
      <c r="B60" s="581">
        <v>43483</v>
      </c>
      <c r="C60" s="582" t="s">
        <v>574</v>
      </c>
      <c r="D60" s="583" t="s">
        <v>571</v>
      </c>
      <c r="E60" s="582">
        <v>1</v>
      </c>
      <c r="G60">
        <f t="shared" si="0"/>
        <v>0</v>
      </c>
    </row>
    <row r="61" spans="2:7" ht="57">
      <c r="B61" s="584">
        <v>43496</v>
      </c>
      <c r="C61" s="585" t="s">
        <v>575</v>
      </c>
      <c r="D61" s="586" t="s">
        <v>569</v>
      </c>
      <c r="E61" s="585">
        <v>1</v>
      </c>
      <c r="G61">
        <f t="shared" si="0"/>
        <v>1</v>
      </c>
    </row>
    <row r="62" spans="2:7" ht="28.5">
      <c r="B62" s="581">
        <v>43495</v>
      </c>
      <c r="C62" s="582" t="s">
        <v>576</v>
      </c>
      <c r="D62" s="583" t="s">
        <v>569</v>
      </c>
      <c r="E62" s="582">
        <v>1</v>
      </c>
      <c r="G62">
        <f t="shared" si="0"/>
        <v>1</v>
      </c>
    </row>
    <row r="63" spans="2:7" ht="99.75">
      <c r="B63" s="584">
        <v>43490</v>
      </c>
      <c r="C63" s="585" t="s">
        <v>577</v>
      </c>
      <c r="D63" s="586" t="s">
        <v>578</v>
      </c>
      <c r="E63" s="585">
        <v>1</v>
      </c>
      <c r="G63">
        <f t="shared" si="0"/>
        <v>0</v>
      </c>
    </row>
    <row r="64" spans="2:7" ht="99.75">
      <c r="B64" s="581">
        <v>43480</v>
      </c>
      <c r="C64" s="582" t="s">
        <v>577</v>
      </c>
      <c r="D64" s="583" t="s">
        <v>578</v>
      </c>
      <c r="E64" s="582">
        <v>1</v>
      </c>
      <c r="G64">
        <f t="shared" si="0"/>
        <v>0</v>
      </c>
    </row>
    <row r="65" spans="2:7" ht="85.5">
      <c r="B65" s="584">
        <v>43494</v>
      </c>
      <c r="C65" s="585" t="s">
        <v>579</v>
      </c>
      <c r="D65" s="586" t="s">
        <v>580</v>
      </c>
      <c r="E65" s="585">
        <v>1</v>
      </c>
      <c r="G65">
        <f t="shared" si="0"/>
        <v>0</v>
      </c>
    </row>
    <row r="66" spans="2:7" ht="71.25">
      <c r="B66" s="581">
        <v>43494</v>
      </c>
      <c r="C66" s="582" t="s">
        <v>581</v>
      </c>
      <c r="D66" s="583" t="s">
        <v>582</v>
      </c>
      <c r="E66" s="582">
        <v>1</v>
      </c>
      <c r="G66">
        <f t="shared" si="0"/>
        <v>0</v>
      </c>
    </row>
    <row r="67" spans="2:7" ht="57">
      <c r="B67" s="584">
        <v>43493</v>
      </c>
      <c r="C67" s="585" t="s">
        <v>583</v>
      </c>
      <c r="D67" s="586" t="s">
        <v>584</v>
      </c>
      <c r="E67" s="585">
        <v>1</v>
      </c>
      <c r="G67">
        <f t="shared" si="0"/>
        <v>0</v>
      </c>
    </row>
    <row r="68" spans="2:7" ht="71.25">
      <c r="B68" s="581">
        <v>43489</v>
      </c>
      <c r="C68" s="582" t="s">
        <v>585</v>
      </c>
      <c r="D68" s="583" t="s">
        <v>569</v>
      </c>
      <c r="E68" s="582">
        <v>1</v>
      </c>
      <c r="G68">
        <f t="shared" si="0"/>
        <v>1</v>
      </c>
    </row>
    <row r="69" spans="2:7" ht="71.25">
      <c r="B69" s="584">
        <v>43493</v>
      </c>
      <c r="C69" s="585" t="s">
        <v>586</v>
      </c>
      <c r="D69" s="586" t="s">
        <v>569</v>
      </c>
      <c r="E69" s="585">
        <v>1</v>
      </c>
      <c r="G69">
        <f t="shared" si="0"/>
        <v>1</v>
      </c>
    </row>
    <row r="70" spans="2:7" ht="28.5">
      <c r="B70" s="581">
        <v>43475</v>
      </c>
      <c r="C70" s="582" t="s">
        <v>587</v>
      </c>
      <c r="D70" s="583" t="s">
        <v>569</v>
      </c>
      <c r="E70" s="582">
        <v>1</v>
      </c>
      <c r="G70">
        <f t="shared" si="0"/>
        <v>1</v>
      </c>
    </row>
    <row r="71" spans="2:7" ht="42.75">
      <c r="B71" s="584">
        <v>43480</v>
      </c>
      <c r="C71" s="585" t="s">
        <v>588</v>
      </c>
      <c r="D71" s="586" t="s">
        <v>573</v>
      </c>
      <c r="E71" s="585">
        <v>1</v>
      </c>
      <c r="G71">
        <f t="shared" si="0"/>
        <v>0</v>
      </c>
    </row>
    <row r="72" spans="2:7" ht="42.75">
      <c r="B72" s="581">
        <v>43496</v>
      </c>
      <c r="C72" s="582" t="s">
        <v>588</v>
      </c>
      <c r="D72" s="583" t="s">
        <v>573</v>
      </c>
      <c r="E72" s="582">
        <v>2</v>
      </c>
      <c r="G72">
        <f t="shared" si="0"/>
        <v>0</v>
      </c>
    </row>
    <row r="73" spans="2:7" ht="42.75">
      <c r="B73" s="584">
        <v>43483</v>
      </c>
      <c r="C73" s="585" t="s">
        <v>588</v>
      </c>
      <c r="D73" s="586" t="s">
        <v>573</v>
      </c>
      <c r="E73" s="585">
        <v>1</v>
      </c>
      <c r="G73">
        <f t="shared" si="0"/>
        <v>0</v>
      </c>
    </row>
    <row r="74" spans="2:7" ht="42.75">
      <c r="B74" s="581">
        <v>43494</v>
      </c>
      <c r="C74" s="582" t="s">
        <v>588</v>
      </c>
      <c r="D74" s="583" t="s">
        <v>573</v>
      </c>
      <c r="E74" s="582">
        <v>1</v>
      </c>
      <c r="G74">
        <f t="shared" si="0"/>
        <v>0</v>
      </c>
    </row>
    <row r="75" spans="2:7" ht="42.75">
      <c r="B75" s="584">
        <v>43495</v>
      </c>
      <c r="C75" s="585" t="s">
        <v>588</v>
      </c>
      <c r="D75" s="586" t="s">
        <v>573</v>
      </c>
      <c r="E75" s="585">
        <v>1</v>
      </c>
      <c r="G75">
        <f t="shared" si="0"/>
        <v>0</v>
      </c>
    </row>
    <row r="76" spans="2:7" ht="42.75">
      <c r="B76" s="581">
        <v>43494</v>
      </c>
      <c r="C76" s="582" t="s">
        <v>589</v>
      </c>
      <c r="D76" s="583" t="s">
        <v>590</v>
      </c>
      <c r="E76" s="582">
        <v>1</v>
      </c>
      <c r="G76">
        <f t="shared" si="0"/>
        <v>0</v>
      </c>
    </row>
    <row r="77" spans="2:7" ht="42.75">
      <c r="B77" s="584">
        <v>43496</v>
      </c>
      <c r="C77" s="585" t="s">
        <v>589</v>
      </c>
      <c r="D77" s="586" t="s">
        <v>571</v>
      </c>
      <c r="E77" s="585">
        <v>1</v>
      </c>
      <c r="G77">
        <f t="shared" si="0"/>
        <v>0</v>
      </c>
    </row>
    <row r="78" spans="2:7" ht="42.75">
      <c r="B78" s="581">
        <v>43490</v>
      </c>
      <c r="C78" s="582" t="s">
        <v>591</v>
      </c>
      <c r="D78" s="583" t="s">
        <v>592</v>
      </c>
      <c r="E78" s="582">
        <v>1</v>
      </c>
      <c r="G78">
        <f t="shared" si="0"/>
        <v>0</v>
      </c>
    </row>
    <row r="79" spans="2:7" ht="42.75">
      <c r="B79" s="584">
        <v>43490</v>
      </c>
      <c r="C79" s="585" t="s">
        <v>591</v>
      </c>
      <c r="D79" s="586" t="s">
        <v>584</v>
      </c>
      <c r="E79" s="585">
        <v>1</v>
      </c>
      <c r="G79">
        <f t="shared" si="0"/>
        <v>0</v>
      </c>
    </row>
    <row r="80" spans="2:7" ht="28.5">
      <c r="B80" s="581">
        <v>43488</v>
      </c>
      <c r="C80" s="582" t="s">
        <v>593</v>
      </c>
      <c r="D80" s="583" t="s">
        <v>569</v>
      </c>
      <c r="E80" s="582">
        <v>1</v>
      </c>
      <c r="G80">
        <f t="shared" si="0"/>
        <v>1</v>
      </c>
    </row>
    <row r="81" spans="2:7" ht="28.5">
      <c r="B81" s="584">
        <v>43496</v>
      </c>
      <c r="C81" s="585" t="s">
        <v>594</v>
      </c>
      <c r="D81" s="586" t="s">
        <v>569</v>
      </c>
      <c r="E81" s="585">
        <v>1</v>
      </c>
      <c r="G81">
        <f t="shared" si="0"/>
        <v>1</v>
      </c>
    </row>
    <row r="82" spans="2:7" ht="42.75">
      <c r="B82" s="581">
        <v>43495</v>
      </c>
      <c r="C82" s="582" t="s">
        <v>595</v>
      </c>
      <c r="D82" s="583" t="s">
        <v>569</v>
      </c>
      <c r="E82" s="582">
        <v>1</v>
      </c>
      <c r="G82">
        <f t="shared" si="0"/>
        <v>1</v>
      </c>
    </row>
    <row r="83" spans="2:7" ht="71.25">
      <c r="B83" s="584">
        <v>43479</v>
      </c>
      <c r="C83" s="585" t="s">
        <v>596</v>
      </c>
      <c r="D83" s="586" t="s">
        <v>571</v>
      </c>
      <c r="E83" s="585">
        <v>1</v>
      </c>
      <c r="G83">
        <f t="shared" si="0"/>
        <v>0</v>
      </c>
    </row>
    <row r="84" spans="2:7" ht="28.5">
      <c r="B84" s="581">
        <v>43488</v>
      </c>
      <c r="C84" s="582" t="s">
        <v>597</v>
      </c>
      <c r="D84" s="583" t="s">
        <v>571</v>
      </c>
      <c r="E84" s="582">
        <v>1</v>
      </c>
      <c r="G84">
        <f t="shared" si="0"/>
        <v>0</v>
      </c>
    </row>
    <row r="85" spans="2:7" ht="57">
      <c r="B85" s="584">
        <v>43487</v>
      </c>
      <c r="C85" s="585" t="s">
        <v>598</v>
      </c>
      <c r="D85" s="586" t="s">
        <v>578</v>
      </c>
      <c r="E85" s="585">
        <v>1</v>
      </c>
      <c r="G85">
        <f t="shared" si="0"/>
        <v>0</v>
      </c>
    </row>
    <row r="86" spans="2:7" ht="28.5">
      <c r="B86" s="581">
        <v>43486</v>
      </c>
      <c r="C86" s="582" t="s">
        <v>599</v>
      </c>
      <c r="D86" s="583" t="s">
        <v>578</v>
      </c>
      <c r="E86" s="582">
        <v>1</v>
      </c>
      <c r="G86">
        <f t="shared" si="0"/>
        <v>0</v>
      </c>
    </row>
    <row r="87" spans="2:7" ht="42.75">
      <c r="B87" s="584">
        <v>43496</v>
      </c>
      <c r="C87" s="585" t="s">
        <v>600</v>
      </c>
      <c r="D87" s="586" t="s">
        <v>569</v>
      </c>
      <c r="E87" s="585">
        <v>2</v>
      </c>
      <c r="G87">
        <f t="shared" si="0"/>
        <v>2</v>
      </c>
    </row>
    <row r="88" spans="2:7" ht="57">
      <c r="B88" s="581">
        <v>43496</v>
      </c>
      <c r="C88" s="582" t="s">
        <v>601</v>
      </c>
      <c r="D88" s="583" t="s">
        <v>578</v>
      </c>
      <c r="E88" s="582">
        <v>1</v>
      </c>
      <c r="G88">
        <f t="shared" si="0"/>
        <v>0</v>
      </c>
    </row>
    <row r="89" spans="2:7" ht="57">
      <c r="B89" s="584">
        <v>43482</v>
      </c>
      <c r="C89" s="585" t="s">
        <v>601</v>
      </c>
      <c r="D89" s="586" t="s">
        <v>578</v>
      </c>
      <c r="E89" s="585">
        <v>1</v>
      </c>
      <c r="G89">
        <f t="shared" si="0"/>
        <v>0</v>
      </c>
    </row>
    <row r="90" spans="2:7" ht="42.75">
      <c r="B90" s="581">
        <v>43493</v>
      </c>
      <c r="C90" s="582" t="s">
        <v>602</v>
      </c>
      <c r="D90" s="583" t="s">
        <v>569</v>
      </c>
      <c r="E90" s="582">
        <v>1</v>
      </c>
      <c r="G90">
        <f t="shared" si="0"/>
        <v>1</v>
      </c>
    </row>
    <row r="91" spans="2:7" ht="42.75">
      <c r="B91" s="584">
        <v>43490</v>
      </c>
      <c r="C91" s="585" t="s">
        <v>603</v>
      </c>
      <c r="D91" s="586" t="s">
        <v>569</v>
      </c>
      <c r="E91" s="585">
        <v>1</v>
      </c>
      <c r="G91">
        <f t="shared" si="0"/>
        <v>1</v>
      </c>
    </row>
    <row r="92" spans="2:7" ht="42.75">
      <c r="B92" s="581">
        <v>43496</v>
      </c>
      <c r="C92" s="582" t="s">
        <v>603</v>
      </c>
      <c r="D92" s="583" t="s">
        <v>569</v>
      </c>
      <c r="E92" s="582">
        <v>1</v>
      </c>
      <c r="G92">
        <f t="shared" si="0"/>
        <v>1</v>
      </c>
    </row>
    <row r="93" spans="2:7" ht="28.5">
      <c r="B93" s="584">
        <v>43496</v>
      </c>
      <c r="C93" s="585" t="s">
        <v>604</v>
      </c>
      <c r="D93" s="586" t="s">
        <v>569</v>
      </c>
      <c r="E93" s="585">
        <v>1</v>
      </c>
      <c r="G93">
        <f t="shared" si="0"/>
        <v>1</v>
      </c>
    </row>
    <row r="94" spans="2:7" ht="28.5">
      <c r="B94" s="581">
        <v>43487</v>
      </c>
      <c r="C94" s="582" t="s">
        <v>604</v>
      </c>
      <c r="D94" s="583" t="s">
        <v>569</v>
      </c>
      <c r="E94" s="582">
        <v>1</v>
      </c>
      <c r="G94">
        <f t="shared" si="0"/>
        <v>1</v>
      </c>
    </row>
    <row r="95" spans="2:7" ht="28.5">
      <c r="B95" s="584">
        <v>43496</v>
      </c>
      <c r="C95" s="585" t="s">
        <v>604</v>
      </c>
      <c r="D95" s="586" t="s">
        <v>590</v>
      </c>
      <c r="E95" s="585">
        <v>1</v>
      </c>
      <c r="G95">
        <f t="shared" si="0"/>
        <v>0</v>
      </c>
    </row>
    <row r="96" spans="2:7" ht="28.5">
      <c r="B96" s="581">
        <v>43496</v>
      </c>
      <c r="C96" s="582" t="s">
        <v>605</v>
      </c>
      <c r="D96" s="583" t="s">
        <v>569</v>
      </c>
      <c r="E96" s="582">
        <v>1</v>
      </c>
      <c r="G96">
        <f t="shared" si="0"/>
        <v>1</v>
      </c>
    </row>
    <row r="97" spans="2:7" ht="28.5">
      <c r="B97" s="584">
        <v>43482</v>
      </c>
      <c r="C97" s="585" t="s">
        <v>605</v>
      </c>
      <c r="D97" s="586" t="s">
        <v>571</v>
      </c>
      <c r="E97" s="585">
        <v>1</v>
      </c>
      <c r="G97">
        <f t="shared" si="0"/>
        <v>0</v>
      </c>
    </row>
    <row r="98" spans="2:7" ht="28.5">
      <c r="B98" s="581">
        <v>43523</v>
      </c>
      <c r="C98" s="582" t="s">
        <v>606</v>
      </c>
      <c r="D98" s="583" t="s">
        <v>578</v>
      </c>
      <c r="E98" s="582">
        <v>1</v>
      </c>
      <c r="G98">
        <f t="shared" si="0"/>
        <v>0</v>
      </c>
    </row>
    <row r="99" spans="2:7" ht="28.5">
      <c r="B99" s="584">
        <v>43521</v>
      </c>
      <c r="C99" s="585" t="s">
        <v>607</v>
      </c>
      <c r="D99" s="586" t="s">
        <v>569</v>
      </c>
      <c r="E99" s="585">
        <v>1</v>
      </c>
      <c r="G99">
        <f t="shared" si="0"/>
        <v>1</v>
      </c>
    </row>
    <row r="100" spans="2:7" ht="42.75">
      <c r="B100" s="581">
        <v>43513</v>
      </c>
      <c r="C100" s="582" t="s">
        <v>568</v>
      </c>
      <c r="D100" s="583" t="s">
        <v>569</v>
      </c>
      <c r="E100" s="582">
        <v>1</v>
      </c>
      <c r="G100">
        <f t="shared" si="0"/>
        <v>1</v>
      </c>
    </row>
    <row r="101" spans="2:7" ht="42.75">
      <c r="B101" s="584">
        <v>43515</v>
      </c>
      <c r="C101" s="585" t="s">
        <v>568</v>
      </c>
      <c r="D101" s="586" t="s">
        <v>569</v>
      </c>
      <c r="E101" s="585">
        <v>1</v>
      </c>
      <c r="G101">
        <f t="shared" si="0"/>
        <v>1</v>
      </c>
    </row>
    <row r="102" spans="2:7" ht="42.75">
      <c r="B102" s="581">
        <v>43522</v>
      </c>
      <c r="C102" s="582" t="s">
        <v>568</v>
      </c>
      <c r="D102" s="583" t="s">
        <v>569</v>
      </c>
      <c r="E102" s="582">
        <v>1</v>
      </c>
      <c r="G102">
        <f t="shared" si="0"/>
        <v>1</v>
      </c>
    </row>
    <row r="103" spans="2:7" ht="42.75">
      <c r="B103" s="584">
        <v>43517</v>
      </c>
      <c r="C103" s="585" t="s">
        <v>568</v>
      </c>
      <c r="D103" s="586" t="s">
        <v>571</v>
      </c>
      <c r="E103" s="585">
        <v>1</v>
      </c>
      <c r="G103">
        <f t="shared" si="0"/>
        <v>0</v>
      </c>
    </row>
    <row r="104" spans="2:7" ht="28.5">
      <c r="B104" s="581">
        <v>43515</v>
      </c>
      <c r="C104" s="582" t="s">
        <v>608</v>
      </c>
      <c r="D104" s="583" t="s">
        <v>569</v>
      </c>
      <c r="E104" s="582">
        <v>1</v>
      </c>
      <c r="G104">
        <f t="shared" si="0"/>
        <v>1</v>
      </c>
    </row>
    <row r="105" spans="2:7" ht="57">
      <c r="B105" s="584">
        <v>43516</v>
      </c>
      <c r="C105" s="585" t="s">
        <v>570</v>
      </c>
      <c r="D105" s="586" t="s">
        <v>571</v>
      </c>
      <c r="E105" s="585">
        <v>1</v>
      </c>
      <c r="G105">
        <f t="shared" si="0"/>
        <v>0</v>
      </c>
    </row>
    <row r="106" spans="2:7" ht="28.5">
      <c r="B106" s="581">
        <v>43518</v>
      </c>
      <c r="C106" s="582" t="s">
        <v>572</v>
      </c>
      <c r="D106" s="583" t="s">
        <v>573</v>
      </c>
      <c r="E106" s="582">
        <v>1</v>
      </c>
      <c r="G106">
        <f t="shared" si="0"/>
        <v>0</v>
      </c>
    </row>
    <row r="107" spans="2:7" ht="28.5">
      <c r="B107" s="584">
        <v>43524</v>
      </c>
      <c r="C107" s="585" t="s">
        <v>572</v>
      </c>
      <c r="D107" s="586" t="s">
        <v>573</v>
      </c>
      <c r="E107" s="585">
        <v>1</v>
      </c>
      <c r="G107">
        <f t="shared" si="0"/>
        <v>0</v>
      </c>
    </row>
    <row r="108" spans="2:7" ht="42.75">
      <c r="B108" s="581">
        <v>43515</v>
      </c>
      <c r="C108" s="582" t="s">
        <v>574</v>
      </c>
      <c r="D108" s="583" t="s">
        <v>569</v>
      </c>
      <c r="E108" s="582">
        <v>1</v>
      </c>
      <c r="G108">
        <f t="shared" si="0"/>
        <v>1</v>
      </c>
    </row>
    <row r="109" spans="2:7" ht="42.75">
      <c r="B109" s="584">
        <v>43522</v>
      </c>
      <c r="C109" s="585" t="s">
        <v>574</v>
      </c>
      <c r="D109" s="586" t="s">
        <v>569</v>
      </c>
      <c r="E109" s="585">
        <v>1</v>
      </c>
      <c r="G109">
        <f t="shared" si="0"/>
        <v>1</v>
      </c>
    </row>
    <row r="110" spans="2:7" ht="42.75">
      <c r="B110" s="581">
        <v>43521</v>
      </c>
      <c r="C110" s="582" t="s">
        <v>574</v>
      </c>
      <c r="D110" s="583" t="s">
        <v>571</v>
      </c>
      <c r="E110" s="582">
        <v>1</v>
      </c>
      <c r="G110">
        <f t="shared" si="0"/>
        <v>0</v>
      </c>
    </row>
    <row r="111" spans="2:7" ht="57">
      <c r="B111" s="584">
        <v>43500</v>
      </c>
      <c r="C111" s="585" t="s">
        <v>575</v>
      </c>
      <c r="D111" s="586" t="s">
        <v>571</v>
      </c>
      <c r="E111" s="585">
        <v>1</v>
      </c>
      <c r="G111">
        <f t="shared" si="0"/>
        <v>0</v>
      </c>
    </row>
    <row r="112" spans="2:7" ht="28.5">
      <c r="B112" s="581">
        <v>43523</v>
      </c>
      <c r="C112" s="582" t="s">
        <v>576</v>
      </c>
      <c r="D112" s="583" t="s">
        <v>569</v>
      </c>
      <c r="E112" s="582">
        <v>1</v>
      </c>
      <c r="G112">
        <f t="shared" si="0"/>
        <v>1</v>
      </c>
    </row>
    <row r="113" spans="2:7" ht="85.5">
      <c r="B113" s="584">
        <v>43510</v>
      </c>
      <c r="C113" s="585" t="s">
        <v>579</v>
      </c>
      <c r="D113" s="586" t="s">
        <v>580</v>
      </c>
      <c r="E113" s="585">
        <v>1</v>
      </c>
      <c r="G113">
        <f t="shared" si="0"/>
        <v>0</v>
      </c>
    </row>
    <row r="114" spans="2:7" ht="71.25">
      <c r="B114" s="581">
        <v>43508</v>
      </c>
      <c r="C114" s="582" t="s">
        <v>581</v>
      </c>
      <c r="D114" s="583" t="s">
        <v>582</v>
      </c>
      <c r="E114" s="582">
        <v>1</v>
      </c>
      <c r="G114">
        <f t="shared" si="0"/>
        <v>0</v>
      </c>
    </row>
    <row r="115" spans="2:7" ht="71.25">
      <c r="B115" s="584">
        <v>43499</v>
      </c>
      <c r="C115" s="585" t="s">
        <v>581</v>
      </c>
      <c r="D115" s="586" t="s">
        <v>582</v>
      </c>
      <c r="E115" s="585">
        <v>1</v>
      </c>
      <c r="G115">
        <f t="shared" si="0"/>
        <v>0</v>
      </c>
    </row>
    <row r="116" spans="2:7" ht="71.25">
      <c r="B116" s="581">
        <v>43522</v>
      </c>
      <c r="C116" s="582" t="s">
        <v>581</v>
      </c>
      <c r="D116" s="583" t="s">
        <v>582</v>
      </c>
      <c r="E116" s="582">
        <v>1</v>
      </c>
      <c r="G116">
        <f t="shared" si="0"/>
        <v>0</v>
      </c>
    </row>
    <row r="117" spans="2:7" ht="57">
      <c r="B117" s="584">
        <v>43509</v>
      </c>
      <c r="C117" s="585" t="s">
        <v>609</v>
      </c>
      <c r="D117" s="586" t="s">
        <v>569</v>
      </c>
      <c r="E117" s="585">
        <v>1</v>
      </c>
      <c r="G117">
        <f t="shared" si="0"/>
        <v>1</v>
      </c>
    </row>
    <row r="118" spans="2:7" ht="57">
      <c r="B118" s="581">
        <v>43518</v>
      </c>
      <c r="C118" s="582" t="s">
        <v>609</v>
      </c>
      <c r="D118" s="583" t="s">
        <v>569</v>
      </c>
      <c r="E118" s="582">
        <v>1</v>
      </c>
      <c r="G118">
        <f t="shared" ref="G118:G181" si="1">IF(D118="737 MAX",E118,0)</f>
        <v>1</v>
      </c>
    </row>
    <row r="119" spans="2:7" ht="57">
      <c r="B119" s="584">
        <v>43523</v>
      </c>
      <c r="C119" s="585" t="s">
        <v>609</v>
      </c>
      <c r="D119" s="586" t="s">
        <v>571</v>
      </c>
      <c r="E119" s="585">
        <v>1</v>
      </c>
      <c r="G119">
        <f t="shared" si="1"/>
        <v>0</v>
      </c>
    </row>
    <row r="120" spans="2:7" ht="57">
      <c r="B120" s="581">
        <v>43524</v>
      </c>
      <c r="C120" s="582" t="s">
        <v>610</v>
      </c>
      <c r="D120" s="583" t="s">
        <v>569</v>
      </c>
      <c r="E120" s="582">
        <v>1</v>
      </c>
      <c r="G120">
        <f t="shared" si="1"/>
        <v>1</v>
      </c>
    </row>
    <row r="121" spans="2:7" ht="57">
      <c r="B121" s="584">
        <v>43517</v>
      </c>
      <c r="C121" s="585" t="s">
        <v>610</v>
      </c>
      <c r="D121" s="586" t="s">
        <v>578</v>
      </c>
      <c r="E121" s="585">
        <v>1</v>
      </c>
      <c r="G121">
        <f t="shared" si="1"/>
        <v>0</v>
      </c>
    </row>
    <row r="122" spans="2:7" ht="28.5">
      <c r="B122" s="581">
        <v>43521</v>
      </c>
      <c r="C122" s="582" t="s">
        <v>611</v>
      </c>
      <c r="D122" s="583" t="s">
        <v>569</v>
      </c>
      <c r="E122" s="582">
        <v>1</v>
      </c>
      <c r="G122">
        <f t="shared" si="1"/>
        <v>1</v>
      </c>
    </row>
    <row r="123" spans="2:7" ht="28.5">
      <c r="B123" s="584">
        <v>43518</v>
      </c>
      <c r="C123" s="585" t="s">
        <v>587</v>
      </c>
      <c r="D123" s="586" t="s">
        <v>569</v>
      </c>
      <c r="E123" s="585">
        <v>1</v>
      </c>
      <c r="G123">
        <f t="shared" si="1"/>
        <v>1</v>
      </c>
    </row>
    <row r="124" spans="2:7" ht="42.75">
      <c r="B124" s="581">
        <v>43517</v>
      </c>
      <c r="C124" s="582" t="s">
        <v>588</v>
      </c>
      <c r="D124" s="583" t="s">
        <v>573</v>
      </c>
      <c r="E124" s="582">
        <v>1</v>
      </c>
      <c r="G124">
        <f t="shared" si="1"/>
        <v>0</v>
      </c>
    </row>
    <row r="125" spans="2:7" ht="42.75">
      <c r="B125" s="584">
        <v>43507</v>
      </c>
      <c r="C125" s="585" t="s">
        <v>589</v>
      </c>
      <c r="D125" s="586" t="s">
        <v>571</v>
      </c>
      <c r="E125" s="585">
        <v>1</v>
      </c>
      <c r="G125">
        <f t="shared" si="1"/>
        <v>0</v>
      </c>
    </row>
    <row r="126" spans="2:7" ht="42.75">
      <c r="B126" s="581">
        <v>43508</v>
      </c>
      <c r="C126" s="582" t="s">
        <v>591</v>
      </c>
      <c r="D126" s="583" t="s">
        <v>592</v>
      </c>
      <c r="E126" s="582">
        <v>1</v>
      </c>
      <c r="G126">
        <f t="shared" si="1"/>
        <v>0</v>
      </c>
    </row>
    <row r="127" spans="2:7" ht="28.5">
      <c r="B127" s="584">
        <v>43516</v>
      </c>
      <c r="C127" s="585" t="s">
        <v>594</v>
      </c>
      <c r="D127" s="586" t="s">
        <v>569</v>
      </c>
      <c r="E127" s="585">
        <v>1</v>
      </c>
      <c r="G127">
        <f t="shared" si="1"/>
        <v>1</v>
      </c>
    </row>
    <row r="128" spans="2:7" ht="28.5">
      <c r="B128" s="581">
        <v>43524</v>
      </c>
      <c r="C128" s="582" t="s">
        <v>594</v>
      </c>
      <c r="D128" s="583" t="s">
        <v>569</v>
      </c>
      <c r="E128" s="582">
        <v>1</v>
      </c>
      <c r="G128">
        <f t="shared" si="1"/>
        <v>1</v>
      </c>
    </row>
    <row r="129" spans="2:7" ht="28.5">
      <c r="B129" s="584">
        <v>43509</v>
      </c>
      <c r="C129" s="585" t="s">
        <v>594</v>
      </c>
      <c r="D129" s="586" t="s">
        <v>569</v>
      </c>
      <c r="E129" s="585">
        <v>1</v>
      </c>
      <c r="G129">
        <f t="shared" si="1"/>
        <v>1</v>
      </c>
    </row>
    <row r="130" spans="2:7" ht="28.5">
      <c r="B130" s="581">
        <v>43515</v>
      </c>
      <c r="C130" s="582" t="s">
        <v>594</v>
      </c>
      <c r="D130" s="583" t="s">
        <v>571</v>
      </c>
      <c r="E130" s="582">
        <v>1</v>
      </c>
      <c r="G130">
        <f t="shared" si="1"/>
        <v>0</v>
      </c>
    </row>
    <row r="131" spans="2:7">
      <c r="B131" s="584">
        <v>43508</v>
      </c>
      <c r="C131" s="585" t="s">
        <v>612</v>
      </c>
      <c r="D131" s="586" t="s">
        <v>571</v>
      </c>
      <c r="E131" s="585">
        <v>1</v>
      </c>
      <c r="G131">
        <f t="shared" si="1"/>
        <v>0</v>
      </c>
    </row>
    <row r="132" spans="2:7" ht="28.5">
      <c r="B132" s="581">
        <v>43503</v>
      </c>
      <c r="C132" s="582" t="s">
        <v>597</v>
      </c>
      <c r="D132" s="583" t="s">
        <v>571</v>
      </c>
      <c r="E132" s="582">
        <v>1</v>
      </c>
      <c r="G132">
        <f t="shared" si="1"/>
        <v>0</v>
      </c>
    </row>
    <row r="133" spans="2:7" ht="42.75">
      <c r="B133" s="584">
        <v>43514</v>
      </c>
      <c r="C133" s="585" t="s">
        <v>613</v>
      </c>
      <c r="D133" s="586" t="s">
        <v>584</v>
      </c>
      <c r="E133" s="585">
        <v>1</v>
      </c>
      <c r="G133">
        <f t="shared" si="1"/>
        <v>0</v>
      </c>
    </row>
    <row r="134" spans="2:7" ht="42.75">
      <c r="B134" s="581">
        <v>43518</v>
      </c>
      <c r="C134" s="582" t="s">
        <v>603</v>
      </c>
      <c r="D134" s="583" t="s">
        <v>569</v>
      </c>
      <c r="E134" s="582">
        <v>1</v>
      </c>
      <c r="G134">
        <f t="shared" si="1"/>
        <v>1</v>
      </c>
    </row>
    <row r="135" spans="2:7" ht="42.75">
      <c r="B135" s="584">
        <v>43522</v>
      </c>
      <c r="C135" s="585" t="s">
        <v>603</v>
      </c>
      <c r="D135" s="586" t="s">
        <v>569</v>
      </c>
      <c r="E135" s="585">
        <v>1</v>
      </c>
      <c r="G135">
        <f t="shared" si="1"/>
        <v>1</v>
      </c>
    </row>
    <row r="136" spans="2:7" ht="42.75">
      <c r="B136" s="581">
        <v>43508</v>
      </c>
      <c r="C136" s="582" t="s">
        <v>603</v>
      </c>
      <c r="D136" s="583" t="s">
        <v>569</v>
      </c>
      <c r="E136" s="582">
        <v>1</v>
      </c>
      <c r="G136">
        <f t="shared" si="1"/>
        <v>1</v>
      </c>
    </row>
    <row r="137" spans="2:7" ht="28.5">
      <c r="B137" s="584">
        <v>43524</v>
      </c>
      <c r="C137" s="585" t="s">
        <v>614</v>
      </c>
      <c r="D137" s="586" t="s">
        <v>569</v>
      </c>
      <c r="E137" s="585">
        <v>1</v>
      </c>
      <c r="G137">
        <f t="shared" si="1"/>
        <v>1</v>
      </c>
    </row>
    <row r="138" spans="2:7" ht="28.5">
      <c r="B138" s="581">
        <v>43497</v>
      </c>
      <c r="C138" s="582" t="s">
        <v>614</v>
      </c>
      <c r="D138" s="583" t="s">
        <v>569</v>
      </c>
      <c r="E138" s="582">
        <v>1</v>
      </c>
      <c r="G138">
        <f t="shared" si="1"/>
        <v>1</v>
      </c>
    </row>
    <row r="139" spans="2:7" ht="28.5">
      <c r="B139" s="584">
        <v>43517</v>
      </c>
      <c r="C139" s="585" t="s">
        <v>614</v>
      </c>
      <c r="D139" s="586" t="s">
        <v>569</v>
      </c>
      <c r="E139" s="585">
        <v>1</v>
      </c>
      <c r="G139">
        <f t="shared" si="1"/>
        <v>1</v>
      </c>
    </row>
    <row r="140" spans="2:7" ht="28.5">
      <c r="B140" s="581">
        <v>43518</v>
      </c>
      <c r="C140" s="582" t="s">
        <v>614</v>
      </c>
      <c r="D140" s="583" t="s">
        <v>569</v>
      </c>
      <c r="E140" s="582">
        <v>1</v>
      </c>
      <c r="G140">
        <f t="shared" si="1"/>
        <v>1</v>
      </c>
    </row>
    <row r="141" spans="2:7" ht="28.5">
      <c r="B141" s="584">
        <v>43516</v>
      </c>
      <c r="C141" s="585" t="s">
        <v>614</v>
      </c>
      <c r="D141" s="586" t="s">
        <v>569</v>
      </c>
      <c r="E141" s="585">
        <v>1</v>
      </c>
      <c r="G141">
        <f t="shared" si="1"/>
        <v>1</v>
      </c>
    </row>
    <row r="142" spans="2:7" ht="28.5">
      <c r="B142" s="581">
        <v>43523</v>
      </c>
      <c r="C142" s="582" t="s">
        <v>604</v>
      </c>
      <c r="D142" s="583" t="s">
        <v>569</v>
      </c>
      <c r="E142" s="582">
        <v>1</v>
      </c>
      <c r="G142">
        <f t="shared" si="1"/>
        <v>1</v>
      </c>
    </row>
    <row r="143" spans="2:7" ht="28.5">
      <c r="B143" s="584">
        <v>43524</v>
      </c>
      <c r="C143" s="585" t="s">
        <v>604</v>
      </c>
      <c r="D143" s="586" t="s">
        <v>569</v>
      </c>
      <c r="E143" s="585">
        <v>1</v>
      </c>
      <c r="G143">
        <f t="shared" si="1"/>
        <v>1</v>
      </c>
    </row>
    <row r="144" spans="2:7" ht="28.5">
      <c r="B144" s="581">
        <v>43517</v>
      </c>
      <c r="C144" s="582" t="s">
        <v>604</v>
      </c>
      <c r="D144" s="583" t="s">
        <v>590</v>
      </c>
      <c r="E144" s="582">
        <v>1</v>
      </c>
      <c r="G144">
        <f t="shared" si="1"/>
        <v>0</v>
      </c>
    </row>
    <row r="145" spans="2:7" ht="42.75">
      <c r="B145" s="584">
        <v>43515</v>
      </c>
      <c r="C145" s="585" t="s">
        <v>615</v>
      </c>
      <c r="D145" s="586" t="s">
        <v>616</v>
      </c>
      <c r="E145" s="585">
        <v>1</v>
      </c>
      <c r="G145">
        <f t="shared" si="1"/>
        <v>0</v>
      </c>
    </row>
    <row r="146" spans="2:7" ht="28.5">
      <c r="B146" s="581">
        <v>43515</v>
      </c>
      <c r="C146" s="582" t="s">
        <v>605</v>
      </c>
      <c r="D146" s="583" t="s">
        <v>571</v>
      </c>
      <c r="E146" s="582">
        <v>1</v>
      </c>
      <c r="G146">
        <f t="shared" si="1"/>
        <v>0</v>
      </c>
    </row>
    <row r="147" spans="2:7" ht="71.25">
      <c r="B147" s="584">
        <v>43553</v>
      </c>
      <c r="C147" s="585" t="s">
        <v>617</v>
      </c>
      <c r="D147" s="586" t="s">
        <v>618</v>
      </c>
      <c r="E147" s="585">
        <v>2</v>
      </c>
      <c r="G147">
        <f t="shared" si="1"/>
        <v>0</v>
      </c>
    </row>
    <row r="148" spans="2:7" ht="42.75">
      <c r="B148" s="581">
        <v>43528</v>
      </c>
      <c r="C148" s="582" t="s">
        <v>568</v>
      </c>
      <c r="D148" s="583" t="s">
        <v>569</v>
      </c>
      <c r="E148" s="582">
        <v>1</v>
      </c>
      <c r="G148">
        <f t="shared" si="1"/>
        <v>1</v>
      </c>
    </row>
    <row r="149" spans="2:7" ht="28.5">
      <c r="B149" s="584">
        <v>43532</v>
      </c>
      <c r="C149" s="585" t="s">
        <v>608</v>
      </c>
      <c r="D149" s="586" t="s">
        <v>569</v>
      </c>
      <c r="E149" s="585">
        <v>1</v>
      </c>
      <c r="G149">
        <f t="shared" si="1"/>
        <v>1</v>
      </c>
    </row>
    <row r="150" spans="2:7" ht="57">
      <c r="B150" s="581">
        <v>43530</v>
      </c>
      <c r="C150" s="582" t="s">
        <v>570</v>
      </c>
      <c r="D150" s="583" t="s">
        <v>569</v>
      </c>
      <c r="E150" s="582">
        <v>1</v>
      </c>
      <c r="G150">
        <f t="shared" si="1"/>
        <v>1</v>
      </c>
    </row>
    <row r="151" spans="2:7" ht="57">
      <c r="B151" s="584">
        <v>43553</v>
      </c>
      <c r="C151" s="585" t="s">
        <v>570</v>
      </c>
      <c r="D151" s="586" t="s">
        <v>571</v>
      </c>
      <c r="E151" s="585">
        <v>1</v>
      </c>
      <c r="G151">
        <f t="shared" si="1"/>
        <v>0</v>
      </c>
    </row>
    <row r="152" spans="2:7" ht="28.5">
      <c r="B152" s="581">
        <v>43555</v>
      </c>
      <c r="C152" s="582" t="s">
        <v>572</v>
      </c>
      <c r="D152" s="583" t="s">
        <v>573</v>
      </c>
      <c r="E152" s="582">
        <v>1</v>
      </c>
      <c r="G152">
        <f t="shared" si="1"/>
        <v>0</v>
      </c>
    </row>
    <row r="153" spans="2:7" ht="71.25">
      <c r="B153" s="584">
        <v>43552</v>
      </c>
      <c r="C153" s="585" t="s">
        <v>619</v>
      </c>
      <c r="D153" s="586" t="s">
        <v>590</v>
      </c>
      <c r="E153" s="585">
        <v>1</v>
      </c>
      <c r="G153">
        <f t="shared" si="1"/>
        <v>0</v>
      </c>
    </row>
    <row r="154" spans="2:7" ht="42.75">
      <c r="B154" s="581">
        <v>43525</v>
      </c>
      <c r="C154" s="582" t="s">
        <v>620</v>
      </c>
      <c r="D154" s="583" t="s">
        <v>618</v>
      </c>
      <c r="E154" s="582">
        <v>1</v>
      </c>
      <c r="G154">
        <f t="shared" si="1"/>
        <v>0</v>
      </c>
    </row>
    <row r="155" spans="2:7" ht="42.75">
      <c r="B155" s="584">
        <v>43536</v>
      </c>
      <c r="C155" s="585" t="s">
        <v>620</v>
      </c>
      <c r="D155" s="586" t="s">
        <v>618</v>
      </c>
      <c r="E155" s="585">
        <v>1</v>
      </c>
      <c r="G155">
        <f t="shared" si="1"/>
        <v>0</v>
      </c>
    </row>
    <row r="156" spans="2:7" ht="57">
      <c r="B156" s="581">
        <v>43535</v>
      </c>
      <c r="C156" s="582" t="s">
        <v>575</v>
      </c>
      <c r="D156" s="583" t="s">
        <v>569</v>
      </c>
      <c r="E156" s="582">
        <v>1</v>
      </c>
      <c r="G156">
        <f t="shared" si="1"/>
        <v>1</v>
      </c>
    </row>
    <row r="157" spans="2:7" ht="99.75">
      <c r="B157" s="584">
        <v>43543</v>
      </c>
      <c r="C157" s="585" t="s">
        <v>577</v>
      </c>
      <c r="D157" s="586" t="s">
        <v>578</v>
      </c>
      <c r="E157" s="585">
        <v>1</v>
      </c>
      <c r="G157">
        <f t="shared" si="1"/>
        <v>0</v>
      </c>
    </row>
    <row r="158" spans="2:7" ht="99.75">
      <c r="B158" s="581">
        <v>43551</v>
      </c>
      <c r="C158" s="582" t="s">
        <v>577</v>
      </c>
      <c r="D158" s="583" t="s">
        <v>578</v>
      </c>
      <c r="E158" s="582">
        <v>1</v>
      </c>
      <c r="G158">
        <f t="shared" si="1"/>
        <v>0</v>
      </c>
    </row>
    <row r="159" spans="2:7" ht="42.75">
      <c r="B159" s="584">
        <v>43525</v>
      </c>
      <c r="C159" s="585" t="s">
        <v>621</v>
      </c>
      <c r="D159" s="586" t="s">
        <v>580</v>
      </c>
      <c r="E159" s="585">
        <v>1</v>
      </c>
      <c r="G159">
        <f t="shared" si="1"/>
        <v>0</v>
      </c>
    </row>
    <row r="160" spans="2:7" ht="85.5">
      <c r="B160" s="581">
        <v>43549</v>
      </c>
      <c r="C160" s="582" t="s">
        <v>579</v>
      </c>
      <c r="D160" s="583" t="s">
        <v>580</v>
      </c>
      <c r="E160" s="582">
        <v>1</v>
      </c>
      <c r="G160">
        <f t="shared" si="1"/>
        <v>0</v>
      </c>
    </row>
    <row r="161" spans="2:7" ht="71.25">
      <c r="B161" s="584">
        <v>43555</v>
      </c>
      <c r="C161" s="585" t="s">
        <v>581</v>
      </c>
      <c r="D161" s="586" t="s">
        <v>582</v>
      </c>
      <c r="E161" s="585">
        <v>1</v>
      </c>
      <c r="G161">
        <f t="shared" si="1"/>
        <v>0</v>
      </c>
    </row>
    <row r="162" spans="2:7" ht="71.25">
      <c r="B162" s="581">
        <v>43535</v>
      </c>
      <c r="C162" s="582" t="s">
        <v>581</v>
      </c>
      <c r="D162" s="583" t="s">
        <v>582</v>
      </c>
      <c r="E162" s="582">
        <v>1</v>
      </c>
      <c r="G162">
        <f t="shared" si="1"/>
        <v>0</v>
      </c>
    </row>
    <row r="163" spans="2:7" ht="71.25">
      <c r="B163" s="584">
        <v>43553</v>
      </c>
      <c r="C163" s="585" t="s">
        <v>581</v>
      </c>
      <c r="D163" s="586" t="s">
        <v>582</v>
      </c>
      <c r="E163" s="585">
        <v>2</v>
      </c>
      <c r="G163">
        <f t="shared" si="1"/>
        <v>0</v>
      </c>
    </row>
    <row r="164" spans="2:7" ht="57">
      <c r="B164" s="581">
        <v>43528</v>
      </c>
      <c r="C164" s="582" t="s">
        <v>609</v>
      </c>
      <c r="D164" s="583" t="s">
        <v>569</v>
      </c>
      <c r="E164" s="582">
        <v>1</v>
      </c>
      <c r="G164">
        <f t="shared" si="1"/>
        <v>1</v>
      </c>
    </row>
    <row r="165" spans="2:7" ht="57">
      <c r="B165" s="584">
        <v>43549</v>
      </c>
      <c r="C165" s="585" t="s">
        <v>609</v>
      </c>
      <c r="D165" s="586" t="s">
        <v>571</v>
      </c>
      <c r="E165" s="585">
        <v>1</v>
      </c>
      <c r="G165">
        <f t="shared" si="1"/>
        <v>0</v>
      </c>
    </row>
    <row r="166" spans="2:7" ht="57">
      <c r="B166" s="581">
        <v>43547</v>
      </c>
      <c r="C166" s="582" t="s">
        <v>610</v>
      </c>
      <c r="D166" s="583" t="s">
        <v>578</v>
      </c>
      <c r="E166" s="582">
        <v>3</v>
      </c>
      <c r="G166">
        <f t="shared" si="1"/>
        <v>0</v>
      </c>
    </row>
    <row r="167" spans="2:7" ht="57">
      <c r="B167" s="584">
        <v>43553</v>
      </c>
      <c r="C167" s="585" t="s">
        <v>610</v>
      </c>
      <c r="D167" s="586" t="s">
        <v>571</v>
      </c>
      <c r="E167" s="585">
        <v>1</v>
      </c>
      <c r="G167">
        <f t="shared" si="1"/>
        <v>0</v>
      </c>
    </row>
    <row r="168" spans="2:7" ht="57">
      <c r="B168" s="581">
        <v>43552</v>
      </c>
      <c r="C168" s="582" t="s">
        <v>610</v>
      </c>
      <c r="D168" s="583" t="s">
        <v>571</v>
      </c>
      <c r="E168" s="582">
        <v>1</v>
      </c>
      <c r="G168">
        <f t="shared" si="1"/>
        <v>0</v>
      </c>
    </row>
    <row r="169" spans="2:7" ht="57">
      <c r="B169" s="584">
        <v>43542</v>
      </c>
      <c r="C169" s="585" t="s">
        <v>610</v>
      </c>
      <c r="D169" s="586" t="s">
        <v>571</v>
      </c>
      <c r="E169" s="585">
        <v>1</v>
      </c>
      <c r="G169">
        <f t="shared" si="1"/>
        <v>0</v>
      </c>
    </row>
    <row r="170" spans="2:7" ht="57">
      <c r="B170" s="581">
        <v>43528</v>
      </c>
      <c r="C170" s="582" t="s">
        <v>622</v>
      </c>
      <c r="D170" s="583" t="s">
        <v>569</v>
      </c>
      <c r="E170" s="582">
        <v>1</v>
      </c>
      <c r="G170">
        <f t="shared" si="1"/>
        <v>1</v>
      </c>
    </row>
    <row r="171" spans="2:7" ht="42.75">
      <c r="B171" s="584">
        <v>43553</v>
      </c>
      <c r="C171" s="585" t="s">
        <v>588</v>
      </c>
      <c r="D171" s="586" t="s">
        <v>573</v>
      </c>
      <c r="E171" s="585">
        <v>1</v>
      </c>
      <c r="G171">
        <f t="shared" si="1"/>
        <v>0</v>
      </c>
    </row>
    <row r="172" spans="2:7" ht="42.75">
      <c r="B172" s="581">
        <v>43525</v>
      </c>
      <c r="C172" s="582" t="s">
        <v>588</v>
      </c>
      <c r="D172" s="583" t="s">
        <v>573</v>
      </c>
      <c r="E172" s="582">
        <v>1</v>
      </c>
      <c r="G172">
        <f t="shared" si="1"/>
        <v>0</v>
      </c>
    </row>
    <row r="173" spans="2:7" ht="57">
      <c r="B173" s="584">
        <v>43553</v>
      </c>
      <c r="C173" s="585" t="s">
        <v>623</v>
      </c>
      <c r="D173" s="586" t="s">
        <v>584</v>
      </c>
      <c r="E173" s="585">
        <v>1</v>
      </c>
      <c r="G173">
        <f t="shared" si="1"/>
        <v>0</v>
      </c>
    </row>
    <row r="174" spans="2:7" ht="42.75">
      <c r="B174" s="581">
        <v>43539</v>
      </c>
      <c r="C174" s="582" t="s">
        <v>589</v>
      </c>
      <c r="D174" s="583" t="s">
        <v>571</v>
      </c>
      <c r="E174" s="582">
        <v>1</v>
      </c>
      <c r="G174">
        <f t="shared" si="1"/>
        <v>0</v>
      </c>
    </row>
    <row r="175" spans="2:7" ht="42.75">
      <c r="B175" s="584">
        <v>43536</v>
      </c>
      <c r="C175" s="585" t="s">
        <v>591</v>
      </c>
      <c r="D175" s="586" t="s">
        <v>592</v>
      </c>
      <c r="E175" s="585">
        <v>1</v>
      </c>
      <c r="G175">
        <f t="shared" si="1"/>
        <v>0</v>
      </c>
    </row>
    <row r="176" spans="2:7" ht="42.75">
      <c r="B176" s="581">
        <v>43553</v>
      </c>
      <c r="C176" s="582" t="s">
        <v>591</v>
      </c>
      <c r="D176" s="583" t="s">
        <v>592</v>
      </c>
      <c r="E176" s="582">
        <v>1</v>
      </c>
      <c r="G176">
        <f t="shared" si="1"/>
        <v>0</v>
      </c>
    </row>
    <row r="177" spans="2:7" ht="42.75">
      <c r="B177" s="584">
        <v>43549</v>
      </c>
      <c r="C177" s="585" t="s">
        <v>624</v>
      </c>
      <c r="D177" s="586" t="s">
        <v>571</v>
      </c>
      <c r="E177" s="585">
        <v>1</v>
      </c>
      <c r="G177">
        <f t="shared" si="1"/>
        <v>0</v>
      </c>
    </row>
    <row r="178" spans="2:7" ht="71.25">
      <c r="B178" s="581">
        <v>43550</v>
      </c>
      <c r="C178" s="582" t="s">
        <v>596</v>
      </c>
      <c r="D178" s="583" t="s">
        <v>571</v>
      </c>
      <c r="E178" s="582">
        <v>1</v>
      </c>
      <c r="G178">
        <f t="shared" si="1"/>
        <v>0</v>
      </c>
    </row>
    <row r="179" spans="2:7" ht="71.25">
      <c r="B179" s="584">
        <v>43543</v>
      </c>
      <c r="C179" s="585" t="s">
        <v>596</v>
      </c>
      <c r="D179" s="586" t="s">
        <v>571</v>
      </c>
      <c r="E179" s="585">
        <v>1</v>
      </c>
      <c r="G179">
        <f t="shared" si="1"/>
        <v>0</v>
      </c>
    </row>
    <row r="180" spans="2:7" ht="57">
      <c r="B180" s="581">
        <v>43552</v>
      </c>
      <c r="C180" s="582" t="s">
        <v>625</v>
      </c>
      <c r="D180" s="583" t="s">
        <v>571</v>
      </c>
      <c r="E180" s="582">
        <v>1</v>
      </c>
      <c r="G180">
        <f t="shared" si="1"/>
        <v>0</v>
      </c>
    </row>
    <row r="181" spans="2:7" ht="28.5">
      <c r="B181" s="584">
        <v>43536</v>
      </c>
      <c r="C181" s="585" t="s">
        <v>626</v>
      </c>
      <c r="D181" s="586" t="s">
        <v>571</v>
      </c>
      <c r="E181" s="585">
        <v>1</v>
      </c>
      <c r="G181">
        <f t="shared" si="1"/>
        <v>0</v>
      </c>
    </row>
    <row r="182" spans="2:7" ht="42.75">
      <c r="B182" s="581">
        <v>43550</v>
      </c>
      <c r="C182" s="582" t="s">
        <v>613</v>
      </c>
      <c r="D182" s="583" t="s">
        <v>584</v>
      </c>
      <c r="E182" s="582">
        <v>1</v>
      </c>
      <c r="G182">
        <f t="shared" ref="G182:G245" si="2">IF(D182="737 MAX",E182,0)</f>
        <v>0</v>
      </c>
    </row>
    <row r="183" spans="2:7" ht="42.75">
      <c r="B183" s="584">
        <v>43537</v>
      </c>
      <c r="C183" s="585" t="s">
        <v>600</v>
      </c>
      <c r="D183" s="586" t="s">
        <v>584</v>
      </c>
      <c r="E183" s="585">
        <v>1</v>
      </c>
      <c r="G183">
        <f t="shared" si="2"/>
        <v>0</v>
      </c>
    </row>
    <row r="184" spans="2:7" ht="42.75">
      <c r="B184" s="581">
        <v>43525</v>
      </c>
      <c r="C184" s="582" t="s">
        <v>627</v>
      </c>
      <c r="D184" s="583" t="s">
        <v>569</v>
      </c>
      <c r="E184" s="582">
        <v>1</v>
      </c>
      <c r="G184">
        <f t="shared" si="2"/>
        <v>1</v>
      </c>
    </row>
    <row r="185" spans="2:7" ht="42.75">
      <c r="B185" s="584">
        <v>43549</v>
      </c>
      <c r="C185" s="585" t="s">
        <v>627</v>
      </c>
      <c r="D185" s="586" t="s">
        <v>571</v>
      </c>
      <c r="E185" s="585">
        <v>1</v>
      </c>
      <c r="G185">
        <f t="shared" si="2"/>
        <v>0</v>
      </c>
    </row>
    <row r="186" spans="2:7" ht="57">
      <c r="B186" s="581">
        <v>43552</v>
      </c>
      <c r="C186" s="582" t="s">
        <v>601</v>
      </c>
      <c r="D186" s="583" t="s">
        <v>578</v>
      </c>
      <c r="E186" s="582">
        <v>1</v>
      </c>
      <c r="G186">
        <f t="shared" si="2"/>
        <v>0</v>
      </c>
    </row>
    <row r="187" spans="2:7" ht="57">
      <c r="B187" s="584">
        <v>43553</v>
      </c>
      <c r="C187" s="585" t="s">
        <v>601</v>
      </c>
      <c r="D187" s="586" t="s">
        <v>578</v>
      </c>
      <c r="E187" s="585">
        <v>1</v>
      </c>
      <c r="G187">
        <f t="shared" si="2"/>
        <v>0</v>
      </c>
    </row>
    <row r="188" spans="2:7" ht="42.75">
      <c r="B188" s="581">
        <v>43526</v>
      </c>
      <c r="C188" s="582" t="s">
        <v>602</v>
      </c>
      <c r="D188" s="583" t="s">
        <v>569</v>
      </c>
      <c r="E188" s="582">
        <v>1</v>
      </c>
      <c r="G188">
        <f t="shared" si="2"/>
        <v>1</v>
      </c>
    </row>
    <row r="189" spans="2:7" ht="28.5">
      <c r="B189" s="584">
        <v>43528</v>
      </c>
      <c r="C189" s="585" t="s">
        <v>628</v>
      </c>
      <c r="D189" s="586" t="s">
        <v>569</v>
      </c>
      <c r="E189" s="585">
        <v>1</v>
      </c>
      <c r="G189">
        <f t="shared" si="2"/>
        <v>1</v>
      </c>
    </row>
    <row r="190" spans="2:7" ht="42.75">
      <c r="B190" s="581">
        <v>43531</v>
      </c>
      <c r="C190" s="582" t="s">
        <v>629</v>
      </c>
      <c r="D190" s="583" t="s">
        <v>590</v>
      </c>
      <c r="E190" s="582">
        <v>1</v>
      </c>
      <c r="G190">
        <f t="shared" si="2"/>
        <v>0</v>
      </c>
    </row>
    <row r="191" spans="2:7" ht="42.75">
      <c r="B191" s="584">
        <v>43528</v>
      </c>
      <c r="C191" s="585" t="s">
        <v>603</v>
      </c>
      <c r="D191" s="586" t="s">
        <v>569</v>
      </c>
      <c r="E191" s="585">
        <v>1</v>
      </c>
      <c r="G191">
        <f t="shared" si="2"/>
        <v>1</v>
      </c>
    </row>
    <row r="192" spans="2:7" ht="28.5">
      <c r="B192" s="581">
        <v>43548</v>
      </c>
      <c r="C192" s="582" t="s">
        <v>604</v>
      </c>
      <c r="D192" s="583" t="s">
        <v>590</v>
      </c>
      <c r="E192" s="582">
        <v>1</v>
      </c>
      <c r="G192">
        <f t="shared" si="2"/>
        <v>0</v>
      </c>
    </row>
    <row r="193" spans="2:7" ht="28.5">
      <c r="B193" s="584">
        <v>43553</v>
      </c>
      <c r="C193" s="585" t="s">
        <v>604</v>
      </c>
      <c r="D193" s="586" t="s">
        <v>590</v>
      </c>
      <c r="E193" s="585">
        <v>1</v>
      </c>
      <c r="G193">
        <f t="shared" si="2"/>
        <v>0</v>
      </c>
    </row>
    <row r="194" spans="2:7">
      <c r="B194" s="581">
        <v>43538</v>
      </c>
      <c r="C194" s="582" t="s">
        <v>630</v>
      </c>
      <c r="D194" s="583" t="s">
        <v>616</v>
      </c>
      <c r="E194" s="582">
        <v>1</v>
      </c>
      <c r="G194">
        <f t="shared" si="2"/>
        <v>0</v>
      </c>
    </row>
    <row r="195" spans="2:7" ht="28.5">
      <c r="B195" s="584">
        <v>43538</v>
      </c>
      <c r="C195" s="585" t="s">
        <v>605</v>
      </c>
      <c r="D195" s="586" t="s">
        <v>571</v>
      </c>
      <c r="E195" s="585">
        <v>1</v>
      </c>
      <c r="G195">
        <f t="shared" si="2"/>
        <v>0</v>
      </c>
    </row>
    <row r="196" spans="2:7" ht="42.75">
      <c r="B196" s="581">
        <v>43525</v>
      </c>
      <c r="C196" s="582" t="s">
        <v>631</v>
      </c>
      <c r="D196" s="583" t="s">
        <v>569</v>
      </c>
      <c r="E196" s="582">
        <v>1</v>
      </c>
      <c r="G196">
        <f t="shared" si="2"/>
        <v>1</v>
      </c>
    </row>
    <row r="197" spans="2:7" ht="28.5">
      <c r="B197" s="584">
        <v>43557</v>
      </c>
      <c r="C197" s="585" t="s">
        <v>632</v>
      </c>
      <c r="D197" s="586" t="s">
        <v>571</v>
      </c>
      <c r="E197" s="585">
        <v>1</v>
      </c>
      <c r="G197">
        <f t="shared" si="2"/>
        <v>0</v>
      </c>
    </row>
    <row r="198" spans="2:7" ht="42.75">
      <c r="B198" s="581">
        <v>43584</v>
      </c>
      <c r="C198" s="582" t="s">
        <v>568</v>
      </c>
      <c r="D198" s="583" t="s">
        <v>571</v>
      </c>
      <c r="E198" s="582">
        <v>1</v>
      </c>
      <c r="G198">
        <f t="shared" si="2"/>
        <v>0</v>
      </c>
    </row>
    <row r="199" spans="2:7" ht="57">
      <c r="B199" s="584">
        <v>43579</v>
      </c>
      <c r="C199" s="585" t="s">
        <v>633</v>
      </c>
      <c r="D199" s="586" t="s">
        <v>571</v>
      </c>
      <c r="E199" s="585">
        <v>1</v>
      </c>
      <c r="G199">
        <f t="shared" si="2"/>
        <v>0</v>
      </c>
    </row>
    <row r="200" spans="2:7" ht="57">
      <c r="B200" s="581">
        <v>43570</v>
      </c>
      <c r="C200" s="582" t="s">
        <v>570</v>
      </c>
      <c r="D200" s="583" t="s">
        <v>571</v>
      </c>
      <c r="E200" s="582">
        <v>1</v>
      </c>
      <c r="G200">
        <f t="shared" si="2"/>
        <v>0</v>
      </c>
    </row>
    <row r="201" spans="2:7" ht="57">
      <c r="B201" s="584">
        <v>43563</v>
      </c>
      <c r="C201" s="585" t="s">
        <v>570</v>
      </c>
      <c r="D201" s="586" t="s">
        <v>571</v>
      </c>
      <c r="E201" s="585">
        <v>1</v>
      </c>
      <c r="G201">
        <f t="shared" si="2"/>
        <v>0</v>
      </c>
    </row>
    <row r="202" spans="2:7" ht="99.75">
      <c r="B202" s="581">
        <v>43579</v>
      </c>
      <c r="C202" s="582" t="s">
        <v>577</v>
      </c>
      <c r="D202" s="583" t="s">
        <v>578</v>
      </c>
      <c r="E202" s="582">
        <v>1</v>
      </c>
      <c r="G202">
        <f t="shared" si="2"/>
        <v>0</v>
      </c>
    </row>
    <row r="203" spans="2:7" ht="42.75">
      <c r="B203" s="584">
        <v>43585</v>
      </c>
      <c r="C203" s="585" t="s">
        <v>621</v>
      </c>
      <c r="D203" s="586" t="s">
        <v>580</v>
      </c>
      <c r="E203" s="585">
        <v>1</v>
      </c>
      <c r="G203">
        <f t="shared" si="2"/>
        <v>0</v>
      </c>
    </row>
    <row r="204" spans="2:7" ht="42.75">
      <c r="B204" s="581">
        <v>43567</v>
      </c>
      <c r="C204" s="582" t="s">
        <v>621</v>
      </c>
      <c r="D204" s="583" t="s">
        <v>580</v>
      </c>
      <c r="E204" s="582">
        <v>1</v>
      </c>
      <c r="G204">
        <f t="shared" si="2"/>
        <v>0</v>
      </c>
    </row>
    <row r="205" spans="2:7" ht="57">
      <c r="B205" s="584">
        <v>43572</v>
      </c>
      <c r="C205" s="585" t="s">
        <v>609</v>
      </c>
      <c r="D205" s="586" t="s">
        <v>571</v>
      </c>
      <c r="E205" s="585">
        <v>1</v>
      </c>
      <c r="G205">
        <f t="shared" si="2"/>
        <v>0</v>
      </c>
    </row>
    <row r="206" spans="2:7" ht="57">
      <c r="B206" s="581">
        <v>43574</v>
      </c>
      <c r="C206" s="582" t="s">
        <v>610</v>
      </c>
      <c r="D206" s="583" t="s">
        <v>578</v>
      </c>
      <c r="E206" s="582">
        <v>1</v>
      </c>
      <c r="G206">
        <f t="shared" si="2"/>
        <v>0</v>
      </c>
    </row>
    <row r="207" spans="2:7" ht="57">
      <c r="B207" s="584">
        <v>43572</v>
      </c>
      <c r="C207" s="585" t="s">
        <v>634</v>
      </c>
      <c r="D207" s="586" t="s">
        <v>618</v>
      </c>
      <c r="E207" s="585">
        <v>1</v>
      </c>
      <c r="G207">
        <f t="shared" si="2"/>
        <v>0</v>
      </c>
    </row>
    <row r="208" spans="2:7" ht="57">
      <c r="B208" s="581">
        <v>43585</v>
      </c>
      <c r="C208" s="582" t="s">
        <v>622</v>
      </c>
      <c r="D208" s="583" t="s">
        <v>571</v>
      </c>
      <c r="E208" s="582">
        <v>1</v>
      </c>
      <c r="G208">
        <f t="shared" si="2"/>
        <v>0</v>
      </c>
    </row>
    <row r="209" spans="2:7" ht="42.75">
      <c r="B209" s="584">
        <v>43557</v>
      </c>
      <c r="C209" s="585" t="s">
        <v>588</v>
      </c>
      <c r="D209" s="586" t="s">
        <v>573</v>
      </c>
      <c r="E209" s="585">
        <v>1</v>
      </c>
      <c r="G209">
        <f t="shared" si="2"/>
        <v>0</v>
      </c>
    </row>
    <row r="210" spans="2:7" ht="42.75">
      <c r="B210" s="581">
        <v>43584</v>
      </c>
      <c r="C210" s="582" t="s">
        <v>588</v>
      </c>
      <c r="D210" s="583" t="s">
        <v>573</v>
      </c>
      <c r="E210" s="582">
        <v>1</v>
      </c>
      <c r="G210">
        <f t="shared" si="2"/>
        <v>0</v>
      </c>
    </row>
    <row r="211" spans="2:7" ht="42.75">
      <c r="B211" s="584">
        <v>43558</v>
      </c>
      <c r="C211" s="585" t="s">
        <v>588</v>
      </c>
      <c r="D211" s="586" t="s">
        <v>573</v>
      </c>
      <c r="E211" s="585">
        <v>1</v>
      </c>
      <c r="G211">
        <f t="shared" si="2"/>
        <v>0</v>
      </c>
    </row>
    <row r="212" spans="2:7" ht="42.75">
      <c r="B212" s="581">
        <v>43585</v>
      </c>
      <c r="C212" s="582" t="s">
        <v>588</v>
      </c>
      <c r="D212" s="583" t="s">
        <v>573</v>
      </c>
      <c r="E212" s="582">
        <v>1</v>
      </c>
      <c r="G212">
        <f t="shared" si="2"/>
        <v>0</v>
      </c>
    </row>
    <row r="213" spans="2:7" ht="71.25">
      <c r="B213" s="584">
        <v>43571</v>
      </c>
      <c r="C213" s="585" t="s">
        <v>596</v>
      </c>
      <c r="D213" s="586" t="s">
        <v>571</v>
      </c>
      <c r="E213" s="585">
        <v>1</v>
      </c>
      <c r="G213">
        <f t="shared" si="2"/>
        <v>0</v>
      </c>
    </row>
    <row r="214" spans="2:7" ht="57">
      <c r="B214" s="581">
        <v>43584</v>
      </c>
      <c r="C214" s="582" t="s">
        <v>601</v>
      </c>
      <c r="D214" s="583" t="s">
        <v>578</v>
      </c>
      <c r="E214" s="582">
        <v>1</v>
      </c>
      <c r="G214">
        <f t="shared" si="2"/>
        <v>0</v>
      </c>
    </row>
    <row r="215" spans="2:7" ht="57">
      <c r="B215" s="584">
        <v>43574</v>
      </c>
      <c r="C215" s="585" t="s">
        <v>635</v>
      </c>
      <c r="D215" s="586" t="s">
        <v>571</v>
      </c>
      <c r="E215" s="585">
        <v>1</v>
      </c>
      <c r="G215">
        <f t="shared" si="2"/>
        <v>0</v>
      </c>
    </row>
    <row r="216" spans="2:7" ht="42.75">
      <c r="B216" s="581">
        <v>43579</v>
      </c>
      <c r="C216" s="582" t="s">
        <v>629</v>
      </c>
      <c r="D216" s="583" t="s">
        <v>590</v>
      </c>
      <c r="E216" s="582">
        <v>1</v>
      </c>
      <c r="G216">
        <f t="shared" si="2"/>
        <v>0</v>
      </c>
    </row>
    <row r="217" spans="2:7" ht="28.5">
      <c r="B217" s="584">
        <v>43581</v>
      </c>
      <c r="C217" s="585" t="s">
        <v>604</v>
      </c>
      <c r="D217" s="586" t="s">
        <v>590</v>
      </c>
      <c r="E217" s="585">
        <v>1</v>
      </c>
      <c r="G217">
        <f t="shared" si="2"/>
        <v>0</v>
      </c>
    </row>
    <row r="218" spans="2:7">
      <c r="B218" s="581">
        <v>43585</v>
      </c>
      <c r="C218" s="582" t="s">
        <v>630</v>
      </c>
      <c r="D218" s="583" t="s">
        <v>616</v>
      </c>
      <c r="E218" s="582">
        <v>1</v>
      </c>
      <c r="G218">
        <f t="shared" si="2"/>
        <v>0</v>
      </c>
    </row>
    <row r="219" spans="2:7" ht="57">
      <c r="B219" s="584">
        <v>43565</v>
      </c>
      <c r="C219" s="585" t="s">
        <v>636</v>
      </c>
      <c r="D219" s="586" t="s">
        <v>637</v>
      </c>
      <c r="E219" s="585">
        <v>1</v>
      </c>
      <c r="G219">
        <f t="shared" si="2"/>
        <v>0</v>
      </c>
    </row>
    <row r="220" spans="2:7" ht="57">
      <c r="B220" s="581">
        <v>43602</v>
      </c>
      <c r="C220" s="582" t="s">
        <v>633</v>
      </c>
      <c r="D220" s="583" t="s">
        <v>571</v>
      </c>
      <c r="E220" s="582">
        <v>1</v>
      </c>
      <c r="G220">
        <f t="shared" si="2"/>
        <v>0</v>
      </c>
    </row>
    <row r="221" spans="2:7" ht="57">
      <c r="B221" s="584">
        <v>43600</v>
      </c>
      <c r="C221" s="585" t="s">
        <v>570</v>
      </c>
      <c r="D221" s="586" t="s">
        <v>571</v>
      </c>
      <c r="E221" s="585">
        <v>1</v>
      </c>
      <c r="G221">
        <f t="shared" si="2"/>
        <v>0</v>
      </c>
    </row>
    <row r="222" spans="2:7" ht="71.25">
      <c r="B222" s="581">
        <v>43613</v>
      </c>
      <c r="C222" s="582" t="s">
        <v>619</v>
      </c>
      <c r="D222" s="583" t="s">
        <v>571</v>
      </c>
      <c r="E222" s="582">
        <v>1</v>
      </c>
      <c r="G222">
        <f t="shared" si="2"/>
        <v>0</v>
      </c>
    </row>
    <row r="223" spans="2:7" ht="28.5">
      <c r="B223" s="584">
        <v>43614</v>
      </c>
      <c r="C223" s="585" t="s">
        <v>638</v>
      </c>
      <c r="D223" s="586" t="s">
        <v>571</v>
      </c>
      <c r="E223" s="585">
        <v>1</v>
      </c>
      <c r="G223">
        <f t="shared" si="2"/>
        <v>0</v>
      </c>
    </row>
    <row r="224" spans="2:7" ht="85.5">
      <c r="B224" s="581">
        <v>43607</v>
      </c>
      <c r="C224" s="582" t="s">
        <v>579</v>
      </c>
      <c r="D224" s="583" t="s">
        <v>580</v>
      </c>
      <c r="E224" s="582">
        <v>1</v>
      </c>
      <c r="G224">
        <f t="shared" si="2"/>
        <v>0</v>
      </c>
    </row>
    <row r="225" spans="2:7" ht="71.25">
      <c r="B225" s="584">
        <v>43607</v>
      </c>
      <c r="C225" s="585" t="s">
        <v>581</v>
      </c>
      <c r="D225" s="586" t="s">
        <v>582</v>
      </c>
      <c r="E225" s="585">
        <v>1</v>
      </c>
      <c r="G225">
        <f t="shared" si="2"/>
        <v>0</v>
      </c>
    </row>
    <row r="226" spans="2:7" ht="71.25">
      <c r="B226" s="581">
        <v>43590</v>
      </c>
      <c r="C226" s="582" t="s">
        <v>581</v>
      </c>
      <c r="D226" s="583" t="s">
        <v>582</v>
      </c>
      <c r="E226" s="582">
        <v>1</v>
      </c>
      <c r="G226">
        <f t="shared" si="2"/>
        <v>0</v>
      </c>
    </row>
    <row r="227" spans="2:7" ht="71.25">
      <c r="B227" s="584">
        <v>43608</v>
      </c>
      <c r="C227" s="585" t="s">
        <v>581</v>
      </c>
      <c r="D227" s="586" t="s">
        <v>582</v>
      </c>
      <c r="E227" s="585">
        <v>1</v>
      </c>
      <c r="G227">
        <f t="shared" si="2"/>
        <v>0</v>
      </c>
    </row>
    <row r="228" spans="2:7" ht="71.25">
      <c r="B228" s="581">
        <v>43602</v>
      </c>
      <c r="C228" s="582" t="s">
        <v>581</v>
      </c>
      <c r="D228" s="583" t="s">
        <v>582</v>
      </c>
      <c r="E228" s="582">
        <v>1</v>
      </c>
      <c r="G228">
        <f t="shared" si="2"/>
        <v>0</v>
      </c>
    </row>
    <row r="229" spans="2:7" ht="57">
      <c r="B229" s="584">
        <v>43606</v>
      </c>
      <c r="C229" s="585" t="s">
        <v>609</v>
      </c>
      <c r="D229" s="586" t="s">
        <v>578</v>
      </c>
      <c r="E229" s="585">
        <v>1</v>
      </c>
      <c r="G229">
        <f t="shared" si="2"/>
        <v>0</v>
      </c>
    </row>
    <row r="230" spans="2:7" ht="57">
      <c r="B230" s="581">
        <v>43586</v>
      </c>
      <c r="C230" s="582" t="s">
        <v>609</v>
      </c>
      <c r="D230" s="583" t="s">
        <v>571</v>
      </c>
      <c r="E230" s="582">
        <v>1</v>
      </c>
      <c r="G230">
        <f t="shared" si="2"/>
        <v>0</v>
      </c>
    </row>
    <row r="231" spans="2:7" ht="57">
      <c r="B231" s="584">
        <v>43607</v>
      </c>
      <c r="C231" s="585" t="s">
        <v>609</v>
      </c>
      <c r="D231" s="586" t="s">
        <v>571</v>
      </c>
      <c r="E231" s="585">
        <v>1</v>
      </c>
      <c r="G231">
        <f t="shared" si="2"/>
        <v>0</v>
      </c>
    </row>
    <row r="232" spans="2:7" ht="57">
      <c r="B232" s="581">
        <v>43608</v>
      </c>
      <c r="C232" s="582" t="s">
        <v>610</v>
      </c>
      <c r="D232" s="583" t="s">
        <v>578</v>
      </c>
      <c r="E232" s="582">
        <v>1</v>
      </c>
      <c r="G232">
        <f t="shared" si="2"/>
        <v>0</v>
      </c>
    </row>
    <row r="233" spans="2:7" ht="57">
      <c r="B233" s="584">
        <v>43613</v>
      </c>
      <c r="C233" s="585" t="s">
        <v>634</v>
      </c>
      <c r="D233" s="586" t="s">
        <v>618</v>
      </c>
      <c r="E233" s="585">
        <v>1</v>
      </c>
      <c r="G233">
        <f t="shared" si="2"/>
        <v>0</v>
      </c>
    </row>
    <row r="234" spans="2:7" ht="57">
      <c r="B234" s="581">
        <v>43613</v>
      </c>
      <c r="C234" s="582" t="s">
        <v>634</v>
      </c>
      <c r="D234" s="583" t="s">
        <v>571</v>
      </c>
      <c r="E234" s="582">
        <v>1</v>
      </c>
      <c r="G234">
        <f t="shared" si="2"/>
        <v>0</v>
      </c>
    </row>
    <row r="235" spans="2:7" ht="42.75">
      <c r="B235" s="584">
        <v>43610</v>
      </c>
      <c r="C235" s="585" t="s">
        <v>588</v>
      </c>
      <c r="D235" s="586" t="s">
        <v>573</v>
      </c>
      <c r="E235" s="585">
        <v>1</v>
      </c>
      <c r="G235">
        <f t="shared" si="2"/>
        <v>0</v>
      </c>
    </row>
    <row r="236" spans="2:7" ht="42.75">
      <c r="B236" s="581">
        <v>43592</v>
      </c>
      <c r="C236" s="582" t="s">
        <v>588</v>
      </c>
      <c r="D236" s="583" t="s">
        <v>573</v>
      </c>
      <c r="E236" s="582">
        <v>1</v>
      </c>
      <c r="G236">
        <f t="shared" si="2"/>
        <v>0</v>
      </c>
    </row>
    <row r="237" spans="2:7" ht="42.75">
      <c r="B237" s="584">
        <v>43616</v>
      </c>
      <c r="C237" s="585" t="s">
        <v>588</v>
      </c>
      <c r="D237" s="586" t="s">
        <v>573</v>
      </c>
      <c r="E237" s="585">
        <v>2</v>
      </c>
      <c r="G237">
        <f t="shared" si="2"/>
        <v>0</v>
      </c>
    </row>
    <row r="238" spans="2:7">
      <c r="B238" s="581">
        <v>43595</v>
      </c>
      <c r="C238" s="582" t="s">
        <v>639</v>
      </c>
      <c r="D238" s="583" t="s">
        <v>584</v>
      </c>
      <c r="E238" s="582">
        <v>1</v>
      </c>
      <c r="G238">
        <f t="shared" si="2"/>
        <v>0</v>
      </c>
    </row>
    <row r="239" spans="2:7" ht="42.75">
      <c r="B239" s="584">
        <v>43605</v>
      </c>
      <c r="C239" s="585" t="s">
        <v>589</v>
      </c>
      <c r="D239" s="586" t="s">
        <v>590</v>
      </c>
      <c r="E239" s="585">
        <v>1</v>
      </c>
      <c r="G239">
        <f t="shared" si="2"/>
        <v>0</v>
      </c>
    </row>
    <row r="240" spans="2:7" ht="28.5">
      <c r="B240" s="581">
        <v>43614</v>
      </c>
      <c r="C240" s="582" t="s">
        <v>640</v>
      </c>
      <c r="D240" s="583" t="s">
        <v>584</v>
      </c>
      <c r="E240" s="582">
        <v>1</v>
      </c>
      <c r="G240">
        <f t="shared" si="2"/>
        <v>0</v>
      </c>
    </row>
    <row r="241" spans="2:7" ht="42.75">
      <c r="B241" s="584">
        <v>43614</v>
      </c>
      <c r="C241" s="585" t="s">
        <v>591</v>
      </c>
      <c r="D241" s="586" t="s">
        <v>592</v>
      </c>
      <c r="E241" s="585">
        <v>1</v>
      </c>
      <c r="G241">
        <f t="shared" si="2"/>
        <v>0</v>
      </c>
    </row>
    <row r="242" spans="2:7" ht="42.75">
      <c r="B242" s="581">
        <v>43588</v>
      </c>
      <c r="C242" s="582" t="s">
        <v>591</v>
      </c>
      <c r="D242" s="583" t="s">
        <v>592</v>
      </c>
      <c r="E242" s="582">
        <v>1</v>
      </c>
      <c r="G242">
        <f t="shared" si="2"/>
        <v>0</v>
      </c>
    </row>
    <row r="243" spans="2:7" ht="42.75">
      <c r="B243" s="584">
        <v>43595</v>
      </c>
      <c r="C243" s="585" t="s">
        <v>591</v>
      </c>
      <c r="D243" s="586" t="s">
        <v>584</v>
      </c>
      <c r="E243" s="585">
        <v>1</v>
      </c>
      <c r="G243">
        <f t="shared" si="2"/>
        <v>0</v>
      </c>
    </row>
    <row r="244" spans="2:7" ht="28.5">
      <c r="B244" s="581">
        <v>43599</v>
      </c>
      <c r="C244" s="582" t="s">
        <v>626</v>
      </c>
      <c r="D244" s="583" t="s">
        <v>618</v>
      </c>
      <c r="E244" s="582">
        <v>1</v>
      </c>
      <c r="G244">
        <f t="shared" si="2"/>
        <v>0</v>
      </c>
    </row>
    <row r="245" spans="2:7" ht="42.75">
      <c r="B245" s="584">
        <v>43615</v>
      </c>
      <c r="C245" s="585" t="s">
        <v>627</v>
      </c>
      <c r="D245" s="586" t="s">
        <v>571</v>
      </c>
      <c r="E245" s="585">
        <v>1</v>
      </c>
      <c r="G245">
        <f t="shared" si="2"/>
        <v>0</v>
      </c>
    </row>
    <row r="246" spans="2:7" ht="42.75">
      <c r="B246" s="581">
        <v>43586</v>
      </c>
      <c r="C246" s="582" t="s">
        <v>629</v>
      </c>
      <c r="D246" s="583" t="s">
        <v>590</v>
      </c>
      <c r="E246" s="582">
        <v>1</v>
      </c>
      <c r="G246">
        <f t="shared" ref="G246:G309" si="3">IF(D246="737 MAX",E246,0)</f>
        <v>0</v>
      </c>
    </row>
    <row r="247" spans="2:7" ht="28.5">
      <c r="B247" s="584">
        <v>43606</v>
      </c>
      <c r="C247" s="585" t="s">
        <v>604</v>
      </c>
      <c r="D247" s="586" t="s">
        <v>590</v>
      </c>
      <c r="E247" s="585">
        <v>1</v>
      </c>
      <c r="G247">
        <f t="shared" si="3"/>
        <v>0</v>
      </c>
    </row>
    <row r="248" spans="2:7" ht="42.75">
      <c r="B248" s="581">
        <v>43587</v>
      </c>
      <c r="C248" s="582" t="s">
        <v>641</v>
      </c>
      <c r="D248" s="583" t="s">
        <v>642</v>
      </c>
      <c r="E248" s="582">
        <v>1</v>
      </c>
      <c r="G248">
        <f t="shared" si="3"/>
        <v>0</v>
      </c>
    </row>
    <row r="249" spans="2:7" ht="57">
      <c r="B249" s="584">
        <v>43645</v>
      </c>
      <c r="C249" s="585" t="s">
        <v>633</v>
      </c>
      <c r="D249" s="586" t="s">
        <v>590</v>
      </c>
      <c r="E249" s="585">
        <v>1</v>
      </c>
      <c r="G249">
        <f t="shared" si="3"/>
        <v>0</v>
      </c>
    </row>
    <row r="250" spans="2:7" ht="42.75">
      <c r="B250" s="581">
        <v>43636</v>
      </c>
      <c r="C250" s="582" t="s">
        <v>643</v>
      </c>
      <c r="D250" s="583" t="s">
        <v>571</v>
      </c>
      <c r="E250" s="582">
        <v>1</v>
      </c>
      <c r="G250">
        <f t="shared" si="3"/>
        <v>0</v>
      </c>
    </row>
    <row r="251" spans="2:7" ht="71.25">
      <c r="B251" s="584">
        <v>43646</v>
      </c>
      <c r="C251" s="585" t="s">
        <v>619</v>
      </c>
      <c r="D251" s="586" t="s">
        <v>590</v>
      </c>
      <c r="E251" s="585">
        <v>1</v>
      </c>
      <c r="G251">
        <f t="shared" si="3"/>
        <v>0</v>
      </c>
    </row>
    <row r="252" spans="2:7" ht="42.75">
      <c r="B252" s="581">
        <v>43644</v>
      </c>
      <c r="C252" s="582" t="s">
        <v>620</v>
      </c>
      <c r="D252" s="583" t="s">
        <v>618</v>
      </c>
      <c r="E252" s="582">
        <v>1</v>
      </c>
      <c r="G252">
        <f t="shared" si="3"/>
        <v>0</v>
      </c>
    </row>
    <row r="253" spans="2:7" ht="42.75">
      <c r="B253" s="584">
        <v>43646</v>
      </c>
      <c r="C253" s="585" t="s">
        <v>620</v>
      </c>
      <c r="D253" s="586" t="s">
        <v>618</v>
      </c>
      <c r="E253" s="585">
        <v>1</v>
      </c>
      <c r="G253">
        <f t="shared" si="3"/>
        <v>0</v>
      </c>
    </row>
    <row r="254" spans="2:7" ht="42.75">
      <c r="B254" s="581">
        <v>43626</v>
      </c>
      <c r="C254" s="582" t="s">
        <v>620</v>
      </c>
      <c r="D254" s="583" t="s">
        <v>584</v>
      </c>
      <c r="E254" s="582">
        <v>1</v>
      </c>
      <c r="G254">
        <f t="shared" si="3"/>
        <v>0</v>
      </c>
    </row>
    <row r="255" spans="2:7" ht="85.5">
      <c r="B255" s="584">
        <v>43629</v>
      </c>
      <c r="C255" s="585" t="s">
        <v>579</v>
      </c>
      <c r="D255" s="586" t="s">
        <v>580</v>
      </c>
      <c r="E255" s="585">
        <v>1</v>
      </c>
      <c r="G255">
        <f t="shared" si="3"/>
        <v>0</v>
      </c>
    </row>
    <row r="256" spans="2:7" ht="71.25">
      <c r="B256" s="581">
        <v>43641</v>
      </c>
      <c r="C256" s="582" t="s">
        <v>581</v>
      </c>
      <c r="D256" s="583" t="s">
        <v>582</v>
      </c>
      <c r="E256" s="582">
        <v>1</v>
      </c>
      <c r="G256">
        <f t="shared" si="3"/>
        <v>0</v>
      </c>
    </row>
    <row r="257" spans="2:7" ht="71.25">
      <c r="B257" s="584">
        <v>43644</v>
      </c>
      <c r="C257" s="585" t="s">
        <v>581</v>
      </c>
      <c r="D257" s="586" t="s">
        <v>582</v>
      </c>
      <c r="E257" s="585">
        <v>1</v>
      </c>
      <c r="G257">
        <f t="shared" si="3"/>
        <v>0</v>
      </c>
    </row>
    <row r="258" spans="2:7" ht="57">
      <c r="B258" s="581">
        <v>43642</v>
      </c>
      <c r="C258" s="582" t="s">
        <v>609</v>
      </c>
      <c r="D258" s="583" t="s">
        <v>578</v>
      </c>
      <c r="E258" s="582">
        <v>1</v>
      </c>
      <c r="G258">
        <f t="shared" si="3"/>
        <v>0</v>
      </c>
    </row>
    <row r="259" spans="2:7" ht="57">
      <c r="B259" s="584">
        <v>43630</v>
      </c>
      <c r="C259" s="585" t="s">
        <v>609</v>
      </c>
      <c r="D259" s="586" t="s">
        <v>571</v>
      </c>
      <c r="E259" s="585">
        <v>1</v>
      </c>
      <c r="G259">
        <f t="shared" si="3"/>
        <v>0</v>
      </c>
    </row>
    <row r="260" spans="2:7" ht="71.25">
      <c r="B260" s="581">
        <v>43630</v>
      </c>
      <c r="C260" s="582" t="s">
        <v>644</v>
      </c>
      <c r="D260" s="583" t="s">
        <v>645</v>
      </c>
      <c r="E260" s="582">
        <v>1</v>
      </c>
      <c r="G260">
        <f t="shared" si="3"/>
        <v>0</v>
      </c>
    </row>
    <row r="261" spans="2:7" ht="57">
      <c r="B261" s="584">
        <v>43636</v>
      </c>
      <c r="C261" s="585" t="s">
        <v>610</v>
      </c>
      <c r="D261" s="586" t="s">
        <v>578</v>
      </c>
      <c r="E261" s="585">
        <v>1</v>
      </c>
      <c r="G261">
        <f t="shared" si="3"/>
        <v>0</v>
      </c>
    </row>
    <row r="262" spans="2:7" ht="57">
      <c r="B262" s="581">
        <v>43644</v>
      </c>
      <c r="C262" s="582" t="s">
        <v>610</v>
      </c>
      <c r="D262" s="583" t="s">
        <v>571</v>
      </c>
      <c r="E262" s="582">
        <v>1</v>
      </c>
      <c r="G262">
        <f t="shared" si="3"/>
        <v>0</v>
      </c>
    </row>
    <row r="263" spans="2:7" ht="57">
      <c r="B263" s="584">
        <v>43644</v>
      </c>
      <c r="C263" s="585" t="s">
        <v>634</v>
      </c>
      <c r="D263" s="586" t="s">
        <v>571</v>
      </c>
      <c r="E263" s="585">
        <v>1</v>
      </c>
      <c r="G263" s="993">
        <f t="shared" si="3"/>
        <v>0</v>
      </c>
    </row>
    <row r="264" spans="2:7" ht="57">
      <c r="B264" s="581">
        <v>43620</v>
      </c>
      <c r="C264" s="582" t="s">
        <v>622</v>
      </c>
      <c r="D264" s="583" t="s">
        <v>571</v>
      </c>
      <c r="E264" s="582">
        <v>1</v>
      </c>
      <c r="G264">
        <f t="shared" si="3"/>
        <v>0</v>
      </c>
    </row>
    <row r="265" spans="2:7" ht="42.75">
      <c r="B265" s="584">
        <v>43643</v>
      </c>
      <c r="C265" s="585" t="s">
        <v>588</v>
      </c>
      <c r="D265" s="586" t="s">
        <v>573</v>
      </c>
      <c r="E265" s="585">
        <v>1</v>
      </c>
      <c r="G265">
        <f t="shared" si="3"/>
        <v>0</v>
      </c>
    </row>
    <row r="266" spans="2:7">
      <c r="B266" s="581">
        <v>43641</v>
      </c>
      <c r="C266" s="582" t="s">
        <v>639</v>
      </c>
      <c r="D266" s="583" t="s">
        <v>584</v>
      </c>
      <c r="E266" s="582">
        <v>1</v>
      </c>
      <c r="G266">
        <f t="shared" si="3"/>
        <v>0</v>
      </c>
    </row>
    <row r="267" spans="2:7" ht="42.75">
      <c r="B267" s="584">
        <v>43634</v>
      </c>
      <c r="C267" s="585" t="s">
        <v>646</v>
      </c>
      <c r="D267" s="586" t="s">
        <v>571</v>
      </c>
      <c r="E267" s="585">
        <v>1</v>
      </c>
      <c r="G267">
        <f t="shared" si="3"/>
        <v>0</v>
      </c>
    </row>
    <row r="268" spans="2:7" ht="42.75">
      <c r="B268" s="581">
        <v>43643</v>
      </c>
      <c r="C268" s="582" t="s">
        <v>589</v>
      </c>
      <c r="D268" s="583" t="s">
        <v>571</v>
      </c>
      <c r="E268" s="582">
        <v>1</v>
      </c>
      <c r="G268">
        <f t="shared" si="3"/>
        <v>0</v>
      </c>
    </row>
    <row r="269" spans="2:7" ht="42.75">
      <c r="B269" s="584">
        <v>43635</v>
      </c>
      <c r="C269" s="585" t="s">
        <v>589</v>
      </c>
      <c r="D269" s="586" t="s">
        <v>571</v>
      </c>
      <c r="E269" s="585">
        <v>1</v>
      </c>
      <c r="G269">
        <f t="shared" si="3"/>
        <v>0</v>
      </c>
    </row>
    <row r="270" spans="2:7" ht="28.5">
      <c r="B270" s="581">
        <v>43635</v>
      </c>
      <c r="C270" s="582" t="s">
        <v>640</v>
      </c>
      <c r="D270" s="583" t="s">
        <v>590</v>
      </c>
      <c r="E270" s="582">
        <v>1</v>
      </c>
      <c r="G270">
        <f t="shared" si="3"/>
        <v>0</v>
      </c>
    </row>
    <row r="271" spans="2:7" ht="42.75">
      <c r="B271" s="584">
        <v>43641</v>
      </c>
      <c r="C271" s="585" t="s">
        <v>591</v>
      </c>
      <c r="D271" s="586" t="s">
        <v>592</v>
      </c>
      <c r="E271" s="585">
        <v>1</v>
      </c>
      <c r="G271">
        <f t="shared" si="3"/>
        <v>0</v>
      </c>
    </row>
    <row r="272" spans="2:7" ht="42.75">
      <c r="B272" s="581">
        <v>43644</v>
      </c>
      <c r="C272" s="582" t="s">
        <v>591</v>
      </c>
      <c r="D272" s="583" t="s">
        <v>584</v>
      </c>
      <c r="E272" s="582">
        <v>1</v>
      </c>
      <c r="G272">
        <f t="shared" si="3"/>
        <v>0</v>
      </c>
    </row>
    <row r="273" spans="2:7" ht="42.75">
      <c r="B273" s="584">
        <v>43644</v>
      </c>
      <c r="C273" s="585" t="s">
        <v>624</v>
      </c>
      <c r="D273" s="586" t="s">
        <v>571</v>
      </c>
      <c r="E273" s="585">
        <v>2</v>
      </c>
      <c r="G273">
        <f t="shared" si="3"/>
        <v>0</v>
      </c>
    </row>
    <row r="274" spans="2:7" ht="71.25">
      <c r="B274" s="581">
        <v>43629</v>
      </c>
      <c r="C274" s="582" t="s">
        <v>596</v>
      </c>
      <c r="D274" s="583" t="s">
        <v>571</v>
      </c>
      <c r="E274" s="582">
        <v>1</v>
      </c>
      <c r="G274">
        <f t="shared" si="3"/>
        <v>0</v>
      </c>
    </row>
    <row r="275" spans="2:7" ht="71.25">
      <c r="B275" s="584">
        <v>43643</v>
      </c>
      <c r="C275" s="585" t="s">
        <v>596</v>
      </c>
      <c r="D275" s="586" t="s">
        <v>571</v>
      </c>
      <c r="E275" s="585">
        <v>1</v>
      </c>
      <c r="G275">
        <f t="shared" si="3"/>
        <v>0</v>
      </c>
    </row>
    <row r="276" spans="2:7" ht="28.5">
      <c r="B276" s="581">
        <v>43644</v>
      </c>
      <c r="C276" s="582" t="s">
        <v>626</v>
      </c>
      <c r="D276" s="583" t="s">
        <v>618</v>
      </c>
      <c r="E276" s="582">
        <v>1</v>
      </c>
      <c r="G276">
        <f t="shared" si="3"/>
        <v>0</v>
      </c>
    </row>
    <row r="277" spans="2:7" ht="42.75">
      <c r="B277" s="584">
        <v>43621</v>
      </c>
      <c r="C277" s="585" t="s">
        <v>627</v>
      </c>
      <c r="D277" s="586" t="s">
        <v>571</v>
      </c>
      <c r="E277" s="585">
        <v>1</v>
      </c>
      <c r="G277">
        <f t="shared" si="3"/>
        <v>0</v>
      </c>
    </row>
    <row r="278" spans="2:7" ht="57">
      <c r="B278" s="581">
        <v>43635</v>
      </c>
      <c r="C278" s="582" t="s">
        <v>601</v>
      </c>
      <c r="D278" s="583" t="s">
        <v>578</v>
      </c>
      <c r="E278" s="582">
        <v>1</v>
      </c>
      <c r="G278">
        <f t="shared" si="3"/>
        <v>0</v>
      </c>
    </row>
    <row r="279" spans="2:7" ht="57">
      <c r="B279" s="584">
        <v>43641</v>
      </c>
      <c r="C279" s="585" t="s">
        <v>635</v>
      </c>
      <c r="D279" s="586" t="s">
        <v>571</v>
      </c>
      <c r="E279" s="585">
        <v>1</v>
      </c>
      <c r="G279">
        <f t="shared" si="3"/>
        <v>0</v>
      </c>
    </row>
    <row r="280" spans="2:7" ht="42.75">
      <c r="B280" s="581">
        <v>43639</v>
      </c>
      <c r="C280" s="582" t="s">
        <v>629</v>
      </c>
      <c r="D280" s="583" t="s">
        <v>590</v>
      </c>
      <c r="E280" s="582">
        <v>1</v>
      </c>
      <c r="G280">
        <f t="shared" si="3"/>
        <v>0</v>
      </c>
    </row>
    <row r="281" spans="2:7" ht="28.5">
      <c r="B281" s="584">
        <v>43641</v>
      </c>
      <c r="C281" s="585" t="s">
        <v>614</v>
      </c>
      <c r="D281" s="586" t="s">
        <v>571</v>
      </c>
      <c r="E281" s="585">
        <v>1</v>
      </c>
      <c r="G281">
        <f t="shared" si="3"/>
        <v>0</v>
      </c>
    </row>
    <row r="282" spans="2:7" ht="42.75">
      <c r="B282" s="581">
        <v>43646</v>
      </c>
      <c r="C282" s="582" t="s">
        <v>641</v>
      </c>
      <c r="D282" s="583" t="s">
        <v>642</v>
      </c>
      <c r="E282" s="582">
        <v>1</v>
      </c>
      <c r="G282">
        <f t="shared" si="3"/>
        <v>0</v>
      </c>
    </row>
    <row r="283" spans="2:7">
      <c r="B283" s="584">
        <v>43643</v>
      </c>
      <c r="C283" s="585" t="s">
        <v>630</v>
      </c>
      <c r="D283" s="586" t="s">
        <v>616</v>
      </c>
      <c r="E283" s="585">
        <v>1</v>
      </c>
      <c r="G283">
        <f t="shared" si="3"/>
        <v>0</v>
      </c>
    </row>
    <row r="284" spans="2:7" ht="28.5">
      <c r="B284" s="581">
        <v>43629</v>
      </c>
      <c r="C284" s="582" t="s">
        <v>630</v>
      </c>
      <c r="D284" s="583" t="s">
        <v>592</v>
      </c>
      <c r="E284" s="582">
        <v>1</v>
      </c>
      <c r="G284">
        <f t="shared" si="3"/>
        <v>0</v>
      </c>
    </row>
    <row r="285" spans="2:7" ht="28.5">
      <c r="B285" s="584">
        <v>43668</v>
      </c>
      <c r="C285" s="585" t="s">
        <v>632</v>
      </c>
      <c r="D285" s="586" t="s">
        <v>571</v>
      </c>
      <c r="E285" s="585">
        <v>1</v>
      </c>
      <c r="G285">
        <f t="shared" si="3"/>
        <v>0</v>
      </c>
    </row>
    <row r="286" spans="2:7" ht="28.5">
      <c r="B286" s="581">
        <v>43657</v>
      </c>
      <c r="C286" s="582" t="s">
        <v>632</v>
      </c>
      <c r="D286" s="583" t="s">
        <v>571</v>
      </c>
      <c r="E286" s="582">
        <v>1</v>
      </c>
      <c r="G286">
        <f t="shared" si="3"/>
        <v>0</v>
      </c>
    </row>
    <row r="287" spans="2:7" ht="57">
      <c r="B287" s="584">
        <v>43672</v>
      </c>
      <c r="C287" s="585" t="s">
        <v>570</v>
      </c>
      <c r="D287" s="586" t="s">
        <v>590</v>
      </c>
      <c r="E287" s="585">
        <v>1</v>
      </c>
      <c r="G287">
        <f t="shared" si="3"/>
        <v>0</v>
      </c>
    </row>
    <row r="288" spans="2:7" ht="85.5">
      <c r="B288" s="581">
        <v>43676</v>
      </c>
      <c r="C288" s="582" t="s">
        <v>579</v>
      </c>
      <c r="D288" s="583" t="s">
        <v>580</v>
      </c>
      <c r="E288" s="582">
        <v>1</v>
      </c>
      <c r="G288">
        <f t="shared" si="3"/>
        <v>0</v>
      </c>
    </row>
    <row r="289" spans="2:7" ht="28.5">
      <c r="B289" s="584">
        <v>43658</v>
      </c>
      <c r="C289" s="585" t="s">
        <v>647</v>
      </c>
      <c r="D289" s="586" t="s">
        <v>580</v>
      </c>
      <c r="E289" s="585">
        <v>1</v>
      </c>
      <c r="G289">
        <f t="shared" si="3"/>
        <v>0</v>
      </c>
    </row>
    <row r="290" spans="2:7" ht="71.25">
      <c r="B290" s="581">
        <v>43651</v>
      </c>
      <c r="C290" s="582" t="s">
        <v>581</v>
      </c>
      <c r="D290" s="583" t="s">
        <v>582</v>
      </c>
      <c r="E290" s="582">
        <v>1</v>
      </c>
      <c r="G290">
        <f t="shared" si="3"/>
        <v>0</v>
      </c>
    </row>
    <row r="291" spans="2:7" ht="57">
      <c r="B291" s="584">
        <v>43669</v>
      </c>
      <c r="C291" s="585" t="s">
        <v>648</v>
      </c>
      <c r="D291" s="586" t="s">
        <v>637</v>
      </c>
      <c r="E291" s="585">
        <v>1</v>
      </c>
      <c r="G291">
        <f t="shared" si="3"/>
        <v>0</v>
      </c>
    </row>
    <row r="292" spans="2:7" ht="57">
      <c r="B292" s="581">
        <v>43676</v>
      </c>
      <c r="C292" s="582" t="s">
        <v>609</v>
      </c>
      <c r="D292" s="583" t="s">
        <v>571</v>
      </c>
      <c r="E292" s="582">
        <v>1</v>
      </c>
      <c r="G292">
        <f t="shared" si="3"/>
        <v>0</v>
      </c>
    </row>
    <row r="293" spans="2:7" ht="57">
      <c r="B293" s="584">
        <v>43662</v>
      </c>
      <c r="C293" s="585" t="s">
        <v>610</v>
      </c>
      <c r="D293" s="586" t="s">
        <v>571</v>
      </c>
      <c r="E293" s="585">
        <v>1</v>
      </c>
      <c r="G293">
        <f t="shared" si="3"/>
        <v>0</v>
      </c>
    </row>
    <row r="294" spans="2:7" ht="42.75">
      <c r="B294" s="581">
        <v>43657</v>
      </c>
      <c r="C294" s="582" t="s">
        <v>589</v>
      </c>
      <c r="D294" s="583" t="s">
        <v>571</v>
      </c>
      <c r="E294" s="582">
        <v>1</v>
      </c>
      <c r="G294">
        <f t="shared" si="3"/>
        <v>0</v>
      </c>
    </row>
    <row r="295" spans="2:7" ht="42.75">
      <c r="B295" s="584">
        <v>43661</v>
      </c>
      <c r="C295" s="585" t="s">
        <v>591</v>
      </c>
      <c r="D295" s="586" t="s">
        <v>592</v>
      </c>
      <c r="E295" s="585">
        <v>1</v>
      </c>
      <c r="G295">
        <f t="shared" si="3"/>
        <v>0</v>
      </c>
    </row>
    <row r="296" spans="2:7" ht="42.75">
      <c r="B296" s="581">
        <v>43669</v>
      </c>
      <c r="C296" s="582" t="s">
        <v>591</v>
      </c>
      <c r="D296" s="583" t="s">
        <v>584</v>
      </c>
      <c r="E296" s="582">
        <v>1</v>
      </c>
      <c r="G296">
        <f t="shared" si="3"/>
        <v>0</v>
      </c>
    </row>
    <row r="297" spans="2:7" ht="28.5">
      <c r="B297" s="584">
        <v>43668</v>
      </c>
      <c r="C297" s="585" t="s">
        <v>594</v>
      </c>
      <c r="D297" s="586" t="s">
        <v>571</v>
      </c>
      <c r="E297" s="585">
        <v>1</v>
      </c>
      <c r="G297">
        <f t="shared" si="3"/>
        <v>0</v>
      </c>
    </row>
    <row r="298" spans="2:7" ht="42.75">
      <c r="B298" s="581">
        <v>43675</v>
      </c>
      <c r="C298" s="582" t="s">
        <v>600</v>
      </c>
      <c r="D298" s="583" t="s">
        <v>584</v>
      </c>
      <c r="E298" s="582">
        <v>1</v>
      </c>
      <c r="G298">
        <f t="shared" si="3"/>
        <v>0</v>
      </c>
    </row>
    <row r="299" spans="2:7" ht="28.5">
      <c r="B299" s="584">
        <v>43672</v>
      </c>
      <c r="C299" s="585" t="s">
        <v>614</v>
      </c>
      <c r="D299" s="586" t="s">
        <v>571</v>
      </c>
      <c r="E299" s="585">
        <v>1</v>
      </c>
      <c r="G299">
        <f t="shared" si="3"/>
        <v>0</v>
      </c>
    </row>
    <row r="300" spans="2:7" ht="28.5">
      <c r="B300" s="581">
        <v>43668</v>
      </c>
      <c r="C300" s="582" t="s">
        <v>614</v>
      </c>
      <c r="D300" s="583" t="s">
        <v>571</v>
      </c>
      <c r="E300" s="582">
        <v>1</v>
      </c>
      <c r="G300">
        <f t="shared" si="3"/>
        <v>0</v>
      </c>
    </row>
    <row r="301" spans="2:7" ht="28.5">
      <c r="B301" s="584">
        <v>43655</v>
      </c>
      <c r="C301" s="585" t="s">
        <v>614</v>
      </c>
      <c r="D301" s="586" t="s">
        <v>571</v>
      </c>
      <c r="E301" s="585">
        <v>1</v>
      </c>
      <c r="G301">
        <f t="shared" si="3"/>
        <v>0</v>
      </c>
    </row>
    <row r="302" spans="2:7" ht="28.5">
      <c r="B302" s="581">
        <v>43672</v>
      </c>
      <c r="C302" s="582" t="s">
        <v>630</v>
      </c>
      <c r="D302" s="583" t="s">
        <v>592</v>
      </c>
      <c r="E302" s="582">
        <v>1</v>
      </c>
      <c r="G302">
        <f t="shared" si="3"/>
        <v>0</v>
      </c>
    </row>
    <row r="303" spans="2:7" ht="57">
      <c r="B303" s="584">
        <v>43647</v>
      </c>
      <c r="C303" s="585" t="s">
        <v>636</v>
      </c>
      <c r="D303" s="586" t="s">
        <v>637</v>
      </c>
      <c r="E303" s="585">
        <v>1</v>
      </c>
      <c r="G303">
        <f t="shared" si="3"/>
        <v>0</v>
      </c>
    </row>
    <row r="304" spans="2:7" ht="28.5">
      <c r="B304" s="581">
        <v>43689</v>
      </c>
      <c r="C304" s="582" t="s">
        <v>632</v>
      </c>
      <c r="D304" s="583" t="s">
        <v>571</v>
      </c>
      <c r="E304" s="582">
        <v>1</v>
      </c>
      <c r="G304">
        <f t="shared" si="3"/>
        <v>0</v>
      </c>
    </row>
    <row r="305" spans="2:7" ht="57">
      <c r="B305" s="584">
        <v>43691</v>
      </c>
      <c r="C305" s="585" t="s">
        <v>570</v>
      </c>
      <c r="D305" s="586" t="s">
        <v>590</v>
      </c>
      <c r="E305" s="585">
        <v>1</v>
      </c>
      <c r="G305">
        <f t="shared" si="3"/>
        <v>0</v>
      </c>
    </row>
    <row r="306" spans="2:7" ht="57">
      <c r="B306" s="581">
        <v>43707</v>
      </c>
      <c r="C306" s="582" t="s">
        <v>570</v>
      </c>
      <c r="D306" s="583" t="s">
        <v>590</v>
      </c>
      <c r="E306" s="582">
        <v>1</v>
      </c>
      <c r="G306">
        <f t="shared" si="3"/>
        <v>0</v>
      </c>
    </row>
    <row r="307" spans="2:7" ht="42.75">
      <c r="B307" s="584">
        <v>43686</v>
      </c>
      <c r="C307" s="585" t="s">
        <v>643</v>
      </c>
      <c r="D307" s="586" t="s">
        <v>571</v>
      </c>
      <c r="E307" s="585">
        <v>1</v>
      </c>
      <c r="G307">
        <f t="shared" si="3"/>
        <v>0</v>
      </c>
    </row>
    <row r="308" spans="2:7" ht="71.25">
      <c r="B308" s="581">
        <v>43691</v>
      </c>
      <c r="C308" s="582" t="s">
        <v>619</v>
      </c>
      <c r="D308" s="583" t="s">
        <v>571</v>
      </c>
      <c r="E308" s="582">
        <v>1</v>
      </c>
      <c r="G308">
        <f t="shared" si="3"/>
        <v>0</v>
      </c>
    </row>
    <row r="309" spans="2:7" ht="71.25">
      <c r="B309" s="584">
        <v>43678</v>
      </c>
      <c r="C309" s="585" t="s">
        <v>619</v>
      </c>
      <c r="D309" s="586" t="s">
        <v>571</v>
      </c>
      <c r="E309" s="585">
        <v>1</v>
      </c>
      <c r="G309">
        <f t="shared" si="3"/>
        <v>0</v>
      </c>
    </row>
    <row r="310" spans="2:7" ht="42.75">
      <c r="B310" s="581">
        <v>43696</v>
      </c>
      <c r="C310" s="582" t="s">
        <v>621</v>
      </c>
      <c r="D310" s="583" t="s">
        <v>580</v>
      </c>
      <c r="E310" s="582">
        <v>1</v>
      </c>
      <c r="G310">
        <f t="shared" ref="G310:G373" si="4">IF(D310="737 MAX",E310,0)</f>
        <v>0</v>
      </c>
    </row>
    <row r="311" spans="2:7" ht="71.25">
      <c r="B311" s="584">
        <v>43686</v>
      </c>
      <c r="C311" s="585" t="s">
        <v>581</v>
      </c>
      <c r="D311" s="586" t="s">
        <v>582</v>
      </c>
      <c r="E311" s="585">
        <v>1</v>
      </c>
      <c r="G311">
        <f t="shared" si="4"/>
        <v>0</v>
      </c>
    </row>
    <row r="312" spans="2:7" ht="57">
      <c r="B312" s="581">
        <v>43707</v>
      </c>
      <c r="C312" s="582" t="s">
        <v>634</v>
      </c>
      <c r="D312" s="583" t="s">
        <v>618</v>
      </c>
      <c r="E312" s="582">
        <v>1</v>
      </c>
      <c r="G312">
        <f t="shared" si="4"/>
        <v>0</v>
      </c>
    </row>
    <row r="313" spans="2:7" ht="57">
      <c r="B313" s="584">
        <v>43698</v>
      </c>
      <c r="C313" s="585" t="s">
        <v>634</v>
      </c>
      <c r="D313" s="586" t="s">
        <v>571</v>
      </c>
      <c r="E313" s="585">
        <v>1</v>
      </c>
      <c r="G313">
        <f t="shared" si="4"/>
        <v>0</v>
      </c>
    </row>
    <row r="314" spans="2:7" ht="28.5">
      <c r="B314" s="581">
        <v>43691</v>
      </c>
      <c r="C314" s="582" t="s">
        <v>640</v>
      </c>
      <c r="D314" s="583" t="s">
        <v>590</v>
      </c>
      <c r="E314" s="582">
        <v>1</v>
      </c>
      <c r="G314">
        <f t="shared" si="4"/>
        <v>0</v>
      </c>
    </row>
    <row r="315" spans="2:7" ht="42.75">
      <c r="B315" s="584">
        <v>43704</v>
      </c>
      <c r="C315" s="585" t="s">
        <v>591</v>
      </c>
      <c r="D315" s="586" t="s">
        <v>592</v>
      </c>
      <c r="E315" s="585">
        <v>1</v>
      </c>
      <c r="G315">
        <f t="shared" si="4"/>
        <v>0</v>
      </c>
    </row>
    <row r="316" spans="2:7" ht="42.75">
      <c r="B316" s="581">
        <v>43685</v>
      </c>
      <c r="C316" s="582" t="s">
        <v>591</v>
      </c>
      <c r="D316" s="583" t="s">
        <v>592</v>
      </c>
      <c r="E316" s="582">
        <v>1</v>
      </c>
      <c r="G316">
        <f t="shared" si="4"/>
        <v>0</v>
      </c>
    </row>
    <row r="317" spans="2:7" ht="42.75">
      <c r="B317" s="584">
        <v>43686</v>
      </c>
      <c r="C317" s="585" t="s">
        <v>591</v>
      </c>
      <c r="D317" s="586" t="s">
        <v>584</v>
      </c>
      <c r="E317" s="585">
        <v>1</v>
      </c>
      <c r="G317">
        <f t="shared" si="4"/>
        <v>0</v>
      </c>
    </row>
    <row r="318" spans="2:7" ht="42.75">
      <c r="B318" s="581">
        <v>43696</v>
      </c>
      <c r="C318" s="582" t="s">
        <v>591</v>
      </c>
      <c r="D318" s="583" t="s">
        <v>584</v>
      </c>
      <c r="E318" s="582">
        <v>1</v>
      </c>
      <c r="G318">
        <f t="shared" si="4"/>
        <v>0</v>
      </c>
    </row>
    <row r="319" spans="2:7" ht="57">
      <c r="B319" s="584">
        <v>43706</v>
      </c>
      <c r="C319" s="585" t="s">
        <v>625</v>
      </c>
      <c r="D319" s="586" t="s">
        <v>571</v>
      </c>
      <c r="E319" s="585">
        <v>1</v>
      </c>
      <c r="G319" s="993">
        <f t="shared" si="4"/>
        <v>0</v>
      </c>
    </row>
    <row r="320" spans="2:7" ht="42.75">
      <c r="B320" s="581">
        <v>43690</v>
      </c>
      <c r="C320" s="582" t="s">
        <v>629</v>
      </c>
      <c r="D320" s="583" t="s">
        <v>590</v>
      </c>
      <c r="E320" s="582">
        <v>1</v>
      </c>
      <c r="G320">
        <f t="shared" si="4"/>
        <v>0</v>
      </c>
    </row>
    <row r="321" spans="2:7" ht="28.5">
      <c r="B321" s="584">
        <v>43705</v>
      </c>
      <c r="C321" s="585" t="s">
        <v>614</v>
      </c>
      <c r="D321" s="586" t="s">
        <v>571</v>
      </c>
      <c r="E321" s="585">
        <v>1</v>
      </c>
      <c r="G321">
        <f t="shared" si="4"/>
        <v>0</v>
      </c>
    </row>
    <row r="322" spans="2:7" ht="57">
      <c r="B322" s="581">
        <v>43736</v>
      </c>
      <c r="C322" s="582" t="s">
        <v>570</v>
      </c>
      <c r="D322" s="583" t="s">
        <v>571</v>
      </c>
      <c r="E322" s="582">
        <v>1</v>
      </c>
      <c r="G322">
        <f t="shared" si="4"/>
        <v>0</v>
      </c>
    </row>
    <row r="323" spans="2:7" ht="57">
      <c r="B323" s="584">
        <v>43723</v>
      </c>
      <c r="C323" s="585" t="s">
        <v>570</v>
      </c>
      <c r="D323" s="586" t="s">
        <v>571</v>
      </c>
      <c r="E323" s="585">
        <v>1</v>
      </c>
      <c r="G323">
        <f t="shared" si="4"/>
        <v>0</v>
      </c>
    </row>
    <row r="324" spans="2:7" ht="85.5">
      <c r="B324" s="581">
        <v>43738</v>
      </c>
      <c r="C324" s="582" t="s">
        <v>579</v>
      </c>
      <c r="D324" s="583" t="s">
        <v>580</v>
      </c>
      <c r="E324" s="582">
        <v>1</v>
      </c>
      <c r="G324">
        <f t="shared" si="4"/>
        <v>0</v>
      </c>
    </row>
    <row r="325" spans="2:7" ht="28.5">
      <c r="B325" s="584">
        <v>43724</v>
      </c>
      <c r="C325" s="585" t="s">
        <v>647</v>
      </c>
      <c r="D325" s="586" t="s">
        <v>580</v>
      </c>
      <c r="E325" s="585">
        <v>1</v>
      </c>
      <c r="G325">
        <f t="shared" si="4"/>
        <v>0</v>
      </c>
    </row>
    <row r="326" spans="2:7" ht="71.25">
      <c r="B326" s="581">
        <v>43714</v>
      </c>
      <c r="C326" s="582" t="s">
        <v>581</v>
      </c>
      <c r="D326" s="583" t="s">
        <v>582</v>
      </c>
      <c r="E326" s="582">
        <v>1</v>
      </c>
      <c r="G326">
        <f t="shared" si="4"/>
        <v>0</v>
      </c>
    </row>
    <row r="327" spans="2:7" ht="71.25">
      <c r="B327" s="584">
        <v>43716</v>
      </c>
      <c r="C327" s="585" t="s">
        <v>581</v>
      </c>
      <c r="D327" s="586" t="s">
        <v>582</v>
      </c>
      <c r="E327" s="585">
        <v>1</v>
      </c>
      <c r="G327">
        <f t="shared" si="4"/>
        <v>0</v>
      </c>
    </row>
    <row r="328" spans="2:7" ht="57">
      <c r="B328" s="581">
        <v>43720</v>
      </c>
      <c r="C328" s="582" t="s">
        <v>648</v>
      </c>
      <c r="D328" s="583" t="s">
        <v>637</v>
      </c>
      <c r="E328" s="582">
        <v>1</v>
      </c>
      <c r="G328">
        <f t="shared" si="4"/>
        <v>0</v>
      </c>
    </row>
    <row r="329" spans="2:7" ht="57">
      <c r="B329" s="584">
        <v>43735</v>
      </c>
      <c r="C329" s="585" t="s">
        <v>609</v>
      </c>
      <c r="D329" s="586" t="s">
        <v>571</v>
      </c>
      <c r="E329" s="585">
        <v>1</v>
      </c>
      <c r="G329">
        <f t="shared" si="4"/>
        <v>0</v>
      </c>
    </row>
    <row r="330" spans="2:7" ht="71.25">
      <c r="B330" s="581">
        <v>43733</v>
      </c>
      <c r="C330" s="582" t="s">
        <v>644</v>
      </c>
      <c r="D330" s="583" t="s">
        <v>571</v>
      </c>
      <c r="E330" s="582">
        <v>1</v>
      </c>
      <c r="G330">
        <f t="shared" si="4"/>
        <v>0</v>
      </c>
    </row>
    <row r="331" spans="2:7" ht="57">
      <c r="B331" s="584">
        <v>43733</v>
      </c>
      <c r="C331" s="585" t="s">
        <v>610</v>
      </c>
      <c r="D331" s="586" t="s">
        <v>571</v>
      </c>
      <c r="E331" s="585">
        <v>1</v>
      </c>
      <c r="G331">
        <f t="shared" si="4"/>
        <v>0</v>
      </c>
    </row>
    <row r="332" spans="2:7" ht="57">
      <c r="B332" s="581">
        <v>43728</v>
      </c>
      <c r="C332" s="582" t="s">
        <v>634</v>
      </c>
      <c r="D332" s="583" t="s">
        <v>618</v>
      </c>
      <c r="E332" s="582">
        <v>1</v>
      </c>
      <c r="G332">
        <f t="shared" si="4"/>
        <v>0</v>
      </c>
    </row>
    <row r="333" spans="2:7" ht="57">
      <c r="B333" s="584">
        <v>43731</v>
      </c>
      <c r="C333" s="585" t="s">
        <v>634</v>
      </c>
      <c r="D333" s="586" t="s">
        <v>571</v>
      </c>
      <c r="E333" s="585">
        <v>1</v>
      </c>
      <c r="G333">
        <f t="shared" si="4"/>
        <v>0</v>
      </c>
    </row>
    <row r="334" spans="2:7">
      <c r="B334" s="581">
        <v>43738</v>
      </c>
      <c r="C334" s="582" t="s">
        <v>639</v>
      </c>
      <c r="D334" s="583" t="s">
        <v>584</v>
      </c>
      <c r="E334" s="582">
        <v>1</v>
      </c>
      <c r="G334">
        <f t="shared" si="4"/>
        <v>0</v>
      </c>
    </row>
    <row r="335" spans="2:7">
      <c r="B335" s="584">
        <v>43724</v>
      </c>
      <c r="C335" s="585" t="s">
        <v>639</v>
      </c>
      <c r="D335" s="586" t="s">
        <v>584</v>
      </c>
      <c r="E335" s="585">
        <v>1</v>
      </c>
      <c r="G335">
        <f t="shared" si="4"/>
        <v>0</v>
      </c>
    </row>
    <row r="336" spans="2:7" ht="42.75">
      <c r="B336" s="581">
        <v>43721</v>
      </c>
      <c r="C336" s="582" t="s">
        <v>589</v>
      </c>
      <c r="D336" s="583" t="s">
        <v>571</v>
      </c>
      <c r="E336" s="582">
        <v>1</v>
      </c>
      <c r="G336">
        <f t="shared" si="4"/>
        <v>0</v>
      </c>
    </row>
    <row r="337" spans="2:7" ht="42.75">
      <c r="B337" s="584">
        <v>43735</v>
      </c>
      <c r="C337" s="585" t="s">
        <v>591</v>
      </c>
      <c r="D337" s="586" t="s">
        <v>592</v>
      </c>
      <c r="E337" s="585">
        <v>1</v>
      </c>
      <c r="G337">
        <f t="shared" si="4"/>
        <v>0</v>
      </c>
    </row>
    <row r="338" spans="2:7" ht="42.75">
      <c r="B338" s="581">
        <v>43728</v>
      </c>
      <c r="C338" s="582" t="s">
        <v>591</v>
      </c>
      <c r="D338" s="583" t="s">
        <v>584</v>
      </c>
      <c r="E338" s="582">
        <v>1</v>
      </c>
      <c r="G338">
        <f t="shared" si="4"/>
        <v>0</v>
      </c>
    </row>
    <row r="339" spans="2:7" ht="71.25">
      <c r="B339" s="584">
        <v>43725</v>
      </c>
      <c r="C339" s="585" t="s">
        <v>596</v>
      </c>
      <c r="D339" s="586" t="s">
        <v>571</v>
      </c>
      <c r="E339" s="585">
        <v>1</v>
      </c>
      <c r="G339">
        <f t="shared" si="4"/>
        <v>0</v>
      </c>
    </row>
    <row r="340" spans="2:7" ht="42.75">
      <c r="B340" s="581">
        <v>43738</v>
      </c>
      <c r="C340" s="582" t="s">
        <v>600</v>
      </c>
      <c r="D340" s="583" t="s">
        <v>584</v>
      </c>
      <c r="E340" s="582">
        <v>2</v>
      </c>
      <c r="G340">
        <f t="shared" si="4"/>
        <v>0</v>
      </c>
    </row>
    <row r="341" spans="2:7" ht="57">
      <c r="B341" s="584">
        <v>43734</v>
      </c>
      <c r="C341" s="585" t="s">
        <v>649</v>
      </c>
      <c r="D341" s="586" t="s">
        <v>590</v>
      </c>
      <c r="E341" s="585">
        <v>1</v>
      </c>
      <c r="G341">
        <f t="shared" si="4"/>
        <v>0</v>
      </c>
    </row>
    <row r="342" spans="2:7" ht="42.75">
      <c r="B342" s="581">
        <v>43712</v>
      </c>
      <c r="C342" s="582" t="s">
        <v>629</v>
      </c>
      <c r="D342" s="583" t="s">
        <v>590</v>
      </c>
      <c r="E342" s="582">
        <v>1</v>
      </c>
      <c r="G342">
        <f t="shared" si="4"/>
        <v>0</v>
      </c>
    </row>
    <row r="343" spans="2:7" ht="28.5">
      <c r="B343" s="584">
        <v>43721</v>
      </c>
      <c r="C343" s="585" t="s">
        <v>614</v>
      </c>
      <c r="D343" s="586" t="s">
        <v>571</v>
      </c>
      <c r="E343" s="585">
        <v>1</v>
      </c>
      <c r="G343">
        <f t="shared" si="4"/>
        <v>0</v>
      </c>
    </row>
    <row r="344" spans="2:7">
      <c r="B344" s="581">
        <v>43711</v>
      </c>
      <c r="C344" s="582" t="s">
        <v>630</v>
      </c>
      <c r="D344" s="583" t="s">
        <v>616</v>
      </c>
      <c r="E344" s="582">
        <v>1</v>
      </c>
      <c r="G344">
        <f t="shared" si="4"/>
        <v>0</v>
      </c>
    </row>
    <row r="345" spans="2:7" ht="28.5">
      <c r="B345" s="584">
        <v>43720</v>
      </c>
      <c r="C345" s="585" t="s">
        <v>630</v>
      </c>
      <c r="D345" s="586" t="s">
        <v>592</v>
      </c>
      <c r="E345" s="585">
        <v>1</v>
      </c>
      <c r="G345">
        <f t="shared" si="4"/>
        <v>0</v>
      </c>
    </row>
    <row r="346" spans="2:7" ht="28.5">
      <c r="B346" s="581">
        <v>43759</v>
      </c>
      <c r="C346" s="582" t="s">
        <v>632</v>
      </c>
      <c r="D346" s="583" t="s">
        <v>571</v>
      </c>
      <c r="E346" s="582">
        <v>1</v>
      </c>
      <c r="G346">
        <f t="shared" si="4"/>
        <v>0</v>
      </c>
    </row>
    <row r="347" spans="2:7" ht="57">
      <c r="B347" s="584">
        <v>43754</v>
      </c>
      <c r="C347" s="585" t="s">
        <v>633</v>
      </c>
      <c r="D347" s="586" t="s">
        <v>590</v>
      </c>
      <c r="E347" s="585">
        <v>1</v>
      </c>
      <c r="G347">
        <f t="shared" si="4"/>
        <v>0</v>
      </c>
    </row>
    <row r="348" spans="2:7" ht="57">
      <c r="B348" s="581">
        <v>43755</v>
      </c>
      <c r="C348" s="582" t="s">
        <v>570</v>
      </c>
      <c r="D348" s="583" t="s">
        <v>590</v>
      </c>
      <c r="E348" s="582">
        <v>1</v>
      </c>
      <c r="G348">
        <f t="shared" si="4"/>
        <v>0</v>
      </c>
    </row>
    <row r="349" spans="2:7" ht="42.75">
      <c r="B349" s="584">
        <v>43766</v>
      </c>
      <c r="C349" s="585" t="s">
        <v>620</v>
      </c>
      <c r="D349" s="586" t="s">
        <v>618</v>
      </c>
      <c r="E349" s="585">
        <v>1</v>
      </c>
      <c r="G349">
        <f t="shared" si="4"/>
        <v>0</v>
      </c>
    </row>
    <row r="350" spans="2:7" ht="28.5">
      <c r="B350" s="581">
        <v>43768</v>
      </c>
      <c r="C350" s="582" t="s">
        <v>576</v>
      </c>
      <c r="D350" s="583" t="s">
        <v>571</v>
      </c>
      <c r="E350" s="582">
        <v>1</v>
      </c>
      <c r="G350">
        <f t="shared" si="4"/>
        <v>0</v>
      </c>
    </row>
    <row r="351" spans="2:7" ht="85.5">
      <c r="B351" s="584">
        <v>43755</v>
      </c>
      <c r="C351" s="585" t="s">
        <v>579</v>
      </c>
      <c r="D351" s="586" t="s">
        <v>580</v>
      </c>
      <c r="E351" s="585">
        <v>1</v>
      </c>
      <c r="G351">
        <f t="shared" si="4"/>
        <v>0</v>
      </c>
    </row>
    <row r="352" spans="2:7" ht="71.25">
      <c r="B352" s="581">
        <v>43755</v>
      </c>
      <c r="C352" s="582" t="s">
        <v>581</v>
      </c>
      <c r="D352" s="583" t="s">
        <v>582</v>
      </c>
      <c r="E352" s="582">
        <v>1</v>
      </c>
      <c r="G352">
        <f t="shared" si="4"/>
        <v>0</v>
      </c>
    </row>
    <row r="353" spans="2:7" ht="57">
      <c r="B353" s="584">
        <v>43767</v>
      </c>
      <c r="C353" s="585" t="s">
        <v>609</v>
      </c>
      <c r="D353" s="586" t="s">
        <v>571</v>
      </c>
      <c r="E353" s="585">
        <v>1</v>
      </c>
      <c r="G353">
        <f t="shared" si="4"/>
        <v>0</v>
      </c>
    </row>
    <row r="354" spans="2:7" ht="57">
      <c r="B354" s="581">
        <v>43759</v>
      </c>
      <c r="C354" s="582" t="s">
        <v>583</v>
      </c>
      <c r="D354" s="583" t="s">
        <v>584</v>
      </c>
      <c r="E354" s="582">
        <v>1</v>
      </c>
      <c r="G354">
        <f t="shared" si="4"/>
        <v>0</v>
      </c>
    </row>
    <row r="355" spans="2:7" ht="42.75">
      <c r="B355" s="584">
        <v>43754</v>
      </c>
      <c r="C355" s="585" t="s">
        <v>589</v>
      </c>
      <c r="D355" s="586" t="s">
        <v>571</v>
      </c>
      <c r="E355" s="585">
        <v>1</v>
      </c>
      <c r="G355">
        <f t="shared" si="4"/>
        <v>0</v>
      </c>
    </row>
    <row r="356" spans="2:7" ht="28.5">
      <c r="B356" s="581">
        <v>43742</v>
      </c>
      <c r="C356" s="582" t="s">
        <v>640</v>
      </c>
      <c r="D356" s="583" t="s">
        <v>590</v>
      </c>
      <c r="E356" s="582">
        <v>1</v>
      </c>
      <c r="G356">
        <f t="shared" si="4"/>
        <v>0</v>
      </c>
    </row>
    <row r="357" spans="2:7" ht="42.75">
      <c r="B357" s="584">
        <v>43755</v>
      </c>
      <c r="C357" s="585" t="s">
        <v>591</v>
      </c>
      <c r="D357" s="586" t="s">
        <v>592</v>
      </c>
      <c r="E357" s="585">
        <v>1</v>
      </c>
      <c r="G357">
        <f t="shared" si="4"/>
        <v>0</v>
      </c>
    </row>
    <row r="358" spans="2:7">
      <c r="B358" s="581">
        <v>43756</v>
      </c>
      <c r="C358" s="582" t="s">
        <v>612</v>
      </c>
      <c r="D358" s="583" t="s">
        <v>571</v>
      </c>
      <c r="E358" s="582">
        <v>1</v>
      </c>
      <c r="G358">
        <f t="shared" si="4"/>
        <v>0</v>
      </c>
    </row>
    <row r="359" spans="2:7" ht="28.5">
      <c r="B359" s="584">
        <v>43745</v>
      </c>
      <c r="C359" s="585" t="s">
        <v>597</v>
      </c>
      <c r="D359" s="586" t="s">
        <v>637</v>
      </c>
      <c r="E359" s="585">
        <v>1</v>
      </c>
      <c r="G359">
        <f t="shared" si="4"/>
        <v>0</v>
      </c>
    </row>
    <row r="360" spans="2:7" ht="42.75">
      <c r="B360" s="581">
        <v>43753</v>
      </c>
      <c r="C360" s="582" t="s">
        <v>650</v>
      </c>
      <c r="D360" s="583" t="s">
        <v>571</v>
      </c>
      <c r="E360" s="582">
        <v>1</v>
      </c>
      <c r="G360">
        <f t="shared" si="4"/>
        <v>0</v>
      </c>
    </row>
    <row r="361" spans="2:7" ht="57">
      <c r="B361" s="584">
        <v>43762</v>
      </c>
      <c r="C361" s="585" t="s">
        <v>649</v>
      </c>
      <c r="D361" s="586" t="s">
        <v>590</v>
      </c>
      <c r="E361" s="585">
        <v>1</v>
      </c>
      <c r="G361">
        <f t="shared" si="4"/>
        <v>0</v>
      </c>
    </row>
    <row r="362" spans="2:7" ht="28.5">
      <c r="B362" s="581">
        <v>43762</v>
      </c>
      <c r="C362" s="582" t="s">
        <v>651</v>
      </c>
      <c r="D362" s="583" t="s">
        <v>637</v>
      </c>
      <c r="E362" s="582">
        <v>1</v>
      </c>
      <c r="G362">
        <f t="shared" si="4"/>
        <v>0</v>
      </c>
    </row>
    <row r="363" spans="2:7" ht="28.5">
      <c r="B363" s="584">
        <v>43739</v>
      </c>
      <c r="C363" s="585" t="s">
        <v>614</v>
      </c>
      <c r="D363" s="586" t="s">
        <v>584</v>
      </c>
      <c r="E363" s="585">
        <v>1</v>
      </c>
      <c r="G363">
        <f t="shared" si="4"/>
        <v>0</v>
      </c>
    </row>
    <row r="364" spans="2:7">
      <c r="B364" s="581">
        <v>43763</v>
      </c>
      <c r="C364" s="582" t="s">
        <v>630</v>
      </c>
      <c r="D364" s="583" t="s">
        <v>616</v>
      </c>
      <c r="E364" s="582">
        <v>1</v>
      </c>
      <c r="G364">
        <f t="shared" si="4"/>
        <v>0</v>
      </c>
    </row>
    <row r="365" spans="2:7" ht="28.5">
      <c r="B365" s="584">
        <v>43763</v>
      </c>
      <c r="C365" s="585" t="s">
        <v>630</v>
      </c>
      <c r="D365" s="586" t="s">
        <v>592</v>
      </c>
      <c r="E365" s="585">
        <v>1</v>
      </c>
      <c r="G365">
        <f t="shared" si="4"/>
        <v>0</v>
      </c>
    </row>
    <row r="366" spans="2:7" ht="28.5">
      <c r="B366" s="581">
        <v>43770</v>
      </c>
      <c r="C366" s="582" t="s">
        <v>632</v>
      </c>
      <c r="D366" s="583" t="s">
        <v>571</v>
      </c>
      <c r="E366" s="582">
        <v>1</v>
      </c>
      <c r="G366">
        <f t="shared" si="4"/>
        <v>0</v>
      </c>
    </row>
    <row r="367" spans="2:7" ht="57">
      <c r="B367" s="584">
        <v>43781</v>
      </c>
      <c r="C367" s="585" t="s">
        <v>633</v>
      </c>
      <c r="D367" s="586" t="s">
        <v>590</v>
      </c>
      <c r="E367" s="585">
        <v>1</v>
      </c>
      <c r="G367">
        <f t="shared" si="4"/>
        <v>0</v>
      </c>
    </row>
    <row r="368" spans="2:7" ht="57">
      <c r="B368" s="581">
        <v>43776</v>
      </c>
      <c r="C368" s="582" t="s">
        <v>652</v>
      </c>
      <c r="D368" s="583" t="s">
        <v>580</v>
      </c>
      <c r="E368" s="582">
        <v>1</v>
      </c>
      <c r="G368">
        <f t="shared" si="4"/>
        <v>0</v>
      </c>
    </row>
    <row r="369" spans="2:7" ht="85.5">
      <c r="B369" s="584">
        <v>43795</v>
      </c>
      <c r="C369" s="585" t="s">
        <v>579</v>
      </c>
      <c r="D369" s="586" t="s">
        <v>580</v>
      </c>
      <c r="E369" s="585">
        <v>1</v>
      </c>
      <c r="G369">
        <f t="shared" si="4"/>
        <v>0</v>
      </c>
    </row>
    <row r="370" spans="2:7" ht="71.25">
      <c r="B370" s="581">
        <v>43770</v>
      </c>
      <c r="C370" s="582" t="s">
        <v>581</v>
      </c>
      <c r="D370" s="583" t="s">
        <v>582</v>
      </c>
      <c r="E370" s="582">
        <v>1</v>
      </c>
      <c r="G370">
        <f t="shared" si="4"/>
        <v>0</v>
      </c>
    </row>
    <row r="371" spans="2:7" ht="71.25">
      <c r="B371" s="584">
        <v>43783</v>
      </c>
      <c r="C371" s="585" t="s">
        <v>581</v>
      </c>
      <c r="D371" s="586" t="s">
        <v>582</v>
      </c>
      <c r="E371" s="585">
        <v>1</v>
      </c>
      <c r="G371">
        <f t="shared" si="4"/>
        <v>0</v>
      </c>
    </row>
    <row r="372" spans="2:7" ht="71.25">
      <c r="B372" s="581">
        <v>43787</v>
      </c>
      <c r="C372" s="582" t="s">
        <v>581</v>
      </c>
      <c r="D372" s="583" t="s">
        <v>582</v>
      </c>
      <c r="E372" s="582">
        <v>1</v>
      </c>
      <c r="G372">
        <f t="shared" si="4"/>
        <v>0</v>
      </c>
    </row>
    <row r="373" spans="2:7" ht="57">
      <c r="B373" s="584">
        <v>43788</v>
      </c>
      <c r="C373" s="585" t="s">
        <v>634</v>
      </c>
      <c r="D373" s="586" t="s">
        <v>618</v>
      </c>
      <c r="E373" s="585">
        <v>1</v>
      </c>
      <c r="G373">
        <f t="shared" si="4"/>
        <v>0</v>
      </c>
    </row>
    <row r="374" spans="2:7" ht="57">
      <c r="B374" s="581">
        <v>43784</v>
      </c>
      <c r="C374" s="582" t="s">
        <v>622</v>
      </c>
      <c r="D374" s="583" t="s">
        <v>571</v>
      </c>
      <c r="E374" s="582">
        <v>1</v>
      </c>
      <c r="G374">
        <f t="shared" ref="G374:G417" si="5">IF(D374="737 MAX",E374,0)</f>
        <v>0</v>
      </c>
    </row>
    <row r="375" spans="2:7" ht="42.75">
      <c r="B375" s="584">
        <v>43796</v>
      </c>
      <c r="C375" s="585" t="s">
        <v>646</v>
      </c>
      <c r="D375" s="586" t="s">
        <v>637</v>
      </c>
      <c r="E375" s="585">
        <v>1</v>
      </c>
      <c r="G375">
        <f t="shared" si="5"/>
        <v>0</v>
      </c>
    </row>
    <row r="376" spans="2:7" ht="42.75">
      <c r="B376" s="581">
        <v>43790</v>
      </c>
      <c r="C376" s="582" t="s">
        <v>589</v>
      </c>
      <c r="D376" s="583" t="s">
        <v>590</v>
      </c>
      <c r="E376" s="582">
        <v>1</v>
      </c>
      <c r="G376">
        <f t="shared" si="5"/>
        <v>0</v>
      </c>
    </row>
    <row r="377" spans="2:7" ht="42.75">
      <c r="B377" s="584">
        <v>43776</v>
      </c>
      <c r="C377" s="585" t="s">
        <v>591</v>
      </c>
      <c r="D377" s="586" t="s">
        <v>592</v>
      </c>
      <c r="E377" s="585">
        <v>1</v>
      </c>
      <c r="G377">
        <f t="shared" si="5"/>
        <v>0</v>
      </c>
    </row>
    <row r="378" spans="2:7" ht="28.5">
      <c r="B378" s="581">
        <v>43795</v>
      </c>
      <c r="C378" s="582" t="s">
        <v>597</v>
      </c>
      <c r="D378" s="583" t="s">
        <v>637</v>
      </c>
      <c r="E378" s="582">
        <v>1</v>
      </c>
      <c r="G378">
        <f t="shared" si="5"/>
        <v>0</v>
      </c>
    </row>
    <row r="379" spans="2:7" ht="57">
      <c r="B379" s="584">
        <v>43789</v>
      </c>
      <c r="C379" s="585" t="s">
        <v>625</v>
      </c>
      <c r="D379" s="586" t="s">
        <v>571</v>
      </c>
      <c r="E379" s="585">
        <v>1</v>
      </c>
      <c r="G379">
        <f t="shared" si="5"/>
        <v>0</v>
      </c>
    </row>
    <row r="380" spans="2:7" ht="42.75">
      <c r="B380" s="581">
        <v>43781</v>
      </c>
      <c r="C380" s="582" t="s">
        <v>653</v>
      </c>
      <c r="D380" s="583" t="s">
        <v>571</v>
      </c>
      <c r="E380" s="582">
        <v>1</v>
      </c>
      <c r="G380">
        <f t="shared" si="5"/>
        <v>0</v>
      </c>
    </row>
    <row r="381" spans="2:7" ht="42.75">
      <c r="B381" s="584">
        <v>43776</v>
      </c>
      <c r="C381" s="585" t="s">
        <v>650</v>
      </c>
      <c r="D381" s="586" t="s">
        <v>571</v>
      </c>
      <c r="E381" s="585">
        <v>1</v>
      </c>
      <c r="G381">
        <f t="shared" si="5"/>
        <v>0</v>
      </c>
    </row>
    <row r="382" spans="2:7" ht="42.75">
      <c r="B382" s="581">
        <v>43792</v>
      </c>
      <c r="C382" s="582" t="s">
        <v>600</v>
      </c>
      <c r="D382" s="583" t="s">
        <v>584</v>
      </c>
      <c r="E382" s="582">
        <v>1</v>
      </c>
      <c r="G382">
        <f t="shared" si="5"/>
        <v>0</v>
      </c>
    </row>
    <row r="383" spans="2:7" ht="42.75">
      <c r="B383" s="584">
        <v>43777</v>
      </c>
      <c r="C383" s="585" t="s">
        <v>600</v>
      </c>
      <c r="D383" s="586" t="s">
        <v>584</v>
      </c>
      <c r="E383" s="585">
        <v>1</v>
      </c>
      <c r="G383">
        <f t="shared" si="5"/>
        <v>0</v>
      </c>
    </row>
    <row r="384" spans="2:7" ht="42.75">
      <c r="B384" s="581">
        <v>43798</v>
      </c>
      <c r="C384" s="582" t="s">
        <v>629</v>
      </c>
      <c r="D384" s="583" t="s">
        <v>590</v>
      </c>
      <c r="E384" s="582">
        <v>1</v>
      </c>
      <c r="G384">
        <f t="shared" si="5"/>
        <v>0</v>
      </c>
    </row>
    <row r="385" spans="2:7" ht="71.25">
      <c r="B385" s="584">
        <v>43794</v>
      </c>
      <c r="C385" s="585" t="s">
        <v>654</v>
      </c>
      <c r="D385" s="586" t="s">
        <v>618</v>
      </c>
      <c r="E385" s="585">
        <v>1</v>
      </c>
      <c r="G385">
        <f t="shared" si="5"/>
        <v>0</v>
      </c>
    </row>
    <row r="386" spans="2:7" ht="42.75">
      <c r="B386" s="581">
        <v>43782</v>
      </c>
      <c r="C386" s="582" t="s">
        <v>603</v>
      </c>
      <c r="D386" s="583" t="s">
        <v>571</v>
      </c>
      <c r="E386" s="582">
        <v>1</v>
      </c>
      <c r="G386">
        <f t="shared" si="5"/>
        <v>0</v>
      </c>
    </row>
    <row r="387" spans="2:7" ht="42.75">
      <c r="B387" s="584">
        <v>43788</v>
      </c>
      <c r="C387" s="585" t="s">
        <v>603</v>
      </c>
      <c r="D387" s="586" t="s">
        <v>571</v>
      </c>
      <c r="E387" s="585">
        <v>1</v>
      </c>
      <c r="G387">
        <f t="shared" si="5"/>
        <v>0</v>
      </c>
    </row>
    <row r="388" spans="2:7">
      <c r="B388" s="581">
        <v>43796</v>
      </c>
      <c r="C388" s="582" t="s">
        <v>630</v>
      </c>
      <c r="D388" s="583" t="s">
        <v>616</v>
      </c>
      <c r="E388" s="582">
        <v>1</v>
      </c>
      <c r="G388">
        <f t="shared" si="5"/>
        <v>0</v>
      </c>
    </row>
    <row r="389" spans="2:7" ht="28.5">
      <c r="B389" s="584">
        <v>43794</v>
      </c>
      <c r="C389" s="585" t="s">
        <v>630</v>
      </c>
      <c r="D389" s="586" t="s">
        <v>592</v>
      </c>
      <c r="E389" s="585">
        <v>1</v>
      </c>
      <c r="G389">
        <f t="shared" si="5"/>
        <v>0</v>
      </c>
    </row>
    <row r="390" spans="2:7" ht="57">
      <c r="B390" s="581">
        <v>43819</v>
      </c>
      <c r="C390" s="582" t="s">
        <v>633</v>
      </c>
      <c r="D390" s="583" t="s">
        <v>590</v>
      </c>
      <c r="E390" s="582">
        <v>1</v>
      </c>
      <c r="G390">
        <f t="shared" si="5"/>
        <v>0</v>
      </c>
    </row>
    <row r="391" spans="2:7" ht="42.75">
      <c r="B391" s="584">
        <v>43821</v>
      </c>
      <c r="C391" s="585" t="s">
        <v>620</v>
      </c>
      <c r="D391" s="586" t="s">
        <v>618</v>
      </c>
      <c r="E391" s="585">
        <v>1</v>
      </c>
      <c r="G391">
        <f t="shared" si="5"/>
        <v>0</v>
      </c>
    </row>
    <row r="392" spans="2:7" ht="42.75">
      <c r="B392" s="581">
        <v>43820</v>
      </c>
      <c r="C392" s="582" t="s">
        <v>655</v>
      </c>
      <c r="D392" s="583" t="s">
        <v>656</v>
      </c>
      <c r="E392" s="582">
        <v>1</v>
      </c>
      <c r="G392">
        <f t="shared" si="5"/>
        <v>0</v>
      </c>
    </row>
    <row r="393" spans="2:7" ht="99.75">
      <c r="B393" s="584">
        <v>43817</v>
      </c>
      <c r="C393" s="585" t="s">
        <v>577</v>
      </c>
      <c r="D393" s="586" t="s">
        <v>578</v>
      </c>
      <c r="E393" s="585">
        <v>1</v>
      </c>
      <c r="G393">
        <f t="shared" si="5"/>
        <v>0</v>
      </c>
    </row>
    <row r="394" spans="2:7" ht="85.5">
      <c r="B394" s="581">
        <v>43817</v>
      </c>
      <c r="C394" s="582" t="s">
        <v>579</v>
      </c>
      <c r="D394" s="583" t="s">
        <v>580</v>
      </c>
      <c r="E394" s="582">
        <v>1</v>
      </c>
      <c r="G394">
        <f t="shared" si="5"/>
        <v>0</v>
      </c>
    </row>
    <row r="395" spans="2:7" ht="71.25">
      <c r="B395" s="584">
        <v>43819</v>
      </c>
      <c r="C395" s="585" t="s">
        <v>581</v>
      </c>
      <c r="D395" s="586" t="s">
        <v>582</v>
      </c>
      <c r="E395" s="585">
        <v>1</v>
      </c>
      <c r="G395">
        <f t="shared" si="5"/>
        <v>0</v>
      </c>
    </row>
    <row r="396" spans="2:7" ht="57">
      <c r="B396" s="581">
        <v>43818</v>
      </c>
      <c r="C396" s="582" t="s">
        <v>648</v>
      </c>
      <c r="D396" s="583" t="s">
        <v>571</v>
      </c>
      <c r="E396" s="582">
        <v>1</v>
      </c>
      <c r="G396">
        <f t="shared" si="5"/>
        <v>0</v>
      </c>
    </row>
    <row r="397" spans="2:7" ht="57">
      <c r="B397" s="584">
        <v>43821</v>
      </c>
      <c r="C397" s="585" t="s">
        <v>648</v>
      </c>
      <c r="D397" s="586" t="s">
        <v>571</v>
      </c>
      <c r="E397" s="585">
        <v>1</v>
      </c>
      <c r="G397">
        <f t="shared" si="5"/>
        <v>0</v>
      </c>
    </row>
    <row r="398" spans="2:7" ht="71.25">
      <c r="B398" s="581">
        <v>43804</v>
      </c>
      <c r="C398" s="582" t="s">
        <v>644</v>
      </c>
      <c r="D398" s="583" t="s">
        <v>571</v>
      </c>
      <c r="E398" s="582">
        <v>1</v>
      </c>
      <c r="G398">
        <f t="shared" si="5"/>
        <v>0</v>
      </c>
    </row>
    <row r="399" spans="2:7" ht="57">
      <c r="B399" s="584">
        <v>43818</v>
      </c>
      <c r="C399" s="585" t="s">
        <v>657</v>
      </c>
      <c r="D399" s="586" t="s">
        <v>571</v>
      </c>
      <c r="E399" s="585">
        <v>1</v>
      </c>
      <c r="G399">
        <f t="shared" si="5"/>
        <v>0</v>
      </c>
    </row>
    <row r="400" spans="2:7" ht="57">
      <c r="B400" s="581">
        <v>43817</v>
      </c>
      <c r="C400" s="582" t="s">
        <v>610</v>
      </c>
      <c r="D400" s="583" t="s">
        <v>578</v>
      </c>
      <c r="E400" s="582">
        <v>1</v>
      </c>
      <c r="G400">
        <f t="shared" si="5"/>
        <v>0</v>
      </c>
    </row>
    <row r="401" spans="2:7" ht="57">
      <c r="B401" s="584">
        <v>43828</v>
      </c>
      <c r="C401" s="585" t="s">
        <v>610</v>
      </c>
      <c r="D401" s="586" t="s">
        <v>578</v>
      </c>
      <c r="E401" s="585">
        <v>2</v>
      </c>
      <c r="G401">
        <f t="shared" si="5"/>
        <v>0</v>
      </c>
    </row>
    <row r="402" spans="2:7" ht="57">
      <c r="B402" s="581">
        <v>43818</v>
      </c>
      <c r="C402" s="582" t="s">
        <v>610</v>
      </c>
      <c r="D402" s="583" t="s">
        <v>578</v>
      </c>
      <c r="E402" s="582">
        <v>1</v>
      </c>
      <c r="G402">
        <f t="shared" si="5"/>
        <v>0</v>
      </c>
    </row>
    <row r="403" spans="2:7" ht="57">
      <c r="B403" s="584">
        <v>43811</v>
      </c>
      <c r="C403" s="585" t="s">
        <v>622</v>
      </c>
      <c r="D403" s="586" t="s">
        <v>571</v>
      </c>
      <c r="E403" s="585">
        <v>1</v>
      </c>
      <c r="G403">
        <f t="shared" si="5"/>
        <v>0</v>
      </c>
    </row>
    <row r="404" spans="2:7" ht="42.75">
      <c r="B404" s="581">
        <v>43817</v>
      </c>
      <c r="C404" s="582" t="s">
        <v>646</v>
      </c>
      <c r="D404" s="583" t="s">
        <v>637</v>
      </c>
      <c r="E404" s="582">
        <v>1</v>
      </c>
      <c r="G404" s="993">
        <f t="shared" si="5"/>
        <v>0</v>
      </c>
    </row>
    <row r="405" spans="2:7" ht="42.75">
      <c r="B405" s="584">
        <v>43819</v>
      </c>
      <c r="C405" s="585" t="s">
        <v>591</v>
      </c>
      <c r="D405" s="586" t="s">
        <v>592</v>
      </c>
      <c r="E405" s="585">
        <v>1</v>
      </c>
      <c r="G405" s="993">
        <f t="shared" si="5"/>
        <v>0</v>
      </c>
    </row>
    <row r="406" spans="2:7" ht="42.75">
      <c r="B406" s="581">
        <v>43815</v>
      </c>
      <c r="C406" s="582" t="s">
        <v>591</v>
      </c>
      <c r="D406" s="583" t="s">
        <v>592</v>
      </c>
      <c r="E406" s="582">
        <v>1</v>
      </c>
      <c r="G406" s="993">
        <f t="shared" si="5"/>
        <v>0</v>
      </c>
    </row>
    <row r="407" spans="2:7" ht="28.5">
      <c r="B407" s="584">
        <v>43803</v>
      </c>
      <c r="C407" s="585" t="s">
        <v>597</v>
      </c>
      <c r="D407" s="586" t="s">
        <v>637</v>
      </c>
      <c r="E407" s="585">
        <v>1</v>
      </c>
      <c r="G407" s="993">
        <f t="shared" si="5"/>
        <v>0</v>
      </c>
    </row>
    <row r="408" spans="2:7" ht="28.5">
      <c r="B408" s="581">
        <v>43810</v>
      </c>
      <c r="C408" s="582" t="s">
        <v>597</v>
      </c>
      <c r="D408" s="583" t="s">
        <v>571</v>
      </c>
      <c r="E408" s="582">
        <v>1</v>
      </c>
      <c r="G408" s="993">
        <f t="shared" si="5"/>
        <v>0</v>
      </c>
    </row>
    <row r="409" spans="2:7" ht="42.75">
      <c r="B409" s="584">
        <v>43822</v>
      </c>
      <c r="C409" s="585" t="s">
        <v>653</v>
      </c>
      <c r="D409" s="586" t="s">
        <v>571</v>
      </c>
      <c r="E409" s="585">
        <v>1</v>
      </c>
      <c r="G409" s="993">
        <f t="shared" si="5"/>
        <v>0</v>
      </c>
    </row>
    <row r="410" spans="2:7" ht="42.75">
      <c r="B410" s="581">
        <v>43811</v>
      </c>
      <c r="C410" s="582" t="s">
        <v>650</v>
      </c>
      <c r="D410" s="583" t="s">
        <v>571</v>
      </c>
      <c r="E410" s="582">
        <v>1</v>
      </c>
      <c r="G410" s="993">
        <f t="shared" si="5"/>
        <v>0</v>
      </c>
    </row>
    <row r="411" spans="2:7" ht="42.75">
      <c r="B411" s="584">
        <v>43822</v>
      </c>
      <c r="C411" s="585" t="s">
        <v>600</v>
      </c>
      <c r="D411" s="586" t="s">
        <v>571</v>
      </c>
      <c r="E411" s="585">
        <v>7</v>
      </c>
      <c r="G411" s="993">
        <f t="shared" si="5"/>
        <v>0</v>
      </c>
    </row>
    <row r="412" spans="2:7" ht="57">
      <c r="B412" s="581">
        <v>43822</v>
      </c>
      <c r="C412" s="582" t="s">
        <v>649</v>
      </c>
      <c r="D412" s="583" t="s">
        <v>590</v>
      </c>
      <c r="E412" s="582">
        <v>1</v>
      </c>
      <c r="G412" s="993">
        <f t="shared" si="5"/>
        <v>0</v>
      </c>
    </row>
    <row r="413" spans="2:7" ht="71.25">
      <c r="B413" s="584">
        <v>43820</v>
      </c>
      <c r="C413" s="585" t="s">
        <v>654</v>
      </c>
      <c r="D413" s="586" t="s">
        <v>618</v>
      </c>
      <c r="E413" s="585">
        <v>1</v>
      </c>
      <c r="G413" s="993">
        <f t="shared" si="5"/>
        <v>0</v>
      </c>
    </row>
    <row r="414" spans="2:7" ht="28.5">
      <c r="B414" s="581">
        <v>43823</v>
      </c>
      <c r="C414" s="582" t="s">
        <v>604</v>
      </c>
      <c r="D414" s="583" t="s">
        <v>618</v>
      </c>
      <c r="E414" s="582">
        <v>1</v>
      </c>
      <c r="G414" s="993">
        <f t="shared" si="5"/>
        <v>0</v>
      </c>
    </row>
    <row r="415" spans="2:7" ht="28.5">
      <c r="B415" s="584">
        <v>43805</v>
      </c>
      <c r="C415" s="585" t="s">
        <v>604</v>
      </c>
      <c r="D415" s="586" t="s">
        <v>618</v>
      </c>
      <c r="E415" s="585">
        <v>1</v>
      </c>
      <c r="G415" s="993">
        <f t="shared" si="5"/>
        <v>0</v>
      </c>
    </row>
    <row r="416" spans="2:7" ht="28.5">
      <c r="B416" s="581">
        <v>43828</v>
      </c>
      <c r="C416" s="582" t="s">
        <v>604</v>
      </c>
      <c r="D416" s="583" t="s">
        <v>590</v>
      </c>
      <c r="E416" s="582">
        <v>1</v>
      </c>
      <c r="G416" s="993">
        <f t="shared" si="5"/>
        <v>0</v>
      </c>
    </row>
    <row r="417" spans="2:7" ht="28.5">
      <c r="B417" s="584">
        <v>43822</v>
      </c>
      <c r="C417" s="585" t="s">
        <v>604</v>
      </c>
      <c r="D417" s="586" t="s">
        <v>590</v>
      </c>
      <c r="E417" s="585">
        <v>1</v>
      </c>
      <c r="G417" s="993">
        <f t="shared" si="5"/>
        <v>0</v>
      </c>
    </row>
  </sheetData>
  <pageMargins left="0.7" right="0.7" top="0.75" bottom="0.75" header="0.3" footer="0.3"/>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E6EE4-4E3D-424F-BFA2-338B207613EF}">
  <sheetPr codeName="Sheet2">
    <pageSetUpPr fitToPage="1"/>
  </sheetPr>
  <dimension ref="A1:BC543"/>
  <sheetViews>
    <sheetView topLeftCell="A234" zoomScale="85" zoomScaleNormal="85" workbookViewId="0">
      <selection activeCell="A356" sqref="A356:XFD356"/>
    </sheetView>
  </sheetViews>
  <sheetFormatPr defaultColWidth="9.140625" defaultRowHeight="15" outlineLevelRow="1" outlineLevelCol="1"/>
  <cols>
    <col min="1" max="1" width="50.7109375" customWidth="1"/>
    <col min="2" max="6" width="9.7109375" customWidth="1"/>
    <col min="7" max="10" width="0" hidden="1" customWidth="1" outlineLevel="1"/>
    <col min="11" max="11" width="9.7109375" customWidth="1" collapsed="1"/>
    <col min="12" max="15" width="9.140625" hidden="1" customWidth="1" outlineLevel="1"/>
    <col min="16" max="16" width="9.7109375" customWidth="1" collapsed="1"/>
    <col min="17" max="20" width="9.140625" hidden="1" customWidth="1" outlineLevel="1"/>
    <col min="21" max="21" width="9.7109375" customWidth="1" collapsed="1"/>
    <col min="22" max="25" width="9.140625" hidden="1" customWidth="1" outlineLevel="1"/>
    <col min="26" max="26" width="9.7109375" customWidth="1" collapsed="1"/>
    <col min="27" max="30" width="9.140625" hidden="1" customWidth="1" outlineLevel="1"/>
    <col min="31" max="31" width="9.7109375" customWidth="1" collapsed="1"/>
    <col min="32" max="35" width="9.7109375" hidden="1" customWidth="1" outlineLevel="1"/>
    <col min="36" max="36" width="9.7109375" customWidth="1" collapsed="1"/>
    <col min="37" max="40" width="9.7109375" customWidth="1" outlineLevel="1"/>
    <col min="41" max="41" width="9.7109375" customWidth="1"/>
    <col min="42" max="45" width="9.7109375" customWidth="1" outlineLevel="1"/>
    <col min="46" max="46" width="9.7109375" customWidth="1"/>
    <col min="47" max="50" width="9.7109375" customWidth="1" outlineLevel="1"/>
    <col min="51" max="51" width="9.7109375"/>
    <col min="52" max="54" width="9.7109375" customWidth="1"/>
    <col min="55" max="55" width="10.28515625" bestFit="1" customWidth="1"/>
  </cols>
  <sheetData>
    <row r="1" spans="1:55" s="23" customFormat="1" ht="28.5">
      <c r="A1" s="506" t="s">
        <v>211</v>
      </c>
      <c r="B1" s="520"/>
      <c r="C1" s="534"/>
      <c r="D1" s="534"/>
      <c r="E1" s="534"/>
      <c r="F1" s="534"/>
      <c r="G1" s="534"/>
      <c r="H1" s="534"/>
      <c r="I1" s="534"/>
      <c r="J1" s="534"/>
      <c r="K1" s="534"/>
      <c r="L1" s="534"/>
      <c r="M1" s="534"/>
      <c r="N1" s="534"/>
      <c r="O1" s="534"/>
      <c r="P1" s="534"/>
      <c r="Q1" s="534"/>
      <c r="R1" s="534"/>
      <c r="S1" s="534"/>
      <c r="T1" s="534"/>
      <c r="U1" s="534"/>
      <c r="V1" s="534"/>
      <c r="W1" s="534"/>
      <c r="X1" s="534"/>
      <c r="Y1" s="534"/>
      <c r="Z1" s="534"/>
      <c r="AA1" s="534"/>
      <c r="AB1" s="534"/>
      <c r="AC1" s="534"/>
      <c r="AD1" s="534"/>
      <c r="AE1" s="534"/>
      <c r="AF1" s="534"/>
      <c r="AG1" s="534"/>
      <c r="AH1" s="534"/>
      <c r="AI1" s="534"/>
      <c r="AJ1" s="534"/>
      <c r="AK1" s="534"/>
      <c r="AL1" s="534"/>
      <c r="AM1" s="534"/>
      <c r="AN1" s="534"/>
      <c r="AO1" s="534"/>
      <c r="AP1" s="534"/>
      <c r="AQ1" s="535"/>
      <c r="AR1" s="516"/>
      <c r="AS1" s="516"/>
      <c r="AT1" s="516"/>
      <c r="AU1" s="516"/>
      <c r="AV1" s="516"/>
      <c r="AW1" s="516"/>
      <c r="AX1" s="516"/>
      <c r="AY1" s="516"/>
      <c r="AZ1" s="516"/>
      <c r="BA1" s="516"/>
      <c r="BB1" s="516"/>
      <c r="BC1" s="38"/>
    </row>
    <row r="2" spans="1:55" s="41" customFormat="1">
      <c r="A2" s="365" t="str">
        <f>CHOOSE(MO.DataSourceIndex,MO.Ticker.Bloomberg,MO.Ticker.CapIQ,MO.Ticker.FactSet,MO.Ticker.Thomson)</f>
        <v>ATRO US</v>
      </c>
      <c r="B2" s="366"/>
      <c r="C2" s="367">
        <f>EOMONTH(C4,-12)</f>
        <v>39813</v>
      </c>
      <c r="D2" s="368"/>
      <c r="E2" s="368"/>
      <c r="F2" s="368"/>
      <c r="G2" s="368"/>
      <c r="H2" s="368"/>
      <c r="I2" s="368"/>
      <c r="J2" s="368"/>
      <c r="K2" s="368"/>
      <c r="L2" s="368"/>
      <c r="M2" s="368"/>
      <c r="N2" s="368"/>
      <c r="O2" s="368"/>
      <c r="P2" s="368"/>
      <c r="Q2" s="368"/>
      <c r="R2" s="368"/>
      <c r="S2" s="368"/>
      <c r="T2" s="368"/>
      <c r="U2" s="368"/>
      <c r="V2" s="368"/>
      <c r="W2" s="368"/>
      <c r="X2" s="368"/>
      <c r="Y2" s="368"/>
      <c r="Z2" s="368"/>
      <c r="AA2" s="369" t="s">
        <v>391</v>
      </c>
      <c r="AB2" s="369" t="s">
        <v>391</v>
      </c>
      <c r="AC2" s="369" t="s">
        <v>391</v>
      </c>
      <c r="AD2" s="369" t="s">
        <v>391</v>
      </c>
      <c r="AE2" s="369" t="s">
        <v>391</v>
      </c>
      <c r="AF2" s="369"/>
      <c r="AG2" s="369"/>
      <c r="AH2" s="369"/>
      <c r="AI2" s="369"/>
      <c r="AJ2" s="369"/>
      <c r="AK2" s="368"/>
      <c r="AL2" s="369"/>
      <c r="AM2" s="369"/>
      <c r="AN2" s="369"/>
      <c r="AO2" s="369"/>
      <c r="AP2" s="368"/>
      <c r="AQ2" s="508"/>
      <c r="AR2" s="495"/>
      <c r="AS2" s="495"/>
      <c r="AT2" s="495"/>
      <c r="AU2" s="495"/>
      <c r="AV2" s="495"/>
      <c r="AW2" s="495"/>
      <c r="AX2" s="495"/>
      <c r="AY2" s="495"/>
      <c r="AZ2" s="495"/>
      <c r="BA2" s="495"/>
      <c r="BB2" s="495"/>
      <c r="BC2" s="40"/>
    </row>
    <row r="3" spans="1:55" s="24" customFormat="1" ht="14.45" customHeight="1">
      <c r="A3" s="371" t="str">
        <f ca="1">HP.TradeCurrency</f>
        <v>USD</v>
      </c>
      <c r="B3" s="372">
        <f ca="1">IF(MO.RealTime="OFF",MO.LastPriceHardcoded,MO.LastPriceFormula)</f>
        <v>10.119999999999999</v>
      </c>
      <c r="C3" s="988">
        <f>C4-C2</f>
        <v>365</v>
      </c>
      <c r="D3" s="988">
        <f t="shared" ref="D3:J3" si="0">D4-C4</f>
        <v>365</v>
      </c>
      <c r="E3" s="988">
        <f t="shared" si="0"/>
        <v>365</v>
      </c>
      <c r="F3" s="988">
        <f t="shared" si="0"/>
        <v>366</v>
      </c>
      <c r="G3" s="988">
        <f t="shared" si="0"/>
        <v>90</v>
      </c>
      <c r="H3" s="988">
        <f t="shared" si="0"/>
        <v>91</v>
      </c>
      <c r="I3" s="988">
        <f t="shared" si="0"/>
        <v>92</v>
      </c>
      <c r="J3" s="988">
        <f t="shared" si="0"/>
        <v>92</v>
      </c>
      <c r="K3" s="988">
        <f>K4-F4</f>
        <v>365</v>
      </c>
      <c r="L3" s="988">
        <f>L4-K4</f>
        <v>90</v>
      </c>
      <c r="M3" s="988">
        <f>M4-L4</f>
        <v>91</v>
      </c>
      <c r="N3" s="988">
        <f>N4-M4</f>
        <v>92</v>
      </c>
      <c r="O3" s="988">
        <f>O4-N4</f>
        <v>92</v>
      </c>
      <c r="P3" s="988">
        <f>P4-K4</f>
        <v>365</v>
      </c>
      <c r="Q3" s="988">
        <f>Q4-P4</f>
        <v>90</v>
      </c>
      <c r="R3" s="988">
        <f>R4-Q4</f>
        <v>91</v>
      </c>
      <c r="S3" s="988">
        <f>S4-R4</f>
        <v>92</v>
      </c>
      <c r="T3" s="988">
        <f>T4-S4</f>
        <v>92</v>
      </c>
      <c r="U3" s="988">
        <f>U4-P4</f>
        <v>365</v>
      </c>
      <c r="V3" s="988">
        <f>V4-U4</f>
        <v>91</v>
      </c>
      <c r="W3" s="988">
        <f>W4-V4</f>
        <v>91</v>
      </c>
      <c r="X3" s="988">
        <f>X4-W4</f>
        <v>92</v>
      </c>
      <c r="Y3" s="988">
        <f>Y4-X4</f>
        <v>92</v>
      </c>
      <c r="Z3" s="988">
        <f>Z4-U4</f>
        <v>366</v>
      </c>
      <c r="AA3" s="988">
        <f>AA4-Z4</f>
        <v>90</v>
      </c>
      <c r="AB3" s="988">
        <f>AB4-AA4</f>
        <v>91</v>
      </c>
      <c r="AC3" s="988">
        <f>AC4-AB4</f>
        <v>92</v>
      </c>
      <c r="AD3" s="988">
        <f>AD4-AC4</f>
        <v>92</v>
      </c>
      <c r="AE3" s="988">
        <f>AE4-Z4</f>
        <v>365</v>
      </c>
      <c r="AF3" s="988">
        <f>AF4-AE4</f>
        <v>90</v>
      </c>
      <c r="AG3" s="988">
        <f>AG4-AF4</f>
        <v>91</v>
      </c>
      <c r="AH3" s="988">
        <f>AH4-AG4</f>
        <v>92</v>
      </c>
      <c r="AI3" s="988">
        <f>AI4-AH4</f>
        <v>92</v>
      </c>
      <c r="AJ3" s="988">
        <f>AJ4-AE4</f>
        <v>365</v>
      </c>
      <c r="AK3" s="988">
        <f>AK4-AJ4</f>
        <v>90</v>
      </c>
      <c r="AL3" s="988">
        <f>AL4-AK4</f>
        <v>91</v>
      </c>
      <c r="AM3" s="988">
        <f>AM4-AL4</f>
        <v>92</v>
      </c>
      <c r="AN3" s="988">
        <f>AN4-AM4</f>
        <v>92</v>
      </c>
      <c r="AO3" s="988">
        <f>AO4-AJ4</f>
        <v>365</v>
      </c>
      <c r="AP3" s="988">
        <f>AP4-AO4</f>
        <v>91</v>
      </c>
      <c r="AQ3" s="989">
        <f>AQ4-AP4</f>
        <v>91</v>
      </c>
      <c r="AR3" s="988">
        <f>AR4-AQ4</f>
        <v>92</v>
      </c>
      <c r="AS3" s="988">
        <f>AS4-AR4</f>
        <v>92</v>
      </c>
      <c r="AT3" s="988">
        <f>AT4-AO4</f>
        <v>366</v>
      </c>
      <c r="AU3" s="988">
        <f>AU4-AT4</f>
        <v>90</v>
      </c>
      <c r="AV3" s="988">
        <f>AV4-AU4</f>
        <v>91</v>
      </c>
      <c r="AW3" s="988">
        <f>AW4-AV4</f>
        <v>92</v>
      </c>
      <c r="AX3" s="988">
        <f>AX4-AW4</f>
        <v>92</v>
      </c>
      <c r="AY3" s="988">
        <f>AY4-AT4</f>
        <v>365</v>
      </c>
      <c r="AZ3" s="988">
        <f>AZ4-AY4</f>
        <v>365</v>
      </c>
      <c r="BA3" s="988">
        <f>BA4-AZ4</f>
        <v>365</v>
      </c>
      <c r="BB3" s="988">
        <f>BB4-BA4</f>
        <v>366</v>
      </c>
      <c r="BC3" s="2"/>
    </row>
    <row r="4" spans="1:55" s="42" customFormat="1">
      <c r="A4" s="373" t="str">
        <f>FP.DataSourceName</f>
        <v>Bloomberg</v>
      </c>
      <c r="B4" s="374" t="str">
        <f ca="1">IF(AND(MO.RealTimeStockPriceToggle,MO.LastPriceFormula&lt;&gt;"N/A"),"ON","OFF")</f>
        <v>OFF</v>
      </c>
      <c r="C4" s="375">
        <v>40178</v>
      </c>
      <c r="D4" s="376">
        <f>EOMONTH(C4,12)</f>
        <v>40543</v>
      </c>
      <c r="E4" s="376">
        <f>EOMONTH(D4,12)</f>
        <v>40908</v>
      </c>
      <c r="F4" s="376">
        <f>EOMONTH(E4,12)</f>
        <v>41274</v>
      </c>
      <c r="G4" s="376">
        <f>EOMONTH(F4,3)</f>
        <v>41364</v>
      </c>
      <c r="H4" s="376">
        <f>EOMONTH(G4,3)</f>
        <v>41455</v>
      </c>
      <c r="I4" s="376">
        <f>EOMONTH(H4,3)</f>
        <v>41547</v>
      </c>
      <c r="J4" s="376">
        <f>EOMONTH(I4,3)</f>
        <v>41639</v>
      </c>
      <c r="K4" s="376">
        <f>J4</f>
        <v>41639</v>
      </c>
      <c r="L4" s="376">
        <f>EOMONTH(K4,3)</f>
        <v>41729</v>
      </c>
      <c r="M4" s="376">
        <f>EOMONTH(L4,3)</f>
        <v>41820</v>
      </c>
      <c r="N4" s="376">
        <f>EOMONTH(M4,3)</f>
        <v>41912</v>
      </c>
      <c r="O4" s="376">
        <f>EOMONTH(N4,3)</f>
        <v>42004</v>
      </c>
      <c r="P4" s="376">
        <f>O4</f>
        <v>42004</v>
      </c>
      <c r="Q4" s="376">
        <f>EOMONTH(P4,3)</f>
        <v>42094</v>
      </c>
      <c r="R4" s="376">
        <f>EOMONTH(Q4,3)</f>
        <v>42185</v>
      </c>
      <c r="S4" s="376">
        <f>EOMONTH(R4,3)</f>
        <v>42277</v>
      </c>
      <c r="T4" s="376">
        <f>EOMONTH(S4,3)</f>
        <v>42369</v>
      </c>
      <c r="U4" s="376">
        <f>T4</f>
        <v>42369</v>
      </c>
      <c r="V4" s="376">
        <f>EOMONTH(U4,3)</f>
        <v>42460</v>
      </c>
      <c r="W4" s="376">
        <f>EOMONTH(V4,3)</f>
        <v>42551</v>
      </c>
      <c r="X4" s="376">
        <f>EOMONTH(W4,3)</f>
        <v>42643</v>
      </c>
      <c r="Y4" s="376">
        <f>EOMONTH(X4,3)</f>
        <v>42735</v>
      </c>
      <c r="Z4" s="376">
        <f>Y4</f>
        <v>42735</v>
      </c>
      <c r="AA4" s="376">
        <f>EOMONTH(Z4,3)</f>
        <v>42825</v>
      </c>
      <c r="AB4" s="376">
        <f>EOMONTH(AA4,3)</f>
        <v>42916</v>
      </c>
      <c r="AC4" s="376">
        <f>EOMONTH(AB4,3)</f>
        <v>43008</v>
      </c>
      <c r="AD4" s="376">
        <f>EOMONTH(AC4,3)</f>
        <v>43100</v>
      </c>
      <c r="AE4" s="376">
        <f>AD4</f>
        <v>43100</v>
      </c>
      <c r="AF4" s="376">
        <f>EOMONTH(AE4,3)</f>
        <v>43190</v>
      </c>
      <c r="AG4" s="376">
        <f>EOMONTH(AF4,3)</f>
        <v>43281</v>
      </c>
      <c r="AH4" s="376">
        <f>EOMONTH(AG4,3)</f>
        <v>43373</v>
      </c>
      <c r="AI4" s="376">
        <f>EOMONTH(AH4,3)</f>
        <v>43465</v>
      </c>
      <c r="AJ4" s="376">
        <f>AI4</f>
        <v>43465</v>
      </c>
      <c r="AK4" s="376">
        <f>EOMONTH(AJ4,3)</f>
        <v>43555</v>
      </c>
      <c r="AL4" s="376">
        <f>EOMONTH(AK4,3)</f>
        <v>43646</v>
      </c>
      <c r="AM4" s="376">
        <f>EOMONTH(AL4,3)</f>
        <v>43738</v>
      </c>
      <c r="AN4" s="376">
        <f>EOMONTH(AM4,3)</f>
        <v>43830</v>
      </c>
      <c r="AO4" s="376">
        <f>AN4</f>
        <v>43830</v>
      </c>
      <c r="AP4" s="376">
        <f>EOMONTH(AO4,3)</f>
        <v>43921</v>
      </c>
      <c r="AQ4" s="377">
        <f>EOMONTH(AP4,3)</f>
        <v>44012</v>
      </c>
      <c r="AR4" s="74">
        <f>EOMONTH(AQ4,3)</f>
        <v>44104</v>
      </c>
      <c r="AS4" s="74">
        <f>EOMONTH(AR4,3)</f>
        <v>44196</v>
      </c>
      <c r="AT4" s="74">
        <f>AS4</f>
        <v>44196</v>
      </c>
      <c r="AU4" s="74">
        <f>EOMONTH(AT4,3)</f>
        <v>44286</v>
      </c>
      <c r="AV4" s="74">
        <f>EOMONTH(AU4,3)</f>
        <v>44377</v>
      </c>
      <c r="AW4" s="74">
        <f>EOMONTH(AV4,3)</f>
        <v>44469</v>
      </c>
      <c r="AX4" s="74">
        <f>EOMONTH(AW4,3)</f>
        <v>44561</v>
      </c>
      <c r="AY4" s="74">
        <f>AX4</f>
        <v>44561</v>
      </c>
      <c r="AZ4" s="74">
        <f>EOMONTH(AY4,12)</f>
        <v>44926</v>
      </c>
      <c r="BA4" s="74">
        <f>EOMONTH(AZ4,12)</f>
        <v>45291</v>
      </c>
      <c r="BB4" s="74">
        <f>EOMONTH(BA4,12)</f>
        <v>45657</v>
      </c>
      <c r="BC4" s="22"/>
    </row>
    <row r="5" spans="1:55" s="41" customFormat="1">
      <c r="A5" s="378" t="str">
        <f>MO.ReportCurrency</f>
        <v>USD</v>
      </c>
      <c r="B5" s="379"/>
      <c r="C5" s="380" t="s">
        <v>9</v>
      </c>
      <c r="D5" s="381" t="s">
        <v>503</v>
      </c>
      <c r="E5" s="381" t="s">
        <v>504</v>
      </c>
      <c r="F5" s="381" t="s">
        <v>505</v>
      </c>
      <c r="G5" s="381" t="s">
        <v>506</v>
      </c>
      <c r="H5" s="381" t="s">
        <v>507</v>
      </c>
      <c r="I5" s="381" t="s">
        <v>508</v>
      </c>
      <c r="J5" s="381" t="s">
        <v>509</v>
      </c>
      <c r="K5" s="381" t="s">
        <v>510</v>
      </c>
      <c r="L5" s="381" t="s">
        <v>511</v>
      </c>
      <c r="M5" s="381" t="s">
        <v>512</v>
      </c>
      <c r="N5" s="381" t="s">
        <v>513</v>
      </c>
      <c r="O5" s="381" t="s">
        <v>514</v>
      </c>
      <c r="P5" s="381" t="s">
        <v>515</v>
      </c>
      <c r="Q5" s="381" t="s">
        <v>516</v>
      </c>
      <c r="R5" s="381" t="s">
        <v>517</v>
      </c>
      <c r="S5" s="381" t="s">
        <v>518</v>
      </c>
      <c r="T5" s="381" t="s">
        <v>519</v>
      </c>
      <c r="U5" s="381" t="s">
        <v>520</v>
      </c>
      <c r="V5" s="381" t="s">
        <v>521</v>
      </c>
      <c r="W5" s="381" t="s">
        <v>522</v>
      </c>
      <c r="X5" s="381" t="s">
        <v>444</v>
      </c>
      <c r="Y5" s="381" t="s">
        <v>523</v>
      </c>
      <c r="Z5" s="381" t="s">
        <v>284</v>
      </c>
      <c r="AA5" s="381" t="s">
        <v>294</v>
      </c>
      <c r="AB5" s="381" t="s">
        <v>305</v>
      </c>
      <c r="AC5" s="381" t="s">
        <v>306</v>
      </c>
      <c r="AD5" s="381" t="s">
        <v>322</v>
      </c>
      <c r="AE5" s="381" t="s">
        <v>327</v>
      </c>
      <c r="AF5" s="381" t="s">
        <v>335</v>
      </c>
      <c r="AG5" s="381" t="s">
        <v>340</v>
      </c>
      <c r="AH5" s="381" t="s">
        <v>375</v>
      </c>
      <c r="AI5" s="381" t="s">
        <v>373</v>
      </c>
      <c r="AJ5" s="381" t="s">
        <v>324</v>
      </c>
      <c r="AK5" s="381" t="s">
        <v>398</v>
      </c>
      <c r="AL5" s="381" t="s">
        <v>424</v>
      </c>
      <c r="AM5" s="381" t="s">
        <v>426</v>
      </c>
      <c r="AN5" s="381" t="s">
        <v>427</v>
      </c>
      <c r="AO5" s="381" t="s">
        <v>387</v>
      </c>
      <c r="AP5" s="381" t="s">
        <v>457</v>
      </c>
      <c r="AQ5" s="382" t="s">
        <v>498</v>
      </c>
      <c r="AR5" s="52" t="s">
        <v>524</v>
      </c>
      <c r="AS5" s="52" t="s">
        <v>525</v>
      </c>
      <c r="AT5" s="52" t="s">
        <v>428</v>
      </c>
      <c r="AU5" s="52" t="s">
        <v>526</v>
      </c>
      <c r="AV5" s="52" t="s">
        <v>527</v>
      </c>
      <c r="AW5" s="52" t="s">
        <v>528</v>
      </c>
      <c r="AX5" s="52" t="s">
        <v>529</v>
      </c>
      <c r="AY5" s="52" t="s">
        <v>530</v>
      </c>
      <c r="AZ5" s="52" t="s">
        <v>531</v>
      </c>
      <c r="BA5" s="52" t="s">
        <v>532</v>
      </c>
      <c r="BB5" s="52" t="str">
        <f>CONCATENATE("FY",RIGHT(BA5,4)+1)</f>
        <v>FY2024</v>
      </c>
      <c r="BC5" s="50"/>
    </row>
    <row r="6" spans="1:55" s="25" customFormat="1" ht="14.45" customHeight="1">
      <c r="A6" s="51" t="s">
        <v>36</v>
      </c>
      <c r="B6" s="51"/>
      <c r="C6" s="874"/>
      <c r="D6" s="874"/>
      <c r="E6" s="874"/>
      <c r="F6" s="874"/>
      <c r="G6" s="874"/>
      <c r="H6" s="874"/>
      <c r="I6" s="874"/>
      <c r="J6" s="874"/>
      <c r="K6" s="874"/>
      <c r="L6" s="874"/>
      <c r="M6" s="874"/>
      <c r="N6" s="874"/>
      <c r="O6" s="874"/>
      <c r="P6" s="874"/>
      <c r="Q6" s="874"/>
      <c r="R6" s="874"/>
      <c r="S6" s="874"/>
      <c r="T6" s="874"/>
      <c r="U6" s="874"/>
      <c r="V6" s="874"/>
      <c r="W6" s="874"/>
      <c r="X6" s="874"/>
      <c r="Y6" s="874"/>
      <c r="Z6" s="874"/>
      <c r="AA6" s="874"/>
      <c r="AB6" s="874"/>
      <c r="AC6" s="874"/>
      <c r="AD6" s="874"/>
      <c r="AE6" s="874"/>
      <c r="AF6" s="874"/>
      <c r="AG6" s="874"/>
      <c r="AH6" s="874"/>
      <c r="AI6" s="874"/>
      <c r="AJ6" s="874"/>
      <c r="AK6" s="874"/>
      <c r="AL6" s="874"/>
      <c r="AM6" s="874"/>
      <c r="AN6" s="874"/>
      <c r="AO6" s="874"/>
      <c r="AP6" s="874"/>
      <c r="AQ6" s="875"/>
      <c r="AR6" s="874"/>
      <c r="AS6" s="874"/>
      <c r="AT6" s="874"/>
      <c r="AU6" s="874"/>
      <c r="AV6" s="874"/>
      <c r="AW6" s="874"/>
      <c r="AX6" s="874"/>
      <c r="AY6" s="874"/>
      <c r="AZ6" s="874"/>
      <c r="BA6" s="874"/>
      <c r="BB6" s="874"/>
      <c r="BC6" s="45"/>
    </row>
    <row r="7" spans="1:55" s="43" customFormat="1" hidden="1" outlineLevel="1">
      <c r="A7" s="383" t="s">
        <v>196</v>
      </c>
      <c r="B7" s="188"/>
      <c r="C7" s="384"/>
      <c r="D7" s="384"/>
      <c r="E7" s="384"/>
      <c r="F7" s="384"/>
      <c r="G7" s="385"/>
      <c r="H7" s="385"/>
      <c r="I7" s="385"/>
      <c r="J7" s="385"/>
      <c r="K7" s="384"/>
      <c r="L7" s="385">
        <f t="shared" ref="L7:U13" si="1">IFERROR(L18/G18-1,"n/a")</f>
        <v>0.94825556296848634</v>
      </c>
      <c r="M7" s="385">
        <f t="shared" si="1"/>
        <v>1.0859415528272525</v>
      </c>
      <c r="N7" s="385">
        <f t="shared" si="1"/>
        <v>0.50603902136884504</v>
      </c>
      <c r="O7" s="385">
        <f t="shared" si="1"/>
        <v>0.35702525059602985</v>
      </c>
      <c r="P7" s="384">
        <f t="shared" si="1"/>
        <v>0.66610579451046381</v>
      </c>
      <c r="Q7" s="385">
        <f t="shared" si="1"/>
        <v>0.21057137389587766</v>
      </c>
      <c r="R7" s="385">
        <f t="shared" si="1"/>
        <v>0.11528019563955905</v>
      </c>
      <c r="S7" s="385">
        <f t="shared" si="1"/>
        <v>0.18256220440057569</v>
      </c>
      <c r="T7" s="385">
        <f t="shared" si="1"/>
        <v>9.4211057617642702E-2</v>
      </c>
      <c r="U7" s="384">
        <f t="shared" si="1"/>
        <v>0.15020892507732131</v>
      </c>
      <c r="V7" s="385">
        <f t="shared" ref="V7:AE13" si="2">IFERROR(V18/Q18-1,"n/a")</f>
        <v>-5.6558563655423777E-2</v>
      </c>
      <c r="W7" s="385">
        <f t="shared" si="2"/>
        <v>8.1706603238903996E-2</v>
      </c>
      <c r="X7" s="385">
        <f t="shared" si="2"/>
        <v>-0.11877477916116019</v>
      </c>
      <c r="Y7" s="385">
        <f t="shared" si="2"/>
        <v>-7.4088530116207085E-2</v>
      </c>
      <c r="Z7" s="384">
        <f t="shared" si="2"/>
        <v>-4.3938459377174444E-2</v>
      </c>
      <c r="AA7" s="385">
        <f t="shared" si="2"/>
        <v>-3.2390913259726983E-2</v>
      </c>
      <c r="AB7" s="385">
        <f t="shared" si="2"/>
        <v>-0.15519270247287908</v>
      </c>
      <c r="AC7" s="385">
        <f t="shared" si="2"/>
        <v>-2.5001233288934999E-2</v>
      </c>
      <c r="AD7" s="385">
        <f t="shared" si="2"/>
        <v>3.1098507348292115E-2</v>
      </c>
      <c r="AE7" s="384">
        <f t="shared" si="2"/>
        <v>-4.8281261479685589E-2</v>
      </c>
      <c r="AF7" s="385">
        <f t="shared" ref="AF7:AO13" si="3">IFERROR(AF18/AA18-1,"n/a")</f>
        <v>0.21259899929823289</v>
      </c>
      <c r="AG7" s="385">
        <f t="shared" si="3"/>
        <v>0.35018046871028408</v>
      </c>
      <c r="AH7" s="385">
        <f t="shared" si="3"/>
        <v>0.38322826119954279</v>
      </c>
      <c r="AI7" s="385">
        <f t="shared" si="3"/>
        <v>0.24256671374414629</v>
      </c>
      <c r="AJ7" s="384">
        <f t="shared" si="3"/>
        <v>0.29370143514352631</v>
      </c>
      <c r="AK7" s="385">
        <f t="shared" si="3"/>
        <v>6.5599398722284707E-2</v>
      </c>
      <c r="AL7" s="385">
        <f t="shared" si="3"/>
        <v>-2.3087870960940449E-2</v>
      </c>
      <c r="AM7" s="385">
        <f t="shared" si="3"/>
        <v>-0.10593158341380626</v>
      </c>
      <c r="AN7" s="385">
        <f t="shared" si="3"/>
        <v>-2.6396470500261504E-2</v>
      </c>
      <c r="AO7" s="384">
        <f t="shared" si="3"/>
        <v>-2.3025757595535046E-2</v>
      </c>
      <c r="AP7" s="385">
        <f t="shared" ref="AP7:AQ13" si="4">IFERROR(AP18/AK18-1,"n/a")</f>
        <v>-0.27509909859075443</v>
      </c>
      <c r="AQ7" s="386">
        <f t="shared" si="4"/>
        <v>-0.47932259829955826</v>
      </c>
      <c r="AR7" s="876"/>
      <c r="AS7" s="876"/>
      <c r="AT7" s="877"/>
      <c r="AU7" s="876"/>
      <c r="AV7" s="876"/>
      <c r="AW7" s="876"/>
      <c r="AX7" s="876"/>
      <c r="AY7" s="877"/>
      <c r="AZ7" s="877"/>
      <c r="BA7" s="877"/>
      <c r="BB7" s="877"/>
      <c r="BC7" s="44"/>
    </row>
    <row r="8" spans="1:55" s="43" customFormat="1" hidden="1" outlineLevel="1">
      <c r="A8" s="383" t="s">
        <v>197</v>
      </c>
      <c r="B8" s="188"/>
      <c r="C8" s="384"/>
      <c r="D8" s="384"/>
      <c r="E8" s="384"/>
      <c r="F8" s="384"/>
      <c r="G8" s="385"/>
      <c r="H8" s="385"/>
      <c r="I8" s="385"/>
      <c r="J8" s="385"/>
      <c r="K8" s="384"/>
      <c r="L8" s="385">
        <f t="shared" si="1"/>
        <v>3.9693593314763298E-2</v>
      </c>
      <c r="M8" s="385">
        <f t="shared" si="1"/>
        <v>2.2347293494454634E-2</v>
      </c>
      <c r="N8" s="385">
        <f t="shared" si="1"/>
        <v>-0.19075736104550467</v>
      </c>
      <c r="O8" s="385">
        <f t="shared" si="1"/>
        <v>-0.28973737638352237</v>
      </c>
      <c r="P8" s="384">
        <f t="shared" si="1"/>
        <v>-0.12811029608169466</v>
      </c>
      <c r="Q8" s="385">
        <f t="shared" si="1"/>
        <v>3.3489618218352168E-2</v>
      </c>
      <c r="R8" s="385">
        <f t="shared" si="1"/>
        <v>-0.14434909326424861</v>
      </c>
      <c r="S8" s="385">
        <f t="shared" si="1"/>
        <v>0.17735188247884048</v>
      </c>
      <c r="T8" s="385">
        <f t="shared" si="1"/>
        <v>4.8040571692024692E-2</v>
      </c>
      <c r="U8" s="384">
        <f t="shared" si="1"/>
        <v>2.0290333223358825E-2</v>
      </c>
      <c r="V8" s="385">
        <f t="shared" si="2"/>
        <v>0.32642039317347171</v>
      </c>
      <c r="W8" s="385">
        <f t="shared" si="2"/>
        <v>0.32207398997066883</v>
      </c>
      <c r="X8" s="385">
        <f t="shared" si="2"/>
        <v>0.13030903982812747</v>
      </c>
      <c r="Y8" s="385">
        <f t="shared" si="2"/>
        <v>0.28664437796938169</v>
      </c>
      <c r="Z8" s="384">
        <f t="shared" si="2"/>
        <v>0.26009931862801694</v>
      </c>
      <c r="AA8" s="385">
        <f t="shared" si="2"/>
        <v>0.23338762214983721</v>
      </c>
      <c r="AB8" s="385">
        <f t="shared" si="2"/>
        <v>0.1296786659987117</v>
      </c>
      <c r="AC8" s="385">
        <f t="shared" si="2"/>
        <v>0.12325462387601438</v>
      </c>
      <c r="AD8" s="385">
        <f t="shared" si="2"/>
        <v>2.3933260393873779E-2</v>
      </c>
      <c r="AE8" s="384">
        <f t="shared" si="2"/>
        <v>0.12306620719994155</v>
      </c>
      <c r="AF8" s="385">
        <f t="shared" si="3"/>
        <v>-7.4673181037897773E-2</v>
      </c>
      <c r="AG8" s="385">
        <f t="shared" si="3"/>
        <v>3.0725372188786793E-2</v>
      </c>
      <c r="AH8" s="385">
        <f t="shared" si="3"/>
        <v>4.9463065408395623E-2</v>
      </c>
      <c r="AI8" s="385">
        <f t="shared" si="3"/>
        <v>0.45104848403900122</v>
      </c>
      <c r="AJ8" s="384">
        <f t="shared" si="3"/>
        <v>0.11209401011914477</v>
      </c>
      <c r="AK8" s="385">
        <f t="shared" si="3"/>
        <v>0.49504102747056722</v>
      </c>
      <c r="AL8" s="385">
        <f t="shared" si="3"/>
        <v>0.20129071911493557</v>
      </c>
      <c r="AM8" s="385">
        <f t="shared" si="3"/>
        <v>7.0077519379844855E-2</v>
      </c>
      <c r="AN8" s="385">
        <f t="shared" si="3"/>
        <v>-0.13526325478645096</v>
      </c>
      <c r="AO8" s="384">
        <f t="shared" si="3"/>
        <v>0.1233379318441985</v>
      </c>
      <c r="AP8" s="385">
        <f t="shared" si="4"/>
        <v>-0.13554144991170713</v>
      </c>
      <c r="AQ8" s="386">
        <f t="shared" si="4"/>
        <v>-0.28104374520337694</v>
      </c>
      <c r="AR8" s="876"/>
      <c r="AS8" s="876"/>
      <c r="AT8" s="877"/>
      <c r="AU8" s="876"/>
      <c r="AV8" s="876"/>
      <c r="AW8" s="876"/>
      <c r="AX8" s="876"/>
      <c r="AY8" s="877"/>
      <c r="AZ8" s="877"/>
      <c r="BA8" s="877"/>
      <c r="BB8" s="877"/>
      <c r="BC8" s="44"/>
    </row>
    <row r="9" spans="1:55" s="43" customFormat="1" hidden="1" outlineLevel="1">
      <c r="A9" s="383" t="s">
        <v>198</v>
      </c>
      <c r="B9" s="188"/>
      <c r="C9" s="384"/>
      <c r="D9" s="384"/>
      <c r="E9" s="384"/>
      <c r="F9" s="384"/>
      <c r="G9" s="385"/>
      <c r="H9" s="385"/>
      <c r="I9" s="385"/>
      <c r="J9" s="385"/>
      <c r="K9" s="384"/>
      <c r="L9" s="385">
        <f t="shared" si="1"/>
        <v>0.13860357761107922</v>
      </c>
      <c r="M9" s="385">
        <f t="shared" si="1"/>
        <v>0.1926500143554406</v>
      </c>
      <c r="N9" s="385">
        <f t="shared" si="1"/>
        <v>0.5756897837434749</v>
      </c>
      <c r="O9" s="385">
        <f t="shared" si="1"/>
        <v>0.35338345864661713</v>
      </c>
      <c r="P9" s="384">
        <f t="shared" si="1"/>
        <v>0.30335079237174334</v>
      </c>
      <c r="Q9" s="385">
        <f t="shared" si="1"/>
        <v>-0.17980944658422859</v>
      </c>
      <c r="R9" s="385">
        <f t="shared" si="1"/>
        <v>9.0635532017332654E-2</v>
      </c>
      <c r="S9" s="385">
        <f t="shared" si="1"/>
        <v>-0.23871273071462384</v>
      </c>
      <c r="T9" s="385">
        <f t="shared" si="1"/>
        <v>-0.24603174603174627</v>
      </c>
      <c r="U9" s="384">
        <f t="shared" si="1"/>
        <v>-0.15515598031891609</v>
      </c>
      <c r="V9" s="385">
        <f t="shared" si="2"/>
        <v>-0.19364804745427588</v>
      </c>
      <c r="W9" s="385">
        <f t="shared" si="2"/>
        <v>-0.14943163006290694</v>
      </c>
      <c r="X9" s="385">
        <f t="shared" si="2"/>
        <v>-0.23747357951013293</v>
      </c>
      <c r="Y9" s="385">
        <f t="shared" si="2"/>
        <v>-0.33657894736842098</v>
      </c>
      <c r="Z9" s="384">
        <f t="shared" si="2"/>
        <v>-0.22530186608122937</v>
      </c>
      <c r="AA9" s="385">
        <f t="shared" si="2"/>
        <v>0.15494252873563208</v>
      </c>
      <c r="AB9" s="385">
        <f t="shared" si="2"/>
        <v>0.39042428960685083</v>
      </c>
      <c r="AC9" s="385">
        <f t="shared" si="2"/>
        <v>0.72705038317299864</v>
      </c>
      <c r="AD9" s="385">
        <f t="shared" si="2"/>
        <v>1.4700515668385554</v>
      </c>
      <c r="AE9" s="384">
        <f t="shared" si="2"/>
        <v>0.62545755106860312</v>
      </c>
      <c r="AF9" s="385">
        <f t="shared" si="3"/>
        <v>0.4150743099787686</v>
      </c>
      <c r="AG9" s="385">
        <f t="shared" si="3"/>
        <v>-3.5274356103023541E-2</v>
      </c>
      <c r="AH9" s="385">
        <f t="shared" si="3"/>
        <v>-0.12301737160120851</v>
      </c>
      <c r="AI9" s="385">
        <f t="shared" si="3"/>
        <v>2.7701943150795438E-2</v>
      </c>
      <c r="AJ9" s="384">
        <f t="shared" si="3"/>
        <v>4.339193181267853E-2</v>
      </c>
      <c r="AK9" s="385">
        <f t="shared" si="3"/>
        <v>0.86018379594898731</v>
      </c>
      <c r="AL9" s="385">
        <f t="shared" si="3"/>
        <v>0.67208357515960571</v>
      </c>
      <c r="AM9" s="385">
        <f t="shared" si="3"/>
        <v>0.33835719668425024</v>
      </c>
      <c r="AN9" s="385">
        <f t="shared" si="3"/>
        <v>0.40526603640909298</v>
      </c>
      <c r="AO9" s="384">
        <f t="shared" si="3"/>
        <v>0.56744024135530258</v>
      </c>
      <c r="AP9" s="385">
        <f t="shared" si="4"/>
        <v>-0.24353480869083022</v>
      </c>
      <c r="AQ9" s="386">
        <f t="shared" si="4"/>
        <v>-0.10089089436538246</v>
      </c>
      <c r="AR9" s="876"/>
      <c r="AS9" s="876"/>
      <c r="AT9" s="877"/>
      <c r="AU9" s="876"/>
      <c r="AV9" s="876"/>
      <c r="AW9" s="876"/>
      <c r="AX9" s="876"/>
      <c r="AY9" s="877"/>
      <c r="AZ9" s="877"/>
      <c r="BA9" s="877"/>
      <c r="BB9" s="877"/>
      <c r="BC9" s="44"/>
    </row>
    <row r="10" spans="1:55" s="43" customFormat="1" hidden="1" outlineLevel="1">
      <c r="A10" s="387" t="s">
        <v>199</v>
      </c>
      <c r="B10" s="388"/>
      <c r="C10" s="389"/>
      <c r="D10" s="389"/>
      <c r="E10" s="389"/>
      <c r="F10" s="389"/>
      <c r="G10" s="390"/>
      <c r="H10" s="390"/>
      <c r="I10" s="390"/>
      <c r="J10" s="390"/>
      <c r="K10" s="389"/>
      <c r="L10" s="390">
        <f t="shared" si="1"/>
        <v>0.24372446001167547</v>
      </c>
      <c r="M10" s="390">
        <f t="shared" si="1"/>
        <v>0.29577883472057076</v>
      </c>
      <c r="N10" s="390">
        <f t="shared" si="1"/>
        <v>0.16704352741661954</v>
      </c>
      <c r="O10" s="390">
        <f t="shared" si="1"/>
        <v>0.1605367793240553</v>
      </c>
      <c r="P10" s="389">
        <f t="shared" si="1"/>
        <v>0.21369843924191745</v>
      </c>
      <c r="Q10" s="390">
        <f t="shared" si="1"/>
        <v>0.12837362121567697</v>
      </c>
      <c r="R10" s="390">
        <f t="shared" si="1"/>
        <v>0.1266345492085339</v>
      </c>
      <c r="S10" s="390">
        <f t="shared" si="1"/>
        <v>-0.13611043836279957</v>
      </c>
      <c r="T10" s="390">
        <f t="shared" si="1"/>
        <v>2.6124197002141303E-2</v>
      </c>
      <c r="U10" s="389">
        <f t="shared" si="1"/>
        <v>3.7832252138469524E-2</v>
      </c>
      <c r="V10" s="390">
        <f t="shared" si="2"/>
        <v>0.2703826955074875</v>
      </c>
      <c r="W10" s="390">
        <f t="shared" si="2"/>
        <v>-0.10445937690897988</v>
      </c>
      <c r="X10" s="390">
        <f t="shared" si="2"/>
        <v>0.12475469582282006</v>
      </c>
      <c r="Y10" s="390">
        <f t="shared" si="2"/>
        <v>-0.16360601001669461</v>
      </c>
      <c r="Z10" s="389">
        <f t="shared" si="2"/>
        <v>2.4781502378581788E-2</v>
      </c>
      <c r="AA10" s="390">
        <f t="shared" si="2"/>
        <v>-0.27603143418467579</v>
      </c>
      <c r="AB10" s="390">
        <f t="shared" si="2"/>
        <v>6.6621191450659367E-2</v>
      </c>
      <c r="AC10" s="390">
        <f t="shared" si="2"/>
        <v>-3.165503489531396E-2</v>
      </c>
      <c r="AD10" s="390">
        <f t="shared" si="2"/>
        <v>0.12624750499002046</v>
      </c>
      <c r="AE10" s="389">
        <f t="shared" si="2"/>
        <v>-5.4733887509446189E-2</v>
      </c>
      <c r="AF10" s="390">
        <f t="shared" si="3"/>
        <v>0.55382180009045712</v>
      </c>
      <c r="AG10" s="390">
        <f t="shared" si="3"/>
        <v>0.44937113621829039</v>
      </c>
      <c r="AH10" s="390">
        <f t="shared" si="3"/>
        <v>0.92355212355212357</v>
      </c>
      <c r="AI10" s="390">
        <f t="shared" si="3"/>
        <v>0.54740806380150597</v>
      </c>
      <c r="AJ10" s="389">
        <f t="shared" si="3"/>
        <v>0.60621288259479211</v>
      </c>
      <c r="AK10" s="390">
        <f t="shared" si="3"/>
        <v>-0.13651579100567612</v>
      </c>
      <c r="AL10" s="390">
        <f t="shared" si="3"/>
        <v>0.13619649948521828</v>
      </c>
      <c r="AM10" s="390">
        <f t="shared" si="3"/>
        <v>-0.22347116285293722</v>
      </c>
      <c r="AN10" s="390">
        <f t="shared" si="3"/>
        <v>-0.26356478167501751</v>
      </c>
      <c r="AO10" s="389">
        <f t="shared" si="3"/>
        <v>-0.12524886234357224</v>
      </c>
      <c r="AP10" s="390">
        <f t="shared" si="4"/>
        <v>-0.12759143772122028</v>
      </c>
      <c r="AQ10" s="391">
        <f t="shared" si="4"/>
        <v>-0.29695792880258898</v>
      </c>
      <c r="AR10" s="39"/>
      <c r="AS10" s="39"/>
      <c r="AT10" s="3"/>
      <c r="AU10" s="39"/>
      <c r="AV10" s="39"/>
      <c r="AW10" s="39"/>
      <c r="AX10" s="39"/>
      <c r="AY10" s="3"/>
      <c r="AZ10" s="3"/>
      <c r="BA10" s="3"/>
      <c r="BB10" s="3"/>
      <c r="BC10" s="44"/>
    </row>
    <row r="11" spans="1:55" s="25" customFormat="1" ht="14.45" customHeight="1" collapsed="1">
      <c r="A11" s="122" t="s">
        <v>207</v>
      </c>
      <c r="B11" s="86"/>
      <c r="C11" s="274"/>
      <c r="D11" s="274">
        <f>IFERROR(D22/C22-1,"n/a")</f>
        <v>0.15411458500690878</v>
      </c>
      <c r="E11" s="274">
        <f>IFERROR(E22/D22-1,"n/a")</f>
        <v>0.19092802334257675</v>
      </c>
      <c r="F11" s="274">
        <f>IFERROR(F22/E22-1,"n/a")</f>
        <v>0.19208038377736436</v>
      </c>
      <c r="G11" s="280"/>
      <c r="H11" s="280"/>
      <c r="I11" s="280"/>
      <c r="J11" s="280"/>
      <c r="K11" s="274">
        <f>IFERROR(K22/F22-1,"n/a")</f>
        <v>0.29642485928889384</v>
      </c>
      <c r="L11" s="280">
        <f t="shared" si="1"/>
        <v>0.70746068732645928</v>
      </c>
      <c r="M11" s="280">
        <f t="shared" si="1"/>
        <v>0.76951191100238803</v>
      </c>
      <c r="N11" s="280">
        <f t="shared" si="1"/>
        <v>0.39654955726935182</v>
      </c>
      <c r="O11" s="280">
        <f t="shared" si="1"/>
        <v>0.25286382232612481</v>
      </c>
      <c r="P11" s="274">
        <f t="shared" si="1"/>
        <v>0.49682933470486801</v>
      </c>
      <c r="Q11" s="280">
        <f t="shared" si="1"/>
        <v>0.16327264406890474</v>
      </c>
      <c r="R11" s="280">
        <f t="shared" si="1"/>
        <v>8.7613044444261545E-2</v>
      </c>
      <c r="S11" s="280">
        <f t="shared" si="1"/>
        <v>0.13494719102042829</v>
      </c>
      <c r="T11" s="280">
        <f t="shared" si="1"/>
        <v>6.1180696475637619E-2</v>
      </c>
      <c r="U11" s="274">
        <f t="shared" si="1"/>
        <v>0.11114973915961102</v>
      </c>
      <c r="V11" s="280">
        <f t="shared" si="2"/>
        <v>-2.8401427447454219E-2</v>
      </c>
      <c r="W11" s="280">
        <f t="shared" si="2"/>
        <v>7.8164485132783401E-2</v>
      </c>
      <c r="X11" s="280">
        <f t="shared" si="2"/>
        <v>-9.766593622051789E-2</v>
      </c>
      <c r="Y11" s="280">
        <f t="shared" si="2"/>
        <v>-6.1807631440126798E-2</v>
      </c>
      <c r="Z11" s="274">
        <f t="shared" si="2"/>
        <v>-2.8553601897631453E-2</v>
      </c>
      <c r="AA11" s="280">
        <f t="shared" si="2"/>
        <v>-1.0715137843524292E-2</v>
      </c>
      <c r="AB11" s="280">
        <f t="shared" si="2"/>
        <v>-9.0904625230700198E-2</v>
      </c>
      <c r="AC11" s="280">
        <f t="shared" si="2"/>
        <v>2.7832144369263068E-2</v>
      </c>
      <c r="AD11" s="280">
        <f t="shared" si="2"/>
        <v>8.991659638271976E-2</v>
      </c>
      <c r="AE11" s="274">
        <f t="shared" si="2"/>
        <v>1.0523536582398574E-3</v>
      </c>
      <c r="AF11" s="280">
        <f t="shared" si="3"/>
        <v>0.20297894421422669</v>
      </c>
      <c r="AG11" s="280">
        <f t="shared" si="3"/>
        <v>0.28296294009124101</v>
      </c>
      <c r="AH11" s="280">
        <f t="shared" si="3"/>
        <v>0.31800906243442184</v>
      </c>
      <c r="AI11" s="280">
        <f t="shared" si="3"/>
        <v>0.25562099651777648</v>
      </c>
      <c r="AJ11" s="274">
        <f t="shared" si="3"/>
        <v>0.26378826905198816</v>
      </c>
      <c r="AK11" s="280">
        <f t="shared" si="3"/>
        <v>0.14520656136087484</v>
      </c>
      <c r="AL11" s="280">
        <f t="shared" si="3"/>
        <v>4.8633005222497694E-2</v>
      </c>
      <c r="AM11" s="280">
        <f t="shared" si="3"/>
        <v>-7.0038153309077256E-2</v>
      </c>
      <c r="AN11" s="280">
        <f t="shared" si="3"/>
        <v>-1.7821070291368479E-2</v>
      </c>
      <c r="AO11" s="274">
        <f t="shared" si="3"/>
        <v>2.5138205365402566E-2</v>
      </c>
      <c r="AP11" s="280">
        <f t="shared" si="4"/>
        <v>-0.25162200731030604</v>
      </c>
      <c r="AQ11" s="348">
        <f t="shared" si="4"/>
        <v>-0.41147073505195464</v>
      </c>
      <c r="AR11" s="280">
        <f t="shared" ref="AR11:AY11" si="5">AR22/AM22-1</f>
        <v>-0.35397141443989288</v>
      </c>
      <c r="AS11" s="280">
        <f t="shared" si="5"/>
        <v>-0.1907691771390726</v>
      </c>
      <c r="AT11" s="274">
        <f t="shared" si="5"/>
        <v>-0.30002786565002781</v>
      </c>
      <c r="AU11" s="280">
        <f t="shared" si="5"/>
        <v>0.20591195860211275</v>
      </c>
      <c r="AV11" s="280">
        <f t="shared" si="5"/>
        <v>0.95777543798075571</v>
      </c>
      <c r="AW11" s="280">
        <f t="shared" si="5"/>
        <v>0.93970067726737305</v>
      </c>
      <c r="AX11" s="280">
        <f t="shared" si="5"/>
        <v>0.28042845911949676</v>
      </c>
      <c r="AY11" s="274">
        <f t="shared" si="5"/>
        <v>0.54059822259167056</v>
      </c>
      <c r="AZ11" s="274">
        <f>AZ22/AY22-1</f>
        <v>-2.0460890035153723E-2</v>
      </c>
      <c r="BA11" s="274">
        <f>BA22/AZ22-1</f>
        <v>0.36773189587706945</v>
      </c>
      <c r="BB11" s="274">
        <f>BB22/BA22-1</f>
        <v>-0.48511005649190542</v>
      </c>
      <c r="BC11" s="45"/>
    </row>
    <row r="12" spans="1:55" s="43" customFormat="1" hidden="1" outlineLevel="1">
      <c r="A12" s="383" t="s">
        <v>201</v>
      </c>
      <c r="B12" s="188"/>
      <c r="C12" s="384"/>
      <c r="D12" s="384"/>
      <c r="E12" s="384"/>
      <c r="F12" s="384"/>
      <c r="G12" s="385"/>
      <c r="H12" s="385"/>
      <c r="I12" s="385"/>
      <c r="J12" s="385"/>
      <c r="K12" s="384"/>
      <c r="L12" s="385" t="str">
        <f t="shared" si="1"/>
        <v>n/a</v>
      </c>
      <c r="M12" s="385" t="str">
        <f t="shared" si="1"/>
        <v>n/a</v>
      </c>
      <c r="N12" s="385" t="str">
        <f t="shared" si="1"/>
        <v>n/a</v>
      </c>
      <c r="O12" s="385" t="str">
        <f t="shared" si="1"/>
        <v>n/a</v>
      </c>
      <c r="P12" s="384" t="str">
        <f t="shared" si="1"/>
        <v>n/a</v>
      </c>
      <c r="Q12" s="385">
        <f t="shared" si="1"/>
        <v>-0.66854990583804141</v>
      </c>
      <c r="R12" s="385">
        <f t="shared" si="1"/>
        <v>-0.26931818181818179</v>
      </c>
      <c r="S12" s="385">
        <f t="shared" si="1"/>
        <v>2.123571851942696E-2</v>
      </c>
      <c r="T12" s="385">
        <f t="shared" si="1"/>
        <v>-0.75848825331971415</v>
      </c>
      <c r="U12" s="384">
        <f t="shared" si="1"/>
        <v>-0.29591392261900218</v>
      </c>
      <c r="V12" s="385">
        <f t="shared" si="2"/>
        <v>0.50189393939393945</v>
      </c>
      <c r="W12" s="385">
        <f t="shared" si="2"/>
        <v>-0.68743453835655566</v>
      </c>
      <c r="X12" s="385">
        <f t="shared" si="2"/>
        <v>-0.66221030300604411</v>
      </c>
      <c r="Y12" s="385">
        <f t="shared" si="2"/>
        <v>-0.31043816613094244</v>
      </c>
      <c r="Z12" s="384">
        <f t="shared" si="2"/>
        <v>-0.58822827125119392</v>
      </c>
      <c r="AA12" s="385">
        <f t="shared" si="2"/>
        <v>-0.3511279248984166</v>
      </c>
      <c r="AB12" s="385">
        <f t="shared" si="2"/>
        <v>-0.28107229894394803</v>
      </c>
      <c r="AC12" s="385">
        <f t="shared" si="2"/>
        <v>-0.60706244815736465</v>
      </c>
      <c r="AD12" s="385">
        <f t="shared" si="2"/>
        <v>2.3503434739941111</v>
      </c>
      <c r="AE12" s="384">
        <f t="shared" si="2"/>
        <v>-0.15656712090461011</v>
      </c>
      <c r="AF12" s="385">
        <f t="shared" si="3"/>
        <v>0.52450874541135817</v>
      </c>
      <c r="AG12" s="385">
        <f t="shared" si="3"/>
        <v>3.4357344632768365</v>
      </c>
      <c r="AH12" s="385">
        <f t="shared" si="3"/>
        <v>4.0657418576598312</v>
      </c>
      <c r="AI12" s="385">
        <f t="shared" si="3"/>
        <v>-0.10713239601640312</v>
      </c>
      <c r="AJ12" s="384">
        <f t="shared" si="3"/>
        <v>1.6330197818681835</v>
      </c>
      <c r="AK12" s="385">
        <f t="shared" si="3"/>
        <v>-0.524929178470255</v>
      </c>
      <c r="AL12" s="385">
        <f t="shared" si="3"/>
        <v>-0.92861009393408689</v>
      </c>
      <c r="AM12" s="385">
        <f t="shared" si="3"/>
        <v>-0.93395047029408262</v>
      </c>
      <c r="AN12" s="385">
        <f t="shared" si="3"/>
        <v>-0.84605921430328868</v>
      </c>
      <c r="AO12" s="384">
        <f t="shared" si="3"/>
        <v>-0.88496688584518246</v>
      </c>
      <c r="AP12" s="385">
        <f t="shared" si="4"/>
        <v>-0.51282051282051289</v>
      </c>
      <c r="AQ12" s="386">
        <f t="shared" si="4"/>
        <v>-0.47011596788581622</v>
      </c>
      <c r="AR12" s="876"/>
      <c r="AS12" s="876"/>
      <c r="AT12" s="877"/>
      <c r="AU12" s="876"/>
      <c r="AV12" s="876"/>
      <c r="AW12" s="876"/>
      <c r="AX12" s="876"/>
      <c r="AY12" s="877"/>
      <c r="AZ12" s="877"/>
      <c r="BA12" s="877"/>
      <c r="BB12" s="877"/>
      <c r="BC12" s="44"/>
    </row>
    <row r="13" spans="1:55" s="43" customFormat="1" hidden="1" outlineLevel="1">
      <c r="A13" s="387" t="s">
        <v>212</v>
      </c>
      <c r="B13" s="388"/>
      <c r="C13" s="389"/>
      <c r="D13" s="389"/>
      <c r="E13" s="389"/>
      <c r="F13" s="389"/>
      <c r="G13" s="390"/>
      <c r="H13" s="390"/>
      <c r="I13" s="390"/>
      <c r="J13" s="390"/>
      <c r="K13" s="389"/>
      <c r="L13" s="390" t="str">
        <f t="shared" si="1"/>
        <v>n/a</v>
      </c>
      <c r="M13" s="390" t="str">
        <f t="shared" si="1"/>
        <v>n/a</v>
      </c>
      <c r="N13" s="390" t="str">
        <f t="shared" si="1"/>
        <v>n/a</v>
      </c>
      <c r="O13" s="390" t="str">
        <f t="shared" si="1"/>
        <v>n/a</v>
      </c>
      <c r="P13" s="389" t="str">
        <f t="shared" si="1"/>
        <v>n/a</v>
      </c>
      <c r="Q13" s="390">
        <f t="shared" si="1"/>
        <v>2.4262140499764264</v>
      </c>
      <c r="R13" s="390">
        <f t="shared" si="1"/>
        <v>-4.4455645161290414E-2</v>
      </c>
      <c r="S13" s="390">
        <f t="shared" si="1"/>
        <v>0.38263704419222422</v>
      </c>
      <c r="T13" s="390">
        <f t="shared" si="1"/>
        <v>0.15028100700592817</v>
      </c>
      <c r="U13" s="389">
        <f t="shared" si="1"/>
        <v>0.42254395619902363</v>
      </c>
      <c r="V13" s="390">
        <f t="shared" si="2"/>
        <v>-3.0961882482455017E-2</v>
      </c>
      <c r="W13" s="390">
        <f t="shared" si="2"/>
        <v>0.27407954425572334</v>
      </c>
      <c r="X13" s="390">
        <f t="shared" si="2"/>
        <v>0.13893983058248183</v>
      </c>
      <c r="Y13" s="390">
        <f t="shared" si="2"/>
        <v>0.46844254065992863</v>
      </c>
      <c r="Z13" s="389">
        <f t="shared" si="2"/>
        <v>0.21303442118837412</v>
      </c>
      <c r="AA13" s="390">
        <f t="shared" si="2"/>
        <v>-0.22337404146549267</v>
      </c>
      <c r="AB13" s="390">
        <f t="shared" si="2"/>
        <v>0.19955286909000591</v>
      </c>
      <c r="AC13" s="390">
        <f t="shared" si="2"/>
        <v>9.9601288145989786E-2</v>
      </c>
      <c r="AD13" s="390">
        <f t="shared" si="2"/>
        <v>-0.17520510483135798</v>
      </c>
      <c r="AE13" s="389">
        <f t="shared" si="2"/>
        <v>-5.3661089576893528E-2</v>
      </c>
      <c r="AF13" s="390">
        <f t="shared" si="3"/>
        <v>-0.32355092338635949</v>
      </c>
      <c r="AG13" s="390">
        <f t="shared" si="3"/>
        <v>-0.24090563953889699</v>
      </c>
      <c r="AH13" s="390">
        <f t="shared" si="3"/>
        <v>-0.33763335890105284</v>
      </c>
      <c r="AI13" s="390">
        <f t="shared" si="3"/>
        <v>-0.14445181255526107</v>
      </c>
      <c r="AJ13" s="389">
        <f t="shared" si="3"/>
        <v>-0.2503370087449448</v>
      </c>
      <c r="AK13" s="390">
        <f t="shared" si="3"/>
        <v>1.2055683200432488</v>
      </c>
      <c r="AL13" s="390">
        <f t="shared" si="3"/>
        <v>0.14294807674820409</v>
      </c>
      <c r="AM13" s="390">
        <f t="shared" si="3"/>
        <v>0.79987367091272765</v>
      </c>
      <c r="AN13" s="390">
        <f t="shared" si="3"/>
        <v>0.57705722774835277</v>
      </c>
      <c r="AO13" s="389">
        <f t="shared" si="3"/>
        <v>0.62300297392627413</v>
      </c>
      <c r="AP13" s="390">
        <f t="shared" si="4"/>
        <v>-8.817942275874735E-2</v>
      </c>
      <c r="AQ13" s="391">
        <f t="shared" si="4"/>
        <v>0.58588590977802513</v>
      </c>
      <c r="AR13" s="39"/>
      <c r="AS13" s="39"/>
      <c r="AT13" s="3"/>
      <c r="AU13" s="39"/>
      <c r="AV13" s="39"/>
      <c r="AW13" s="39"/>
      <c r="AX13" s="39"/>
      <c r="AY13" s="3"/>
      <c r="AZ13" s="3"/>
      <c r="BA13" s="3"/>
      <c r="BB13" s="3"/>
      <c r="BC13" s="44"/>
    </row>
    <row r="14" spans="1:55" s="25" customFormat="1" ht="15" customHeight="1" collapsed="1">
      <c r="A14" s="850" t="s">
        <v>200</v>
      </c>
      <c r="B14" s="851"/>
      <c r="C14" s="878"/>
      <c r="D14" s="878">
        <f>IFERROR(D25/C25-1,"n/a")</f>
        <v>-0.54579166198449269</v>
      </c>
      <c r="E14" s="878">
        <f>IFERROR(E25/D25-1,"n/a")</f>
        <v>-0.11621721919841665</v>
      </c>
      <c r="F14" s="878">
        <f>IFERROR(F25/E25-1,"n/a")</f>
        <v>-0.19581496255861153</v>
      </c>
      <c r="G14" s="879"/>
      <c r="H14" s="879"/>
      <c r="I14" s="879"/>
      <c r="J14" s="879"/>
      <c r="K14" s="878">
        <f t="shared" ref="K14:AM14" si="6">IFERROR(K25/F25-1,"n/a")</f>
        <v>-0.18135932468888694</v>
      </c>
      <c r="L14" s="879">
        <f t="shared" si="6"/>
        <v>7.0848563968668401</v>
      </c>
      <c r="M14" s="879">
        <f t="shared" si="6"/>
        <v>23.589707927677328</v>
      </c>
      <c r="N14" s="879">
        <f t="shared" si="6"/>
        <v>25.5347866419295</v>
      </c>
      <c r="O14" s="879">
        <f t="shared" si="6"/>
        <v>12.399141630901299</v>
      </c>
      <c r="P14" s="878">
        <f t="shared" si="6"/>
        <v>16.677474221324545</v>
      </c>
      <c r="Q14" s="879">
        <f t="shared" si="6"/>
        <v>3.8053716561709416E-2</v>
      </c>
      <c r="R14" s="879">
        <f t="shared" si="6"/>
        <v>-0.22726244343891389</v>
      </c>
      <c r="S14" s="879">
        <f t="shared" si="6"/>
        <v>7.35548602492615E-2</v>
      </c>
      <c r="T14" s="879">
        <f t="shared" si="6"/>
        <v>-0.44341234251548178</v>
      </c>
      <c r="U14" s="878">
        <f t="shared" si="6"/>
        <v>-0.14282707526519622</v>
      </c>
      <c r="V14" s="879">
        <f t="shared" si="6"/>
        <v>0.10033184693560093</v>
      </c>
      <c r="W14" s="879">
        <f t="shared" si="6"/>
        <v>-0.46506124042355934</v>
      </c>
      <c r="X14" s="879">
        <f t="shared" si="6"/>
        <v>-0.51283846492013607</v>
      </c>
      <c r="Y14" s="879">
        <f t="shared" si="6"/>
        <v>0.24765010550546673</v>
      </c>
      <c r="Z14" s="878">
        <f t="shared" si="6"/>
        <v>-0.30488771651665136</v>
      </c>
      <c r="AA14" s="879">
        <f t="shared" si="6"/>
        <v>-0.26633994627962865</v>
      </c>
      <c r="AB14" s="879">
        <f t="shared" si="6"/>
        <v>-1.6328392246294232E-2</v>
      </c>
      <c r="AC14" s="879">
        <f t="shared" si="6"/>
        <v>-0.29903074866310164</v>
      </c>
      <c r="AD14" s="879">
        <f t="shared" si="6"/>
        <v>0.22047970479704815</v>
      </c>
      <c r="AE14" s="878">
        <f t="shared" si="6"/>
        <v>-9.3064330554490149E-2</v>
      </c>
      <c r="AF14" s="879">
        <f t="shared" si="6"/>
        <v>-7.129552315498755E-2</v>
      </c>
      <c r="AG14" s="879">
        <f t="shared" si="6"/>
        <v>0.96605925719849783</v>
      </c>
      <c r="AH14" s="879">
        <f t="shared" si="6"/>
        <v>1.0547847232155627</v>
      </c>
      <c r="AI14" s="879">
        <f t="shared" si="6"/>
        <v>-0.1284013605442178</v>
      </c>
      <c r="AJ14" s="878">
        <f t="shared" si="6"/>
        <v>0.4203158211014788</v>
      </c>
      <c r="AK14" s="879">
        <f t="shared" si="6"/>
        <v>0.36060585102704179</v>
      </c>
      <c r="AL14" s="879">
        <f t="shared" si="6"/>
        <v>-0.65070043865855387</v>
      </c>
      <c r="AM14" s="847">
        <f t="shared" si="6"/>
        <v>-0.55178094906601682</v>
      </c>
      <c r="AN14" s="848">
        <f>AN25/AI25-1</f>
        <v>-4.9936766034326951E-2</v>
      </c>
      <c r="AO14" s="849">
        <f>AO25/AJ25-1</f>
        <v>-0.37246436994147203</v>
      </c>
      <c r="AP14" s="847">
        <f>IFERROR(AP25/AK25-1,"n/a")</f>
        <v>-0.16057540791948355</v>
      </c>
      <c r="AQ14" s="846">
        <f>IFERROR(AQ25/AL25-1,"n/a")</f>
        <v>0.42603470393626353</v>
      </c>
      <c r="AR14" s="849">
        <f t="shared" ref="AR14:BB14" si="7">AR25/AM25-1</f>
        <v>-0.58169393249119905</v>
      </c>
      <c r="AS14" s="849">
        <f t="shared" si="7"/>
        <v>-0.55090708553607426</v>
      </c>
      <c r="AT14" s="849">
        <f t="shared" si="7"/>
        <v>-0.28179741051028173</v>
      </c>
      <c r="AU14" s="849">
        <f t="shared" si="7"/>
        <v>-0.55848371079084402</v>
      </c>
      <c r="AV14" s="849">
        <f t="shared" si="7"/>
        <v>-0.3312740874011646</v>
      </c>
      <c r="AW14" s="849">
        <f t="shared" si="7"/>
        <v>0.52219405940594066</v>
      </c>
      <c r="AX14" s="849">
        <f t="shared" si="7"/>
        <v>-8.20238482384823E-2</v>
      </c>
      <c r="AY14" s="849">
        <f t="shared" si="7"/>
        <v>-0.22545502842341314</v>
      </c>
      <c r="AZ14" s="849">
        <f t="shared" si="7"/>
        <v>4.213779591836734</v>
      </c>
      <c r="BA14" s="849">
        <f t="shared" si="7"/>
        <v>4.9666919570438166</v>
      </c>
      <c r="BB14" s="849">
        <f t="shared" si="7"/>
        <v>5.5739284597012126</v>
      </c>
      <c r="BC14" s="45"/>
    </row>
    <row r="15" spans="1:55" s="25" customFormat="1" ht="14.45" customHeight="1">
      <c r="A15" s="392" t="s">
        <v>51</v>
      </c>
      <c r="B15" s="89"/>
      <c r="C15" s="54"/>
      <c r="D15" s="54">
        <f>IFERROR(D149/C149-1,"n/a")</f>
        <v>2.3812636963195688E-2</v>
      </c>
      <c r="E15" s="54">
        <f>IFERROR(E149/D149-1,"n/a")</f>
        <v>0.16555983530349327</v>
      </c>
      <c r="F15" s="54">
        <f>IFERROR(F149/E149-1,"n/a")</f>
        <v>0.16778794107721251</v>
      </c>
      <c r="G15" s="53"/>
      <c r="H15" s="53"/>
      <c r="I15" s="53"/>
      <c r="J15" s="53"/>
      <c r="K15" s="54">
        <f t="shared" ref="K15:AQ15" si="8">IFERROR(K149/F149-1,"n/a")</f>
        <v>0.27581949062849498</v>
      </c>
      <c r="L15" s="53">
        <f t="shared" si="8"/>
        <v>0.90559303473170472</v>
      </c>
      <c r="M15" s="53">
        <f t="shared" si="8"/>
        <v>1.4644304208490393</v>
      </c>
      <c r="N15" s="53">
        <f t="shared" si="8"/>
        <v>1.000892050713083</v>
      </c>
      <c r="O15" s="53">
        <f t="shared" si="8"/>
        <v>0.57490327719617595</v>
      </c>
      <c r="P15" s="54">
        <f t="shared" si="8"/>
        <v>0.9445926745249853</v>
      </c>
      <c r="Q15" s="53">
        <f t="shared" si="8"/>
        <v>0.14676731630140982</v>
      </c>
      <c r="R15" s="53">
        <f t="shared" si="8"/>
        <v>-8.060127289287955E-3</v>
      </c>
      <c r="S15" s="53">
        <f t="shared" si="8"/>
        <v>0.11537432708061668</v>
      </c>
      <c r="T15" s="53">
        <f t="shared" si="8"/>
        <v>-5.2642353522033836E-2</v>
      </c>
      <c r="U15" s="54">
        <f t="shared" si="8"/>
        <v>4.7258936310868194E-2</v>
      </c>
      <c r="V15" s="53">
        <f t="shared" si="8"/>
        <v>-1.3041487768965299E-2</v>
      </c>
      <c r="W15" s="53">
        <f t="shared" si="8"/>
        <v>-5.0416965048857731E-2</v>
      </c>
      <c r="X15" s="53">
        <f t="shared" si="8"/>
        <v>-0.22506682655075083</v>
      </c>
      <c r="Y15" s="53">
        <f t="shared" si="8"/>
        <v>-2.079572899453408E-2</v>
      </c>
      <c r="Z15" s="54">
        <f t="shared" si="8"/>
        <v>-8.545109702879905E-2</v>
      </c>
      <c r="AA15" s="53">
        <f t="shared" si="8"/>
        <v>-4.4718861656114939E-2</v>
      </c>
      <c r="AB15" s="53">
        <f t="shared" si="8"/>
        <v>-8.0960432048459374E-2</v>
      </c>
      <c r="AC15" s="53">
        <f t="shared" si="8"/>
        <v>-3.5222664233811929E-2</v>
      </c>
      <c r="AD15" s="53">
        <f t="shared" si="8"/>
        <v>0.11196354856297264</v>
      </c>
      <c r="AE15" s="54">
        <f t="shared" si="8"/>
        <v>-1.3676647349725068E-2</v>
      </c>
      <c r="AF15" s="53">
        <f t="shared" si="8"/>
        <v>0.17495866033229235</v>
      </c>
      <c r="AG15" s="53">
        <f t="shared" si="8"/>
        <v>0.38045449131119535</v>
      </c>
      <c r="AH15" s="53">
        <f t="shared" si="8"/>
        <v>0.42127562885936554</v>
      </c>
      <c r="AI15" s="53">
        <f t="shared" si="8"/>
        <v>0.18444646797184139</v>
      </c>
      <c r="AJ15" s="54">
        <f t="shared" si="8"/>
        <v>0.28631274180737387</v>
      </c>
      <c r="AK15" s="53">
        <f t="shared" si="8"/>
        <v>0.1626000368593592</v>
      </c>
      <c r="AL15" s="53">
        <f t="shared" si="8"/>
        <v>-9.3516006251018635E-2</v>
      </c>
      <c r="AM15" s="53">
        <f t="shared" si="8"/>
        <v>-0.16765566077658767</v>
      </c>
      <c r="AN15" s="53">
        <f t="shared" si="8"/>
        <v>-2.2201195562718268E-2</v>
      </c>
      <c r="AO15" s="54">
        <f t="shared" si="8"/>
        <v>-3.8037686615475019E-2</v>
      </c>
      <c r="AP15" s="53">
        <f t="shared" si="8"/>
        <v>-0.24301786005937343</v>
      </c>
      <c r="AQ15" s="349">
        <f t="shared" si="8"/>
        <v>-0.34587356820273085</v>
      </c>
      <c r="AR15" s="53">
        <f t="shared" ref="AR15:AY15" si="9">AR149/AM149-1</f>
        <v>-0.37882023297065825</v>
      </c>
      <c r="AS15" s="53">
        <f t="shared" si="9"/>
        <v>-0.23849363949761082</v>
      </c>
      <c r="AT15" s="54">
        <f t="shared" si="9"/>
        <v>-0.29813822146183133</v>
      </c>
      <c r="AU15" s="53">
        <f t="shared" si="9"/>
        <v>0.12580718854706086</v>
      </c>
      <c r="AV15" s="53">
        <f t="shared" si="9"/>
        <v>0.73766763141300329</v>
      </c>
      <c r="AW15" s="53">
        <f t="shared" si="9"/>
        <v>0.90902176245907595</v>
      </c>
      <c r="AX15" s="53">
        <f t="shared" si="9"/>
        <v>0.25210242699812024</v>
      </c>
      <c r="AY15" s="54">
        <f t="shared" si="9"/>
        <v>0.45934569892869659</v>
      </c>
      <c r="AZ15" s="54">
        <f>AZ149/AY149-1</f>
        <v>-2.7571692657407443E-2</v>
      </c>
      <c r="BA15" s="54">
        <f>BA149/AZ149-1</f>
        <v>0.40967513209302231</v>
      </c>
      <c r="BB15" s="54">
        <f>BB149/BA149-1</f>
        <v>-0.4505796385928803</v>
      </c>
      <c r="BC15" s="45"/>
    </row>
    <row r="16" spans="1:55" s="25" customFormat="1" ht="14.45" customHeight="1">
      <c r="A16" s="393"/>
      <c r="B16" s="86"/>
      <c r="C16" s="274"/>
      <c r="D16" s="274"/>
      <c r="E16" s="274"/>
      <c r="F16" s="274"/>
      <c r="G16" s="280"/>
      <c r="H16" s="280"/>
      <c r="I16" s="280"/>
      <c r="J16" s="280"/>
      <c r="K16" s="274"/>
      <c r="L16" s="280"/>
      <c r="M16" s="280"/>
      <c r="N16" s="280"/>
      <c r="O16" s="280"/>
      <c r="P16" s="274"/>
      <c r="Q16" s="280"/>
      <c r="R16" s="280"/>
      <c r="S16" s="280"/>
      <c r="T16" s="280"/>
      <c r="U16" s="274"/>
      <c r="V16" s="280"/>
      <c r="W16" s="280"/>
      <c r="X16" s="280"/>
      <c r="Y16" s="280"/>
      <c r="Z16" s="274"/>
      <c r="AA16" s="280"/>
      <c r="AB16" s="280"/>
      <c r="AC16" s="280"/>
      <c r="AD16" s="280"/>
      <c r="AE16" s="274"/>
      <c r="AF16" s="280"/>
      <c r="AG16" s="280"/>
      <c r="AH16" s="280"/>
      <c r="AI16" s="280"/>
      <c r="AJ16" s="274"/>
      <c r="AK16" s="280"/>
      <c r="AL16" s="280"/>
      <c r="AM16" s="280"/>
      <c r="AN16" s="280"/>
      <c r="AO16" s="274"/>
      <c r="AP16" s="280"/>
      <c r="AQ16" s="348"/>
      <c r="AR16" s="881"/>
      <c r="AS16" s="881"/>
      <c r="AT16" s="882"/>
      <c r="AU16" s="881"/>
      <c r="AV16" s="881"/>
      <c r="AW16" s="881"/>
      <c r="AX16" s="881"/>
      <c r="AY16" s="882"/>
      <c r="AZ16" s="882"/>
      <c r="BA16" s="882"/>
      <c r="BB16" s="882"/>
      <c r="BC16" s="45"/>
    </row>
    <row r="17" spans="1:55" s="4" customFormat="1" ht="14.45" customHeight="1">
      <c r="A17" s="514" t="s">
        <v>303</v>
      </c>
      <c r="B17" s="514"/>
      <c r="C17" s="883"/>
      <c r="D17" s="883"/>
      <c r="E17" s="883"/>
      <c r="F17" s="883"/>
      <c r="G17" s="883"/>
      <c r="H17" s="883"/>
      <c r="I17" s="883"/>
      <c r="J17" s="883"/>
      <c r="K17" s="883"/>
      <c r="L17" s="883"/>
      <c r="M17" s="883"/>
      <c r="N17" s="883"/>
      <c r="O17" s="883"/>
      <c r="P17" s="883"/>
      <c r="Q17" s="883"/>
      <c r="R17" s="883"/>
      <c r="S17" s="883"/>
      <c r="T17" s="883"/>
      <c r="U17" s="883"/>
      <c r="V17" s="883"/>
      <c r="W17" s="883"/>
      <c r="X17" s="883"/>
      <c r="Y17" s="883"/>
      <c r="Z17" s="883"/>
      <c r="AA17" s="883"/>
      <c r="AB17" s="883"/>
      <c r="AC17" s="883"/>
      <c r="AD17" s="883"/>
      <c r="AE17" s="883"/>
      <c r="AF17" s="883"/>
      <c r="AG17" s="883"/>
      <c r="AH17" s="883"/>
      <c r="AI17" s="883"/>
      <c r="AJ17" s="883"/>
      <c r="AK17" s="883"/>
      <c r="AL17" s="883"/>
      <c r="AM17" s="883"/>
      <c r="AN17" s="883"/>
      <c r="AO17" s="883"/>
      <c r="AP17" s="883"/>
      <c r="AQ17" s="884"/>
      <c r="AR17" s="883"/>
      <c r="AS17" s="883"/>
      <c r="AT17" s="883"/>
      <c r="AU17" s="883"/>
      <c r="AV17" s="883"/>
      <c r="AW17" s="883"/>
      <c r="AX17" s="883"/>
      <c r="AY17" s="883"/>
      <c r="AZ17" s="883"/>
      <c r="BA17" s="883"/>
      <c r="BB17" s="883"/>
      <c r="BC17" s="363"/>
    </row>
    <row r="18" spans="1:55" s="23" customFormat="1" hidden="1" outlineLevel="1">
      <c r="A18" s="394" t="s">
        <v>188</v>
      </c>
      <c r="B18" s="395"/>
      <c r="C18" s="885"/>
      <c r="D18" s="885"/>
      <c r="E18" s="885"/>
      <c r="F18" s="885"/>
      <c r="G18" s="436">
        <v>50.962000000000003</v>
      </c>
      <c r="H18" s="436">
        <v>46.264000000000003</v>
      </c>
      <c r="I18" s="436">
        <v>64.58</v>
      </c>
      <c r="J18" s="436">
        <f>K18-SUM(G18,H18,I18)</f>
        <v>75.919000000000011</v>
      </c>
      <c r="K18" s="885">
        <v>237.72499999999999</v>
      </c>
      <c r="L18" s="436">
        <v>99.287000000000006</v>
      </c>
      <c r="M18" s="436">
        <v>96.504000000000005</v>
      </c>
      <c r="N18" s="436">
        <v>97.26</v>
      </c>
      <c r="O18" s="436">
        <f>P18-SUM(L18,M18,N18)</f>
        <v>103.024</v>
      </c>
      <c r="P18" s="885">
        <v>396.07499999999999</v>
      </c>
      <c r="Q18" s="436">
        <v>120.194</v>
      </c>
      <c r="R18" s="436">
        <v>107.629</v>
      </c>
      <c r="S18" s="436">
        <v>115.01600000000001</v>
      </c>
      <c r="T18" s="436">
        <f>U18-SUM(Q18,R18,S18)</f>
        <v>112.73000000000002</v>
      </c>
      <c r="U18" s="885">
        <v>455.56900000000002</v>
      </c>
      <c r="V18" s="436">
        <v>113.396</v>
      </c>
      <c r="W18" s="436">
        <v>116.423</v>
      </c>
      <c r="X18" s="436">
        <v>101.355</v>
      </c>
      <c r="Y18" s="436">
        <f>Z18-SUM(V18,W18,X18)</f>
        <v>104.37799999999999</v>
      </c>
      <c r="Z18" s="885">
        <v>435.55200000000002</v>
      </c>
      <c r="AA18" s="436">
        <v>109.723</v>
      </c>
      <c r="AB18" s="436">
        <v>98.355000000000004</v>
      </c>
      <c r="AC18" s="436">
        <v>98.820999999999998</v>
      </c>
      <c r="AD18" s="436">
        <f>AE18-SUM(AA18,AB18,AC18)</f>
        <v>107.62400000000002</v>
      </c>
      <c r="AE18" s="885">
        <v>414.52300000000002</v>
      </c>
      <c r="AF18" s="436">
        <v>133.05000000000001</v>
      </c>
      <c r="AG18" s="436">
        <v>132.797</v>
      </c>
      <c r="AH18" s="436">
        <v>136.69200000000001</v>
      </c>
      <c r="AI18" s="436">
        <f>AJ18-SUM(AF18,AG18,AH18)</f>
        <v>133.73000000000002</v>
      </c>
      <c r="AJ18" s="885">
        <v>536.26900000000001</v>
      </c>
      <c r="AK18" s="436">
        <v>141.77799999999999</v>
      </c>
      <c r="AL18" s="436">
        <v>129.73099999999999</v>
      </c>
      <c r="AM18" s="436">
        <v>122.212</v>
      </c>
      <c r="AN18" s="436">
        <f>AO18-SUM(AK18,AL18,AM18)</f>
        <v>130.20000000000005</v>
      </c>
      <c r="AO18" s="885">
        <v>523.92100000000005</v>
      </c>
      <c r="AP18" s="436">
        <v>102.77500000000001</v>
      </c>
      <c r="AQ18" s="886">
        <v>67.548000000000002</v>
      </c>
      <c r="AR18" s="855"/>
      <c r="AS18" s="855"/>
      <c r="AT18" s="870"/>
      <c r="AU18" s="855"/>
      <c r="AV18" s="855"/>
      <c r="AW18" s="855"/>
      <c r="AX18" s="855"/>
      <c r="AY18" s="870"/>
      <c r="AZ18" s="870"/>
      <c r="BA18" s="870"/>
      <c r="BB18" s="870"/>
      <c r="BC18" s="362"/>
    </row>
    <row r="19" spans="1:55" s="23" customFormat="1" hidden="1" outlineLevel="1">
      <c r="A19" s="394" t="s">
        <v>189</v>
      </c>
      <c r="B19" s="395"/>
      <c r="C19" s="885"/>
      <c r="D19" s="885"/>
      <c r="E19" s="885"/>
      <c r="F19" s="885"/>
      <c r="G19" s="436">
        <v>8.6159999999999997</v>
      </c>
      <c r="H19" s="436">
        <v>12.082000000000001</v>
      </c>
      <c r="I19" s="436">
        <v>12.702</v>
      </c>
      <c r="J19" s="436">
        <f>K19-SUM(G19,H19,I19)</f>
        <v>15.268999999999998</v>
      </c>
      <c r="K19" s="885">
        <v>48.668999999999997</v>
      </c>
      <c r="L19" s="436">
        <v>8.9580000000000002</v>
      </c>
      <c r="M19" s="436">
        <v>12.352</v>
      </c>
      <c r="N19" s="436">
        <v>10.279</v>
      </c>
      <c r="O19" s="436">
        <f>P19-SUM(L19,M19,N19)</f>
        <v>10.844999999999995</v>
      </c>
      <c r="P19" s="885">
        <v>42.433999999999997</v>
      </c>
      <c r="Q19" s="436">
        <v>9.2579999999999991</v>
      </c>
      <c r="R19" s="436">
        <v>10.569000000000001</v>
      </c>
      <c r="S19" s="436">
        <v>12.102</v>
      </c>
      <c r="T19" s="436">
        <f>U19-SUM(Q19,R19,S19)</f>
        <v>11.366000000000003</v>
      </c>
      <c r="U19" s="885">
        <v>43.295000000000002</v>
      </c>
      <c r="V19" s="436">
        <v>12.28</v>
      </c>
      <c r="W19" s="436">
        <v>13.973000000000001</v>
      </c>
      <c r="X19" s="436">
        <v>13.679</v>
      </c>
      <c r="Y19" s="436">
        <f>Z19-SUM(V19,W19,X19)</f>
        <v>14.623999999999995</v>
      </c>
      <c r="Z19" s="885">
        <v>54.555999999999997</v>
      </c>
      <c r="AA19" s="436">
        <v>15.146000000000001</v>
      </c>
      <c r="AB19" s="436">
        <v>15.785</v>
      </c>
      <c r="AC19" s="436">
        <v>15.365</v>
      </c>
      <c r="AD19" s="436">
        <f>AE19-SUM(AA19,AB19,AC19)</f>
        <v>14.974000000000004</v>
      </c>
      <c r="AE19" s="885">
        <v>61.27</v>
      </c>
      <c r="AF19" s="436">
        <v>14.015000000000001</v>
      </c>
      <c r="AG19" s="436">
        <v>16.27</v>
      </c>
      <c r="AH19" s="436">
        <v>16.125</v>
      </c>
      <c r="AI19" s="436">
        <f>AJ19-SUM(AF19,AG19,AH19)</f>
        <v>21.728000000000009</v>
      </c>
      <c r="AJ19" s="885">
        <v>68.138000000000005</v>
      </c>
      <c r="AK19" s="436">
        <v>20.952999999999999</v>
      </c>
      <c r="AL19" s="436">
        <v>19.545000000000002</v>
      </c>
      <c r="AM19" s="436">
        <v>17.254999999999999</v>
      </c>
      <c r="AN19" s="436">
        <f>AO19-SUM(AK19,AL19,AM19)</f>
        <v>18.789000000000001</v>
      </c>
      <c r="AO19" s="885">
        <v>76.542000000000002</v>
      </c>
      <c r="AP19" s="436">
        <v>18.113</v>
      </c>
      <c r="AQ19" s="886">
        <v>14.052</v>
      </c>
      <c r="AR19" s="855"/>
      <c r="AS19" s="855"/>
      <c r="AT19" s="870"/>
      <c r="AU19" s="855"/>
      <c r="AV19" s="855"/>
      <c r="AW19" s="855"/>
      <c r="AX19" s="855"/>
      <c r="AY19" s="870"/>
      <c r="AZ19" s="870"/>
      <c r="BA19" s="870"/>
      <c r="BB19" s="870"/>
      <c r="BC19" s="362"/>
    </row>
    <row r="20" spans="1:55" s="23" customFormat="1" hidden="1" outlineLevel="1">
      <c r="A20" s="394" t="s">
        <v>190</v>
      </c>
      <c r="B20" s="395"/>
      <c r="C20" s="885"/>
      <c r="D20" s="885"/>
      <c r="E20" s="885"/>
      <c r="F20" s="885"/>
      <c r="G20" s="436">
        <v>8.6649999999999991</v>
      </c>
      <c r="H20" s="436">
        <v>6.9660000000000002</v>
      </c>
      <c r="I20" s="436">
        <v>6.7050000000000001</v>
      </c>
      <c r="J20" s="436">
        <f>K20-SUM(G20,H20,I20)</f>
        <v>7.4480000000000004</v>
      </c>
      <c r="K20" s="885">
        <v>29.783999999999999</v>
      </c>
      <c r="L20" s="436">
        <v>9.8659999999999997</v>
      </c>
      <c r="M20" s="436">
        <v>8.3079999999999998</v>
      </c>
      <c r="N20" s="436">
        <v>10.565</v>
      </c>
      <c r="O20" s="436">
        <f>P20-SUM(L20,M20,N20)</f>
        <v>10.080000000000005</v>
      </c>
      <c r="P20" s="885">
        <v>38.819000000000003</v>
      </c>
      <c r="Q20" s="436">
        <v>8.0920000000000005</v>
      </c>
      <c r="R20" s="436">
        <v>9.0609999999999999</v>
      </c>
      <c r="S20" s="436">
        <v>8.0429999999999993</v>
      </c>
      <c r="T20" s="436">
        <f>U20-SUM(Q20,R20,S20)</f>
        <v>7.6000000000000014</v>
      </c>
      <c r="U20" s="885">
        <v>32.795999999999999</v>
      </c>
      <c r="V20" s="436">
        <v>6.5250000000000004</v>
      </c>
      <c r="W20" s="436">
        <v>7.7069999999999999</v>
      </c>
      <c r="X20" s="436">
        <v>6.133</v>
      </c>
      <c r="Y20" s="436">
        <f>Z20-SUM(V20,W20,X20)</f>
        <v>5.0420000000000016</v>
      </c>
      <c r="Z20" s="885">
        <v>25.407</v>
      </c>
      <c r="AA20" s="436">
        <v>7.5359999999999996</v>
      </c>
      <c r="AB20" s="436">
        <v>10.715999999999999</v>
      </c>
      <c r="AC20" s="436">
        <v>10.592000000000001</v>
      </c>
      <c r="AD20" s="436">
        <f>AE20-SUM(AA20,AB20,AC20)</f>
        <v>12.454000000000001</v>
      </c>
      <c r="AE20" s="885">
        <v>41.298000000000002</v>
      </c>
      <c r="AF20" s="436">
        <v>10.664</v>
      </c>
      <c r="AG20" s="436">
        <v>10.337999999999999</v>
      </c>
      <c r="AH20" s="436">
        <v>9.2889999999999997</v>
      </c>
      <c r="AI20" s="436">
        <f>AJ20-SUM(AF20,AG20,AH20)</f>
        <v>12.799000000000007</v>
      </c>
      <c r="AJ20" s="885">
        <v>43.09</v>
      </c>
      <c r="AK20" s="436">
        <v>19.837</v>
      </c>
      <c r="AL20" s="436">
        <v>17.286000000000001</v>
      </c>
      <c r="AM20" s="436">
        <v>12.432</v>
      </c>
      <c r="AN20" s="436">
        <f>AO20-SUM(AK20,AL20,AM20)</f>
        <v>17.98599999999999</v>
      </c>
      <c r="AO20" s="885">
        <v>67.540999999999997</v>
      </c>
      <c r="AP20" s="436">
        <v>15.006</v>
      </c>
      <c r="AQ20" s="886">
        <v>15.542</v>
      </c>
      <c r="AR20" s="855"/>
      <c r="AS20" s="855"/>
      <c r="AT20" s="870"/>
      <c r="AU20" s="855"/>
      <c r="AV20" s="855"/>
      <c r="AW20" s="855"/>
      <c r="AX20" s="855"/>
      <c r="AY20" s="870"/>
      <c r="AZ20" s="870"/>
      <c r="BA20" s="870"/>
      <c r="BB20" s="870"/>
      <c r="BC20" s="362"/>
    </row>
    <row r="21" spans="1:55" s="23" customFormat="1" hidden="1" outlineLevel="1">
      <c r="A21" s="394" t="s">
        <v>191</v>
      </c>
      <c r="B21" s="395"/>
      <c r="C21" s="887"/>
      <c r="D21" s="887"/>
      <c r="E21" s="887"/>
      <c r="F21" s="887"/>
      <c r="G21" s="888">
        <v>3.4260000000000002</v>
      </c>
      <c r="H21" s="888">
        <v>3.3639999999999999</v>
      </c>
      <c r="I21" s="888">
        <v>3.5379999999999998</v>
      </c>
      <c r="J21" s="888">
        <f>K21-SUM(G21,H21,I21)</f>
        <v>4.0240000000000009</v>
      </c>
      <c r="K21" s="887">
        <v>14.352</v>
      </c>
      <c r="L21" s="888">
        <v>4.2610000000000001</v>
      </c>
      <c r="M21" s="888">
        <v>4.359</v>
      </c>
      <c r="N21" s="888">
        <v>4.1289999999999996</v>
      </c>
      <c r="O21" s="888">
        <f>P21-SUM(L21,M21,N21)</f>
        <v>4.67</v>
      </c>
      <c r="P21" s="887">
        <v>17.419</v>
      </c>
      <c r="Q21" s="888">
        <v>4.8079999999999998</v>
      </c>
      <c r="R21" s="888">
        <v>4.9109999999999996</v>
      </c>
      <c r="S21" s="888">
        <v>3.5670000000000002</v>
      </c>
      <c r="T21" s="888">
        <f>U21-SUM(Q21,R21,S21)</f>
        <v>4.7919999999999998</v>
      </c>
      <c r="U21" s="887">
        <v>18.077999999999999</v>
      </c>
      <c r="V21" s="888">
        <v>6.1079999999999997</v>
      </c>
      <c r="W21" s="888">
        <v>4.3979999999999997</v>
      </c>
      <c r="X21" s="888">
        <v>4.0119999999999996</v>
      </c>
      <c r="Y21" s="888">
        <f>Z21-SUM(V21,W21,X21)</f>
        <v>4.0079999999999991</v>
      </c>
      <c r="Z21" s="887">
        <v>18.526</v>
      </c>
      <c r="AA21" s="888">
        <v>4.4219999999999997</v>
      </c>
      <c r="AB21" s="888">
        <v>4.6909999999999998</v>
      </c>
      <c r="AC21" s="888">
        <v>3.8849999999999998</v>
      </c>
      <c r="AD21" s="888">
        <f>AE21-SUM(AA21,AB21,AC21)</f>
        <v>4.5140000000000011</v>
      </c>
      <c r="AE21" s="887">
        <v>17.512</v>
      </c>
      <c r="AF21" s="888">
        <v>6.8710000000000004</v>
      </c>
      <c r="AG21" s="888">
        <v>6.7990000000000004</v>
      </c>
      <c r="AH21" s="888">
        <v>7.4729999999999999</v>
      </c>
      <c r="AI21" s="888">
        <f>AJ21-SUM(AF21,AG21,AH21)</f>
        <v>6.9849999999999994</v>
      </c>
      <c r="AJ21" s="887">
        <v>28.128</v>
      </c>
      <c r="AK21" s="888">
        <v>5.9329999999999998</v>
      </c>
      <c r="AL21" s="888">
        <v>7.7249999999999996</v>
      </c>
      <c r="AM21" s="888">
        <v>5.8029999999999999</v>
      </c>
      <c r="AN21" s="888">
        <f>AO21-SUM(AK21,AL21,AM21)</f>
        <v>5.1440000000000019</v>
      </c>
      <c r="AO21" s="887">
        <v>24.605</v>
      </c>
      <c r="AP21" s="888">
        <v>5.1760000000000002</v>
      </c>
      <c r="AQ21" s="889">
        <v>5.431</v>
      </c>
      <c r="AR21" s="890"/>
      <c r="AS21" s="890"/>
      <c r="AT21" s="872"/>
      <c r="AU21" s="890"/>
      <c r="AV21" s="890"/>
      <c r="AW21" s="890"/>
      <c r="AX21" s="890"/>
      <c r="AY21" s="872"/>
      <c r="AZ21" s="872"/>
      <c r="BA21" s="872"/>
      <c r="BB21" s="872"/>
      <c r="BC21" s="362"/>
    </row>
    <row r="22" spans="1:55" s="4" customFormat="1" ht="14.45" customHeight="1" collapsed="1">
      <c r="A22" s="396" t="s">
        <v>208</v>
      </c>
      <c r="B22" s="397"/>
      <c r="C22" s="858">
        <v>155.60499999999999</v>
      </c>
      <c r="D22" s="858">
        <v>179.58600000000001</v>
      </c>
      <c r="E22" s="858">
        <v>213.874</v>
      </c>
      <c r="F22" s="858">
        <v>254.95500000000001</v>
      </c>
      <c r="G22" s="402">
        <f t="shared" ref="G22:AQ22" si="10">SUM(G18:G21)</f>
        <v>71.668999999999997</v>
      </c>
      <c r="H22" s="402">
        <f t="shared" si="10"/>
        <v>68.676000000000002</v>
      </c>
      <c r="I22" s="402">
        <f t="shared" si="10"/>
        <v>87.524999999999991</v>
      </c>
      <c r="J22" s="402">
        <f t="shared" si="10"/>
        <v>102.66000000000003</v>
      </c>
      <c r="K22" s="858">
        <f t="shared" si="10"/>
        <v>330.53</v>
      </c>
      <c r="L22" s="402">
        <f t="shared" si="10"/>
        <v>122.372</v>
      </c>
      <c r="M22" s="402">
        <f t="shared" si="10"/>
        <v>121.52300000000001</v>
      </c>
      <c r="N22" s="402">
        <f t="shared" si="10"/>
        <v>122.233</v>
      </c>
      <c r="O22" s="402">
        <f t="shared" si="10"/>
        <v>128.619</v>
      </c>
      <c r="P22" s="858">
        <f t="shared" si="10"/>
        <v>494.74700000000001</v>
      </c>
      <c r="Q22" s="402">
        <f t="shared" si="10"/>
        <v>142.352</v>
      </c>
      <c r="R22" s="402">
        <f t="shared" si="10"/>
        <v>132.17000000000002</v>
      </c>
      <c r="S22" s="402">
        <f t="shared" si="10"/>
        <v>138.72800000000001</v>
      </c>
      <c r="T22" s="402">
        <f t="shared" si="10"/>
        <v>136.48800000000003</v>
      </c>
      <c r="U22" s="858">
        <f t="shared" si="10"/>
        <v>549.73800000000006</v>
      </c>
      <c r="V22" s="402">
        <f t="shared" si="10"/>
        <v>138.309</v>
      </c>
      <c r="W22" s="402">
        <f t="shared" si="10"/>
        <v>142.501</v>
      </c>
      <c r="X22" s="402">
        <f t="shared" si="10"/>
        <v>125.179</v>
      </c>
      <c r="Y22" s="402">
        <f t="shared" si="10"/>
        <v>128.05199999999999</v>
      </c>
      <c r="Z22" s="858">
        <f t="shared" si="10"/>
        <v>534.04099999999994</v>
      </c>
      <c r="AA22" s="402">
        <f t="shared" si="10"/>
        <v>136.827</v>
      </c>
      <c r="AB22" s="402">
        <f t="shared" si="10"/>
        <v>129.547</v>
      </c>
      <c r="AC22" s="402">
        <f t="shared" si="10"/>
        <v>128.66299999999998</v>
      </c>
      <c r="AD22" s="402">
        <f t="shared" si="10"/>
        <v>139.56600000000003</v>
      </c>
      <c r="AE22" s="858">
        <f t="shared" si="10"/>
        <v>534.60300000000007</v>
      </c>
      <c r="AF22" s="402">
        <f t="shared" si="10"/>
        <v>164.6</v>
      </c>
      <c r="AG22" s="402">
        <f t="shared" si="10"/>
        <v>166.20400000000001</v>
      </c>
      <c r="AH22" s="402">
        <f t="shared" si="10"/>
        <v>169.57900000000001</v>
      </c>
      <c r="AI22" s="402">
        <f t="shared" si="10"/>
        <v>175.24200000000002</v>
      </c>
      <c r="AJ22" s="858">
        <f t="shared" si="10"/>
        <v>675.62500000000011</v>
      </c>
      <c r="AK22" s="402">
        <f t="shared" si="10"/>
        <v>188.50099999999998</v>
      </c>
      <c r="AL22" s="402">
        <f t="shared" si="10"/>
        <v>174.28700000000001</v>
      </c>
      <c r="AM22" s="402">
        <f t="shared" si="10"/>
        <v>157.702</v>
      </c>
      <c r="AN22" s="402">
        <f t="shared" si="10"/>
        <v>172.11900000000003</v>
      </c>
      <c r="AO22" s="858">
        <f t="shared" si="10"/>
        <v>692.60900000000015</v>
      </c>
      <c r="AP22" s="402">
        <f t="shared" si="10"/>
        <v>141.07</v>
      </c>
      <c r="AQ22" s="891">
        <f t="shared" si="10"/>
        <v>102.57299999999999</v>
      </c>
      <c r="AR22" s="402">
        <f>-AR31</f>
        <v>101.88000000000001</v>
      </c>
      <c r="AS22" s="402">
        <f>-AS31</f>
        <v>139.28399999999999</v>
      </c>
      <c r="AT22" s="858">
        <f>SUM(AP22,AQ22,AR22,AS22)</f>
        <v>484.80699999999996</v>
      </c>
      <c r="AU22" s="402">
        <f>-AU31</f>
        <v>170.11800000000002</v>
      </c>
      <c r="AV22" s="402">
        <f>-AV31</f>
        <v>200.81490000000005</v>
      </c>
      <c r="AW22" s="402">
        <f>-AW31</f>
        <v>197.616705</v>
      </c>
      <c r="AX22" s="402">
        <f>-AX31</f>
        <v>178.34319749999997</v>
      </c>
      <c r="AY22" s="858">
        <f>SUM(AU22,AV22,AW22,AX22)</f>
        <v>746.89280250000002</v>
      </c>
      <c r="AZ22" s="858">
        <f>-AZ31</f>
        <v>731.6107109999997</v>
      </c>
      <c r="BA22" s="858">
        <f>-BA31</f>
        <v>1000.6473048000004</v>
      </c>
      <c r="BB22" s="858">
        <f>-BB31</f>
        <v>515.22323423999933</v>
      </c>
      <c r="BC22" s="363"/>
    </row>
    <row r="23" spans="1:55" s="23" customFormat="1" hidden="1" outlineLevel="1">
      <c r="A23" s="394" t="s">
        <v>213</v>
      </c>
      <c r="B23" s="395"/>
      <c r="C23" s="885"/>
      <c r="D23" s="885"/>
      <c r="E23" s="885"/>
      <c r="F23" s="885"/>
      <c r="G23" s="436"/>
      <c r="H23" s="436"/>
      <c r="I23" s="436"/>
      <c r="J23" s="436"/>
      <c r="K23" s="885"/>
      <c r="L23" s="436">
        <v>14.337</v>
      </c>
      <c r="M23" s="436">
        <v>43.12</v>
      </c>
      <c r="N23" s="436">
        <v>48.927</v>
      </c>
      <c r="O23" s="436">
        <f>P23-SUM(L23,M23,N23)</f>
        <v>24.475000000000023</v>
      </c>
      <c r="P23" s="885">
        <v>130.85900000000001</v>
      </c>
      <c r="Q23" s="436">
        <v>4.7519999999999998</v>
      </c>
      <c r="R23" s="436">
        <v>31.507000000000001</v>
      </c>
      <c r="S23" s="436">
        <v>49.966000000000001</v>
      </c>
      <c r="T23" s="436">
        <f>U23-SUM(Q23,R23,S23)</f>
        <v>5.9110000000000014</v>
      </c>
      <c r="U23" s="885">
        <v>92.135999999999996</v>
      </c>
      <c r="V23" s="436">
        <v>7.1369999999999996</v>
      </c>
      <c r="W23" s="436">
        <v>9.8480000000000008</v>
      </c>
      <c r="X23" s="436">
        <v>16.878</v>
      </c>
      <c r="Y23" s="436">
        <f>Z23-SUM(V23,W23,X23)</f>
        <v>4.0760000000000005</v>
      </c>
      <c r="Z23" s="885">
        <v>37.939</v>
      </c>
      <c r="AA23" s="436">
        <v>4.6310000000000002</v>
      </c>
      <c r="AB23" s="436">
        <v>7.08</v>
      </c>
      <c r="AC23" s="436">
        <v>6.6319999999999997</v>
      </c>
      <c r="AD23" s="436">
        <f>AE23-SUM(AA23,AB23,AC23)</f>
        <v>13.655999999999999</v>
      </c>
      <c r="AE23" s="885">
        <v>31.998999999999999</v>
      </c>
      <c r="AF23" s="436">
        <v>7.06</v>
      </c>
      <c r="AG23" s="436">
        <v>31.405000000000001</v>
      </c>
      <c r="AH23" s="436">
        <v>33.595999999999997</v>
      </c>
      <c r="AI23" s="436">
        <f>AJ23-SUM(AF23,AG23,AH23)</f>
        <v>12.192999999999998</v>
      </c>
      <c r="AJ23" s="885">
        <v>84.254000000000005</v>
      </c>
      <c r="AK23" s="436">
        <v>3.3540000000000001</v>
      </c>
      <c r="AL23" s="436">
        <v>2.242</v>
      </c>
      <c r="AM23" s="436">
        <v>2.2189999999999999</v>
      </c>
      <c r="AN23" s="436">
        <f>AO23-SUM(AK23,AL23,AM23)</f>
        <v>1.8770000000000007</v>
      </c>
      <c r="AO23" s="885">
        <v>9.6920000000000002</v>
      </c>
      <c r="AP23" s="436">
        <v>1.6339999999999999</v>
      </c>
      <c r="AQ23" s="886">
        <v>1.1879999999999999</v>
      </c>
      <c r="AR23" s="855"/>
      <c r="AS23" s="855"/>
      <c r="AT23" s="870"/>
      <c r="AU23" s="855"/>
      <c r="AV23" s="855"/>
      <c r="AW23" s="855"/>
      <c r="AX23" s="855"/>
      <c r="AY23" s="870"/>
      <c r="AZ23" s="870"/>
      <c r="BA23" s="870"/>
      <c r="BB23" s="870"/>
      <c r="BC23" s="362"/>
    </row>
    <row r="24" spans="1:55" s="23" customFormat="1" hidden="1" outlineLevel="1">
      <c r="A24" s="398" t="s">
        <v>214</v>
      </c>
      <c r="B24" s="399"/>
      <c r="C24" s="887"/>
      <c r="D24" s="887"/>
      <c r="E24" s="887"/>
      <c r="F24" s="887"/>
      <c r="G24" s="888"/>
      <c r="H24" s="888"/>
      <c r="I24" s="888"/>
      <c r="J24" s="888"/>
      <c r="K24" s="887"/>
      <c r="L24" s="888">
        <v>4.242</v>
      </c>
      <c r="M24" s="888">
        <v>9.92</v>
      </c>
      <c r="N24" s="888">
        <v>8.282</v>
      </c>
      <c r="O24" s="888">
        <f>P24-SUM(L24,M24,N24)</f>
        <v>12.989000000000001</v>
      </c>
      <c r="P24" s="887">
        <v>35.433</v>
      </c>
      <c r="Q24" s="888">
        <v>14.534000000000001</v>
      </c>
      <c r="R24" s="888">
        <v>9.4789999999999992</v>
      </c>
      <c r="S24" s="888">
        <v>11.451000000000001</v>
      </c>
      <c r="T24" s="888">
        <f>U24-SUM(Q24,R24,S24)</f>
        <v>14.941000000000003</v>
      </c>
      <c r="U24" s="887">
        <v>50.405000000000001</v>
      </c>
      <c r="V24" s="888">
        <v>14.084</v>
      </c>
      <c r="W24" s="888">
        <v>12.077</v>
      </c>
      <c r="X24" s="888">
        <v>13.042</v>
      </c>
      <c r="Y24" s="888">
        <f>Z24-SUM(V24,W24,X24)</f>
        <v>21.939999999999998</v>
      </c>
      <c r="Z24" s="887">
        <v>61.143000000000001</v>
      </c>
      <c r="AA24" s="888">
        <v>10.938000000000001</v>
      </c>
      <c r="AB24" s="888">
        <v>14.487</v>
      </c>
      <c r="AC24" s="888">
        <v>14.340999999999999</v>
      </c>
      <c r="AD24" s="888">
        <f>AE24-SUM(AA24,AB24,AC24)</f>
        <v>18.096000000000004</v>
      </c>
      <c r="AE24" s="887">
        <v>57.862000000000002</v>
      </c>
      <c r="AF24" s="888">
        <v>7.399</v>
      </c>
      <c r="AG24" s="888">
        <v>10.997</v>
      </c>
      <c r="AH24" s="888">
        <v>9.4990000000000006</v>
      </c>
      <c r="AI24" s="888">
        <f>AJ24-SUM(AF24,AG24,AH24)</f>
        <v>15.481999999999999</v>
      </c>
      <c r="AJ24" s="887">
        <v>43.377000000000002</v>
      </c>
      <c r="AK24" s="888">
        <v>16.318999999999999</v>
      </c>
      <c r="AL24" s="888">
        <v>12.569000000000001</v>
      </c>
      <c r="AM24" s="888">
        <v>17.097000000000001</v>
      </c>
      <c r="AN24" s="888">
        <f>AO24-SUM(AK24,AL24,AM24)</f>
        <v>24.415999999999997</v>
      </c>
      <c r="AO24" s="887">
        <v>70.400999999999996</v>
      </c>
      <c r="AP24" s="888">
        <v>14.88</v>
      </c>
      <c r="AQ24" s="889">
        <v>19.933</v>
      </c>
      <c r="AR24" s="890"/>
      <c r="AS24" s="890"/>
      <c r="AT24" s="872"/>
      <c r="AU24" s="890"/>
      <c r="AV24" s="890"/>
      <c r="AW24" s="890"/>
      <c r="AX24" s="890"/>
      <c r="AY24" s="872"/>
      <c r="AZ24" s="872"/>
      <c r="BA24" s="872"/>
      <c r="BB24" s="872"/>
      <c r="BC24" s="362"/>
    </row>
    <row r="25" spans="1:55" s="4" customFormat="1" ht="14.45" customHeight="1" collapsed="1">
      <c r="A25" s="400" t="s">
        <v>192</v>
      </c>
      <c r="B25" s="401"/>
      <c r="C25" s="892">
        <v>35.595999999999997</v>
      </c>
      <c r="D25" s="892">
        <v>16.167999999999999</v>
      </c>
      <c r="E25" s="892">
        <v>14.289</v>
      </c>
      <c r="F25" s="892">
        <v>11.491</v>
      </c>
      <c r="G25" s="893">
        <v>2.298</v>
      </c>
      <c r="H25" s="893">
        <v>2.157</v>
      </c>
      <c r="I25" s="893">
        <v>2.1560000000000001</v>
      </c>
      <c r="J25" s="893">
        <f>K25-SUM(G25,H25,I25)</f>
        <v>2.7959999999999994</v>
      </c>
      <c r="K25" s="892">
        <v>9.407</v>
      </c>
      <c r="L25" s="893">
        <f t="shared" ref="L25:AQ25" si="11">SUM(L23:L24)</f>
        <v>18.579000000000001</v>
      </c>
      <c r="M25" s="893">
        <f t="shared" si="11"/>
        <v>53.04</v>
      </c>
      <c r="N25" s="893">
        <f t="shared" si="11"/>
        <v>57.209000000000003</v>
      </c>
      <c r="O25" s="893">
        <f t="shared" si="11"/>
        <v>37.464000000000027</v>
      </c>
      <c r="P25" s="892">
        <f t="shared" si="11"/>
        <v>166.292</v>
      </c>
      <c r="Q25" s="893">
        <f t="shared" si="11"/>
        <v>19.286000000000001</v>
      </c>
      <c r="R25" s="893">
        <f t="shared" si="11"/>
        <v>40.986000000000004</v>
      </c>
      <c r="S25" s="893">
        <f t="shared" si="11"/>
        <v>61.417000000000002</v>
      </c>
      <c r="T25" s="893">
        <f t="shared" si="11"/>
        <v>20.852000000000004</v>
      </c>
      <c r="U25" s="892">
        <f t="shared" si="11"/>
        <v>142.541</v>
      </c>
      <c r="V25" s="893">
        <f t="shared" si="11"/>
        <v>21.221</v>
      </c>
      <c r="W25" s="893">
        <f t="shared" si="11"/>
        <v>21.925000000000001</v>
      </c>
      <c r="X25" s="893">
        <f t="shared" si="11"/>
        <v>29.92</v>
      </c>
      <c r="Y25" s="893">
        <f t="shared" si="11"/>
        <v>26.015999999999998</v>
      </c>
      <c r="Z25" s="892">
        <f t="shared" si="11"/>
        <v>99.081999999999994</v>
      </c>
      <c r="AA25" s="893">
        <f t="shared" si="11"/>
        <v>15.569000000000001</v>
      </c>
      <c r="AB25" s="893">
        <f t="shared" si="11"/>
        <v>21.567</v>
      </c>
      <c r="AC25" s="893">
        <f t="shared" si="11"/>
        <v>20.972999999999999</v>
      </c>
      <c r="AD25" s="893">
        <f t="shared" si="11"/>
        <v>31.752000000000002</v>
      </c>
      <c r="AE25" s="892">
        <f t="shared" si="11"/>
        <v>89.861000000000004</v>
      </c>
      <c r="AF25" s="893">
        <f t="shared" si="11"/>
        <v>14.459</v>
      </c>
      <c r="AG25" s="893">
        <f t="shared" si="11"/>
        <v>42.402000000000001</v>
      </c>
      <c r="AH25" s="893">
        <f t="shared" si="11"/>
        <v>43.094999999999999</v>
      </c>
      <c r="AI25" s="893">
        <f t="shared" si="11"/>
        <v>27.674999999999997</v>
      </c>
      <c r="AJ25" s="892">
        <f t="shared" si="11"/>
        <v>127.631</v>
      </c>
      <c r="AK25" s="893">
        <f t="shared" si="11"/>
        <v>19.672999999999998</v>
      </c>
      <c r="AL25" s="893">
        <f t="shared" si="11"/>
        <v>14.811</v>
      </c>
      <c r="AM25" s="893">
        <f t="shared" si="11"/>
        <v>19.316000000000003</v>
      </c>
      <c r="AN25" s="893">
        <f t="shared" si="11"/>
        <v>26.292999999999999</v>
      </c>
      <c r="AO25" s="892">
        <f t="shared" si="11"/>
        <v>80.092999999999989</v>
      </c>
      <c r="AP25" s="893">
        <f t="shared" si="11"/>
        <v>16.513999999999999</v>
      </c>
      <c r="AQ25" s="894">
        <f t="shared" si="11"/>
        <v>21.120999999999999</v>
      </c>
      <c r="AR25" s="893">
        <f>-AR38</f>
        <v>8.08</v>
      </c>
      <c r="AS25" s="893">
        <f>-AS38</f>
        <v>11.808</v>
      </c>
      <c r="AT25" s="892">
        <f>SUM(AP25,AQ25,AR25,AS25)</f>
        <v>57.522999999999996</v>
      </c>
      <c r="AU25" s="893">
        <f>-AU38</f>
        <v>7.2912000000000008</v>
      </c>
      <c r="AV25" s="893">
        <f>-AV38</f>
        <v>14.124160000000002</v>
      </c>
      <c r="AW25" s="893">
        <f>-AW38</f>
        <v>12.299328000000001</v>
      </c>
      <c r="AX25" s="893">
        <f>-AX38</f>
        <v>10.8394624</v>
      </c>
      <c r="AY25" s="892">
        <f>SUM(AU25,AV25,AW25,AX25)</f>
        <v>44.554150400000005</v>
      </c>
      <c r="AZ25" s="892">
        <f>-AZ38</f>
        <v>38.014709760000002</v>
      </c>
      <c r="BA25" s="892">
        <f>-BA38</f>
        <v>84.274511872000005</v>
      </c>
      <c r="BB25" s="892">
        <f>-BB38</f>
        <v>80.854902374399998</v>
      </c>
      <c r="BC25" s="363"/>
    </row>
    <row r="26" spans="1:55" s="4" customFormat="1" ht="14.45" customHeight="1">
      <c r="A26" s="402" t="s">
        <v>288</v>
      </c>
      <c r="B26" s="397"/>
      <c r="C26" s="858">
        <f t="shared" ref="C26:AH26" si="12">+C22+C25</f>
        <v>191.20099999999999</v>
      </c>
      <c r="D26" s="858">
        <f t="shared" si="12"/>
        <v>195.75400000000002</v>
      </c>
      <c r="E26" s="858">
        <f t="shared" si="12"/>
        <v>228.16299999999998</v>
      </c>
      <c r="F26" s="858">
        <f t="shared" si="12"/>
        <v>266.44600000000003</v>
      </c>
      <c r="G26" s="402">
        <f t="shared" si="12"/>
        <v>73.966999999999999</v>
      </c>
      <c r="H26" s="402">
        <f t="shared" si="12"/>
        <v>70.832999999999998</v>
      </c>
      <c r="I26" s="402">
        <f t="shared" si="12"/>
        <v>89.680999999999997</v>
      </c>
      <c r="J26" s="402">
        <f t="shared" si="12"/>
        <v>105.45600000000002</v>
      </c>
      <c r="K26" s="858">
        <f t="shared" si="12"/>
        <v>339.93699999999995</v>
      </c>
      <c r="L26" s="402">
        <f t="shared" si="12"/>
        <v>140.95099999999999</v>
      </c>
      <c r="M26" s="402">
        <f t="shared" si="12"/>
        <v>174.56300000000002</v>
      </c>
      <c r="N26" s="402">
        <f t="shared" si="12"/>
        <v>179.44200000000001</v>
      </c>
      <c r="O26" s="402">
        <f t="shared" si="12"/>
        <v>166.08300000000003</v>
      </c>
      <c r="P26" s="858">
        <f t="shared" si="12"/>
        <v>661.03899999999999</v>
      </c>
      <c r="Q26" s="402">
        <f t="shared" si="12"/>
        <v>161.63800000000001</v>
      </c>
      <c r="R26" s="402">
        <f t="shared" si="12"/>
        <v>173.15600000000001</v>
      </c>
      <c r="S26" s="402">
        <f t="shared" si="12"/>
        <v>200.14500000000001</v>
      </c>
      <c r="T26" s="402">
        <f t="shared" si="12"/>
        <v>157.34000000000003</v>
      </c>
      <c r="U26" s="858">
        <f t="shared" si="12"/>
        <v>692.279</v>
      </c>
      <c r="V26" s="402">
        <f t="shared" si="12"/>
        <v>159.53</v>
      </c>
      <c r="W26" s="402">
        <f t="shared" si="12"/>
        <v>164.42600000000002</v>
      </c>
      <c r="X26" s="402">
        <f t="shared" si="12"/>
        <v>155.09899999999999</v>
      </c>
      <c r="Y26" s="402">
        <f t="shared" si="12"/>
        <v>154.06799999999998</v>
      </c>
      <c r="Z26" s="858">
        <f t="shared" si="12"/>
        <v>633.12299999999993</v>
      </c>
      <c r="AA26" s="402">
        <f t="shared" si="12"/>
        <v>152.39599999999999</v>
      </c>
      <c r="AB26" s="402">
        <f t="shared" si="12"/>
        <v>151.114</v>
      </c>
      <c r="AC26" s="402">
        <f t="shared" si="12"/>
        <v>149.63599999999997</v>
      </c>
      <c r="AD26" s="402">
        <f t="shared" si="12"/>
        <v>171.31800000000004</v>
      </c>
      <c r="AE26" s="858">
        <f t="shared" si="12"/>
        <v>624.46400000000006</v>
      </c>
      <c r="AF26" s="402">
        <f t="shared" si="12"/>
        <v>179.059</v>
      </c>
      <c r="AG26" s="402">
        <f t="shared" si="12"/>
        <v>208.60599999999999</v>
      </c>
      <c r="AH26" s="402">
        <f t="shared" si="12"/>
        <v>212.67400000000001</v>
      </c>
      <c r="AI26" s="402">
        <f t="shared" ref="AI26:BB26" si="13">+AI22+AI25</f>
        <v>202.91700000000003</v>
      </c>
      <c r="AJ26" s="858">
        <f t="shared" si="13"/>
        <v>803.25600000000009</v>
      </c>
      <c r="AK26" s="402">
        <f t="shared" si="13"/>
        <v>208.17399999999998</v>
      </c>
      <c r="AL26" s="402">
        <f t="shared" si="13"/>
        <v>189.09800000000001</v>
      </c>
      <c r="AM26" s="402">
        <f t="shared" si="13"/>
        <v>177.018</v>
      </c>
      <c r="AN26" s="402">
        <f t="shared" si="13"/>
        <v>198.41200000000003</v>
      </c>
      <c r="AO26" s="858">
        <f t="shared" si="13"/>
        <v>772.70200000000011</v>
      </c>
      <c r="AP26" s="402">
        <f t="shared" si="13"/>
        <v>157.584</v>
      </c>
      <c r="AQ26" s="891">
        <f t="shared" si="13"/>
        <v>123.69399999999999</v>
      </c>
      <c r="AR26" s="402">
        <f t="shared" si="13"/>
        <v>109.96000000000001</v>
      </c>
      <c r="AS26" s="402">
        <f t="shared" si="13"/>
        <v>151.09199999999998</v>
      </c>
      <c r="AT26" s="858" t="s">
        <v>1392</v>
      </c>
      <c r="AU26" s="402">
        <f t="shared" si="13"/>
        <v>177.40920000000003</v>
      </c>
      <c r="AV26" s="402">
        <f t="shared" si="13"/>
        <v>214.93906000000004</v>
      </c>
      <c r="AW26" s="402">
        <f t="shared" si="13"/>
        <v>209.916033</v>
      </c>
      <c r="AX26" s="402">
        <f t="shared" si="13"/>
        <v>189.18265989999998</v>
      </c>
      <c r="AY26" s="858">
        <f t="shared" si="13"/>
        <v>791.44695290000004</v>
      </c>
      <c r="AZ26" s="858">
        <f t="shared" si="13"/>
        <v>769.62542075999966</v>
      </c>
      <c r="BA26" s="858">
        <f t="shared" si="13"/>
        <v>1084.9218166720004</v>
      </c>
      <c r="BB26" s="858">
        <f t="shared" si="13"/>
        <v>596.07813661439934</v>
      </c>
      <c r="BC26" s="363"/>
    </row>
    <row r="27" spans="1:55" s="4" customFormat="1" ht="14.45" customHeight="1">
      <c r="A27" s="403"/>
      <c r="B27" s="401"/>
      <c r="C27" s="852"/>
      <c r="D27" s="852"/>
      <c r="E27" s="852"/>
      <c r="F27" s="852"/>
      <c r="G27" s="418"/>
      <c r="H27" s="418"/>
      <c r="I27" s="418"/>
      <c r="J27" s="418"/>
      <c r="K27" s="852"/>
      <c r="L27" s="418"/>
      <c r="M27" s="418"/>
      <c r="N27" s="418"/>
      <c r="O27" s="418"/>
      <c r="P27" s="852"/>
      <c r="Q27" s="418"/>
      <c r="R27" s="418"/>
      <c r="S27" s="418"/>
      <c r="T27" s="418"/>
      <c r="U27" s="852"/>
      <c r="V27" s="418"/>
      <c r="W27" s="418"/>
      <c r="X27" s="418"/>
      <c r="Y27" s="418"/>
      <c r="Z27" s="852"/>
      <c r="AA27" s="418"/>
      <c r="AB27" s="418"/>
      <c r="AC27" s="418"/>
      <c r="AD27" s="418"/>
      <c r="AE27" s="852"/>
      <c r="AF27" s="418"/>
      <c r="AG27" s="418"/>
      <c r="AH27" s="418"/>
      <c r="AI27" s="418"/>
      <c r="AJ27" s="852"/>
      <c r="AK27" s="418"/>
      <c r="AL27" s="418"/>
      <c r="AM27" s="418"/>
      <c r="AN27" s="418"/>
      <c r="AO27" s="852"/>
      <c r="AP27" s="418"/>
      <c r="AQ27" s="895"/>
      <c r="AR27" s="896"/>
      <c r="AS27" s="896"/>
      <c r="AT27" s="897"/>
      <c r="AU27" s="896"/>
      <c r="AV27" s="896"/>
      <c r="AW27" s="896"/>
      <c r="AX27" s="896"/>
      <c r="AY27" s="897"/>
      <c r="AZ27" s="897"/>
      <c r="BA27" s="897"/>
      <c r="BB27" s="897"/>
      <c r="BC27" s="363"/>
    </row>
    <row r="28" spans="1:55" s="4" customFormat="1" ht="14.45" customHeight="1">
      <c r="A28" s="514" t="s">
        <v>210</v>
      </c>
      <c r="B28" s="514"/>
      <c r="C28" s="883"/>
      <c r="D28" s="883"/>
      <c r="E28" s="883"/>
      <c r="F28" s="883"/>
      <c r="G28" s="883"/>
      <c r="H28" s="883"/>
      <c r="I28" s="883"/>
      <c r="J28" s="883"/>
      <c r="K28" s="883"/>
      <c r="L28" s="883"/>
      <c r="M28" s="883"/>
      <c r="N28" s="883"/>
      <c r="O28" s="883"/>
      <c r="P28" s="883"/>
      <c r="Q28" s="883"/>
      <c r="R28" s="883"/>
      <c r="S28" s="883"/>
      <c r="T28" s="883"/>
      <c r="U28" s="883"/>
      <c r="V28" s="883"/>
      <c r="W28" s="883"/>
      <c r="X28" s="883"/>
      <c r="Y28" s="883"/>
      <c r="Z28" s="883"/>
      <c r="AA28" s="883"/>
      <c r="AB28" s="883"/>
      <c r="AC28" s="883"/>
      <c r="AD28" s="883"/>
      <c r="AE28" s="883"/>
      <c r="AF28" s="883"/>
      <c r="AG28" s="883"/>
      <c r="AH28" s="883"/>
      <c r="AI28" s="883"/>
      <c r="AJ28" s="883"/>
      <c r="AK28" s="883"/>
      <c r="AL28" s="883"/>
      <c r="AM28" s="883"/>
      <c r="AN28" s="883"/>
      <c r="AO28" s="883"/>
      <c r="AP28" s="883"/>
      <c r="AQ28" s="884"/>
      <c r="AR28" s="883"/>
      <c r="AS28" s="883"/>
      <c r="AT28" s="883"/>
      <c r="AU28" s="883"/>
      <c r="AV28" s="883"/>
      <c r="AW28" s="883"/>
      <c r="AX28" s="883"/>
      <c r="AY28" s="883"/>
      <c r="AZ28" s="883"/>
      <c r="BA28" s="883"/>
      <c r="BB28" s="883"/>
      <c r="BC28" s="363"/>
    </row>
    <row r="29" spans="1:55" s="4" customFormat="1" ht="15" customHeight="1">
      <c r="A29" s="853" t="s">
        <v>401</v>
      </c>
      <c r="B29" s="854"/>
      <c r="C29" s="852"/>
      <c r="D29" s="852"/>
      <c r="E29" s="852"/>
      <c r="F29" s="852">
        <f>E32</f>
        <v>0</v>
      </c>
      <c r="G29" s="418">
        <f>F32</f>
        <v>110.9</v>
      </c>
      <c r="H29" s="418">
        <f>G32</f>
        <v>114.636</v>
      </c>
      <c r="I29" s="418">
        <f>H32</f>
        <v>111.67400000000001</v>
      </c>
      <c r="J29" s="418">
        <f>I32</f>
        <v>159.46799999999999</v>
      </c>
      <c r="K29" s="852">
        <f>F32</f>
        <v>110.9</v>
      </c>
      <c r="L29" s="418">
        <f>K32</f>
        <v>207.101</v>
      </c>
      <c r="M29" s="418">
        <f>L32</f>
        <v>208.30699999999999</v>
      </c>
      <c r="N29" s="418">
        <f>M32</f>
        <v>204.54499999999999</v>
      </c>
      <c r="O29" s="418">
        <f>N32</f>
        <v>221.797</v>
      </c>
      <c r="P29" s="852">
        <f>K32</f>
        <v>207.101</v>
      </c>
      <c r="Q29" s="418">
        <f>P32</f>
        <v>223.76900000000001</v>
      </c>
      <c r="R29" s="418">
        <f>Q32</f>
        <v>233.95500000000001</v>
      </c>
      <c r="S29" s="418">
        <f>R32</f>
        <v>236.26400000000001</v>
      </c>
      <c r="T29" s="418">
        <f>S32</f>
        <v>227.345</v>
      </c>
      <c r="U29" s="852">
        <f>P32</f>
        <v>223.76900000000001</v>
      </c>
      <c r="V29" s="418">
        <f>U32</f>
        <v>212.65099999999995</v>
      </c>
      <c r="W29" s="418">
        <f>V32</f>
        <v>214.76900000000001</v>
      </c>
      <c r="X29" s="418">
        <f>W32</f>
        <v>235.8</v>
      </c>
      <c r="Y29" s="418">
        <f>X32</f>
        <v>233.44300000000001</v>
      </c>
      <c r="Z29" s="852">
        <f>U32</f>
        <v>212.65099999999995</v>
      </c>
      <c r="AA29" s="418">
        <f>Z32</f>
        <v>219.14599999999996</v>
      </c>
      <c r="AB29" s="418">
        <f>AA32</f>
        <v>205.155</v>
      </c>
      <c r="AC29" s="418">
        <f>AB32</f>
        <v>215.648</v>
      </c>
      <c r="AD29" s="418">
        <f>AC32</f>
        <v>233.16200000000001</v>
      </c>
      <c r="AE29" s="852">
        <f>Z32</f>
        <v>219.14599999999996</v>
      </c>
      <c r="AF29" s="418">
        <f>AE32</f>
        <v>298.60399999999993</v>
      </c>
      <c r="AG29" s="418">
        <f>AF32</f>
        <v>305.97699999999998</v>
      </c>
      <c r="AH29" s="418">
        <f>AG32</f>
        <v>298.64299999999997</v>
      </c>
      <c r="AI29" s="418">
        <f>AH32</f>
        <v>325.73500000000001</v>
      </c>
      <c r="AJ29" s="852">
        <f>AE32</f>
        <v>298.60399999999993</v>
      </c>
      <c r="AK29" s="418">
        <f>AJ32</f>
        <v>326.04700000000014</v>
      </c>
      <c r="AL29" s="418">
        <f>AK32</f>
        <v>329.24700000000001</v>
      </c>
      <c r="AM29" s="418">
        <f>AL32</f>
        <v>310.58999999999997</v>
      </c>
      <c r="AN29" s="418">
        <f>AM32</f>
        <v>308.22300000000001</v>
      </c>
      <c r="AO29" s="852">
        <f>AJ32</f>
        <v>326.04700000000014</v>
      </c>
      <c r="AP29" s="853">
        <f>AO32</f>
        <v>275.70399999999995</v>
      </c>
      <c r="AQ29" s="1002">
        <f>AP32</f>
        <v>285.673</v>
      </c>
      <c r="AR29" s="418">
        <f>AQ32</f>
        <v>226.4</v>
      </c>
      <c r="AS29" s="418">
        <f>AR32</f>
        <v>309.52</v>
      </c>
      <c r="AT29" s="852">
        <f>AO32</f>
        <v>275.70399999999995</v>
      </c>
      <c r="AU29" s="418">
        <f t="shared" ref="AU29:BB29" si="14">AT32</f>
        <v>340.23600000000005</v>
      </c>
      <c r="AV29" s="418">
        <f t="shared" si="14"/>
        <v>365.11800000000005</v>
      </c>
      <c r="AW29" s="418">
        <f t="shared" si="14"/>
        <v>359.30309999999997</v>
      </c>
      <c r="AX29" s="418">
        <f t="shared" si="14"/>
        <v>356.68639499999995</v>
      </c>
      <c r="AY29" s="852">
        <f t="shared" si="14"/>
        <v>373.34319749999997</v>
      </c>
      <c r="AZ29" s="852">
        <f t="shared" si="14"/>
        <v>406.45039499999984</v>
      </c>
      <c r="BA29" s="852">
        <f t="shared" si="14"/>
        <v>454.83968400000015</v>
      </c>
      <c r="BB29" s="852">
        <f t="shared" si="14"/>
        <v>234.19237919999966</v>
      </c>
      <c r="BC29" s="363"/>
    </row>
    <row r="30" spans="1:55" s="23" customFormat="1" ht="15" customHeight="1">
      <c r="A30" s="856" t="s">
        <v>418</v>
      </c>
      <c r="B30" s="857"/>
      <c r="C30" s="885"/>
      <c r="D30" s="885"/>
      <c r="E30" s="885"/>
      <c r="F30" s="885"/>
      <c r="G30" s="436">
        <f>G32-G29-G31</f>
        <v>75.404999999999987</v>
      </c>
      <c r="H30" s="436">
        <f>H32-H29-H31</f>
        <v>65.714000000000013</v>
      </c>
      <c r="I30" s="436">
        <f>I32-I29-I31</f>
        <v>135.31899999999999</v>
      </c>
      <c r="J30" s="436">
        <f>J32-J29-J31</f>
        <v>150.29300000000001</v>
      </c>
      <c r="K30" s="885">
        <f>SUM(G30,H30,I30,J30)</f>
        <v>426.73099999999999</v>
      </c>
      <c r="L30" s="436">
        <f>L32-L29-L31</f>
        <v>123.57799999999999</v>
      </c>
      <c r="M30" s="436">
        <f>M32-M29-M31</f>
        <v>49.277999999999999</v>
      </c>
      <c r="N30" s="436">
        <f>N32-N29-N31</f>
        <v>74.461000000000013</v>
      </c>
      <c r="O30" s="436">
        <f>O32-O29-O31</f>
        <v>39.436000000000007</v>
      </c>
      <c r="P30" s="885">
        <f>SUM(L30,M30,N30,O30)</f>
        <v>286.75300000000004</v>
      </c>
      <c r="Q30" s="436">
        <f>Q32-Q29-Q31</f>
        <v>152.53800000000001</v>
      </c>
      <c r="R30" s="436">
        <f>R32-R29-R31</f>
        <v>134.47899999999998</v>
      </c>
      <c r="S30" s="436">
        <f>S32-S29-S31</f>
        <v>129.809</v>
      </c>
      <c r="T30" s="436">
        <f>T32-T29-T31</f>
        <v>121.79400000000001</v>
      </c>
      <c r="U30" s="885">
        <f>SUM(Q30,R30,S30,T30)</f>
        <v>538.62</v>
      </c>
      <c r="V30" s="436">
        <f>V32-V29-V31</f>
        <v>140.42700000000005</v>
      </c>
      <c r="W30" s="436">
        <f>W32-W29-W31</f>
        <v>163.53200000000001</v>
      </c>
      <c r="X30" s="436">
        <f>X32-X29-X31</f>
        <v>122.822</v>
      </c>
      <c r="Y30" s="436">
        <f>Y32-Y29-Y31</f>
        <v>113.75499999999997</v>
      </c>
      <c r="Z30" s="885">
        <f>SUM(V30,W30,X30,Y30)</f>
        <v>540.53600000000006</v>
      </c>
      <c r="AA30" s="436">
        <f>AA32-AA29-AA31</f>
        <v>122.83600000000004</v>
      </c>
      <c r="AB30" s="436">
        <f>AB32-AB29-AB31</f>
        <v>140.04</v>
      </c>
      <c r="AC30" s="436">
        <f>AC32-AC29-AC31</f>
        <v>146.17699999999999</v>
      </c>
      <c r="AD30" s="436">
        <f>AD32-AD29-AD31</f>
        <v>205.00800000000001</v>
      </c>
      <c r="AE30" s="885">
        <f>SUM(AA30,AB30,AC30,AD30)</f>
        <v>614.06100000000004</v>
      </c>
      <c r="AF30" s="436">
        <f>AF32-AF29-AF31</f>
        <v>171.97300000000004</v>
      </c>
      <c r="AG30" s="436">
        <f>AG32-AG29-AG31</f>
        <v>158.87</v>
      </c>
      <c r="AH30" s="436">
        <f>AH32-AH29-AH31</f>
        <v>196.67100000000005</v>
      </c>
      <c r="AI30" s="436">
        <f>AI32-AI29-AI31</f>
        <v>175.55400000000003</v>
      </c>
      <c r="AJ30" s="885">
        <f>SUM(AF30,AG30,AH30,AI30)</f>
        <v>703.06800000000021</v>
      </c>
      <c r="AK30" s="436">
        <f>AK32-AK29-AK31</f>
        <v>191.70099999999985</v>
      </c>
      <c r="AL30" s="436">
        <f>AL32-AL29-AL31</f>
        <v>155.62999999999997</v>
      </c>
      <c r="AM30" s="436">
        <f>AM32-AM29-AM31</f>
        <v>155.33500000000004</v>
      </c>
      <c r="AN30" s="855">
        <v>139.6</v>
      </c>
      <c r="AO30" s="885">
        <f>SUM(AK30,AL30,AM30,AN30)</f>
        <v>642.26599999999985</v>
      </c>
      <c r="AP30" s="990">
        <f>AP32-AP29-AP31</f>
        <v>151.03900000000004</v>
      </c>
      <c r="AQ30" s="1003">
        <f>AQ32-AQ29-AQ31</f>
        <v>43.3</v>
      </c>
      <c r="AR30" s="855">
        <v>185</v>
      </c>
      <c r="AS30" s="855">
        <v>170</v>
      </c>
      <c r="AT30" s="885">
        <f>SUM(AP30,AQ30,AR30,AS30)</f>
        <v>549.33900000000006</v>
      </c>
      <c r="AU30" s="855">
        <v>195</v>
      </c>
      <c r="AV30" s="855">
        <v>195</v>
      </c>
      <c r="AW30" s="855">
        <v>195</v>
      </c>
      <c r="AX30" s="855">
        <v>195</v>
      </c>
      <c r="AY30" s="885">
        <f>SUM(AU30,AV30,AW30,AX30)</f>
        <v>780</v>
      </c>
      <c r="AZ30" s="870">
        <v>780</v>
      </c>
      <c r="BA30" s="870">
        <v>780</v>
      </c>
      <c r="BB30" s="870">
        <v>780</v>
      </c>
      <c r="BC30" s="362"/>
    </row>
    <row r="31" spans="1:55" s="23" customFormat="1" ht="14.45" customHeight="1">
      <c r="A31" s="404" t="s">
        <v>419</v>
      </c>
      <c r="B31" s="399"/>
      <c r="C31" s="887"/>
      <c r="D31" s="887"/>
      <c r="E31" s="887"/>
      <c r="F31" s="887">
        <f>-62.001-62.423-65.788-64.743</f>
        <v>-254.95499999999998</v>
      </c>
      <c r="G31" s="888">
        <v>-71.668999999999997</v>
      </c>
      <c r="H31" s="888">
        <v>-68.676000000000002</v>
      </c>
      <c r="I31" s="888">
        <v>-87.525000000000006</v>
      </c>
      <c r="J31" s="888">
        <v>-102.66</v>
      </c>
      <c r="K31" s="887">
        <f>SUM(G31,H31,I31,J31)</f>
        <v>-330.53</v>
      </c>
      <c r="L31" s="888">
        <v>-122.372</v>
      </c>
      <c r="M31" s="888">
        <v>-53.04</v>
      </c>
      <c r="N31" s="888">
        <v>-57.209000000000003</v>
      </c>
      <c r="O31" s="888">
        <v>-37.463999999999999</v>
      </c>
      <c r="P31" s="887">
        <f>SUM(L31,M31,N31,O31)</f>
        <v>-270.08500000000004</v>
      </c>
      <c r="Q31" s="888">
        <v>-142.352</v>
      </c>
      <c r="R31" s="888">
        <v>-132.16999999999999</v>
      </c>
      <c r="S31" s="888">
        <v>-138.72800000000001</v>
      </c>
      <c r="T31" s="888">
        <v>-136.488</v>
      </c>
      <c r="U31" s="887">
        <f>SUM(Q31,R31,S31,T31)</f>
        <v>-549.73800000000006</v>
      </c>
      <c r="V31" s="888">
        <f>-V22</f>
        <v>-138.309</v>
      </c>
      <c r="W31" s="888">
        <f>-W22</f>
        <v>-142.501</v>
      </c>
      <c r="X31" s="888">
        <f>-X22</f>
        <v>-125.179</v>
      </c>
      <c r="Y31" s="888">
        <f>-Y22</f>
        <v>-128.05199999999999</v>
      </c>
      <c r="Z31" s="887">
        <f>SUM(V31,W31,X31,Y31)</f>
        <v>-534.04100000000005</v>
      </c>
      <c r="AA31" s="888">
        <f>-AA22</f>
        <v>-136.827</v>
      </c>
      <c r="AB31" s="888">
        <f>-AB22</f>
        <v>-129.547</v>
      </c>
      <c r="AC31" s="888">
        <f>-AC22</f>
        <v>-128.66299999999998</v>
      </c>
      <c r="AD31" s="888">
        <f>-AD22</f>
        <v>-139.56600000000003</v>
      </c>
      <c r="AE31" s="887">
        <f>SUM(AA31,AB31,AC31,AD31)</f>
        <v>-534.60300000000007</v>
      </c>
      <c r="AF31" s="888">
        <f>-AF22</f>
        <v>-164.6</v>
      </c>
      <c r="AG31" s="888">
        <f>-AG22</f>
        <v>-166.20400000000001</v>
      </c>
      <c r="AH31" s="888">
        <f>-AH22</f>
        <v>-169.57900000000001</v>
      </c>
      <c r="AI31" s="888">
        <f>-AI22</f>
        <v>-175.24200000000002</v>
      </c>
      <c r="AJ31" s="887">
        <f>SUM(AF31,AG31,AH31,AI31)</f>
        <v>-675.625</v>
      </c>
      <c r="AK31" s="888">
        <f>-AK22</f>
        <v>-188.50099999999998</v>
      </c>
      <c r="AL31" s="888">
        <f>-AL22</f>
        <v>-174.28700000000001</v>
      </c>
      <c r="AM31" s="888">
        <f>-AM22</f>
        <v>-157.702</v>
      </c>
      <c r="AN31" s="888">
        <f>-AN22</f>
        <v>-172.11900000000003</v>
      </c>
      <c r="AO31" s="887">
        <f>SUM(AK31,AL31,AM31,AN31)</f>
        <v>-692.60900000000004</v>
      </c>
      <c r="AP31" s="888">
        <f>-AP22</f>
        <v>-141.07</v>
      </c>
      <c r="AQ31" s="889">
        <f>-AQ22</f>
        <v>-102.57299999999999</v>
      </c>
      <c r="AR31" s="888">
        <f>-AR29*AR34</f>
        <v>-101.88000000000001</v>
      </c>
      <c r="AS31" s="888">
        <f>-AS29*AS34</f>
        <v>-139.28399999999999</v>
      </c>
      <c r="AT31" s="887">
        <f>SUM(AP31,AQ31,AR31,AS31)</f>
        <v>-484.80699999999996</v>
      </c>
      <c r="AU31" s="888">
        <f>-AU29*AU34</f>
        <v>-170.11800000000002</v>
      </c>
      <c r="AV31" s="888">
        <f>-AV29*AV34</f>
        <v>-200.81490000000005</v>
      </c>
      <c r="AW31" s="888">
        <f>-AW29*AW34</f>
        <v>-197.616705</v>
      </c>
      <c r="AX31" s="888">
        <f>-AX29*AX34</f>
        <v>-178.34319749999997</v>
      </c>
      <c r="AY31" s="887">
        <f>SUM(AU31,AV31,AW31,AX31)</f>
        <v>-746.89280250000002</v>
      </c>
      <c r="AZ31" s="887">
        <f>-AZ29*AZ34</f>
        <v>-731.6107109999997</v>
      </c>
      <c r="BA31" s="887">
        <f>-BA29*BA34</f>
        <v>-1000.6473048000004</v>
      </c>
      <c r="BB31" s="887">
        <f>-BB29*BB34</f>
        <v>-515.22323423999933</v>
      </c>
      <c r="BC31" s="362"/>
    </row>
    <row r="32" spans="1:55" s="4" customFormat="1" ht="15" customHeight="1">
      <c r="A32" s="859" t="s">
        <v>402</v>
      </c>
      <c r="B32" s="860"/>
      <c r="C32" s="858"/>
      <c r="D32" s="858"/>
      <c r="E32" s="858"/>
      <c r="F32" s="858">
        <v>110.9</v>
      </c>
      <c r="G32" s="402">
        <v>114.636</v>
      </c>
      <c r="H32" s="402">
        <v>111.67400000000001</v>
      </c>
      <c r="I32" s="402">
        <v>159.46799999999999</v>
      </c>
      <c r="J32" s="402">
        <v>207.101</v>
      </c>
      <c r="K32" s="858">
        <f>SUM(K29:K31)</f>
        <v>207.101</v>
      </c>
      <c r="L32" s="402">
        <v>208.30699999999999</v>
      </c>
      <c r="M32" s="402">
        <v>204.54499999999999</v>
      </c>
      <c r="N32" s="402">
        <v>221.797</v>
      </c>
      <c r="O32" s="402">
        <v>223.76900000000001</v>
      </c>
      <c r="P32" s="858">
        <f>SUM(P29:P31)</f>
        <v>223.76900000000001</v>
      </c>
      <c r="Q32" s="402">
        <v>233.95500000000001</v>
      </c>
      <c r="R32" s="402">
        <v>236.26400000000001</v>
      </c>
      <c r="S32" s="402">
        <v>227.345</v>
      </c>
      <c r="T32" s="402">
        <v>212.65100000000001</v>
      </c>
      <c r="U32" s="858">
        <f>SUM(U29:U31)</f>
        <v>212.65099999999995</v>
      </c>
      <c r="V32" s="402">
        <v>214.76900000000001</v>
      </c>
      <c r="W32" s="402">
        <v>235.8</v>
      </c>
      <c r="X32" s="402">
        <v>233.44300000000001</v>
      </c>
      <c r="Y32" s="402">
        <v>219.14599999999999</v>
      </c>
      <c r="Z32" s="858">
        <f>SUM(Z29:Z31)</f>
        <v>219.14599999999996</v>
      </c>
      <c r="AA32" s="402">
        <v>205.155</v>
      </c>
      <c r="AB32" s="402">
        <v>215.648</v>
      </c>
      <c r="AC32" s="402">
        <v>233.16200000000001</v>
      </c>
      <c r="AD32" s="402">
        <v>298.60399999999998</v>
      </c>
      <c r="AE32" s="858">
        <f>SUM(AE29:AE31)</f>
        <v>298.60399999999993</v>
      </c>
      <c r="AF32" s="402">
        <v>305.97699999999998</v>
      </c>
      <c r="AG32" s="402">
        <v>298.64299999999997</v>
      </c>
      <c r="AH32" s="402">
        <v>325.73500000000001</v>
      </c>
      <c r="AI32" s="402">
        <v>326.04700000000003</v>
      </c>
      <c r="AJ32" s="858">
        <f>SUM(AJ29:AJ31)</f>
        <v>326.04700000000014</v>
      </c>
      <c r="AK32" s="402">
        <v>329.24700000000001</v>
      </c>
      <c r="AL32" s="402">
        <v>310.58999999999997</v>
      </c>
      <c r="AM32" s="402">
        <v>308.22300000000001</v>
      </c>
      <c r="AN32" s="859">
        <f>SUM(AN29:AN31)</f>
        <v>275.70399999999995</v>
      </c>
      <c r="AO32" s="858">
        <f>SUM(AO29:AO31)</f>
        <v>275.70399999999995</v>
      </c>
      <c r="AP32" s="859">
        <v>285.673</v>
      </c>
      <c r="AQ32" s="1004">
        <v>226.4</v>
      </c>
      <c r="AR32" s="402">
        <f t="shared" ref="AR32:BB32" si="15">SUM(AR29:AR31)</f>
        <v>309.52</v>
      </c>
      <c r="AS32" s="402">
        <f t="shared" si="15"/>
        <v>340.23599999999999</v>
      </c>
      <c r="AT32" s="858">
        <f t="shared" si="15"/>
        <v>340.23600000000005</v>
      </c>
      <c r="AU32" s="402">
        <f t="shared" si="15"/>
        <v>365.11800000000005</v>
      </c>
      <c r="AV32" s="402">
        <f t="shared" si="15"/>
        <v>359.30309999999997</v>
      </c>
      <c r="AW32" s="402">
        <f t="shared" si="15"/>
        <v>356.68639499999995</v>
      </c>
      <c r="AX32" s="402">
        <f t="shared" si="15"/>
        <v>373.34319749999997</v>
      </c>
      <c r="AY32" s="858">
        <f t="shared" si="15"/>
        <v>406.45039499999984</v>
      </c>
      <c r="AZ32" s="858">
        <f t="shared" si="15"/>
        <v>454.83968400000015</v>
      </c>
      <c r="BA32" s="858">
        <f t="shared" si="15"/>
        <v>234.19237919999966</v>
      </c>
      <c r="BB32" s="858">
        <f t="shared" si="15"/>
        <v>498.96914496000034</v>
      </c>
      <c r="BC32" s="363"/>
    </row>
    <row r="33" spans="1:55" s="4" customFormat="1" ht="6.75" customHeight="1">
      <c r="A33" s="403"/>
      <c r="B33" s="401"/>
      <c r="C33" s="852"/>
      <c r="D33" s="852"/>
      <c r="E33" s="852"/>
      <c r="F33" s="852"/>
      <c r="G33" s="418"/>
      <c r="H33" s="418"/>
      <c r="I33" s="418"/>
      <c r="J33" s="418"/>
      <c r="K33" s="852"/>
      <c r="L33" s="418"/>
      <c r="M33" s="418"/>
      <c r="N33" s="418"/>
      <c r="O33" s="418"/>
      <c r="P33" s="852"/>
      <c r="Q33" s="418"/>
      <c r="R33" s="418"/>
      <c r="S33" s="418"/>
      <c r="T33" s="418"/>
      <c r="U33" s="852"/>
      <c r="V33" s="418"/>
      <c r="W33" s="418"/>
      <c r="X33" s="418"/>
      <c r="Y33" s="418"/>
      <c r="Z33" s="852"/>
      <c r="AA33" s="418"/>
      <c r="AB33" s="418"/>
      <c r="AC33" s="418"/>
      <c r="AD33" s="418"/>
      <c r="AE33" s="852"/>
      <c r="AF33" s="418"/>
      <c r="AG33" s="418"/>
      <c r="AH33" s="418"/>
      <c r="AI33" s="418"/>
      <c r="AJ33" s="852"/>
      <c r="AK33" s="418"/>
      <c r="AL33" s="418"/>
      <c r="AM33" s="418"/>
      <c r="AN33" s="418"/>
      <c r="AO33" s="852"/>
      <c r="AP33" s="418"/>
      <c r="AQ33" s="895"/>
      <c r="AR33" s="896"/>
      <c r="AS33" s="896"/>
      <c r="AT33" s="897"/>
      <c r="AU33" s="896"/>
      <c r="AV33" s="896"/>
      <c r="AW33" s="896"/>
      <c r="AX33" s="896"/>
      <c r="AY33" s="897"/>
      <c r="AZ33" s="897"/>
      <c r="BA33" s="897"/>
      <c r="BB33" s="897"/>
      <c r="BC33" s="363"/>
    </row>
    <row r="34" spans="1:55" s="43" customFormat="1" ht="14.45" customHeight="1">
      <c r="A34" s="405" t="s">
        <v>347</v>
      </c>
      <c r="B34" s="188"/>
      <c r="C34" s="384"/>
      <c r="D34" s="384"/>
      <c r="E34" s="898"/>
      <c r="F34" s="384"/>
      <c r="G34" s="385">
        <f t="shared" ref="G34:AQ34" si="16">-G31/G29</f>
        <v>0.64624887285843091</v>
      </c>
      <c r="H34" s="385">
        <f t="shared" si="16"/>
        <v>0.59907882340625984</v>
      </c>
      <c r="I34" s="385">
        <f t="shared" si="16"/>
        <v>0.78375449970449707</v>
      </c>
      <c r="J34" s="385">
        <f t="shared" si="16"/>
        <v>0.64376552035518098</v>
      </c>
      <c r="K34" s="384">
        <f t="shared" si="16"/>
        <v>2.9804328223624883</v>
      </c>
      <c r="L34" s="385">
        <f t="shared" si="16"/>
        <v>0.59088077797789484</v>
      </c>
      <c r="M34" s="385">
        <f t="shared" si="16"/>
        <v>0.25462418449692042</v>
      </c>
      <c r="N34" s="385">
        <f t="shared" si="16"/>
        <v>0.2796890659757022</v>
      </c>
      <c r="O34" s="385">
        <f t="shared" si="16"/>
        <v>0.16891121160340311</v>
      </c>
      <c r="P34" s="384">
        <f t="shared" si="16"/>
        <v>1.3041221433020604</v>
      </c>
      <c r="Q34" s="385">
        <f t="shared" si="16"/>
        <v>0.63615603591203429</v>
      </c>
      <c r="R34" s="385">
        <f t="shared" si="16"/>
        <v>0.56493770169477031</v>
      </c>
      <c r="S34" s="385">
        <f t="shared" si="16"/>
        <v>0.58717367013171706</v>
      </c>
      <c r="T34" s="385">
        <f t="shared" si="16"/>
        <v>0.60035628670082919</v>
      </c>
      <c r="U34" s="384">
        <f t="shared" si="16"/>
        <v>2.4567209935245726</v>
      </c>
      <c r="V34" s="385">
        <f t="shared" si="16"/>
        <v>0.65040371312620227</v>
      </c>
      <c r="W34" s="385">
        <f t="shared" si="16"/>
        <v>0.66350823442861862</v>
      </c>
      <c r="X34" s="385">
        <f t="shared" si="16"/>
        <v>0.53086938083121282</v>
      </c>
      <c r="Y34" s="385">
        <f t="shared" si="16"/>
        <v>0.54853647357170698</v>
      </c>
      <c r="Z34" s="384">
        <f t="shared" si="16"/>
        <v>2.5113495821792524</v>
      </c>
      <c r="AA34" s="385">
        <f t="shared" si="16"/>
        <v>0.62436457886523156</v>
      </c>
      <c r="AB34" s="385">
        <f t="shared" si="16"/>
        <v>0.63145914064975261</v>
      </c>
      <c r="AC34" s="385">
        <f t="shared" si="16"/>
        <v>0.59663433001929067</v>
      </c>
      <c r="AD34" s="385">
        <f t="shared" si="16"/>
        <v>0.59857952839656559</v>
      </c>
      <c r="AE34" s="384">
        <f t="shared" si="16"/>
        <v>2.4394832668631881</v>
      </c>
      <c r="AF34" s="385">
        <f t="shared" si="16"/>
        <v>0.55123173165798189</v>
      </c>
      <c r="AG34" s="385">
        <f t="shared" si="16"/>
        <v>0.54319115489072711</v>
      </c>
      <c r="AH34" s="385">
        <f t="shared" si="16"/>
        <v>0.56783182595942316</v>
      </c>
      <c r="AI34" s="385">
        <f t="shared" si="16"/>
        <v>0.53798946996791874</v>
      </c>
      <c r="AJ34" s="384">
        <f t="shared" si="16"/>
        <v>2.2626120212723211</v>
      </c>
      <c r="AK34" s="385">
        <f t="shared" si="16"/>
        <v>0.57814057482510162</v>
      </c>
      <c r="AL34" s="385">
        <f t="shared" si="16"/>
        <v>0.52935030539382288</v>
      </c>
      <c r="AM34" s="385">
        <f t="shared" si="16"/>
        <v>0.50774976657329607</v>
      </c>
      <c r="AN34" s="385">
        <f t="shared" si="16"/>
        <v>0.55842360888058329</v>
      </c>
      <c r="AO34" s="384">
        <f t="shared" si="16"/>
        <v>2.1242612261422424</v>
      </c>
      <c r="AP34" s="385">
        <f t="shared" si="16"/>
        <v>0.51167193802048583</v>
      </c>
      <c r="AQ34" s="386">
        <f t="shared" si="16"/>
        <v>0.3590573837919579</v>
      </c>
      <c r="AR34" s="876">
        <v>0.45</v>
      </c>
      <c r="AS34" s="876">
        <v>0.45</v>
      </c>
      <c r="AT34" s="384">
        <f>-AT31/AT29</f>
        <v>1.7584329570844095</v>
      </c>
      <c r="AU34" s="876">
        <v>0.5</v>
      </c>
      <c r="AV34" s="876">
        <v>0.55000000000000004</v>
      </c>
      <c r="AW34" s="876">
        <v>0.55000000000000004</v>
      </c>
      <c r="AX34" s="876">
        <v>0.5</v>
      </c>
      <c r="AY34" s="384">
        <f>-AY31/AY29</f>
        <v>2.0005528626244757</v>
      </c>
      <c r="AZ34" s="877">
        <v>1.8</v>
      </c>
      <c r="BA34" s="877">
        <v>2.2000000000000002</v>
      </c>
      <c r="BB34" s="877">
        <v>2.2000000000000002</v>
      </c>
      <c r="BC34" s="44"/>
    </row>
    <row r="35" spans="1:55" s="43" customFormat="1" ht="14.45" customHeight="1">
      <c r="A35" s="405"/>
      <c r="B35" s="188"/>
      <c r="C35" s="384"/>
      <c r="D35" s="384"/>
      <c r="E35" s="384"/>
      <c r="F35" s="384"/>
      <c r="G35" s="385"/>
      <c r="H35" s="385"/>
      <c r="I35" s="385"/>
      <c r="J35" s="385"/>
      <c r="K35" s="384"/>
      <c r="L35" s="385"/>
      <c r="M35" s="385"/>
      <c r="N35" s="385"/>
      <c r="O35" s="385"/>
      <c r="P35" s="384"/>
      <c r="Q35" s="385"/>
      <c r="R35" s="385"/>
      <c r="S35" s="385"/>
      <c r="T35" s="385"/>
      <c r="U35" s="384"/>
      <c r="V35" s="385"/>
      <c r="W35" s="385"/>
      <c r="X35" s="385"/>
      <c r="Y35" s="385"/>
      <c r="Z35" s="384"/>
      <c r="AA35" s="385"/>
      <c r="AB35" s="385"/>
      <c r="AC35" s="385"/>
      <c r="AD35" s="385"/>
      <c r="AE35" s="384"/>
      <c r="AF35" s="385"/>
      <c r="AG35" s="385"/>
      <c r="AH35" s="385"/>
      <c r="AI35" s="385"/>
      <c r="AJ35" s="384"/>
      <c r="AK35" s="385"/>
      <c r="AL35" s="385"/>
      <c r="AM35" s="385"/>
      <c r="AN35" s="385"/>
      <c r="AO35" s="384"/>
      <c r="AP35" s="385"/>
      <c r="AQ35" s="386"/>
      <c r="AR35" s="876"/>
      <c r="AS35" s="876"/>
      <c r="AT35" s="877"/>
      <c r="AU35" s="876"/>
      <c r="AV35" s="876"/>
      <c r="AW35" s="876"/>
      <c r="AX35" s="876"/>
      <c r="AY35" s="877"/>
      <c r="AZ35" s="877"/>
      <c r="BA35" s="877"/>
      <c r="BB35" s="877"/>
      <c r="BC35" s="44"/>
    </row>
    <row r="36" spans="1:55" s="4" customFormat="1" ht="14.45" customHeight="1">
      <c r="A36" s="403" t="s">
        <v>403</v>
      </c>
      <c r="B36" s="401"/>
      <c r="C36" s="852"/>
      <c r="D36" s="852"/>
      <c r="E36" s="852"/>
      <c r="F36" s="852">
        <f>E39</f>
        <v>0</v>
      </c>
      <c r="G36" s="418">
        <f>F39</f>
        <v>3.6</v>
      </c>
      <c r="H36" s="418">
        <f>G39</f>
        <v>4.359</v>
      </c>
      <c r="I36" s="418">
        <f>H39</f>
        <v>2.8220000000000001</v>
      </c>
      <c r="J36" s="418">
        <f>I39</f>
        <v>8.7309999999999999</v>
      </c>
      <c r="K36" s="852">
        <f>F39</f>
        <v>3.6</v>
      </c>
      <c r="L36" s="418">
        <f>K39</f>
        <v>7.0620000000000012</v>
      </c>
      <c r="M36" s="418">
        <f>L39</f>
        <v>154.095</v>
      </c>
      <c r="N36" s="418">
        <f>M39</f>
        <v>122.29600000000001</v>
      </c>
      <c r="O36" s="418">
        <f>N39</f>
        <v>79.647999999999996</v>
      </c>
      <c r="P36" s="852">
        <f>K39</f>
        <v>7.0620000000000012</v>
      </c>
      <c r="Q36" s="418">
        <f>P39</f>
        <v>146.96399999999997</v>
      </c>
      <c r="R36" s="418">
        <f>Q39</f>
        <v>144.51400000000001</v>
      </c>
      <c r="S36" s="418">
        <f>R39</f>
        <v>115.77</v>
      </c>
      <c r="T36" s="418">
        <f>S39</f>
        <v>69.704999999999998</v>
      </c>
      <c r="U36" s="852">
        <f>P39</f>
        <v>146.96399999999997</v>
      </c>
      <c r="V36" s="418">
        <f>U39</f>
        <v>61.713000000000022</v>
      </c>
      <c r="W36" s="418">
        <f>V39</f>
        <v>61.93</v>
      </c>
      <c r="X36" s="418">
        <f>W39</f>
        <v>58.011000000000003</v>
      </c>
      <c r="Y36" s="418">
        <f>X39</f>
        <v>41.783999999999999</v>
      </c>
      <c r="Z36" s="852">
        <f>U39</f>
        <v>61.713000000000022</v>
      </c>
      <c r="AA36" s="418">
        <f>Z39</f>
        <v>38.887</v>
      </c>
      <c r="AB36" s="418">
        <f>AA39</f>
        <v>47.554000000000002</v>
      </c>
      <c r="AC36" s="418">
        <f>AB39</f>
        <v>49.93</v>
      </c>
      <c r="AD36" s="418">
        <f>AC39</f>
        <v>69.119</v>
      </c>
      <c r="AE36" s="852">
        <f>Z39</f>
        <v>38.887</v>
      </c>
      <c r="AF36" s="418">
        <f>AE39</f>
        <v>95.085999999999999</v>
      </c>
      <c r="AG36" s="418">
        <f>AF39</f>
        <v>92.635000000000005</v>
      </c>
      <c r="AH36" s="418">
        <f>AG39</f>
        <v>78.293000000000006</v>
      </c>
      <c r="AI36" s="418">
        <f>AH39</f>
        <v>72.334999999999994</v>
      </c>
      <c r="AJ36" s="852">
        <f>AE39</f>
        <v>95.085999999999999</v>
      </c>
      <c r="AK36" s="418">
        <f>AJ39</f>
        <v>89.47</v>
      </c>
      <c r="AL36" s="418">
        <f>AK39</f>
        <v>70.903999999999996</v>
      </c>
      <c r="AM36" s="418">
        <f>AL39</f>
        <v>69.122</v>
      </c>
      <c r="AN36" s="418">
        <f>AM39</f>
        <v>71.137</v>
      </c>
      <c r="AO36" s="852">
        <f>AJ39</f>
        <v>89.47</v>
      </c>
      <c r="AP36" s="418">
        <f>AO39</f>
        <v>83.837000000000018</v>
      </c>
      <c r="AQ36" s="895">
        <f>AP39</f>
        <v>83.713000000000008</v>
      </c>
      <c r="AR36" s="418">
        <f>AQ39</f>
        <v>80.8</v>
      </c>
      <c r="AS36" s="418">
        <f>AR39</f>
        <v>78.72</v>
      </c>
      <c r="AT36" s="852">
        <f>AO39</f>
        <v>83.837000000000018</v>
      </c>
      <c r="AU36" s="418">
        <f>AT39</f>
        <v>72.912000000000006</v>
      </c>
      <c r="AV36" s="418">
        <f>AU39</f>
        <v>70.620800000000003</v>
      </c>
      <c r="AW36" s="418">
        <f>AV39</f>
        <v>61.496639999999999</v>
      </c>
      <c r="AX36" s="418">
        <f>AW39</f>
        <v>54.197311999999997</v>
      </c>
      <c r="AY36" s="852">
        <f>AT39</f>
        <v>72.912000000000006</v>
      </c>
      <c r="AZ36" s="852">
        <f>AY39</f>
        <v>63.357849600000002</v>
      </c>
      <c r="BA36" s="852">
        <f>AZ39</f>
        <v>105.34313984000001</v>
      </c>
      <c r="BB36" s="852">
        <f>BA39</f>
        <v>101.06862796799999</v>
      </c>
      <c r="BC36" s="363"/>
    </row>
    <row r="37" spans="1:55" s="23" customFormat="1" ht="14.45" customHeight="1">
      <c r="A37" s="229" t="s">
        <v>420</v>
      </c>
      <c r="B37" s="395"/>
      <c r="C37" s="885"/>
      <c r="D37" s="885"/>
      <c r="E37" s="885"/>
      <c r="F37" s="885"/>
      <c r="G37" s="436">
        <f>G39-G36-G38</f>
        <v>3.0569999999999999</v>
      </c>
      <c r="H37" s="436">
        <f>H39-H36-H38</f>
        <v>0.62000000000000011</v>
      </c>
      <c r="I37" s="436">
        <f>I39-I36-I38</f>
        <v>8.0649999999999995</v>
      </c>
      <c r="J37" s="436">
        <f>J39-J36-J38</f>
        <v>1.1270000000000002</v>
      </c>
      <c r="K37" s="885">
        <f>SUM(G37,H37,I37,J37)</f>
        <v>12.869</v>
      </c>
      <c r="L37" s="436">
        <f>L39-L36-L38</f>
        <v>165.61199999999999</v>
      </c>
      <c r="M37" s="436">
        <f>M39-M36-M38</f>
        <v>21.241000000000007</v>
      </c>
      <c r="N37" s="436">
        <f>N39-N36-N38</f>
        <v>14.560999999999993</v>
      </c>
      <c r="O37" s="436">
        <f>O39-O36-O38</f>
        <v>104.78</v>
      </c>
      <c r="P37" s="885">
        <f>SUM(L37,M37,N37,O37)</f>
        <v>306.19399999999996</v>
      </c>
      <c r="Q37" s="436">
        <f>Q39-Q36-Q38</f>
        <v>16.836000000000041</v>
      </c>
      <c r="R37" s="436">
        <f>R39-R36-R38</f>
        <v>12.241999999999983</v>
      </c>
      <c r="S37" s="436">
        <f>S39-S36-S38</f>
        <v>15.352000000000004</v>
      </c>
      <c r="T37" s="436">
        <f>T39-T36-T38</f>
        <v>12.860000000000003</v>
      </c>
      <c r="U37" s="885">
        <f>SUM(Q37,R37,S37,T37)</f>
        <v>57.290000000000035</v>
      </c>
      <c r="V37" s="436">
        <f>V39-V36-V38</f>
        <v>21.437999999999978</v>
      </c>
      <c r="W37" s="436">
        <f>W39-W36-W38</f>
        <v>18.006000000000004</v>
      </c>
      <c r="X37" s="436">
        <f>X39-X36-X38</f>
        <v>13.692999999999998</v>
      </c>
      <c r="Y37" s="436">
        <f>Y39-Y36-Y38</f>
        <v>23.119</v>
      </c>
      <c r="Z37" s="885">
        <f>SUM(V37,W37,X37,Y37)</f>
        <v>76.255999999999972</v>
      </c>
      <c r="AA37" s="436">
        <f>AA39-AA36-AA38</f>
        <v>24.236000000000004</v>
      </c>
      <c r="AB37" s="436">
        <f>AB39-AB36-AB38</f>
        <v>23.942999999999998</v>
      </c>
      <c r="AC37" s="436">
        <f>AC39-AC36-AC38</f>
        <v>40.161999999999999</v>
      </c>
      <c r="AD37" s="436">
        <f>AD39-AD36-AD38</f>
        <v>57.719000000000001</v>
      </c>
      <c r="AE37" s="885">
        <f>SUM(AA37,AB37,AC37,AD37)</f>
        <v>146.06</v>
      </c>
      <c r="AF37" s="436">
        <f>AF39-AF36-AF38</f>
        <v>12.008000000000006</v>
      </c>
      <c r="AG37" s="436">
        <f>AG39-AG36-AG38</f>
        <v>28.060000000000002</v>
      </c>
      <c r="AH37" s="436">
        <f>AH39-AH36-AH38</f>
        <v>37.136999999999986</v>
      </c>
      <c r="AI37" s="436">
        <f>AI39-AI36-AI38</f>
        <v>44.81</v>
      </c>
      <c r="AJ37" s="885">
        <f>SUM(AF37,AG37,AH37,AI37)</f>
        <v>122.015</v>
      </c>
      <c r="AK37" s="436">
        <f>AK39-AK36-AK38</f>
        <v>1.1069999999999958</v>
      </c>
      <c r="AL37" s="436">
        <f>AL39-AL36-AL38</f>
        <v>13.029000000000003</v>
      </c>
      <c r="AM37" s="436">
        <f>AM39-AM36-AM38</f>
        <v>21.331000000000003</v>
      </c>
      <c r="AN37" s="436">
        <f>AN39-AN36-AN38</f>
        <v>38.993000000000002</v>
      </c>
      <c r="AO37" s="885">
        <f>SUM(AK37,AL37,AM37,AN37)</f>
        <v>74.460000000000008</v>
      </c>
      <c r="AP37" s="436">
        <f>AP39-AP36-AP38</f>
        <v>16.38999999999999</v>
      </c>
      <c r="AQ37" s="886">
        <f>AQ39-AQ36-AQ38</f>
        <v>18.207999999999988</v>
      </c>
      <c r="AR37" s="855">
        <v>6</v>
      </c>
      <c r="AS37" s="855">
        <v>6</v>
      </c>
      <c r="AT37" s="885">
        <f>SUM(AP37,AQ37,AR37,AS37)</f>
        <v>46.597999999999978</v>
      </c>
      <c r="AU37" s="855">
        <v>5</v>
      </c>
      <c r="AV37" s="855">
        <v>5</v>
      </c>
      <c r="AW37" s="855">
        <v>5</v>
      </c>
      <c r="AX37" s="855">
        <v>20</v>
      </c>
      <c r="AY37" s="885">
        <f>SUM(AU37,AV37,AW37,AX37)</f>
        <v>35</v>
      </c>
      <c r="AZ37" s="870">
        <v>80</v>
      </c>
      <c r="BA37" s="870">
        <v>80</v>
      </c>
      <c r="BB37" s="870">
        <v>80</v>
      </c>
      <c r="BC37" s="362"/>
    </row>
    <row r="38" spans="1:55" s="23" customFormat="1" ht="15" customHeight="1">
      <c r="A38" s="864" t="s">
        <v>421</v>
      </c>
      <c r="B38" s="865"/>
      <c r="C38" s="887"/>
      <c r="D38" s="887"/>
      <c r="E38" s="887"/>
      <c r="F38" s="887">
        <f>-3.137-2.566-3.111-2.677</f>
        <v>-11.491</v>
      </c>
      <c r="G38" s="888">
        <v>-2.298</v>
      </c>
      <c r="H38" s="888">
        <v>-2.157</v>
      </c>
      <c r="I38" s="888">
        <v>-2.1560000000000001</v>
      </c>
      <c r="J38" s="888">
        <v>-2.7959999999999998</v>
      </c>
      <c r="K38" s="887">
        <f>SUM(G38,H38,I38,J38)</f>
        <v>-9.407</v>
      </c>
      <c r="L38" s="888">
        <v>-18.579000000000001</v>
      </c>
      <c r="M38" s="888">
        <v>-53.04</v>
      </c>
      <c r="N38" s="888">
        <v>-57.209000000000003</v>
      </c>
      <c r="O38" s="888">
        <v>-37.463999999999999</v>
      </c>
      <c r="P38" s="887">
        <f>SUM(L38,M38,N38,O38)</f>
        <v>-166.292</v>
      </c>
      <c r="Q38" s="888">
        <v>-19.286000000000001</v>
      </c>
      <c r="R38" s="888">
        <v>-40.985999999999997</v>
      </c>
      <c r="S38" s="888">
        <v>-61.417000000000002</v>
      </c>
      <c r="T38" s="888">
        <v>-20.852</v>
      </c>
      <c r="U38" s="887">
        <f>SUM(Q38,R38,S38,T38)</f>
        <v>-142.541</v>
      </c>
      <c r="V38" s="888">
        <f>-V25</f>
        <v>-21.221</v>
      </c>
      <c r="W38" s="888">
        <f>-W25</f>
        <v>-21.925000000000001</v>
      </c>
      <c r="X38" s="888">
        <f>-X25</f>
        <v>-29.92</v>
      </c>
      <c r="Y38" s="888">
        <f>-Y25</f>
        <v>-26.015999999999998</v>
      </c>
      <c r="Z38" s="887">
        <f>SUM(V38,W38,X38,Y38)</f>
        <v>-99.081999999999994</v>
      </c>
      <c r="AA38" s="888">
        <f>-AA25</f>
        <v>-15.569000000000001</v>
      </c>
      <c r="AB38" s="888">
        <f>-AB25</f>
        <v>-21.567</v>
      </c>
      <c r="AC38" s="888">
        <f>-AC25</f>
        <v>-20.972999999999999</v>
      </c>
      <c r="AD38" s="888">
        <f>-AD25</f>
        <v>-31.752000000000002</v>
      </c>
      <c r="AE38" s="887">
        <f>SUM(AA38,AB38,AC38,AD38)</f>
        <v>-89.861000000000004</v>
      </c>
      <c r="AF38" s="888">
        <f>-AF25</f>
        <v>-14.459</v>
      </c>
      <c r="AG38" s="888">
        <f>-AG25</f>
        <v>-42.402000000000001</v>
      </c>
      <c r="AH38" s="888">
        <f>-AH25</f>
        <v>-43.094999999999999</v>
      </c>
      <c r="AI38" s="888">
        <f>-AI25</f>
        <v>-27.674999999999997</v>
      </c>
      <c r="AJ38" s="887">
        <f>SUM(AF38,AG38,AH38,AI38)</f>
        <v>-127.631</v>
      </c>
      <c r="AK38" s="888">
        <f>-AK25</f>
        <v>-19.672999999999998</v>
      </c>
      <c r="AL38" s="888">
        <f>-AL25</f>
        <v>-14.811</v>
      </c>
      <c r="AM38" s="862">
        <f>-AM25</f>
        <v>-19.316000000000003</v>
      </c>
      <c r="AN38" s="862">
        <f>-AN25</f>
        <v>-26.292999999999999</v>
      </c>
      <c r="AO38" s="863">
        <f>SUM(AK38,AL38,AM38,AN38)</f>
        <v>-80.092999999999989</v>
      </c>
      <c r="AP38" s="862">
        <f>-AP25</f>
        <v>-16.513999999999999</v>
      </c>
      <c r="AQ38" s="861">
        <f>-AQ25</f>
        <v>-21.120999999999999</v>
      </c>
      <c r="AR38" s="888">
        <f>-AR36*AR41</f>
        <v>-8.08</v>
      </c>
      <c r="AS38" s="888">
        <f>-AS36*AS41</f>
        <v>-11.808</v>
      </c>
      <c r="AT38" s="887">
        <f>SUM(AP38,AQ38,AR38,AS38)</f>
        <v>-57.522999999999996</v>
      </c>
      <c r="AU38" s="888">
        <f>-AU36*AU41</f>
        <v>-7.2912000000000008</v>
      </c>
      <c r="AV38" s="888">
        <f>-AV36*AV41</f>
        <v>-14.124160000000002</v>
      </c>
      <c r="AW38" s="888">
        <f>-AW36*AW41</f>
        <v>-12.299328000000001</v>
      </c>
      <c r="AX38" s="888">
        <f>-AX36*AX41</f>
        <v>-10.8394624</v>
      </c>
      <c r="AY38" s="887">
        <f>SUM(AU38,AV38,AW38,AX38)</f>
        <v>-44.554150400000005</v>
      </c>
      <c r="AZ38" s="887">
        <f>-AZ36*AZ41</f>
        <v>-38.014709760000002</v>
      </c>
      <c r="BA38" s="887">
        <f>-BA36*BA41</f>
        <v>-84.274511872000005</v>
      </c>
      <c r="BB38" s="887">
        <f>-BB36*BB41</f>
        <v>-80.854902374399998</v>
      </c>
      <c r="BC38" s="362"/>
    </row>
    <row r="39" spans="1:55" s="4" customFormat="1" ht="14.45" customHeight="1">
      <c r="A39" s="403" t="s">
        <v>404</v>
      </c>
      <c r="B39" s="401"/>
      <c r="C39" s="858"/>
      <c r="D39" s="858"/>
      <c r="E39" s="858"/>
      <c r="F39" s="858">
        <v>3.6</v>
      </c>
      <c r="G39" s="402">
        <v>4.359</v>
      </c>
      <c r="H39" s="402">
        <v>2.8220000000000001</v>
      </c>
      <c r="I39" s="402">
        <v>8.7309999999999999</v>
      </c>
      <c r="J39" s="402">
        <v>7.0620000000000003</v>
      </c>
      <c r="K39" s="858">
        <f>SUM(K36:K38)</f>
        <v>7.0620000000000012</v>
      </c>
      <c r="L39" s="402">
        <v>154.095</v>
      </c>
      <c r="M39" s="402">
        <v>122.29600000000001</v>
      </c>
      <c r="N39" s="402">
        <v>79.647999999999996</v>
      </c>
      <c r="O39" s="402">
        <v>146.964</v>
      </c>
      <c r="P39" s="858">
        <f>SUM(P36:P38)</f>
        <v>146.96399999999997</v>
      </c>
      <c r="Q39" s="402">
        <v>144.51400000000001</v>
      </c>
      <c r="R39" s="402">
        <v>115.77</v>
      </c>
      <c r="S39" s="402">
        <v>69.704999999999998</v>
      </c>
      <c r="T39" s="402">
        <v>61.713000000000001</v>
      </c>
      <c r="U39" s="858">
        <f>SUM(U36:U38)</f>
        <v>61.713000000000022</v>
      </c>
      <c r="V39" s="402">
        <v>61.93</v>
      </c>
      <c r="W39" s="402">
        <v>58.011000000000003</v>
      </c>
      <c r="X39" s="402">
        <v>41.783999999999999</v>
      </c>
      <c r="Y39" s="402">
        <v>38.887</v>
      </c>
      <c r="Z39" s="858">
        <f>SUM(Z36:Z38)</f>
        <v>38.887</v>
      </c>
      <c r="AA39" s="402">
        <v>47.554000000000002</v>
      </c>
      <c r="AB39" s="402">
        <v>49.93</v>
      </c>
      <c r="AC39" s="402">
        <v>69.119</v>
      </c>
      <c r="AD39" s="402">
        <v>95.085999999999999</v>
      </c>
      <c r="AE39" s="858">
        <f>SUM(AE36:AE38)</f>
        <v>95.085999999999999</v>
      </c>
      <c r="AF39" s="402">
        <v>92.635000000000005</v>
      </c>
      <c r="AG39" s="402">
        <v>78.293000000000006</v>
      </c>
      <c r="AH39" s="402">
        <v>72.334999999999994</v>
      </c>
      <c r="AI39" s="402">
        <v>89.47</v>
      </c>
      <c r="AJ39" s="858">
        <f>SUM(AJ36:AJ38)</f>
        <v>89.47</v>
      </c>
      <c r="AK39" s="402">
        <v>70.903999999999996</v>
      </c>
      <c r="AL39" s="402">
        <v>69.122</v>
      </c>
      <c r="AM39" s="402">
        <v>71.137</v>
      </c>
      <c r="AN39" s="402">
        <f>80.358+3.479</f>
        <v>83.837000000000003</v>
      </c>
      <c r="AO39" s="858">
        <f>SUM(AO36:AO38)</f>
        <v>83.837000000000018</v>
      </c>
      <c r="AP39" s="402">
        <f>81.864+1.849</f>
        <v>83.713000000000008</v>
      </c>
      <c r="AQ39" s="891">
        <v>80.8</v>
      </c>
      <c r="AR39" s="402">
        <f t="shared" ref="AR39:BB39" si="17">SUM(AR36:AR38)</f>
        <v>78.72</v>
      </c>
      <c r="AS39" s="402">
        <f t="shared" si="17"/>
        <v>72.912000000000006</v>
      </c>
      <c r="AT39" s="858">
        <f t="shared" si="17"/>
        <v>72.912000000000006</v>
      </c>
      <c r="AU39" s="402">
        <f t="shared" si="17"/>
        <v>70.620800000000003</v>
      </c>
      <c r="AV39" s="402">
        <f t="shared" si="17"/>
        <v>61.496639999999999</v>
      </c>
      <c r="AW39" s="402">
        <f t="shared" si="17"/>
        <v>54.197311999999997</v>
      </c>
      <c r="AX39" s="402">
        <f t="shared" si="17"/>
        <v>63.357849599999994</v>
      </c>
      <c r="AY39" s="858">
        <f t="shared" si="17"/>
        <v>63.357849600000002</v>
      </c>
      <c r="AZ39" s="858">
        <f t="shared" si="17"/>
        <v>105.34313984000001</v>
      </c>
      <c r="BA39" s="858">
        <f t="shared" si="17"/>
        <v>101.06862796799999</v>
      </c>
      <c r="BB39" s="858">
        <f t="shared" si="17"/>
        <v>100.21372559359999</v>
      </c>
      <c r="BC39" s="363"/>
    </row>
    <row r="40" spans="1:55" s="4" customFormat="1" ht="6.75" customHeight="1">
      <c r="A40" s="403"/>
      <c r="B40" s="401"/>
      <c r="C40" s="852"/>
      <c r="D40" s="852"/>
      <c r="E40" s="852"/>
      <c r="F40" s="852"/>
      <c r="G40" s="418"/>
      <c r="H40" s="418"/>
      <c r="I40" s="418"/>
      <c r="J40" s="418"/>
      <c r="K40" s="852"/>
      <c r="L40" s="418"/>
      <c r="M40" s="418"/>
      <c r="N40" s="418"/>
      <c r="O40" s="418"/>
      <c r="P40" s="852"/>
      <c r="Q40" s="418"/>
      <c r="R40" s="418"/>
      <c r="S40" s="418"/>
      <c r="T40" s="418"/>
      <c r="U40" s="852"/>
      <c r="V40" s="418"/>
      <c r="W40" s="418"/>
      <c r="X40" s="418"/>
      <c r="Y40" s="418"/>
      <c r="Z40" s="852"/>
      <c r="AA40" s="418"/>
      <c r="AB40" s="418"/>
      <c r="AC40" s="418"/>
      <c r="AD40" s="418"/>
      <c r="AE40" s="852"/>
      <c r="AF40" s="418"/>
      <c r="AG40" s="418"/>
      <c r="AH40" s="418"/>
      <c r="AI40" s="418"/>
      <c r="AJ40" s="852"/>
      <c r="AK40" s="418"/>
      <c r="AL40" s="418"/>
      <c r="AM40" s="418"/>
      <c r="AN40" s="418"/>
      <c r="AO40" s="852"/>
      <c r="AP40" s="418"/>
      <c r="AQ40" s="895"/>
      <c r="AR40" s="896"/>
      <c r="AS40" s="896"/>
      <c r="AT40" s="897"/>
      <c r="AU40" s="896"/>
      <c r="AV40" s="896"/>
      <c r="AW40" s="896"/>
      <c r="AX40" s="896"/>
      <c r="AY40" s="897"/>
      <c r="AZ40" s="897"/>
      <c r="BA40" s="897"/>
      <c r="BB40" s="897"/>
      <c r="BC40" s="363"/>
    </row>
    <row r="41" spans="1:55" s="43" customFormat="1" ht="14.45" customHeight="1">
      <c r="A41" s="405" t="s">
        <v>348</v>
      </c>
      <c r="B41" s="188"/>
      <c r="C41" s="384"/>
      <c r="D41" s="384"/>
      <c r="E41" s="384"/>
      <c r="F41" s="384"/>
      <c r="G41" s="385">
        <f t="shared" ref="G41:AQ41" si="18">-G38/G36</f>
        <v>0.63833333333333331</v>
      </c>
      <c r="H41" s="385">
        <f t="shared" si="18"/>
        <v>0.49483826565726086</v>
      </c>
      <c r="I41" s="385">
        <f t="shared" si="18"/>
        <v>0.76399716513111271</v>
      </c>
      <c r="J41" s="385">
        <f t="shared" si="18"/>
        <v>0.32023823158859238</v>
      </c>
      <c r="K41" s="384">
        <f t="shared" si="18"/>
        <v>2.6130555555555555</v>
      </c>
      <c r="L41" s="385">
        <f t="shared" si="18"/>
        <v>2.6308411214953269</v>
      </c>
      <c r="M41" s="385">
        <f t="shared" si="18"/>
        <v>0.3442032512411175</v>
      </c>
      <c r="N41" s="385">
        <f t="shared" si="18"/>
        <v>0.46779126054817821</v>
      </c>
      <c r="O41" s="385">
        <f t="shared" si="18"/>
        <v>0.47036962635596624</v>
      </c>
      <c r="P41" s="384">
        <f t="shared" si="18"/>
        <v>23.54743698668932</v>
      </c>
      <c r="Q41" s="385">
        <f t="shared" si="18"/>
        <v>0.1312294167279062</v>
      </c>
      <c r="R41" s="385">
        <f t="shared" si="18"/>
        <v>0.2836126603650857</v>
      </c>
      <c r="S41" s="385">
        <f t="shared" si="18"/>
        <v>0.53050876738360542</v>
      </c>
      <c r="T41" s="385">
        <f t="shared" si="18"/>
        <v>0.29914640269708054</v>
      </c>
      <c r="U41" s="384">
        <f t="shared" si="18"/>
        <v>0.96990419422443608</v>
      </c>
      <c r="V41" s="385">
        <f t="shared" si="18"/>
        <v>0.34386596017046639</v>
      </c>
      <c r="W41" s="385">
        <f t="shared" si="18"/>
        <v>0.35402874212820928</v>
      </c>
      <c r="X41" s="385">
        <f t="shared" si="18"/>
        <v>0.51576425160745376</v>
      </c>
      <c r="Y41" s="385">
        <f t="shared" si="18"/>
        <v>0.62263067202757039</v>
      </c>
      <c r="Z41" s="384">
        <f t="shared" si="18"/>
        <v>1.6055288188874299</v>
      </c>
      <c r="AA41" s="385">
        <f t="shared" si="18"/>
        <v>0.40036516059351457</v>
      </c>
      <c r="AB41" s="385">
        <f t="shared" si="18"/>
        <v>0.45352651722252596</v>
      </c>
      <c r="AC41" s="385">
        <f t="shared" si="18"/>
        <v>0.4200480672942119</v>
      </c>
      <c r="AD41" s="385">
        <f t="shared" si="18"/>
        <v>0.45938164614650101</v>
      </c>
      <c r="AE41" s="384">
        <f t="shared" si="18"/>
        <v>2.310823668578188</v>
      </c>
      <c r="AF41" s="385">
        <f t="shared" si="18"/>
        <v>0.15206234356266959</v>
      </c>
      <c r="AG41" s="385">
        <f t="shared" si="18"/>
        <v>0.45773195876288658</v>
      </c>
      <c r="AH41" s="385">
        <f t="shared" si="18"/>
        <v>0.55043235027397075</v>
      </c>
      <c r="AI41" s="385">
        <f t="shared" si="18"/>
        <v>0.38259487108591966</v>
      </c>
      <c r="AJ41" s="384">
        <f t="shared" si="18"/>
        <v>1.3422691037587027</v>
      </c>
      <c r="AK41" s="385">
        <f t="shared" si="18"/>
        <v>0.21988375991952608</v>
      </c>
      <c r="AL41" s="385">
        <f t="shared" si="18"/>
        <v>0.20888807401557036</v>
      </c>
      <c r="AM41" s="385">
        <f t="shared" si="18"/>
        <v>0.27944793264083795</v>
      </c>
      <c r="AN41" s="385">
        <f t="shared" si="18"/>
        <v>0.36961075108593278</v>
      </c>
      <c r="AO41" s="384">
        <f t="shared" si="18"/>
        <v>0.89519391974963669</v>
      </c>
      <c r="AP41" s="385">
        <f t="shared" si="18"/>
        <v>0.1969774681823061</v>
      </c>
      <c r="AQ41" s="386">
        <f t="shared" si="18"/>
        <v>0.25230250976550828</v>
      </c>
      <c r="AR41" s="876">
        <v>0.1</v>
      </c>
      <c r="AS41" s="876">
        <v>0.15</v>
      </c>
      <c r="AT41" s="384">
        <f>-AT38/AT36</f>
        <v>0.68612903610577647</v>
      </c>
      <c r="AU41" s="876">
        <v>0.1</v>
      </c>
      <c r="AV41" s="876">
        <v>0.2</v>
      </c>
      <c r="AW41" s="876">
        <v>0.2</v>
      </c>
      <c r="AX41" s="876">
        <v>0.2</v>
      </c>
      <c r="AY41" s="384">
        <f>-AY38/AY36</f>
        <v>0.61106745666008344</v>
      </c>
      <c r="AZ41" s="877">
        <v>0.6</v>
      </c>
      <c r="BA41" s="877">
        <v>0.8</v>
      </c>
      <c r="BB41" s="877">
        <v>0.8</v>
      </c>
      <c r="BC41" s="362"/>
    </row>
    <row r="42" spans="1:55" s="43" customFormat="1" ht="14.45" customHeight="1">
      <c r="A42" s="405"/>
      <c r="B42" s="188"/>
      <c r="C42" s="384"/>
      <c r="D42" s="384"/>
      <c r="E42" s="384"/>
      <c r="F42" s="384"/>
      <c r="G42" s="385"/>
      <c r="H42" s="385"/>
      <c r="I42" s="385"/>
      <c r="J42" s="385"/>
      <c r="K42" s="384"/>
      <c r="L42" s="385"/>
      <c r="M42" s="385"/>
      <c r="N42" s="385"/>
      <c r="O42" s="385"/>
      <c r="P42" s="384"/>
      <c r="Q42" s="385"/>
      <c r="R42" s="385"/>
      <c r="S42" s="385"/>
      <c r="T42" s="385"/>
      <c r="U42" s="384"/>
      <c r="V42" s="385"/>
      <c r="W42" s="385"/>
      <c r="X42" s="385"/>
      <c r="Y42" s="385"/>
      <c r="Z42" s="384"/>
      <c r="AA42" s="385"/>
      <c r="AB42" s="385"/>
      <c r="AC42" s="385"/>
      <c r="AD42" s="385"/>
      <c r="AE42" s="384"/>
      <c r="AF42" s="385"/>
      <c r="AG42" s="385"/>
      <c r="AH42" s="385"/>
      <c r="AI42" s="385"/>
      <c r="AJ42" s="384"/>
      <c r="AK42" s="385"/>
      <c r="AL42" s="385"/>
      <c r="AM42" s="385"/>
      <c r="AN42" s="385"/>
      <c r="AO42" s="384"/>
      <c r="AP42" s="385"/>
      <c r="AQ42" s="386"/>
      <c r="AR42" s="876"/>
      <c r="AS42" s="876"/>
      <c r="AT42" s="877"/>
      <c r="AU42" s="876"/>
      <c r="AV42" s="876"/>
      <c r="AW42" s="876"/>
      <c r="AX42" s="876"/>
      <c r="AY42" s="877"/>
      <c r="AZ42" s="877"/>
      <c r="BA42" s="877"/>
      <c r="BB42" s="877"/>
      <c r="BC42" s="362"/>
    </row>
    <row r="43" spans="1:55" s="271" customFormat="1" ht="14.45" customHeight="1">
      <c r="A43" s="406" t="s">
        <v>276</v>
      </c>
      <c r="B43" s="407"/>
      <c r="C43" s="408"/>
      <c r="D43" s="408"/>
      <c r="E43" s="408"/>
      <c r="F43" s="408"/>
      <c r="G43" s="409"/>
      <c r="H43" s="409"/>
      <c r="I43" s="409"/>
      <c r="J43" s="409"/>
      <c r="K43" s="408">
        <f t="shared" ref="K43:BB43" si="19">K30/-K31</f>
        <v>1.2910507366956101</v>
      </c>
      <c r="L43" s="409">
        <f t="shared" si="19"/>
        <v>1.0098551956329878</v>
      </c>
      <c r="M43" s="409">
        <f t="shared" si="19"/>
        <v>0.92907239819004528</v>
      </c>
      <c r="N43" s="409">
        <f t="shared" si="19"/>
        <v>1.3015609432082367</v>
      </c>
      <c r="O43" s="409">
        <f t="shared" si="19"/>
        <v>1.052637198377109</v>
      </c>
      <c r="P43" s="408">
        <f t="shared" si="19"/>
        <v>1.0617139048817965</v>
      </c>
      <c r="Q43" s="409">
        <f t="shared" si="19"/>
        <v>1.0715550185455771</v>
      </c>
      <c r="R43" s="409">
        <f t="shared" si="19"/>
        <v>1.0174699250964667</v>
      </c>
      <c r="S43" s="409">
        <f t="shared" si="19"/>
        <v>0.93570872498702484</v>
      </c>
      <c r="T43" s="409">
        <f t="shared" si="19"/>
        <v>0.89234218392825748</v>
      </c>
      <c r="U43" s="408">
        <f t="shared" si="19"/>
        <v>0.97977582048175671</v>
      </c>
      <c r="V43" s="409">
        <f t="shared" si="19"/>
        <v>1.0153135370800168</v>
      </c>
      <c r="W43" s="409">
        <f t="shared" si="19"/>
        <v>1.1475849292285669</v>
      </c>
      <c r="X43" s="409">
        <f t="shared" si="19"/>
        <v>0.98117096318072516</v>
      </c>
      <c r="Y43" s="409">
        <f t="shared" si="19"/>
        <v>0.88835004529409911</v>
      </c>
      <c r="Z43" s="408">
        <f t="shared" si="19"/>
        <v>1.0121619875627528</v>
      </c>
      <c r="AA43" s="409">
        <f t="shared" si="19"/>
        <v>0.89774678974179101</v>
      </c>
      <c r="AB43" s="409">
        <f t="shared" si="19"/>
        <v>1.0809976302037099</v>
      </c>
      <c r="AC43" s="409">
        <f t="shared" si="19"/>
        <v>1.1361230501387347</v>
      </c>
      <c r="AD43" s="409">
        <f t="shared" si="19"/>
        <v>1.4688964360947505</v>
      </c>
      <c r="AE43" s="408">
        <f t="shared" si="19"/>
        <v>1.1486299179016952</v>
      </c>
      <c r="AF43" s="409">
        <f t="shared" si="19"/>
        <v>1.0447934386391255</v>
      </c>
      <c r="AG43" s="409">
        <f t="shared" si="19"/>
        <v>0.9558735048494621</v>
      </c>
      <c r="AH43" s="409">
        <f t="shared" si="19"/>
        <v>1.1597603476845602</v>
      </c>
      <c r="AI43" s="409">
        <f t="shared" si="19"/>
        <v>1.0017803951107611</v>
      </c>
      <c r="AJ43" s="408">
        <f t="shared" si="19"/>
        <v>1.0406186864014804</v>
      </c>
      <c r="AK43" s="409">
        <f t="shared" si="19"/>
        <v>1.016976037262401</v>
      </c>
      <c r="AL43" s="409">
        <f t="shared" si="19"/>
        <v>0.89295242903945771</v>
      </c>
      <c r="AM43" s="409">
        <f t="shared" si="19"/>
        <v>0.98499067862170442</v>
      </c>
      <c r="AN43" s="409">
        <f t="shared" si="19"/>
        <v>0.81106676194958127</v>
      </c>
      <c r="AO43" s="408">
        <f t="shared" si="19"/>
        <v>0.92731396790974385</v>
      </c>
      <c r="AP43" s="409">
        <f t="shared" si="19"/>
        <v>1.0706670447295672</v>
      </c>
      <c r="AQ43" s="410">
        <f t="shared" si="19"/>
        <v>0.42213837949557875</v>
      </c>
      <c r="AR43" s="409">
        <f t="shared" si="19"/>
        <v>1.8158617981939535</v>
      </c>
      <c r="AS43" s="409">
        <f t="shared" si="19"/>
        <v>1.2205278423939578</v>
      </c>
      <c r="AT43" s="408">
        <f t="shared" si="19"/>
        <v>1.1331086391079339</v>
      </c>
      <c r="AU43" s="409">
        <f t="shared" si="19"/>
        <v>1.1462631820265932</v>
      </c>
      <c r="AV43" s="409">
        <f t="shared" si="19"/>
        <v>0.97104348332718315</v>
      </c>
      <c r="AW43" s="409">
        <f t="shared" si="19"/>
        <v>0.98675868520325749</v>
      </c>
      <c r="AX43" s="409">
        <f t="shared" si="19"/>
        <v>1.0933974647392988</v>
      </c>
      <c r="AY43" s="408">
        <f t="shared" si="19"/>
        <v>1.0443265718844572</v>
      </c>
      <c r="AZ43" s="408">
        <f t="shared" si="19"/>
        <v>1.0661407607522033</v>
      </c>
      <c r="BA43" s="408">
        <f t="shared" si="19"/>
        <v>0.77949542886731582</v>
      </c>
      <c r="BB43" s="408">
        <f t="shared" si="19"/>
        <v>1.5139068818403933</v>
      </c>
      <c r="BC43" s="270"/>
    </row>
    <row r="44" spans="1:55" s="271" customFormat="1" ht="14.45" customHeight="1">
      <c r="A44" s="411" t="s">
        <v>277</v>
      </c>
      <c r="B44" s="412"/>
      <c r="C44" s="413"/>
      <c r="D44" s="413"/>
      <c r="E44" s="413"/>
      <c r="F44" s="413"/>
      <c r="G44" s="414"/>
      <c r="H44" s="414"/>
      <c r="I44" s="414"/>
      <c r="J44" s="414"/>
      <c r="K44" s="413">
        <f t="shared" ref="K44:BB44" si="20">K37/-K38</f>
        <v>1.3680238120548527</v>
      </c>
      <c r="L44" s="414">
        <f t="shared" si="20"/>
        <v>8.9139350880025834</v>
      </c>
      <c r="M44" s="414">
        <f t="shared" si="20"/>
        <v>0.40047134238310722</v>
      </c>
      <c r="N44" s="414">
        <f t="shared" si="20"/>
        <v>0.25452288975510834</v>
      </c>
      <c r="O44" s="414">
        <f t="shared" si="20"/>
        <v>2.7968182788810592</v>
      </c>
      <c r="P44" s="413">
        <f t="shared" si="20"/>
        <v>1.8413032497053374</v>
      </c>
      <c r="Q44" s="414">
        <f t="shared" si="20"/>
        <v>0.87296484496526183</v>
      </c>
      <c r="R44" s="414">
        <f t="shared" si="20"/>
        <v>0.29868735665837076</v>
      </c>
      <c r="S44" s="414">
        <f t="shared" si="20"/>
        <v>0.24996336519204787</v>
      </c>
      <c r="T44" s="414">
        <f t="shared" si="20"/>
        <v>0.61672741223863436</v>
      </c>
      <c r="U44" s="413">
        <f t="shared" si="20"/>
        <v>0.4019194477378441</v>
      </c>
      <c r="V44" s="414">
        <f t="shared" si="20"/>
        <v>1.0102257198058515</v>
      </c>
      <c r="W44" s="414">
        <f t="shared" si="20"/>
        <v>0.8212542759407071</v>
      </c>
      <c r="X44" s="414">
        <f t="shared" si="20"/>
        <v>0.4576537433155079</v>
      </c>
      <c r="Y44" s="414">
        <f t="shared" si="20"/>
        <v>0.8886454489544896</v>
      </c>
      <c r="Z44" s="413">
        <f t="shared" si="20"/>
        <v>0.76962515895924566</v>
      </c>
      <c r="AA44" s="414">
        <f t="shared" si="20"/>
        <v>1.5566831524182672</v>
      </c>
      <c r="AB44" s="414">
        <f t="shared" si="20"/>
        <v>1.1101683126999582</v>
      </c>
      <c r="AC44" s="414">
        <f t="shared" si="20"/>
        <v>1.9149382539455491</v>
      </c>
      <c r="AD44" s="414">
        <f t="shared" si="20"/>
        <v>1.8178067523305617</v>
      </c>
      <c r="AE44" s="413">
        <f t="shared" si="20"/>
        <v>1.6253992276961085</v>
      </c>
      <c r="AF44" s="414">
        <f t="shared" si="20"/>
        <v>0.83048620236530923</v>
      </c>
      <c r="AG44" s="414">
        <f t="shared" si="20"/>
        <v>0.66176123767746808</v>
      </c>
      <c r="AH44" s="414">
        <f t="shared" si="20"/>
        <v>0.86174730247128406</v>
      </c>
      <c r="AI44" s="414">
        <f t="shared" si="20"/>
        <v>1.6191508581752487</v>
      </c>
      <c r="AJ44" s="413">
        <f t="shared" si="20"/>
        <v>0.95599815091944751</v>
      </c>
      <c r="AK44" s="414">
        <f t="shared" si="20"/>
        <v>5.6270014741015395E-2</v>
      </c>
      <c r="AL44" s="414">
        <f t="shared" si="20"/>
        <v>0.87968401863479873</v>
      </c>
      <c r="AM44" s="414">
        <f t="shared" si="20"/>
        <v>1.1043176641126526</v>
      </c>
      <c r="AN44" s="414">
        <f t="shared" si="20"/>
        <v>1.4830182938424676</v>
      </c>
      <c r="AO44" s="413">
        <f t="shared" si="20"/>
        <v>0.92966925948584789</v>
      </c>
      <c r="AP44" s="414">
        <f t="shared" si="20"/>
        <v>0.99249121957127229</v>
      </c>
      <c r="AQ44" s="415">
        <f t="shared" si="20"/>
        <v>0.86208039392074187</v>
      </c>
      <c r="AR44" s="414">
        <f t="shared" si="20"/>
        <v>0.74257425742574257</v>
      </c>
      <c r="AS44" s="414">
        <f t="shared" si="20"/>
        <v>0.50813008130081305</v>
      </c>
      <c r="AT44" s="413">
        <f t="shared" si="20"/>
        <v>0.81007596961215478</v>
      </c>
      <c r="AU44" s="414">
        <f t="shared" si="20"/>
        <v>0.68575817423743679</v>
      </c>
      <c r="AV44" s="414">
        <f t="shared" si="20"/>
        <v>0.35400335311976072</v>
      </c>
      <c r="AW44" s="414">
        <f t="shared" si="20"/>
        <v>0.4065262752566644</v>
      </c>
      <c r="AX44" s="414">
        <f t="shared" si="20"/>
        <v>1.8451099567447182</v>
      </c>
      <c r="AY44" s="413">
        <f t="shared" si="20"/>
        <v>0.78556093395958904</v>
      </c>
      <c r="AZ44" s="413">
        <f t="shared" si="20"/>
        <v>2.104448528084724</v>
      </c>
      <c r="BA44" s="413">
        <f t="shared" si="20"/>
        <v>0.94927871099992456</v>
      </c>
      <c r="BB44" s="413">
        <f t="shared" si="20"/>
        <v>0.98942670945985001</v>
      </c>
      <c r="BC44" s="270"/>
    </row>
    <row r="45" spans="1:55" s="273" customFormat="1" ht="14.45" customHeight="1">
      <c r="A45" s="416" t="s">
        <v>278</v>
      </c>
      <c r="B45" s="417"/>
      <c r="C45" s="899"/>
      <c r="D45" s="899"/>
      <c r="E45" s="899"/>
      <c r="F45" s="899"/>
      <c r="G45" s="900"/>
      <c r="H45" s="900"/>
      <c r="I45" s="900"/>
      <c r="J45" s="900"/>
      <c r="K45" s="899">
        <f t="shared" ref="K45:BB45" si="21">(K30+K37)/(-K31-K38)</f>
        <v>1.2931807952650052</v>
      </c>
      <c r="L45" s="900">
        <f t="shared" si="21"/>
        <v>2.0517059119835972</v>
      </c>
      <c r="M45" s="900">
        <f t="shared" si="21"/>
        <v>0.66477187028657625</v>
      </c>
      <c r="N45" s="900">
        <f t="shared" si="21"/>
        <v>0.77804191648167242</v>
      </c>
      <c r="O45" s="900">
        <f t="shared" si="21"/>
        <v>1.9247277386290842</v>
      </c>
      <c r="P45" s="899">
        <f t="shared" si="21"/>
        <v>1.3587952618951042</v>
      </c>
      <c r="Q45" s="900">
        <f t="shared" si="21"/>
        <v>1.047860032913053</v>
      </c>
      <c r="R45" s="900">
        <f t="shared" si="21"/>
        <v>0.84733419575411761</v>
      </c>
      <c r="S45" s="900">
        <f t="shared" si="21"/>
        <v>0.72527917259986507</v>
      </c>
      <c r="T45" s="900">
        <f t="shared" si="21"/>
        <v>0.85581543154951079</v>
      </c>
      <c r="U45" s="899">
        <f t="shared" si="21"/>
        <v>0.86079456404137655</v>
      </c>
      <c r="V45" s="900">
        <f t="shared" si="21"/>
        <v>1.0146367454397294</v>
      </c>
      <c r="W45" s="900">
        <f t="shared" si="21"/>
        <v>1.1040711323026771</v>
      </c>
      <c r="X45" s="900">
        <f t="shared" si="21"/>
        <v>0.88017975615574562</v>
      </c>
      <c r="Y45" s="900">
        <f t="shared" si="21"/>
        <v>0.88839992730482631</v>
      </c>
      <c r="Z45" s="899">
        <f t="shared" si="21"/>
        <v>0.97420564408495658</v>
      </c>
      <c r="AA45" s="900">
        <f t="shared" si="21"/>
        <v>0.96506469986088916</v>
      </c>
      <c r="AB45" s="900">
        <f t="shared" si="21"/>
        <v>1.0851608719245074</v>
      </c>
      <c r="AC45" s="900">
        <f t="shared" si="21"/>
        <v>1.2452818840386006</v>
      </c>
      <c r="AD45" s="900">
        <f t="shared" si="21"/>
        <v>1.5335633150048447</v>
      </c>
      <c r="AE45" s="899">
        <f t="shared" si="21"/>
        <v>1.217237502882472</v>
      </c>
      <c r="AF45" s="900">
        <f t="shared" si="21"/>
        <v>1.0274881463651648</v>
      </c>
      <c r="AG45" s="900">
        <f t="shared" si="21"/>
        <v>0.89609119584288088</v>
      </c>
      <c r="AH45" s="900">
        <f t="shared" si="21"/>
        <v>1.0993727489020757</v>
      </c>
      <c r="AI45" s="900">
        <f t="shared" si="21"/>
        <v>1.085980967587733</v>
      </c>
      <c r="AJ45" s="899">
        <f t="shared" si="21"/>
        <v>1.0271731552580998</v>
      </c>
      <c r="AK45" s="900">
        <f t="shared" si="21"/>
        <v>0.92618674762458264</v>
      </c>
      <c r="AL45" s="900">
        <f t="shared" si="21"/>
        <v>0.89191318787083917</v>
      </c>
      <c r="AM45" s="900">
        <f t="shared" si="21"/>
        <v>0.99801150165519925</v>
      </c>
      <c r="AN45" s="900">
        <f t="shared" si="21"/>
        <v>0.90011188839384693</v>
      </c>
      <c r="AO45" s="899">
        <f t="shared" si="21"/>
        <v>0.92755810131201921</v>
      </c>
      <c r="AP45" s="900">
        <f t="shared" si="21"/>
        <v>1.0624746167123567</v>
      </c>
      <c r="AQ45" s="901">
        <f t="shared" si="21"/>
        <v>0.49725936585444719</v>
      </c>
      <c r="AR45" s="900">
        <f t="shared" si="21"/>
        <v>1.7369952710076391</v>
      </c>
      <c r="AS45" s="900">
        <f t="shared" si="21"/>
        <v>1.1648532020226088</v>
      </c>
      <c r="AT45" s="899">
        <f t="shared" si="21"/>
        <v>1.0988457212398357</v>
      </c>
      <c r="AU45" s="900">
        <f t="shared" si="21"/>
        <v>1.127337251957621</v>
      </c>
      <c r="AV45" s="900">
        <f t="shared" si="21"/>
        <v>0.93049629974188941</v>
      </c>
      <c r="AW45" s="900">
        <f t="shared" si="21"/>
        <v>0.95276190742419375</v>
      </c>
      <c r="AX45" s="900">
        <f t="shared" si="21"/>
        <v>1.1364677931563432</v>
      </c>
      <c r="AY45" s="899">
        <f t="shared" si="21"/>
        <v>1.0297594766316269</v>
      </c>
      <c r="AZ45" s="899">
        <f t="shared" si="21"/>
        <v>1.117426707593359</v>
      </c>
      <c r="BA45" s="899">
        <f t="shared" si="21"/>
        <v>0.79268384761406263</v>
      </c>
      <c r="BB45" s="899">
        <f t="shared" si="21"/>
        <v>1.4427638713350943</v>
      </c>
      <c r="BC45" s="272"/>
    </row>
    <row r="46" spans="1:55" s="4" customFormat="1" ht="14.45" customHeight="1">
      <c r="A46" s="403"/>
      <c r="B46" s="401"/>
      <c r="C46" s="852"/>
      <c r="D46" s="852"/>
      <c r="E46" s="852"/>
      <c r="F46" s="852"/>
      <c r="G46" s="418"/>
      <c r="H46" s="418"/>
      <c r="I46" s="418"/>
      <c r="J46" s="418"/>
      <c r="K46" s="852"/>
      <c r="L46" s="418"/>
      <c r="M46" s="418"/>
      <c r="N46" s="418"/>
      <c r="O46" s="418"/>
      <c r="P46" s="852"/>
      <c r="Q46" s="418"/>
      <c r="R46" s="418"/>
      <c r="S46" s="418"/>
      <c r="T46" s="418"/>
      <c r="U46" s="852"/>
      <c r="V46" s="418"/>
      <c r="W46" s="418"/>
      <c r="X46" s="418"/>
      <c r="Y46" s="418"/>
      <c r="Z46" s="852"/>
      <c r="AA46" s="418"/>
      <c r="AB46" s="418"/>
      <c r="AC46" s="418"/>
      <c r="AD46" s="418"/>
      <c r="AE46" s="852"/>
      <c r="AF46" s="418"/>
      <c r="AG46" s="418"/>
      <c r="AH46" s="418"/>
      <c r="AI46" s="418"/>
      <c r="AJ46" s="852"/>
      <c r="AK46" s="418"/>
      <c r="AL46" s="418"/>
      <c r="AM46" s="418"/>
      <c r="AN46" s="418"/>
      <c r="AO46" s="852"/>
      <c r="AP46" s="418"/>
      <c r="AQ46" s="895"/>
      <c r="AR46" s="896"/>
      <c r="AS46" s="896"/>
      <c r="AT46" s="897"/>
      <c r="AU46" s="896"/>
      <c r="AV46" s="896"/>
      <c r="AW46" s="896"/>
      <c r="AX46" s="896"/>
      <c r="AY46" s="897"/>
      <c r="AZ46" s="897"/>
      <c r="BA46" s="897"/>
      <c r="BB46" s="897"/>
      <c r="BC46" s="363"/>
    </row>
    <row r="47" spans="1:55" s="4" customFormat="1" ht="14.45" customHeight="1">
      <c r="A47" s="514" t="s">
        <v>304</v>
      </c>
      <c r="B47" s="514"/>
      <c r="C47" s="883"/>
      <c r="D47" s="883"/>
      <c r="E47" s="883"/>
      <c r="F47" s="883"/>
      <c r="G47" s="883"/>
      <c r="H47" s="883"/>
      <c r="I47" s="883"/>
      <c r="J47" s="883"/>
      <c r="K47" s="883"/>
      <c r="L47" s="883"/>
      <c r="M47" s="883"/>
      <c r="N47" s="883"/>
      <c r="O47" s="883"/>
      <c r="P47" s="883"/>
      <c r="Q47" s="883"/>
      <c r="R47" s="883"/>
      <c r="S47" s="883"/>
      <c r="T47" s="883"/>
      <c r="U47" s="883"/>
      <c r="V47" s="883"/>
      <c r="W47" s="883"/>
      <c r="X47" s="883"/>
      <c r="Y47" s="883"/>
      <c r="Z47" s="883"/>
      <c r="AA47" s="883"/>
      <c r="AB47" s="883"/>
      <c r="AC47" s="883"/>
      <c r="AD47" s="883"/>
      <c r="AE47" s="883"/>
      <c r="AF47" s="883"/>
      <c r="AG47" s="883"/>
      <c r="AH47" s="883"/>
      <c r="AI47" s="883"/>
      <c r="AJ47" s="883"/>
      <c r="AK47" s="883"/>
      <c r="AL47" s="883"/>
      <c r="AM47" s="883"/>
      <c r="AN47" s="883"/>
      <c r="AO47" s="883"/>
      <c r="AP47" s="883"/>
      <c r="AQ47" s="884"/>
      <c r="AR47" s="883"/>
      <c r="AS47" s="883"/>
      <c r="AT47" s="883"/>
      <c r="AU47" s="883"/>
      <c r="AV47" s="883"/>
      <c r="AW47" s="883"/>
      <c r="AX47" s="883"/>
      <c r="AY47" s="883"/>
      <c r="AZ47" s="883"/>
      <c r="BA47" s="883"/>
      <c r="BB47" s="883"/>
      <c r="BC47" s="363"/>
    </row>
    <row r="48" spans="1:55" s="23" customFormat="1" hidden="1" outlineLevel="1">
      <c r="A48" s="229" t="s">
        <v>217</v>
      </c>
      <c r="B48" s="395"/>
      <c r="C48" s="885">
        <v>16.274000000000001</v>
      </c>
      <c r="D48" s="885">
        <v>30.111999999999998</v>
      </c>
      <c r="E48" s="885">
        <v>40.4</v>
      </c>
      <c r="F48" s="885">
        <v>44.137</v>
      </c>
      <c r="G48" s="436">
        <v>14.288</v>
      </c>
      <c r="H48" s="436">
        <v>11.446999999999999</v>
      </c>
      <c r="I48" s="436">
        <v>15.377000000000001</v>
      </c>
      <c r="J48" s="436">
        <f>K48-SUM(G48,H48,I48)</f>
        <v>14.088000000000001</v>
      </c>
      <c r="K48" s="885">
        <v>55.2</v>
      </c>
      <c r="L48" s="436">
        <v>17.489999999999998</v>
      </c>
      <c r="M48" s="436">
        <v>20.760999999999999</v>
      </c>
      <c r="N48" s="436">
        <v>22.056999999999999</v>
      </c>
      <c r="O48" s="436">
        <f>P48-SUM(L48,M48,N48)</f>
        <v>19.445000000000007</v>
      </c>
      <c r="P48" s="885">
        <v>79.753</v>
      </c>
      <c r="Q48" s="436">
        <v>23.402000000000001</v>
      </c>
      <c r="R48" s="436">
        <v>20.271000000000001</v>
      </c>
      <c r="S48" s="436">
        <v>23.055</v>
      </c>
      <c r="T48" s="436">
        <f>U48-SUM(Q48,R48,S48)</f>
        <v>18.374999999999986</v>
      </c>
      <c r="U48" s="885">
        <v>85.102999999999994</v>
      </c>
      <c r="V48" s="436">
        <v>18.690999999999999</v>
      </c>
      <c r="W48" s="436">
        <v>24.850999999999999</v>
      </c>
      <c r="X48" s="436">
        <v>17.556999999999999</v>
      </c>
      <c r="Y48" s="436">
        <f>Z48-SUM(V48,W48,X48)</f>
        <v>16.86699999999999</v>
      </c>
      <c r="Z48" s="885">
        <v>77.965999999999994</v>
      </c>
      <c r="AA48" s="436">
        <v>19.754000000000001</v>
      </c>
      <c r="AB48" s="436">
        <v>13.984</v>
      </c>
      <c r="AC48" s="436">
        <v>13.015000000000001</v>
      </c>
      <c r="AD48" s="436">
        <f>AE48-SUM(AA48,AB48,AC48)</f>
        <v>-7.865000000000002</v>
      </c>
      <c r="AE48" s="885">
        <v>38.887999999999998</v>
      </c>
      <c r="AF48" s="436">
        <v>13.115</v>
      </c>
      <c r="AG48" s="436">
        <v>18.2</v>
      </c>
      <c r="AH48" s="436">
        <v>16.21</v>
      </c>
      <c r="AI48" s="436">
        <f>AJ48-SUM(AF48,AG48,AH48)</f>
        <v>22.235999999999997</v>
      </c>
      <c r="AJ48" s="885">
        <v>69.760999999999996</v>
      </c>
      <c r="AK48" s="436">
        <v>25.768000000000001</v>
      </c>
      <c r="AL48" s="436">
        <v>14.391999999999999</v>
      </c>
      <c r="AM48" s="436">
        <v>8.7889999999999997</v>
      </c>
      <c r="AN48" s="436">
        <f>AO48-SUM(AK48,AL48,AM48)</f>
        <v>-32.292000000000002</v>
      </c>
      <c r="AO48" s="885">
        <v>16.657</v>
      </c>
      <c r="AP48" s="436">
        <v>-63.145000000000003</v>
      </c>
      <c r="AQ48" s="886">
        <v>-17.09</v>
      </c>
      <c r="AR48" s="855"/>
      <c r="AS48" s="855"/>
      <c r="AT48" s="870"/>
      <c r="AU48" s="855"/>
      <c r="AV48" s="855"/>
      <c r="AW48" s="855"/>
      <c r="AX48" s="855"/>
      <c r="AY48" s="870"/>
      <c r="AZ48" s="870"/>
      <c r="BA48" s="870"/>
      <c r="BB48" s="870"/>
      <c r="BC48" s="362"/>
    </row>
    <row r="49" spans="1:55" s="23" customFormat="1" hidden="1" outlineLevel="1">
      <c r="A49" s="404" t="s">
        <v>293</v>
      </c>
      <c r="B49" s="399"/>
      <c r="C49" s="887">
        <v>-18.219000000000001</v>
      </c>
      <c r="D49" s="887">
        <v>-1.806</v>
      </c>
      <c r="E49" s="887">
        <v>-4.76</v>
      </c>
      <c r="F49" s="887">
        <v>-4.9850000000000003</v>
      </c>
      <c r="G49" s="888">
        <v>-1.5249999999999999</v>
      </c>
      <c r="H49" s="888">
        <v>-0.61</v>
      </c>
      <c r="I49" s="888">
        <v>-0.745</v>
      </c>
      <c r="J49" s="888">
        <f>K49-SUM(G49,H49,I49)</f>
        <v>-0.87599999999999989</v>
      </c>
      <c r="K49" s="887">
        <v>-3.7559999999999998</v>
      </c>
      <c r="L49" s="888">
        <v>-1.6950000000000001</v>
      </c>
      <c r="M49" s="888">
        <v>4.03</v>
      </c>
      <c r="N49" s="888">
        <v>5.6989999999999998</v>
      </c>
      <c r="O49" s="888">
        <f>P49-SUM(L49,M49,N49)</f>
        <v>4.3670000000000009</v>
      </c>
      <c r="P49" s="887">
        <v>12.401</v>
      </c>
      <c r="Q49" s="888">
        <v>-2.2250000000000001</v>
      </c>
      <c r="R49" s="888">
        <v>9.8629999999999995</v>
      </c>
      <c r="S49" s="888">
        <v>16.98</v>
      </c>
      <c r="T49" s="888">
        <f>U49-SUM(Q49,R49,S49)</f>
        <v>0.91099999999999781</v>
      </c>
      <c r="U49" s="887">
        <v>25.529</v>
      </c>
      <c r="V49" s="888">
        <v>2.21</v>
      </c>
      <c r="W49" s="888">
        <v>1.0740000000000001</v>
      </c>
      <c r="X49" s="888">
        <v>3.24</v>
      </c>
      <c r="Y49" s="888">
        <f>Z49-SUM(V49,W49,X49)</f>
        <v>1.9829999999999997</v>
      </c>
      <c r="Z49" s="887">
        <v>8.5069999999999997</v>
      </c>
      <c r="AA49" s="888">
        <v>0.318</v>
      </c>
      <c r="AB49" s="888">
        <v>1.4319999999999999</v>
      </c>
      <c r="AC49" s="888">
        <v>1.093</v>
      </c>
      <c r="AD49" s="888">
        <f>AE49-SUM(AA49,AB49,AC49)</f>
        <v>4.516</v>
      </c>
      <c r="AE49" s="887">
        <v>7.359</v>
      </c>
      <c r="AF49" s="888">
        <v>-1.929</v>
      </c>
      <c r="AG49" s="888">
        <v>6.2469999999999999</v>
      </c>
      <c r="AH49" s="888">
        <v>5.8330000000000002</v>
      </c>
      <c r="AI49" s="888">
        <f>AJ49-SUM(AF49,AG49,AH49)</f>
        <v>0.56700000000000017</v>
      </c>
      <c r="AJ49" s="887">
        <v>10.718</v>
      </c>
      <c r="AK49" s="888">
        <v>2.1850000000000001</v>
      </c>
      <c r="AL49" s="888">
        <v>-9.4E-2</v>
      </c>
      <c r="AM49" s="888">
        <v>2.0750000000000002</v>
      </c>
      <c r="AN49" s="888">
        <f>AO49-SUM(AK49,AL49,AM49)</f>
        <v>0.3279999999999994</v>
      </c>
      <c r="AO49" s="887">
        <v>4.4939999999999998</v>
      </c>
      <c r="AP49" s="888">
        <v>0.72199999999999998</v>
      </c>
      <c r="AQ49" s="889">
        <v>2.6120000000000001</v>
      </c>
      <c r="AR49" s="890"/>
      <c r="AS49" s="890"/>
      <c r="AT49" s="872"/>
      <c r="AU49" s="890"/>
      <c r="AV49" s="890"/>
      <c r="AW49" s="890"/>
      <c r="AX49" s="890"/>
      <c r="AY49" s="872"/>
      <c r="AZ49" s="872"/>
      <c r="BA49" s="872"/>
      <c r="BB49" s="872"/>
      <c r="BC49" s="362"/>
    </row>
    <row r="50" spans="1:55" s="4" customFormat="1" hidden="1" outlineLevel="1">
      <c r="A50" s="403" t="s">
        <v>455</v>
      </c>
      <c r="B50" s="401"/>
      <c r="C50" s="852">
        <f t="shared" ref="C50:AQ50" si="22">SUM(C48:C49)</f>
        <v>-1.9450000000000003</v>
      </c>
      <c r="D50" s="852">
        <f t="shared" si="22"/>
        <v>28.305999999999997</v>
      </c>
      <c r="E50" s="852">
        <f t="shared" si="22"/>
        <v>35.64</v>
      </c>
      <c r="F50" s="852">
        <f t="shared" si="22"/>
        <v>39.152000000000001</v>
      </c>
      <c r="G50" s="418">
        <f t="shared" si="22"/>
        <v>12.763</v>
      </c>
      <c r="H50" s="418">
        <f t="shared" si="22"/>
        <v>10.837</v>
      </c>
      <c r="I50" s="418">
        <f t="shared" si="22"/>
        <v>14.632000000000001</v>
      </c>
      <c r="J50" s="418">
        <f t="shared" si="22"/>
        <v>13.212000000000002</v>
      </c>
      <c r="K50" s="852">
        <f t="shared" si="22"/>
        <v>51.444000000000003</v>
      </c>
      <c r="L50" s="418">
        <f t="shared" si="22"/>
        <v>15.794999999999998</v>
      </c>
      <c r="M50" s="418">
        <f t="shared" si="22"/>
        <v>24.791</v>
      </c>
      <c r="N50" s="418">
        <f t="shared" si="22"/>
        <v>27.756</v>
      </c>
      <c r="O50" s="418">
        <f t="shared" si="22"/>
        <v>23.812000000000008</v>
      </c>
      <c r="P50" s="852">
        <f t="shared" si="22"/>
        <v>92.153999999999996</v>
      </c>
      <c r="Q50" s="418">
        <f t="shared" si="22"/>
        <v>21.177</v>
      </c>
      <c r="R50" s="418">
        <f t="shared" si="22"/>
        <v>30.134</v>
      </c>
      <c r="S50" s="418">
        <f t="shared" si="22"/>
        <v>40.034999999999997</v>
      </c>
      <c r="T50" s="418">
        <f t="shared" si="22"/>
        <v>19.285999999999984</v>
      </c>
      <c r="U50" s="852">
        <f t="shared" si="22"/>
        <v>110.63199999999999</v>
      </c>
      <c r="V50" s="418">
        <f t="shared" si="22"/>
        <v>20.901</v>
      </c>
      <c r="W50" s="418">
        <f t="shared" si="22"/>
        <v>25.925000000000001</v>
      </c>
      <c r="X50" s="418">
        <f t="shared" si="22"/>
        <v>20.796999999999997</v>
      </c>
      <c r="Y50" s="418">
        <f t="shared" si="22"/>
        <v>18.849999999999991</v>
      </c>
      <c r="Z50" s="852">
        <f t="shared" si="22"/>
        <v>86.472999999999999</v>
      </c>
      <c r="AA50" s="418">
        <f t="shared" si="22"/>
        <v>20.072000000000003</v>
      </c>
      <c r="AB50" s="418">
        <f t="shared" si="22"/>
        <v>15.416</v>
      </c>
      <c r="AC50" s="418">
        <f t="shared" si="22"/>
        <v>14.108000000000001</v>
      </c>
      <c r="AD50" s="418">
        <f t="shared" si="22"/>
        <v>-3.349000000000002</v>
      </c>
      <c r="AE50" s="852">
        <f t="shared" si="22"/>
        <v>46.247</v>
      </c>
      <c r="AF50" s="418">
        <f t="shared" si="22"/>
        <v>11.186</v>
      </c>
      <c r="AG50" s="418">
        <f t="shared" si="22"/>
        <v>24.446999999999999</v>
      </c>
      <c r="AH50" s="418">
        <f t="shared" si="22"/>
        <v>22.042999999999999</v>
      </c>
      <c r="AI50" s="418">
        <f t="shared" si="22"/>
        <v>22.802999999999997</v>
      </c>
      <c r="AJ50" s="852">
        <f t="shared" si="22"/>
        <v>80.478999999999999</v>
      </c>
      <c r="AK50" s="418">
        <f t="shared" si="22"/>
        <v>27.952999999999999</v>
      </c>
      <c r="AL50" s="418">
        <f t="shared" si="22"/>
        <v>14.298</v>
      </c>
      <c r="AM50" s="418">
        <f t="shared" si="22"/>
        <v>10.864000000000001</v>
      </c>
      <c r="AN50" s="418">
        <f t="shared" si="22"/>
        <v>-31.964000000000002</v>
      </c>
      <c r="AO50" s="852">
        <f t="shared" si="22"/>
        <v>21.151</v>
      </c>
      <c r="AP50" s="418">
        <f t="shared" si="22"/>
        <v>-62.423000000000002</v>
      </c>
      <c r="AQ50" s="895">
        <f t="shared" si="22"/>
        <v>-14.478</v>
      </c>
      <c r="AR50" s="896"/>
      <c r="AS50" s="896"/>
      <c r="AT50" s="897"/>
      <c r="AU50" s="896"/>
      <c r="AV50" s="896"/>
      <c r="AW50" s="896"/>
      <c r="AX50" s="896"/>
      <c r="AY50" s="897"/>
      <c r="AZ50" s="897"/>
      <c r="BA50" s="897"/>
      <c r="BB50" s="897"/>
      <c r="BC50" s="363"/>
    </row>
    <row r="51" spans="1:55" s="23" customFormat="1" hidden="1" outlineLevel="1">
      <c r="A51" s="229" t="s">
        <v>415</v>
      </c>
      <c r="B51" s="395"/>
      <c r="C51" s="885">
        <f>3.268+1</f>
        <v>4.2679999999999998</v>
      </c>
      <c r="D51" s="885">
        <v>3.9260000000000002</v>
      </c>
      <c r="E51" s="885">
        <v>4.819</v>
      </c>
      <c r="F51" s="885">
        <v>6.5270000000000001</v>
      </c>
      <c r="G51" s="436">
        <v>1.7010000000000001</v>
      </c>
      <c r="H51" s="436">
        <v>2.8570000000000002</v>
      </c>
      <c r="I51" s="436">
        <v>2.2799999999999998</v>
      </c>
      <c r="J51" s="436">
        <f>K51-SUM(G51,H51,I51)</f>
        <v>2.3010000000000002</v>
      </c>
      <c r="K51" s="885">
        <v>9.1389999999999993</v>
      </c>
      <c r="L51" s="436">
        <v>2.1680000000000001</v>
      </c>
      <c r="M51" s="436">
        <v>2.31</v>
      </c>
      <c r="N51" s="436">
        <v>1.9850000000000001</v>
      </c>
      <c r="O51" s="436">
        <f>P51-SUM(L51,M51,N51)</f>
        <v>-1.6710000000000003</v>
      </c>
      <c r="P51" s="885">
        <v>4.7919999999999998</v>
      </c>
      <c r="Q51" s="436">
        <v>3.6339999999999999</v>
      </c>
      <c r="R51" s="436">
        <v>1.9790000000000001</v>
      </c>
      <c r="S51" s="436">
        <v>2.9049999999999998</v>
      </c>
      <c r="T51" s="436">
        <f>U51-SUM(Q51,R51,S51)</f>
        <v>3.3130000000000006</v>
      </c>
      <c r="U51" s="885">
        <v>11.831</v>
      </c>
      <c r="V51" s="436">
        <v>3.302</v>
      </c>
      <c r="W51" s="436">
        <v>3.3140000000000001</v>
      </c>
      <c r="X51" s="436">
        <v>3.2719999999999998</v>
      </c>
      <c r="Y51" s="436">
        <f>Z51-SUM(V51,W51,X51)</f>
        <v>3.4459999999999997</v>
      </c>
      <c r="Z51" s="885">
        <v>13.334</v>
      </c>
      <c r="AA51" s="436">
        <v>3.448</v>
      </c>
      <c r="AB51" s="436">
        <v>3.6669999999999998</v>
      </c>
      <c r="AC51" s="436">
        <v>4.0250000000000004</v>
      </c>
      <c r="AD51" s="436">
        <f>AE51-SUM(AA51,AB51,AC51)</f>
        <v>4.7469999999999999</v>
      </c>
      <c r="AE51" s="885">
        <v>15.887</v>
      </c>
      <c r="AF51" s="436">
        <v>4.9290000000000003</v>
      </c>
      <c r="AG51" s="436">
        <v>4.7809999999999997</v>
      </c>
      <c r="AH51" s="436">
        <v>3.952</v>
      </c>
      <c r="AI51" s="436">
        <f>AJ51-SUM(AF51,AG51,AH51)</f>
        <v>4.8249999999999975</v>
      </c>
      <c r="AJ51" s="885">
        <v>18.486999999999998</v>
      </c>
      <c r="AK51" s="436">
        <v>5.2869999999999999</v>
      </c>
      <c r="AL51" s="436">
        <v>4.2430000000000003</v>
      </c>
      <c r="AM51" s="436">
        <v>6.2249999999999996</v>
      </c>
      <c r="AN51" s="436">
        <f>AO51-SUM(AK51,AL51,AM51)</f>
        <v>9.7529999999999983</v>
      </c>
      <c r="AO51" s="885">
        <v>25.507999999999999</v>
      </c>
      <c r="AP51" s="436">
        <v>5.5209999999999999</v>
      </c>
      <c r="AQ51" s="886">
        <v>7.99</v>
      </c>
      <c r="AR51" s="855"/>
      <c r="AS51" s="855"/>
      <c r="AT51" s="870"/>
      <c r="AU51" s="855"/>
      <c r="AV51" s="855"/>
      <c r="AW51" s="855"/>
      <c r="AX51" s="855"/>
      <c r="AY51" s="870"/>
      <c r="AZ51" s="870"/>
      <c r="BA51" s="870"/>
      <c r="BB51" s="870"/>
      <c r="BC51" s="362"/>
    </row>
    <row r="52" spans="1:55" s="23" customFormat="1" hidden="1" outlineLevel="1">
      <c r="A52" s="229" t="s">
        <v>416</v>
      </c>
      <c r="B52" s="395"/>
      <c r="C52" s="885">
        <f t="shared" ref="C52:AQ52" si="23">-C109</f>
        <v>0</v>
      </c>
      <c r="D52" s="885">
        <f t="shared" si="23"/>
        <v>0</v>
      </c>
      <c r="E52" s="885">
        <f t="shared" si="23"/>
        <v>0</v>
      </c>
      <c r="F52" s="885">
        <f t="shared" si="23"/>
        <v>0</v>
      </c>
      <c r="G52" s="436">
        <f t="shared" si="23"/>
        <v>0</v>
      </c>
      <c r="H52" s="436">
        <f t="shared" si="23"/>
        <v>0</v>
      </c>
      <c r="I52" s="436">
        <f t="shared" si="23"/>
        <v>0</v>
      </c>
      <c r="J52" s="436">
        <f t="shared" si="23"/>
        <v>0</v>
      </c>
      <c r="K52" s="885">
        <f t="shared" si="23"/>
        <v>0</v>
      </c>
      <c r="L52" s="436">
        <f t="shared" si="23"/>
        <v>0</v>
      </c>
      <c r="M52" s="436">
        <f t="shared" si="23"/>
        <v>0</v>
      </c>
      <c r="N52" s="436">
        <f t="shared" si="23"/>
        <v>0</v>
      </c>
      <c r="O52" s="436">
        <f t="shared" si="23"/>
        <v>0</v>
      </c>
      <c r="P52" s="885">
        <f t="shared" si="23"/>
        <v>0</v>
      </c>
      <c r="Q52" s="436">
        <f t="shared" si="23"/>
        <v>0</v>
      </c>
      <c r="R52" s="436">
        <f t="shared" si="23"/>
        <v>0</v>
      </c>
      <c r="S52" s="436">
        <f t="shared" si="23"/>
        <v>0</v>
      </c>
      <c r="T52" s="436">
        <f t="shared" si="23"/>
        <v>0</v>
      </c>
      <c r="U52" s="885">
        <f t="shared" si="23"/>
        <v>0</v>
      </c>
      <c r="V52" s="436">
        <f t="shared" si="23"/>
        <v>0</v>
      </c>
      <c r="W52" s="436">
        <f t="shared" si="23"/>
        <v>0</v>
      </c>
      <c r="X52" s="436">
        <f t="shared" si="23"/>
        <v>0</v>
      </c>
      <c r="Y52" s="436">
        <f t="shared" si="23"/>
        <v>0</v>
      </c>
      <c r="Z52" s="885">
        <f t="shared" si="23"/>
        <v>0</v>
      </c>
      <c r="AA52" s="436">
        <f t="shared" si="23"/>
        <v>-0.31</v>
      </c>
      <c r="AB52" s="436">
        <f t="shared" si="23"/>
        <v>-0.31</v>
      </c>
      <c r="AC52" s="436">
        <f t="shared" si="23"/>
        <v>-0.311</v>
      </c>
      <c r="AD52" s="436">
        <f t="shared" si="23"/>
        <v>-0.81</v>
      </c>
      <c r="AE52" s="885">
        <f t="shared" si="23"/>
        <v>-1.7410000000000001</v>
      </c>
      <c r="AF52" s="436">
        <f t="shared" si="23"/>
        <v>-0.375</v>
      </c>
      <c r="AG52" s="436">
        <f t="shared" si="23"/>
        <v>-0.46300000000000002</v>
      </c>
      <c r="AH52" s="436">
        <f t="shared" si="23"/>
        <v>-0.253</v>
      </c>
      <c r="AI52" s="436">
        <f t="shared" si="23"/>
        <v>-0.57999999999999985</v>
      </c>
      <c r="AJ52" s="885">
        <f t="shared" si="23"/>
        <v>-1.671</v>
      </c>
      <c r="AK52" s="436">
        <f t="shared" si="23"/>
        <v>-0.215</v>
      </c>
      <c r="AL52" s="436">
        <f t="shared" si="23"/>
        <v>-0.51800000000000002</v>
      </c>
      <c r="AM52" s="436">
        <f t="shared" si="23"/>
        <v>-0.46400000000000002</v>
      </c>
      <c r="AN52" s="436">
        <f t="shared" si="23"/>
        <v>-4.8609999999999998</v>
      </c>
      <c r="AO52" s="885">
        <f t="shared" si="23"/>
        <v>-6.0579999999999998</v>
      </c>
      <c r="AP52" s="436">
        <f t="shared" si="23"/>
        <v>-0.38800000000000001</v>
      </c>
      <c r="AQ52" s="886">
        <f t="shared" si="23"/>
        <v>-3.7890000000000001</v>
      </c>
      <c r="AR52" s="855"/>
      <c r="AS52" s="855"/>
      <c r="AT52" s="870"/>
      <c r="AU52" s="855"/>
      <c r="AV52" s="855"/>
      <c r="AW52" s="855"/>
      <c r="AX52" s="855"/>
      <c r="AY52" s="870"/>
      <c r="AZ52" s="870"/>
      <c r="BA52" s="870"/>
      <c r="BB52" s="870"/>
      <c r="BC52" s="362"/>
    </row>
    <row r="53" spans="1:55" s="4" customFormat="1" hidden="1" outlineLevel="1">
      <c r="A53" s="402" t="s">
        <v>333</v>
      </c>
      <c r="B53" s="397"/>
      <c r="C53" s="858">
        <f t="shared" ref="C53:AQ53" si="24">C50-SUM(C51:C52)</f>
        <v>-6.2130000000000001</v>
      </c>
      <c r="D53" s="858">
        <f t="shared" si="24"/>
        <v>24.379999999999995</v>
      </c>
      <c r="E53" s="858">
        <f t="shared" si="24"/>
        <v>30.821000000000002</v>
      </c>
      <c r="F53" s="858">
        <f t="shared" si="24"/>
        <v>32.625</v>
      </c>
      <c r="G53" s="402">
        <f t="shared" si="24"/>
        <v>11.061999999999999</v>
      </c>
      <c r="H53" s="402">
        <f t="shared" si="24"/>
        <v>7.9799999999999995</v>
      </c>
      <c r="I53" s="402">
        <f t="shared" si="24"/>
        <v>12.352000000000002</v>
      </c>
      <c r="J53" s="402">
        <f t="shared" si="24"/>
        <v>10.911000000000001</v>
      </c>
      <c r="K53" s="858">
        <f t="shared" si="24"/>
        <v>42.305000000000007</v>
      </c>
      <c r="L53" s="402">
        <f t="shared" si="24"/>
        <v>13.626999999999999</v>
      </c>
      <c r="M53" s="402">
        <f t="shared" si="24"/>
        <v>22.481000000000002</v>
      </c>
      <c r="N53" s="402">
        <f t="shared" si="24"/>
        <v>25.771000000000001</v>
      </c>
      <c r="O53" s="402">
        <f t="shared" si="24"/>
        <v>25.483000000000008</v>
      </c>
      <c r="P53" s="858">
        <f t="shared" si="24"/>
        <v>87.361999999999995</v>
      </c>
      <c r="Q53" s="402">
        <f t="shared" si="24"/>
        <v>17.542999999999999</v>
      </c>
      <c r="R53" s="402">
        <f t="shared" si="24"/>
        <v>28.155000000000001</v>
      </c>
      <c r="S53" s="402">
        <f t="shared" si="24"/>
        <v>37.129999999999995</v>
      </c>
      <c r="T53" s="402">
        <f t="shared" si="24"/>
        <v>15.972999999999983</v>
      </c>
      <c r="U53" s="858">
        <f t="shared" si="24"/>
        <v>98.800999999999988</v>
      </c>
      <c r="V53" s="402">
        <f t="shared" si="24"/>
        <v>17.599</v>
      </c>
      <c r="W53" s="402">
        <f t="shared" si="24"/>
        <v>22.611000000000001</v>
      </c>
      <c r="X53" s="402">
        <f t="shared" si="24"/>
        <v>17.524999999999999</v>
      </c>
      <c r="Y53" s="402">
        <f t="shared" si="24"/>
        <v>15.403999999999991</v>
      </c>
      <c r="Z53" s="858">
        <f t="shared" si="24"/>
        <v>73.138999999999996</v>
      </c>
      <c r="AA53" s="402">
        <f t="shared" si="24"/>
        <v>16.934000000000005</v>
      </c>
      <c r="AB53" s="402">
        <f t="shared" si="24"/>
        <v>12.059000000000001</v>
      </c>
      <c r="AC53" s="402">
        <f t="shared" si="24"/>
        <v>10.394</v>
      </c>
      <c r="AD53" s="402">
        <f t="shared" si="24"/>
        <v>-7.2860000000000014</v>
      </c>
      <c r="AE53" s="858">
        <f t="shared" si="24"/>
        <v>32.100999999999999</v>
      </c>
      <c r="AF53" s="402">
        <f t="shared" si="24"/>
        <v>6.6319999999999997</v>
      </c>
      <c r="AG53" s="402">
        <f t="shared" si="24"/>
        <v>20.128999999999998</v>
      </c>
      <c r="AH53" s="402">
        <f t="shared" si="24"/>
        <v>18.344000000000001</v>
      </c>
      <c r="AI53" s="402">
        <f t="shared" si="24"/>
        <v>18.558</v>
      </c>
      <c r="AJ53" s="858">
        <f t="shared" si="24"/>
        <v>63.662999999999997</v>
      </c>
      <c r="AK53" s="402">
        <f t="shared" si="24"/>
        <v>22.881</v>
      </c>
      <c r="AL53" s="402">
        <f t="shared" si="24"/>
        <v>10.573</v>
      </c>
      <c r="AM53" s="402">
        <f t="shared" si="24"/>
        <v>5.1030000000000015</v>
      </c>
      <c r="AN53" s="402">
        <f t="shared" si="24"/>
        <v>-36.856000000000002</v>
      </c>
      <c r="AO53" s="858">
        <f t="shared" si="24"/>
        <v>1.7010000000000005</v>
      </c>
      <c r="AP53" s="402">
        <f t="shared" si="24"/>
        <v>-67.555999999999997</v>
      </c>
      <c r="AQ53" s="891">
        <f t="shared" si="24"/>
        <v>-18.679000000000002</v>
      </c>
      <c r="AR53" s="902"/>
      <c r="AS53" s="902"/>
      <c r="AT53" s="903"/>
      <c r="AU53" s="902"/>
      <c r="AV53" s="902"/>
      <c r="AW53" s="902"/>
      <c r="AX53" s="902"/>
      <c r="AY53" s="903"/>
      <c r="AZ53" s="903"/>
      <c r="BA53" s="903"/>
      <c r="BB53" s="903"/>
      <c r="BC53" s="363"/>
    </row>
    <row r="54" spans="1:55" s="4" customFormat="1" hidden="1" outlineLevel="1">
      <c r="A54" s="418"/>
      <c r="B54" s="419"/>
      <c r="C54" s="852"/>
      <c r="D54" s="852"/>
      <c r="E54" s="852"/>
      <c r="F54" s="852"/>
      <c r="G54" s="418"/>
      <c r="H54" s="418"/>
      <c r="I54" s="418"/>
      <c r="J54" s="418"/>
      <c r="K54" s="852"/>
      <c r="L54" s="418"/>
      <c r="M54" s="418"/>
      <c r="N54" s="418"/>
      <c r="O54" s="418"/>
      <c r="P54" s="852"/>
      <c r="Q54" s="418"/>
      <c r="R54" s="418"/>
      <c r="S54" s="418"/>
      <c r="T54" s="418"/>
      <c r="U54" s="852"/>
      <c r="V54" s="418"/>
      <c r="W54" s="418"/>
      <c r="X54" s="418"/>
      <c r="Y54" s="418"/>
      <c r="Z54" s="852"/>
      <c r="AA54" s="418"/>
      <c r="AB54" s="418"/>
      <c r="AC54" s="418"/>
      <c r="AD54" s="418"/>
      <c r="AE54" s="852"/>
      <c r="AF54" s="418"/>
      <c r="AG54" s="418"/>
      <c r="AH54" s="418"/>
      <c r="AI54" s="418"/>
      <c r="AJ54" s="852"/>
      <c r="AK54" s="418"/>
      <c r="AL54" s="418"/>
      <c r="AM54" s="418"/>
      <c r="AN54" s="418"/>
      <c r="AO54" s="852"/>
      <c r="AP54" s="418"/>
      <c r="AQ54" s="895"/>
      <c r="AR54" s="896"/>
      <c r="AS54" s="896"/>
      <c r="AT54" s="897"/>
      <c r="AU54" s="896"/>
      <c r="AV54" s="896"/>
      <c r="AW54" s="896"/>
      <c r="AX54" s="896"/>
      <c r="AY54" s="897"/>
      <c r="AZ54" s="897"/>
      <c r="BA54" s="897"/>
      <c r="BB54" s="897"/>
      <c r="BC54" s="363"/>
    </row>
    <row r="55" spans="1:55" s="23" customFormat="1" hidden="1" outlineLevel="1">
      <c r="A55" s="229" t="s">
        <v>412</v>
      </c>
      <c r="B55" s="395"/>
      <c r="C55" s="885"/>
      <c r="D55" s="885"/>
      <c r="E55" s="885"/>
      <c r="F55" s="885"/>
      <c r="G55" s="436"/>
      <c r="H55" s="436"/>
      <c r="I55" s="436"/>
      <c r="J55" s="436"/>
      <c r="K55" s="885"/>
      <c r="L55" s="436"/>
      <c r="M55" s="436"/>
      <c r="N55" s="436"/>
      <c r="O55" s="436"/>
      <c r="P55" s="885"/>
      <c r="Q55" s="436"/>
      <c r="R55" s="436"/>
      <c r="S55" s="436"/>
      <c r="T55" s="436"/>
      <c r="U55" s="885"/>
      <c r="V55" s="436"/>
      <c r="W55" s="436"/>
      <c r="X55" s="436"/>
      <c r="Y55" s="436"/>
      <c r="Z55" s="885"/>
      <c r="AA55" s="436"/>
      <c r="AB55" s="436"/>
      <c r="AC55" s="436"/>
      <c r="AD55" s="436"/>
      <c r="AE55" s="885"/>
      <c r="AF55" s="436"/>
      <c r="AG55" s="436"/>
      <c r="AH55" s="436"/>
      <c r="AI55" s="436"/>
      <c r="AJ55" s="885"/>
      <c r="AK55" s="436">
        <f>+AK58-AK56</f>
        <v>20.695999999999998</v>
      </c>
      <c r="AL55" s="436">
        <f>+AL58-AL56</f>
        <v>10.667</v>
      </c>
      <c r="AM55" s="436">
        <f>+AM58-AM56</f>
        <v>3.028</v>
      </c>
      <c r="AN55" s="436">
        <v>14.462999999999999</v>
      </c>
      <c r="AO55" s="885">
        <v>65.111999999999995</v>
      </c>
      <c r="AP55" s="436"/>
      <c r="AQ55" s="886"/>
      <c r="AR55" s="855"/>
      <c r="AS55" s="855"/>
      <c r="AT55" s="870"/>
      <c r="AU55" s="855"/>
      <c r="AV55" s="855"/>
      <c r="AW55" s="855"/>
      <c r="AX55" s="855"/>
      <c r="AY55" s="870"/>
      <c r="AZ55" s="870"/>
      <c r="BA55" s="870"/>
      <c r="BB55" s="870"/>
      <c r="BC55" s="362"/>
    </row>
    <row r="56" spans="1:55" s="23" customFormat="1" hidden="1" outlineLevel="1">
      <c r="A56" s="229" t="s">
        <v>413</v>
      </c>
      <c r="B56" s="395"/>
      <c r="C56" s="885"/>
      <c r="D56" s="885"/>
      <c r="E56" s="885"/>
      <c r="F56" s="885"/>
      <c r="G56" s="436"/>
      <c r="H56" s="436"/>
      <c r="I56" s="436"/>
      <c r="J56" s="436"/>
      <c r="K56" s="885"/>
      <c r="L56" s="436"/>
      <c r="M56" s="436"/>
      <c r="N56" s="436"/>
      <c r="O56" s="436"/>
      <c r="P56" s="885"/>
      <c r="Q56" s="436"/>
      <c r="R56" s="436"/>
      <c r="S56" s="436"/>
      <c r="T56" s="436"/>
      <c r="U56" s="885"/>
      <c r="V56" s="436"/>
      <c r="W56" s="436"/>
      <c r="X56" s="436"/>
      <c r="Y56" s="436"/>
      <c r="Z56" s="885"/>
      <c r="AA56" s="436"/>
      <c r="AB56" s="436"/>
      <c r="AC56" s="436"/>
      <c r="AD56" s="436"/>
      <c r="AE56" s="885"/>
      <c r="AF56" s="436"/>
      <c r="AG56" s="436"/>
      <c r="AH56" s="436"/>
      <c r="AI56" s="436"/>
      <c r="AJ56" s="885"/>
      <c r="AK56" s="436">
        <v>1.268</v>
      </c>
      <c r="AL56" s="436">
        <v>-2.161</v>
      </c>
      <c r="AM56" s="436">
        <v>0.13300000000000001</v>
      </c>
      <c r="AN56" s="436">
        <v>-1.5</v>
      </c>
      <c r="AO56" s="885">
        <v>-2.2589999999999999</v>
      </c>
      <c r="AP56" s="436"/>
      <c r="AQ56" s="886"/>
      <c r="AR56" s="855"/>
      <c r="AS56" s="855"/>
      <c r="AT56" s="870"/>
      <c r="AU56" s="855"/>
      <c r="AV56" s="855"/>
      <c r="AW56" s="855"/>
      <c r="AX56" s="855"/>
      <c r="AY56" s="870"/>
      <c r="AZ56" s="870"/>
      <c r="BA56" s="870"/>
      <c r="BB56" s="870"/>
      <c r="BC56" s="362"/>
    </row>
    <row r="57" spans="1:55" s="23" customFormat="1" hidden="1" outlineLevel="1">
      <c r="A57" s="229" t="s">
        <v>456</v>
      </c>
      <c r="B57" s="395"/>
      <c r="C57" s="885"/>
      <c r="D57" s="885"/>
      <c r="E57" s="885"/>
      <c r="F57" s="885"/>
      <c r="G57" s="436"/>
      <c r="H57" s="436"/>
      <c r="I57" s="436"/>
      <c r="J57" s="436"/>
      <c r="K57" s="885"/>
      <c r="L57" s="436"/>
      <c r="M57" s="436"/>
      <c r="N57" s="436"/>
      <c r="O57" s="436"/>
      <c r="P57" s="885"/>
      <c r="Q57" s="436"/>
      <c r="R57" s="436"/>
      <c r="S57" s="436"/>
      <c r="T57" s="436"/>
      <c r="U57" s="885"/>
      <c r="V57" s="436"/>
      <c r="W57" s="436"/>
      <c r="X57" s="436"/>
      <c r="Y57" s="436"/>
      <c r="Z57" s="885"/>
      <c r="AA57" s="436"/>
      <c r="AB57" s="436"/>
      <c r="AC57" s="436"/>
      <c r="AD57" s="436"/>
      <c r="AE57" s="885"/>
      <c r="AF57" s="436"/>
      <c r="AG57" s="436"/>
      <c r="AH57" s="436"/>
      <c r="AI57" s="436"/>
      <c r="AJ57" s="885"/>
      <c r="AK57" s="436"/>
      <c r="AL57" s="436"/>
      <c r="AM57" s="436"/>
      <c r="AN57" s="436">
        <f>AN58-AN56-AN55</f>
        <v>-4.8919999999999995</v>
      </c>
      <c r="AO57" s="885">
        <f>AO58-AO56-AO55</f>
        <v>-19.449999999999996</v>
      </c>
      <c r="AP57" s="436"/>
      <c r="AQ57" s="886"/>
      <c r="AR57" s="855"/>
      <c r="AS57" s="855"/>
      <c r="AT57" s="870"/>
      <c r="AU57" s="855"/>
      <c r="AV57" s="855"/>
      <c r="AW57" s="855"/>
      <c r="AX57" s="855"/>
      <c r="AY57" s="870"/>
      <c r="AZ57" s="870"/>
      <c r="BA57" s="870"/>
      <c r="BB57" s="870"/>
      <c r="BC57" s="362"/>
    </row>
    <row r="58" spans="1:55" s="4" customFormat="1" hidden="1" outlineLevel="1">
      <c r="A58" s="402" t="s">
        <v>414</v>
      </c>
      <c r="B58" s="397"/>
      <c r="C58" s="858"/>
      <c r="D58" s="858"/>
      <c r="E58" s="858"/>
      <c r="F58" s="858"/>
      <c r="G58" s="402"/>
      <c r="H58" s="402"/>
      <c r="I58" s="402"/>
      <c r="J58" s="402"/>
      <c r="K58" s="858"/>
      <c r="L58" s="402"/>
      <c r="M58" s="402"/>
      <c r="N58" s="402"/>
      <c r="O58" s="402"/>
      <c r="P58" s="858"/>
      <c r="Q58" s="402"/>
      <c r="R58" s="402"/>
      <c r="S58" s="402"/>
      <c r="T58" s="402"/>
      <c r="U58" s="858"/>
      <c r="V58" s="402"/>
      <c r="W58" s="402"/>
      <c r="X58" s="402"/>
      <c r="Y58" s="402"/>
      <c r="Z58" s="858"/>
      <c r="AA58" s="402"/>
      <c r="AB58" s="402"/>
      <c r="AC58" s="402"/>
      <c r="AD58" s="402"/>
      <c r="AE58" s="858"/>
      <c r="AF58" s="402"/>
      <c r="AG58" s="402"/>
      <c r="AH58" s="402"/>
      <c r="AI58" s="402"/>
      <c r="AJ58" s="858"/>
      <c r="AK58" s="402">
        <v>21.963999999999999</v>
      </c>
      <c r="AL58" s="402">
        <v>8.5060000000000002</v>
      </c>
      <c r="AM58" s="402">
        <v>3.161</v>
      </c>
      <c r="AN58" s="402">
        <v>8.0709999999999997</v>
      </c>
      <c r="AO58" s="858">
        <v>43.402999999999999</v>
      </c>
      <c r="AP58" s="402"/>
      <c r="AQ58" s="891"/>
      <c r="AR58" s="902"/>
      <c r="AS58" s="902"/>
      <c r="AT58" s="903"/>
      <c r="AU58" s="902"/>
      <c r="AV58" s="902"/>
      <c r="AW58" s="902"/>
      <c r="AX58" s="902"/>
      <c r="AY58" s="903"/>
      <c r="AZ58" s="903"/>
      <c r="BA58" s="903"/>
      <c r="BB58" s="903"/>
      <c r="BC58" s="363"/>
    </row>
    <row r="59" spans="1:55" s="4" customFormat="1" ht="14.45" customHeight="1" collapsed="1">
      <c r="A59" s="403"/>
      <c r="B59" s="401"/>
      <c r="C59" s="852"/>
      <c r="D59" s="852"/>
      <c r="E59" s="852"/>
      <c r="F59" s="852"/>
      <c r="G59" s="418"/>
      <c r="H59" s="418"/>
      <c r="I59" s="418"/>
      <c r="J59" s="418"/>
      <c r="K59" s="852"/>
      <c r="L59" s="418"/>
      <c r="M59" s="418"/>
      <c r="N59" s="418"/>
      <c r="O59" s="418"/>
      <c r="P59" s="852"/>
      <c r="Q59" s="418"/>
      <c r="R59" s="418"/>
      <c r="S59" s="418"/>
      <c r="T59" s="418"/>
      <c r="U59" s="852"/>
      <c r="V59" s="418"/>
      <c r="W59" s="418"/>
      <c r="X59" s="418"/>
      <c r="Y59" s="418"/>
      <c r="Z59" s="852"/>
      <c r="AA59" s="418"/>
      <c r="AB59" s="418"/>
      <c r="AC59" s="418"/>
      <c r="AD59" s="418"/>
      <c r="AE59" s="852"/>
      <c r="AF59" s="418"/>
      <c r="AG59" s="418"/>
      <c r="AH59" s="418"/>
      <c r="AI59" s="418"/>
      <c r="AJ59" s="852"/>
      <c r="AK59" s="418"/>
      <c r="AL59" s="418"/>
      <c r="AM59" s="418"/>
      <c r="AN59" s="418"/>
      <c r="AO59" s="852"/>
      <c r="AP59" s="418"/>
      <c r="AQ59" s="895"/>
      <c r="AR59" s="896"/>
      <c r="AS59" s="896"/>
      <c r="AT59" s="897"/>
      <c r="AU59" s="896"/>
      <c r="AV59" s="896"/>
      <c r="AW59" s="896"/>
      <c r="AX59" s="896"/>
      <c r="AY59" s="897"/>
      <c r="AZ59" s="897"/>
      <c r="BA59" s="897"/>
      <c r="BB59" s="897"/>
      <c r="BC59" s="363"/>
    </row>
    <row r="60" spans="1:55" s="4" customFormat="1" ht="14.45" customHeight="1">
      <c r="A60" s="514" t="s">
        <v>440</v>
      </c>
      <c r="B60" s="514"/>
      <c r="C60" s="883"/>
      <c r="D60" s="883"/>
      <c r="E60" s="883"/>
      <c r="F60" s="883"/>
      <c r="G60" s="883"/>
      <c r="H60" s="883"/>
      <c r="I60" s="883"/>
      <c r="J60" s="883"/>
      <c r="K60" s="883"/>
      <c r="L60" s="883"/>
      <c r="M60" s="883"/>
      <c r="N60" s="883"/>
      <c r="O60" s="883"/>
      <c r="P60" s="883"/>
      <c r="Q60" s="883"/>
      <c r="R60" s="883"/>
      <c r="S60" s="883"/>
      <c r="T60" s="883"/>
      <c r="U60" s="883"/>
      <c r="V60" s="883"/>
      <c r="W60" s="883"/>
      <c r="X60" s="883"/>
      <c r="Y60" s="883"/>
      <c r="Z60" s="883"/>
      <c r="AA60" s="883"/>
      <c r="AB60" s="883"/>
      <c r="AC60" s="883"/>
      <c r="AD60" s="883"/>
      <c r="AE60" s="883"/>
      <c r="AF60" s="883"/>
      <c r="AG60" s="883"/>
      <c r="AH60" s="883"/>
      <c r="AI60" s="883"/>
      <c r="AJ60" s="883"/>
      <c r="AK60" s="883"/>
      <c r="AL60" s="883"/>
      <c r="AM60" s="883"/>
      <c r="AN60" s="883"/>
      <c r="AO60" s="883"/>
      <c r="AP60" s="883"/>
      <c r="AQ60" s="884"/>
      <c r="AR60" s="883"/>
      <c r="AS60" s="883"/>
      <c r="AT60" s="883"/>
      <c r="AU60" s="883"/>
      <c r="AV60" s="883"/>
      <c r="AW60" s="883"/>
      <c r="AX60" s="883"/>
      <c r="AY60" s="883"/>
      <c r="AZ60" s="883"/>
      <c r="BA60" s="883"/>
      <c r="BB60" s="883"/>
      <c r="BC60" s="363"/>
    </row>
    <row r="61" spans="1:55" s="23" customFormat="1" hidden="1" outlineLevel="1">
      <c r="A61" s="394" t="s">
        <v>434</v>
      </c>
      <c r="B61" s="395"/>
      <c r="C61" s="885"/>
      <c r="D61" s="885"/>
      <c r="E61" s="885"/>
      <c r="F61" s="885">
        <v>160.136</v>
      </c>
      <c r="G61" s="436">
        <v>44.795999999999999</v>
      </c>
      <c r="H61" s="436">
        <v>41.854999999999997</v>
      </c>
      <c r="I61" s="436">
        <v>47.142000000000003</v>
      </c>
      <c r="J61" s="436">
        <f t="shared" ref="J61:J66" si="25">K61-SUM(G61,H61,I61)</f>
        <v>54.427999999999997</v>
      </c>
      <c r="K61" s="885">
        <v>188.221</v>
      </c>
      <c r="L61" s="436">
        <v>65.832999999999998</v>
      </c>
      <c r="M61" s="436">
        <v>60.651000000000003</v>
      </c>
      <c r="N61" s="436">
        <v>61.884999999999998</v>
      </c>
      <c r="O61" s="436">
        <f t="shared" ref="O61:O66" si="26">P61-SUM(L61,M61,N61)</f>
        <v>66.086000000000013</v>
      </c>
      <c r="P61" s="885">
        <v>254.45500000000001</v>
      </c>
      <c r="Q61" s="436">
        <v>69.569999999999993</v>
      </c>
      <c r="R61" s="436">
        <v>67.843999999999994</v>
      </c>
      <c r="S61" s="436">
        <v>71.164000000000001</v>
      </c>
      <c r="T61" s="436">
        <f t="shared" ref="T61:T66" si="27">U61-SUM(Q61,R61,S61)</f>
        <v>71.174000000000035</v>
      </c>
      <c r="U61" s="885">
        <v>279.75200000000001</v>
      </c>
      <c r="V61" s="436">
        <v>75.391999999999996</v>
      </c>
      <c r="W61" s="436">
        <v>75.563999999999993</v>
      </c>
      <c r="X61" s="436">
        <v>68.259</v>
      </c>
      <c r="Y61" s="436">
        <f t="shared" ref="Y61:Y66" si="28">Z61-SUM(V61,W61,X61)</f>
        <v>69.25</v>
      </c>
      <c r="Z61" s="885">
        <v>288.46499999999997</v>
      </c>
      <c r="AA61" s="436">
        <v>72.444000000000003</v>
      </c>
      <c r="AB61" s="436">
        <v>62.597000000000001</v>
      </c>
      <c r="AC61" s="436">
        <v>63.972000000000001</v>
      </c>
      <c r="AD61" s="436">
        <f t="shared" ref="AD61:AD66" si="29">AE61-SUM(AA61,AB61,AC61)</f>
        <v>65.272999999999996</v>
      </c>
      <c r="AE61" s="885">
        <v>264.286</v>
      </c>
      <c r="AF61" s="436">
        <v>72.677999999999997</v>
      </c>
      <c r="AG61" s="436">
        <v>67.643000000000001</v>
      </c>
      <c r="AH61" s="436">
        <v>78.61</v>
      </c>
      <c r="AI61" s="436">
        <f t="shared" ref="AI61:AI66" si="30">AJ61-SUM(AF61,AG61,AH61)</f>
        <v>84.249000000000024</v>
      </c>
      <c r="AJ61" s="885">
        <v>303.18</v>
      </c>
      <c r="AK61" s="436">
        <v>92.537000000000006</v>
      </c>
      <c r="AL61" s="436">
        <v>84.042000000000002</v>
      </c>
      <c r="AM61" s="436">
        <v>78.427999999999997</v>
      </c>
      <c r="AN61" s="436">
        <f t="shared" ref="AN61:AN66" si="31">AO61-SUM(AK61,AL61,AM61)</f>
        <v>83.230000000000018</v>
      </c>
      <c r="AO61" s="885">
        <v>338.23700000000002</v>
      </c>
      <c r="AP61" s="436">
        <v>69.456000000000003</v>
      </c>
      <c r="AQ61" s="886">
        <v>46.563000000000002</v>
      </c>
      <c r="AR61" s="855"/>
      <c r="AS61" s="855"/>
      <c r="AT61" s="870"/>
      <c r="AU61" s="855"/>
      <c r="AV61" s="855"/>
      <c r="AW61" s="855"/>
      <c r="AX61" s="855"/>
      <c r="AY61" s="870"/>
      <c r="AZ61" s="870"/>
      <c r="BA61" s="870"/>
      <c r="BB61" s="870"/>
      <c r="BC61" s="362"/>
    </row>
    <row r="62" spans="1:55" s="23" customFormat="1" hidden="1" outlineLevel="1">
      <c r="A62" s="394" t="s">
        <v>435</v>
      </c>
      <c r="B62" s="395"/>
      <c r="C62" s="885"/>
      <c r="D62" s="885"/>
      <c r="E62" s="885"/>
      <c r="F62" s="885">
        <v>69.596999999999994</v>
      </c>
      <c r="G62" s="436">
        <v>18.117000000000001</v>
      </c>
      <c r="H62" s="436">
        <v>19.091000000000001</v>
      </c>
      <c r="I62" s="436">
        <v>30.009</v>
      </c>
      <c r="J62" s="436">
        <f t="shared" si="25"/>
        <v>35.016000000000005</v>
      </c>
      <c r="K62" s="885">
        <v>102.233</v>
      </c>
      <c r="L62" s="436">
        <v>35.091000000000001</v>
      </c>
      <c r="M62" s="436">
        <v>39.506999999999998</v>
      </c>
      <c r="N62" s="436">
        <v>37.103999999999999</v>
      </c>
      <c r="O62" s="436">
        <f t="shared" si="26"/>
        <v>36.509999999999991</v>
      </c>
      <c r="P62" s="885">
        <v>148.21199999999999</v>
      </c>
      <c r="Q62" s="436">
        <v>42.076999999999998</v>
      </c>
      <c r="R62" s="436">
        <v>37.906999999999996</v>
      </c>
      <c r="S62" s="436">
        <v>39.965000000000003</v>
      </c>
      <c r="T62" s="436">
        <f t="shared" si="27"/>
        <v>37.194000000000003</v>
      </c>
      <c r="U62" s="885">
        <v>157.143</v>
      </c>
      <c r="V62" s="436">
        <v>40.566000000000003</v>
      </c>
      <c r="W62" s="436">
        <v>41.978999999999999</v>
      </c>
      <c r="X62" s="436">
        <v>38.975000000000001</v>
      </c>
      <c r="Y62" s="436">
        <f t="shared" si="28"/>
        <v>35.350999999999999</v>
      </c>
      <c r="Z62" s="885">
        <v>156.87100000000001</v>
      </c>
      <c r="AA62" s="436">
        <v>42.67</v>
      </c>
      <c r="AB62" s="436">
        <v>42.646000000000001</v>
      </c>
      <c r="AC62" s="436">
        <v>37.000999999999998</v>
      </c>
      <c r="AD62" s="436">
        <f t="shared" si="29"/>
        <v>36.346000000000004</v>
      </c>
      <c r="AE62" s="885">
        <v>158.66300000000001</v>
      </c>
      <c r="AF62" s="436">
        <v>41.642000000000003</v>
      </c>
      <c r="AG62" s="436">
        <v>44.121000000000002</v>
      </c>
      <c r="AH62" s="436">
        <v>43.481000000000002</v>
      </c>
      <c r="AI62" s="436">
        <f t="shared" si="30"/>
        <v>45.13900000000001</v>
      </c>
      <c r="AJ62" s="885">
        <v>174.38300000000001</v>
      </c>
      <c r="AK62" s="436">
        <v>48.604999999999997</v>
      </c>
      <c r="AL62" s="436">
        <v>46.77</v>
      </c>
      <c r="AM62" s="436">
        <v>44.127000000000002</v>
      </c>
      <c r="AN62" s="436">
        <f t="shared" si="31"/>
        <v>45.95999999999998</v>
      </c>
      <c r="AO62" s="885">
        <v>185.46199999999999</v>
      </c>
      <c r="AP62" s="436">
        <v>37.921999999999997</v>
      </c>
      <c r="AQ62" s="886">
        <v>27.731000000000002</v>
      </c>
      <c r="AR62" s="855"/>
      <c r="AS62" s="855"/>
      <c r="AT62" s="870"/>
      <c r="AU62" s="855"/>
      <c r="AV62" s="855"/>
      <c r="AW62" s="855"/>
      <c r="AX62" s="855"/>
      <c r="AY62" s="870"/>
      <c r="AZ62" s="870"/>
      <c r="BA62" s="870"/>
      <c r="BB62" s="870"/>
      <c r="BC62" s="362"/>
    </row>
    <row r="63" spans="1:55" s="23" customFormat="1" hidden="1" outlineLevel="1">
      <c r="A63" s="394" t="s">
        <v>436</v>
      </c>
      <c r="B63" s="395"/>
      <c r="C63" s="885"/>
      <c r="D63" s="885"/>
      <c r="E63" s="885"/>
      <c r="F63" s="885">
        <v>15.260999999999999</v>
      </c>
      <c r="G63" s="436">
        <v>5.33</v>
      </c>
      <c r="H63" s="436">
        <v>4.3659999999999997</v>
      </c>
      <c r="I63" s="436">
        <v>3.8570000000000002</v>
      </c>
      <c r="J63" s="436">
        <f t="shared" si="25"/>
        <v>5.18</v>
      </c>
      <c r="K63" s="885">
        <v>18.733000000000001</v>
      </c>
      <c r="L63" s="436">
        <v>12.752000000000001</v>
      </c>
      <c r="M63" s="436">
        <v>12.497</v>
      </c>
      <c r="N63" s="436">
        <v>15.351000000000001</v>
      </c>
      <c r="O63" s="436">
        <f t="shared" si="26"/>
        <v>17.278999999999996</v>
      </c>
      <c r="P63" s="885">
        <v>57.878999999999998</v>
      </c>
      <c r="Q63" s="436">
        <v>17.367000000000001</v>
      </c>
      <c r="R63" s="436">
        <v>11.663</v>
      </c>
      <c r="S63" s="436">
        <v>12.598000000000001</v>
      </c>
      <c r="T63" s="436">
        <f t="shared" si="27"/>
        <v>14.521999999999998</v>
      </c>
      <c r="U63" s="885">
        <v>56.15</v>
      </c>
      <c r="V63" s="436">
        <v>7.4740000000000002</v>
      </c>
      <c r="W63" s="436">
        <v>9.3439999999999994</v>
      </c>
      <c r="X63" s="436">
        <v>5.8659999999999997</v>
      </c>
      <c r="Y63" s="436">
        <f t="shared" si="28"/>
        <v>10.077000000000005</v>
      </c>
      <c r="Z63" s="885">
        <v>32.761000000000003</v>
      </c>
      <c r="AA63" s="436">
        <v>9.1359999999999992</v>
      </c>
      <c r="AB63" s="436">
        <v>10.94</v>
      </c>
      <c r="AC63" s="436">
        <v>11.348000000000001</v>
      </c>
      <c r="AD63" s="436">
        <f t="shared" si="29"/>
        <v>22.536000000000001</v>
      </c>
      <c r="AE63" s="885">
        <v>53.96</v>
      </c>
      <c r="AF63" s="436">
        <v>33.023000000000003</v>
      </c>
      <c r="AG63" s="436">
        <v>36.271999999999998</v>
      </c>
      <c r="AH63" s="436">
        <v>31.059000000000001</v>
      </c>
      <c r="AI63" s="436">
        <f t="shared" si="30"/>
        <v>31.49499999999999</v>
      </c>
      <c r="AJ63" s="885">
        <v>131.84899999999999</v>
      </c>
      <c r="AK63" s="436">
        <v>33.860999999999997</v>
      </c>
      <c r="AL63" s="436">
        <v>25.681999999999999</v>
      </c>
      <c r="AM63" s="436">
        <v>19.870999999999999</v>
      </c>
      <c r="AN63" s="436">
        <f t="shared" si="31"/>
        <v>27.373000000000019</v>
      </c>
      <c r="AO63" s="885">
        <v>106.78700000000001</v>
      </c>
      <c r="AP63" s="436">
        <v>22.143000000000001</v>
      </c>
      <c r="AQ63" s="886">
        <v>19.134</v>
      </c>
      <c r="AR63" s="855"/>
      <c r="AS63" s="855"/>
      <c r="AT63" s="870"/>
      <c r="AU63" s="855"/>
      <c r="AV63" s="855"/>
      <c r="AW63" s="855"/>
      <c r="AX63" s="855"/>
      <c r="AY63" s="870"/>
      <c r="AZ63" s="870"/>
      <c r="BA63" s="870"/>
      <c r="BB63" s="870"/>
      <c r="BC63" s="362"/>
    </row>
    <row r="64" spans="1:55" s="23" customFormat="1" hidden="1" outlineLevel="1">
      <c r="A64" s="394" t="s">
        <v>437</v>
      </c>
      <c r="B64" s="395"/>
      <c r="C64" s="885"/>
      <c r="D64" s="885"/>
      <c r="E64" s="885"/>
      <c r="F64" s="885"/>
      <c r="G64" s="436"/>
      <c r="H64" s="436"/>
      <c r="I64" s="436"/>
      <c r="J64" s="436">
        <f t="shared" si="25"/>
        <v>0</v>
      </c>
      <c r="K64" s="885"/>
      <c r="L64" s="436"/>
      <c r="M64" s="436"/>
      <c r="N64" s="436"/>
      <c r="O64" s="436">
        <f t="shared" si="26"/>
        <v>0</v>
      </c>
      <c r="P64" s="885"/>
      <c r="Q64" s="436">
        <v>4.5739999999999998</v>
      </c>
      <c r="R64" s="436">
        <v>5.7709999999999999</v>
      </c>
      <c r="S64" s="436">
        <v>6.12</v>
      </c>
      <c r="T64" s="436">
        <f t="shared" si="27"/>
        <v>4.8520000000000003</v>
      </c>
      <c r="U64" s="885">
        <v>21.317</v>
      </c>
      <c r="V64" s="436">
        <v>4.6059999999999999</v>
      </c>
      <c r="W64" s="436">
        <v>5.391</v>
      </c>
      <c r="X64" s="436">
        <v>2.58</v>
      </c>
      <c r="Y64" s="436">
        <f t="shared" si="28"/>
        <v>3.9539999999999988</v>
      </c>
      <c r="Z64" s="885">
        <v>16.530999999999999</v>
      </c>
      <c r="AA64" s="436">
        <v>2.1589999999999998</v>
      </c>
      <c r="AB64" s="436">
        <v>2.7930000000000001</v>
      </c>
      <c r="AC64" s="436">
        <v>4.4539999999999997</v>
      </c>
      <c r="AD64" s="436">
        <f t="shared" si="29"/>
        <v>4.9270000000000014</v>
      </c>
      <c r="AE64" s="885">
        <v>14.333</v>
      </c>
      <c r="AF64" s="436">
        <v>4.7830000000000004</v>
      </c>
      <c r="AG64" s="436">
        <v>4.8719999999999999</v>
      </c>
      <c r="AH64" s="436">
        <v>2.3730000000000002</v>
      </c>
      <c r="AI64" s="436">
        <f t="shared" si="30"/>
        <v>1.9229999999999983</v>
      </c>
      <c r="AJ64" s="885">
        <v>13.951000000000001</v>
      </c>
      <c r="AK64" s="436">
        <v>1.6180000000000001</v>
      </c>
      <c r="AL64" s="436">
        <v>4.048</v>
      </c>
      <c r="AM64" s="436">
        <v>3.3839999999999999</v>
      </c>
      <c r="AN64" s="436">
        <f t="shared" si="31"/>
        <v>5.3509999999999991</v>
      </c>
      <c r="AO64" s="885">
        <v>14.401</v>
      </c>
      <c r="AP64" s="436">
        <v>3.331</v>
      </c>
      <c r="AQ64" s="886">
        <v>1.66</v>
      </c>
      <c r="AR64" s="855"/>
      <c r="AS64" s="855"/>
      <c r="AT64" s="870"/>
      <c r="AU64" s="855"/>
      <c r="AV64" s="855"/>
      <c r="AW64" s="855"/>
      <c r="AX64" s="855"/>
      <c r="AY64" s="870"/>
      <c r="AZ64" s="870"/>
      <c r="BA64" s="870"/>
      <c r="BB64" s="870"/>
      <c r="BC64" s="362"/>
    </row>
    <row r="65" spans="1:55" s="23" customFormat="1" hidden="1" outlineLevel="1">
      <c r="A65" s="394" t="s">
        <v>438</v>
      </c>
      <c r="B65" s="395"/>
      <c r="C65" s="885"/>
      <c r="D65" s="885"/>
      <c r="E65" s="885"/>
      <c r="F65" s="885"/>
      <c r="G65" s="436"/>
      <c r="H65" s="436"/>
      <c r="I65" s="436">
        <v>2.8010000000000002</v>
      </c>
      <c r="J65" s="436">
        <f t="shared" si="25"/>
        <v>3.5300000000000002</v>
      </c>
      <c r="K65" s="885">
        <v>6.3310000000000004</v>
      </c>
      <c r="L65" s="436">
        <v>3.6379999999999999</v>
      </c>
      <c r="M65" s="436">
        <v>3.7040000000000002</v>
      </c>
      <c r="N65" s="436">
        <v>3.5259999999999998</v>
      </c>
      <c r="O65" s="436">
        <f t="shared" si="26"/>
        <v>3.7259999999999991</v>
      </c>
      <c r="P65" s="885">
        <v>14.593999999999999</v>
      </c>
      <c r="Q65" s="436">
        <v>3.956</v>
      </c>
      <c r="R65" s="436">
        <v>4.0739999999999998</v>
      </c>
      <c r="S65" s="436">
        <v>4.3879999999999999</v>
      </c>
      <c r="T65" s="436">
        <f t="shared" si="27"/>
        <v>3.9540000000000006</v>
      </c>
      <c r="U65" s="885">
        <v>16.372</v>
      </c>
      <c r="V65" s="436">
        <v>4.1630000000000003</v>
      </c>
      <c r="W65" s="436">
        <v>5.8250000000000002</v>
      </c>
      <c r="X65" s="436">
        <v>5.4870000000000001</v>
      </c>
      <c r="Y65" s="436">
        <f t="shared" si="28"/>
        <v>5.4120000000000008</v>
      </c>
      <c r="Z65" s="885">
        <v>20.887</v>
      </c>
      <c r="AA65" s="436">
        <v>5.9960000000000004</v>
      </c>
      <c r="AB65" s="436">
        <v>5.88</v>
      </c>
      <c r="AC65" s="436">
        <v>8.0030000000000001</v>
      </c>
      <c r="AD65" s="436">
        <f t="shared" si="29"/>
        <v>5.9699999999999989</v>
      </c>
      <c r="AE65" s="885">
        <v>25.849</v>
      </c>
      <c r="AF65" s="436">
        <v>5.6029999999999998</v>
      </c>
      <c r="AG65" s="436">
        <v>6.4969999999999999</v>
      </c>
      <c r="AH65" s="436">
        <v>6.5830000000000002</v>
      </c>
      <c r="AI65" s="436">
        <f t="shared" si="30"/>
        <v>5.4510000000000005</v>
      </c>
      <c r="AJ65" s="885">
        <v>24.134</v>
      </c>
      <c r="AK65" s="436">
        <v>5.9470000000000001</v>
      </c>
      <c r="AL65" s="436">
        <v>6.02</v>
      </c>
      <c r="AM65" s="436">
        <v>6.0890000000000004</v>
      </c>
      <c r="AN65" s="436">
        <f t="shared" si="31"/>
        <v>5.0610000000000035</v>
      </c>
      <c r="AO65" s="885">
        <v>23.117000000000001</v>
      </c>
      <c r="AP65" s="436">
        <v>3.0419999999999998</v>
      </c>
      <c r="AQ65" s="886">
        <v>2.0539999999999998</v>
      </c>
      <c r="AR65" s="855"/>
      <c r="AS65" s="855"/>
      <c r="AT65" s="870"/>
      <c r="AU65" s="855"/>
      <c r="AV65" s="855"/>
      <c r="AW65" s="855"/>
      <c r="AX65" s="855"/>
      <c r="AY65" s="870"/>
      <c r="AZ65" s="870"/>
      <c r="BA65" s="870"/>
      <c r="BB65" s="870"/>
      <c r="BC65" s="362"/>
    </row>
    <row r="66" spans="1:55" s="23" customFormat="1" hidden="1" outlineLevel="1">
      <c r="A66" s="398" t="s">
        <v>439</v>
      </c>
      <c r="B66" s="399"/>
      <c r="C66" s="887"/>
      <c r="D66" s="887"/>
      <c r="E66" s="887"/>
      <c r="F66" s="887">
        <v>9.9610000000000003</v>
      </c>
      <c r="G66" s="888">
        <v>3.4260000000000002</v>
      </c>
      <c r="H66" s="888">
        <v>3.3639999999999999</v>
      </c>
      <c r="I66" s="888">
        <v>3.7160000000000002</v>
      </c>
      <c r="J66" s="888">
        <f t="shared" si="25"/>
        <v>4.5060000000000002</v>
      </c>
      <c r="K66" s="887">
        <v>15.012</v>
      </c>
      <c r="L66" s="888">
        <v>5.0579999999999998</v>
      </c>
      <c r="M66" s="888">
        <v>5.1639999999999997</v>
      </c>
      <c r="N66" s="888">
        <v>4.367</v>
      </c>
      <c r="O66" s="888">
        <f t="shared" si="26"/>
        <v>5.0180000000000007</v>
      </c>
      <c r="P66" s="887">
        <v>19.606999999999999</v>
      </c>
      <c r="Q66" s="888">
        <v>4.8079999999999998</v>
      </c>
      <c r="R66" s="888">
        <v>4.9109999999999996</v>
      </c>
      <c r="S66" s="888">
        <v>4.4930000000000003</v>
      </c>
      <c r="T66" s="888">
        <f t="shared" si="27"/>
        <v>4.7920000000000016</v>
      </c>
      <c r="U66" s="887">
        <v>19.004000000000001</v>
      </c>
      <c r="V66" s="888">
        <v>6.1079999999999997</v>
      </c>
      <c r="W66" s="888">
        <v>4.3979999999999997</v>
      </c>
      <c r="X66" s="888">
        <v>4.0119999999999996</v>
      </c>
      <c r="Y66" s="888">
        <f t="shared" si="28"/>
        <v>4.0079999999999991</v>
      </c>
      <c r="Z66" s="887">
        <v>18.526</v>
      </c>
      <c r="AA66" s="888">
        <v>4.4219999999999997</v>
      </c>
      <c r="AB66" s="888">
        <v>4.6909999999999998</v>
      </c>
      <c r="AC66" s="888">
        <v>3.8849999999999998</v>
      </c>
      <c r="AD66" s="888">
        <f t="shared" si="29"/>
        <v>4.5140000000000011</v>
      </c>
      <c r="AE66" s="887">
        <v>17.512</v>
      </c>
      <c r="AF66" s="888">
        <v>6.8710000000000004</v>
      </c>
      <c r="AG66" s="888">
        <v>6.7990000000000004</v>
      </c>
      <c r="AH66" s="888">
        <v>7.4729999999999999</v>
      </c>
      <c r="AI66" s="888">
        <f t="shared" si="30"/>
        <v>6.9849999999999994</v>
      </c>
      <c r="AJ66" s="887">
        <v>28.128</v>
      </c>
      <c r="AK66" s="888">
        <v>5.9329999999999998</v>
      </c>
      <c r="AL66" s="888">
        <v>7.7249999999999996</v>
      </c>
      <c r="AM66" s="888">
        <v>5.8029999999999999</v>
      </c>
      <c r="AN66" s="888">
        <f t="shared" si="31"/>
        <v>5.1440000000000019</v>
      </c>
      <c r="AO66" s="887">
        <v>24.605</v>
      </c>
      <c r="AP66" s="888">
        <v>5.1760000000000002</v>
      </c>
      <c r="AQ66" s="889">
        <v>5.431</v>
      </c>
      <c r="AR66" s="890"/>
      <c r="AS66" s="890"/>
      <c r="AT66" s="872"/>
      <c r="AU66" s="890"/>
      <c r="AV66" s="890"/>
      <c r="AW66" s="890"/>
      <c r="AX66" s="890"/>
      <c r="AY66" s="872"/>
      <c r="AZ66" s="872"/>
      <c r="BA66" s="872"/>
      <c r="BB66" s="872"/>
      <c r="BC66" s="362"/>
    </row>
    <row r="67" spans="1:55" s="4" customFormat="1" hidden="1" outlineLevel="1">
      <c r="A67" s="400" t="s">
        <v>445</v>
      </c>
      <c r="B67" s="401"/>
      <c r="C67" s="852"/>
      <c r="D67" s="852"/>
      <c r="E67" s="852"/>
      <c r="F67" s="852">
        <f t="shared" ref="F67:AQ67" si="32">SUM(F61:F66)</f>
        <v>254.95500000000001</v>
      </c>
      <c r="G67" s="418">
        <f t="shared" si="32"/>
        <v>71.668999999999997</v>
      </c>
      <c r="H67" s="418">
        <f t="shared" si="32"/>
        <v>68.676000000000002</v>
      </c>
      <c r="I67" s="418">
        <f t="shared" si="32"/>
        <v>87.525000000000006</v>
      </c>
      <c r="J67" s="418">
        <f t="shared" si="32"/>
        <v>102.66</v>
      </c>
      <c r="K67" s="852">
        <f t="shared" si="32"/>
        <v>330.53000000000003</v>
      </c>
      <c r="L67" s="418">
        <f t="shared" si="32"/>
        <v>122.37200000000001</v>
      </c>
      <c r="M67" s="418">
        <f t="shared" si="32"/>
        <v>121.523</v>
      </c>
      <c r="N67" s="418">
        <f t="shared" si="32"/>
        <v>122.233</v>
      </c>
      <c r="O67" s="418">
        <f t="shared" si="32"/>
        <v>128.619</v>
      </c>
      <c r="P67" s="852">
        <f t="shared" si="32"/>
        <v>494.74700000000007</v>
      </c>
      <c r="Q67" s="418">
        <f t="shared" si="32"/>
        <v>142.35199999999998</v>
      </c>
      <c r="R67" s="418">
        <f t="shared" si="32"/>
        <v>132.16999999999999</v>
      </c>
      <c r="S67" s="418">
        <f t="shared" si="32"/>
        <v>138.72800000000001</v>
      </c>
      <c r="T67" s="418">
        <f t="shared" si="32"/>
        <v>136.48800000000006</v>
      </c>
      <c r="U67" s="852">
        <f t="shared" si="32"/>
        <v>549.73799999999994</v>
      </c>
      <c r="V67" s="418">
        <f t="shared" si="32"/>
        <v>138.30900000000003</v>
      </c>
      <c r="W67" s="418">
        <f t="shared" si="32"/>
        <v>142.50099999999998</v>
      </c>
      <c r="X67" s="418">
        <f t="shared" si="32"/>
        <v>125.179</v>
      </c>
      <c r="Y67" s="418">
        <f t="shared" si="32"/>
        <v>128.05199999999999</v>
      </c>
      <c r="Z67" s="852">
        <f t="shared" si="32"/>
        <v>534.04100000000005</v>
      </c>
      <c r="AA67" s="418">
        <f t="shared" si="32"/>
        <v>136.827</v>
      </c>
      <c r="AB67" s="418">
        <f t="shared" si="32"/>
        <v>129.547</v>
      </c>
      <c r="AC67" s="418">
        <f t="shared" si="32"/>
        <v>128.66299999999998</v>
      </c>
      <c r="AD67" s="418">
        <f t="shared" si="32"/>
        <v>139.566</v>
      </c>
      <c r="AE67" s="852">
        <f t="shared" si="32"/>
        <v>534.60300000000007</v>
      </c>
      <c r="AF67" s="418">
        <f t="shared" si="32"/>
        <v>164.6</v>
      </c>
      <c r="AG67" s="418">
        <f t="shared" si="32"/>
        <v>166.20400000000004</v>
      </c>
      <c r="AH67" s="418">
        <f t="shared" si="32"/>
        <v>169.57900000000001</v>
      </c>
      <c r="AI67" s="418">
        <f t="shared" si="32"/>
        <v>175.24200000000002</v>
      </c>
      <c r="AJ67" s="852">
        <f t="shared" si="32"/>
        <v>675.62500000000011</v>
      </c>
      <c r="AK67" s="418">
        <f t="shared" si="32"/>
        <v>188.50099999999998</v>
      </c>
      <c r="AL67" s="418">
        <f t="shared" si="32"/>
        <v>174.28700000000001</v>
      </c>
      <c r="AM67" s="418">
        <f t="shared" si="32"/>
        <v>157.702</v>
      </c>
      <c r="AN67" s="418">
        <f t="shared" si="32"/>
        <v>172.11900000000003</v>
      </c>
      <c r="AO67" s="852">
        <f t="shared" si="32"/>
        <v>692.60900000000004</v>
      </c>
      <c r="AP67" s="418">
        <f t="shared" si="32"/>
        <v>141.07</v>
      </c>
      <c r="AQ67" s="895">
        <f t="shared" si="32"/>
        <v>102.57300000000001</v>
      </c>
      <c r="AR67" s="896"/>
      <c r="AS67" s="896"/>
      <c r="AT67" s="897"/>
      <c r="AU67" s="896"/>
      <c r="AV67" s="896"/>
      <c r="AW67" s="896"/>
      <c r="AX67" s="896"/>
      <c r="AY67" s="897"/>
      <c r="AZ67" s="897"/>
      <c r="BA67" s="897"/>
      <c r="BB67" s="897"/>
      <c r="BC67" s="363"/>
    </row>
    <row r="68" spans="1:55" s="4" customFormat="1" hidden="1" outlineLevel="1">
      <c r="A68" s="420" t="s">
        <v>446</v>
      </c>
      <c r="B68" s="421"/>
      <c r="C68" s="892"/>
      <c r="D68" s="892"/>
      <c r="E68" s="892"/>
      <c r="F68" s="892">
        <f t="shared" ref="F68:AQ68" si="33">F25</f>
        <v>11.491</v>
      </c>
      <c r="G68" s="893">
        <f t="shared" si="33"/>
        <v>2.298</v>
      </c>
      <c r="H68" s="893">
        <f t="shared" si="33"/>
        <v>2.157</v>
      </c>
      <c r="I68" s="893">
        <f t="shared" si="33"/>
        <v>2.1560000000000001</v>
      </c>
      <c r="J68" s="893">
        <f t="shared" si="33"/>
        <v>2.7959999999999994</v>
      </c>
      <c r="K68" s="892">
        <f t="shared" si="33"/>
        <v>9.407</v>
      </c>
      <c r="L68" s="893">
        <f t="shared" si="33"/>
        <v>18.579000000000001</v>
      </c>
      <c r="M68" s="893">
        <f t="shared" si="33"/>
        <v>53.04</v>
      </c>
      <c r="N68" s="893">
        <f t="shared" si="33"/>
        <v>57.209000000000003</v>
      </c>
      <c r="O68" s="893">
        <f t="shared" si="33"/>
        <v>37.464000000000027</v>
      </c>
      <c r="P68" s="892">
        <f t="shared" si="33"/>
        <v>166.292</v>
      </c>
      <c r="Q68" s="893">
        <f t="shared" si="33"/>
        <v>19.286000000000001</v>
      </c>
      <c r="R68" s="893">
        <f t="shared" si="33"/>
        <v>40.986000000000004</v>
      </c>
      <c r="S68" s="893">
        <f t="shared" si="33"/>
        <v>61.417000000000002</v>
      </c>
      <c r="T68" s="893">
        <f t="shared" si="33"/>
        <v>20.852000000000004</v>
      </c>
      <c r="U68" s="892">
        <f t="shared" si="33"/>
        <v>142.541</v>
      </c>
      <c r="V68" s="893">
        <f t="shared" si="33"/>
        <v>21.221</v>
      </c>
      <c r="W68" s="893">
        <f t="shared" si="33"/>
        <v>21.925000000000001</v>
      </c>
      <c r="X68" s="893">
        <f t="shared" si="33"/>
        <v>29.92</v>
      </c>
      <c r="Y68" s="893">
        <f t="shared" si="33"/>
        <v>26.015999999999998</v>
      </c>
      <c r="Z68" s="892">
        <f t="shared" si="33"/>
        <v>99.081999999999994</v>
      </c>
      <c r="AA68" s="893">
        <f t="shared" si="33"/>
        <v>15.569000000000001</v>
      </c>
      <c r="AB68" s="893">
        <f t="shared" si="33"/>
        <v>21.567</v>
      </c>
      <c r="AC68" s="893">
        <f t="shared" si="33"/>
        <v>20.972999999999999</v>
      </c>
      <c r="AD68" s="893">
        <f t="shared" si="33"/>
        <v>31.752000000000002</v>
      </c>
      <c r="AE68" s="892">
        <f t="shared" si="33"/>
        <v>89.861000000000004</v>
      </c>
      <c r="AF68" s="893">
        <f t="shared" si="33"/>
        <v>14.459</v>
      </c>
      <c r="AG68" s="893">
        <f t="shared" si="33"/>
        <v>42.402000000000001</v>
      </c>
      <c r="AH68" s="893">
        <f t="shared" si="33"/>
        <v>43.094999999999999</v>
      </c>
      <c r="AI68" s="893">
        <f t="shared" si="33"/>
        <v>27.674999999999997</v>
      </c>
      <c r="AJ68" s="892">
        <f t="shared" si="33"/>
        <v>127.631</v>
      </c>
      <c r="AK68" s="893">
        <f t="shared" si="33"/>
        <v>19.672999999999998</v>
      </c>
      <c r="AL68" s="893">
        <f t="shared" si="33"/>
        <v>14.811</v>
      </c>
      <c r="AM68" s="893">
        <f t="shared" si="33"/>
        <v>19.316000000000003</v>
      </c>
      <c r="AN68" s="893">
        <f t="shared" si="33"/>
        <v>26.292999999999999</v>
      </c>
      <c r="AO68" s="892">
        <f t="shared" si="33"/>
        <v>80.092999999999989</v>
      </c>
      <c r="AP68" s="893">
        <f t="shared" si="33"/>
        <v>16.513999999999999</v>
      </c>
      <c r="AQ68" s="894">
        <f t="shared" si="33"/>
        <v>21.120999999999999</v>
      </c>
      <c r="AR68" s="904"/>
      <c r="AS68" s="904"/>
      <c r="AT68" s="905"/>
      <c r="AU68" s="904"/>
      <c r="AV68" s="904"/>
      <c r="AW68" s="904"/>
      <c r="AX68" s="904"/>
      <c r="AY68" s="905"/>
      <c r="AZ68" s="905"/>
      <c r="BA68" s="905"/>
      <c r="BB68" s="905"/>
      <c r="BC68" s="363"/>
    </row>
    <row r="69" spans="1:55" s="4" customFormat="1" hidden="1" outlineLevel="1">
      <c r="A69" s="403" t="s">
        <v>288</v>
      </c>
      <c r="B69" s="401"/>
      <c r="C69" s="852"/>
      <c r="D69" s="852"/>
      <c r="E69" s="852"/>
      <c r="F69" s="852">
        <f t="shared" ref="F69:AQ69" si="34">F67+F68</f>
        <v>266.44600000000003</v>
      </c>
      <c r="G69" s="418">
        <f t="shared" si="34"/>
        <v>73.966999999999999</v>
      </c>
      <c r="H69" s="418">
        <f t="shared" si="34"/>
        <v>70.832999999999998</v>
      </c>
      <c r="I69" s="418">
        <f t="shared" si="34"/>
        <v>89.681000000000012</v>
      </c>
      <c r="J69" s="418">
        <f t="shared" si="34"/>
        <v>105.45599999999999</v>
      </c>
      <c r="K69" s="852">
        <f t="shared" si="34"/>
        <v>339.93700000000001</v>
      </c>
      <c r="L69" s="418">
        <f t="shared" si="34"/>
        <v>140.95100000000002</v>
      </c>
      <c r="M69" s="418">
        <f t="shared" si="34"/>
        <v>174.56299999999999</v>
      </c>
      <c r="N69" s="418">
        <f t="shared" si="34"/>
        <v>179.44200000000001</v>
      </c>
      <c r="O69" s="418">
        <f t="shared" si="34"/>
        <v>166.08300000000003</v>
      </c>
      <c r="P69" s="852">
        <f t="shared" si="34"/>
        <v>661.0390000000001</v>
      </c>
      <c r="Q69" s="418">
        <f t="shared" si="34"/>
        <v>161.63799999999998</v>
      </c>
      <c r="R69" s="418">
        <f t="shared" si="34"/>
        <v>173.15600000000001</v>
      </c>
      <c r="S69" s="418">
        <f t="shared" si="34"/>
        <v>200.14500000000001</v>
      </c>
      <c r="T69" s="418">
        <f t="shared" si="34"/>
        <v>157.34000000000006</v>
      </c>
      <c r="U69" s="852">
        <f t="shared" si="34"/>
        <v>692.279</v>
      </c>
      <c r="V69" s="418">
        <f t="shared" si="34"/>
        <v>159.53000000000003</v>
      </c>
      <c r="W69" s="418">
        <f t="shared" si="34"/>
        <v>164.42599999999999</v>
      </c>
      <c r="X69" s="418">
        <f t="shared" si="34"/>
        <v>155.09899999999999</v>
      </c>
      <c r="Y69" s="418">
        <f t="shared" si="34"/>
        <v>154.06799999999998</v>
      </c>
      <c r="Z69" s="852">
        <f t="shared" si="34"/>
        <v>633.12300000000005</v>
      </c>
      <c r="AA69" s="418">
        <f t="shared" si="34"/>
        <v>152.39599999999999</v>
      </c>
      <c r="AB69" s="418">
        <f t="shared" si="34"/>
        <v>151.114</v>
      </c>
      <c r="AC69" s="418">
        <f t="shared" si="34"/>
        <v>149.63599999999997</v>
      </c>
      <c r="AD69" s="418">
        <f t="shared" si="34"/>
        <v>171.31800000000001</v>
      </c>
      <c r="AE69" s="852">
        <f t="shared" si="34"/>
        <v>624.46400000000006</v>
      </c>
      <c r="AF69" s="418">
        <f t="shared" si="34"/>
        <v>179.059</v>
      </c>
      <c r="AG69" s="418">
        <f t="shared" si="34"/>
        <v>208.60600000000005</v>
      </c>
      <c r="AH69" s="418">
        <f t="shared" si="34"/>
        <v>212.67400000000001</v>
      </c>
      <c r="AI69" s="418">
        <f t="shared" si="34"/>
        <v>202.91700000000003</v>
      </c>
      <c r="AJ69" s="852">
        <f t="shared" si="34"/>
        <v>803.25600000000009</v>
      </c>
      <c r="AK69" s="418">
        <f t="shared" si="34"/>
        <v>208.17399999999998</v>
      </c>
      <c r="AL69" s="418">
        <f t="shared" si="34"/>
        <v>189.09800000000001</v>
      </c>
      <c r="AM69" s="418">
        <f t="shared" si="34"/>
        <v>177.018</v>
      </c>
      <c r="AN69" s="418">
        <f t="shared" si="34"/>
        <v>198.41200000000003</v>
      </c>
      <c r="AO69" s="852">
        <f t="shared" si="34"/>
        <v>772.702</v>
      </c>
      <c r="AP69" s="418">
        <f t="shared" si="34"/>
        <v>157.584</v>
      </c>
      <c r="AQ69" s="895">
        <f t="shared" si="34"/>
        <v>123.694</v>
      </c>
      <c r="AR69" s="896"/>
      <c r="AS69" s="896"/>
      <c r="AT69" s="897"/>
      <c r="AU69" s="896"/>
      <c r="AV69" s="896"/>
      <c r="AW69" s="896"/>
      <c r="AX69" s="896"/>
      <c r="AY69" s="897"/>
      <c r="AZ69" s="897"/>
      <c r="BA69" s="897"/>
      <c r="BB69" s="897"/>
      <c r="BC69" s="363"/>
    </row>
    <row r="70" spans="1:55" s="23" customFormat="1" ht="14.45" customHeight="1" collapsed="1">
      <c r="A70" s="422"/>
      <c r="B70" s="395"/>
      <c r="C70" s="885"/>
      <c r="D70" s="885"/>
      <c r="E70" s="885"/>
      <c r="F70" s="885"/>
      <c r="G70" s="436"/>
      <c r="H70" s="436"/>
      <c r="I70" s="436"/>
      <c r="J70" s="436"/>
      <c r="K70" s="885"/>
      <c r="L70" s="436"/>
      <c r="M70" s="436"/>
      <c r="N70" s="436"/>
      <c r="O70" s="436"/>
      <c r="P70" s="885"/>
      <c r="Q70" s="436"/>
      <c r="R70" s="436"/>
      <c r="S70" s="436"/>
      <c r="T70" s="436"/>
      <c r="U70" s="885"/>
      <c r="V70" s="436"/>
      <c r="W70" s="436"/>
      <c r="X70" s="436"/>
      <c r="Y70" s="436"/>
      <c r="Z70" s="885"/>
      <c r="AA70" s="436"/>
      <c r="AB70" s="436"/>
      <c r="AC70" s="436"/>
      <c r="AD70" s="436"/>
      <c r="AE70" s="885"/>
      <c r="AF70" s="436"/>
      <c r="AG70" s="436"/>
      <c r="AH70" s="436"/>
      <c r="AI70" s="436"/>
      <c r="AJ70" s="885"/>
      <c r="AK70" s="436"/>
      <c r="AL70" s="436"/>
      <c r="AM70" s="436"/>
      <c r="AN70" s="436"/>
      <c r="AO70" s="885"/>
      <c r="AP70" s="436"/>
      <c r="AQ70" s="886"/>
      <c r="AR70" s="855"/>
      <c r="AS70" s="855"/>
      <c r="AT70" s="870"/>
      <c r="AU70" s="855"/>
      <c r="AV70" s="855"/>
      <c r="AW70" s="855"/>
      <c r="AX70" s="855"/>
      <c r="AY70" s="870"/>
      <c r="AZ70" s="870"/>
      <c r="BA70" s="870"/>
      <c r="BB70" s="870"/>
      <c r="BC70" s="362"/>
    </row>
    <row r="71" spans="1:55" s="4" customFormat="1" ht="14.45" customHeight="1">
      <c r="A71" s="514" t="s">
        <v>115</v>
      </c>
      <c r="B71" s="514"/>
      <c r="C71" s="883"/>
      <c r="D71" s="883"/>
      <c r="E71" s="883"/>
      <c r="F71" s="883"/>
      <c r="G71" s="883"/>
      <c r="H71" s="883"/>
      <c r="I71" s="883"/>
      <c r="J71" s="883"/>
      <c r="K71" s="883"/>
      <c r="L71" s="883"/>
      <c r="M71" s="883"/>
      <c r="N71" s="883"/>
      <c r="O71" s="883"/>
      <c r="P71" s="883"/>
      <c r="Q71" s="883"/>
      <c r="R71" s="883"/>
      <c r="S71" s="883"/>
      <c r="T71" s="883"/>
      <c r="U71" s="883"/>
      <c r="V71" s="883"/>
      <c r="W71" s="883"/>
      <c r="X71" s="883"/>
      <c r="Y71" s="883"/>
      <c r="Z71" s="883"/>
      <c r="AA71" s="883"/>
      <c r="AB71" s="883"/>
      <c r="AC71" s="883"/>
      <c r="AD71" s="883"/>
      <c r="AE71" s="883"/>
      <c r="AF71" s="883"/>
      <c r="AG71" s="883"/>
      <c r="AH71" s="883"/>
      <c r="AI71" s="883"/>
      <c r="AJ71" s="883"/>
      <c r="AK71" s="883"/>
      <c r="AL71" s="883"/>
      <c r="AM71" s="883"/>
      <c r="AN71" s="883"/>
      <c r="AO71" s="883"/>
      <c r="AP71" s="883"/>
      <c r="AQ71" s="884"/>
      <c r="AR71" s="883"/>
      <c r="AS71" s="883"/>
      <c r="AT71" s="883"/>
      <c r="AU71" s="883"/>
      <c r="AV71" s="883"/>
      <c r="AW71" s="883"/>
      <c r="AX71" s="883"/>
      <c r="AY71" s="883"/>
      <c r="AZ71" s="883"/>
      <c r="BA71" s="883"/>
      <c r="BB71" s="883"/>
      <c r="BC71" s="363"/>
    </row>
    <row r="72" spans="1:55" s="23" customFormat="1" hidden="1" outlineLevel="1">
      <c r="A72" s="394" t="s">
        <v>283</v>
      </c>
      <c r="B72" s="395"/>
      <c r="C72" s="885"/>
      <c r="D72" s="885"/>
      <c r="E72" s="885"/>
      <c r="F72" s="885"/>
      <c r="G72" s="436"/>
      <c r="H72" s="436"/>
      <c r="I72" s="436"/>
      <c r="J72" s="436"/>
      <c r="K72" s="885"/>
      <c r="L72" s="436"/>
      <c r="M72" s="436"/>
      <c r="N72" s="436"/>
      <c r="O72" s="436"/>
      <c r="P72" s="885">
        <v>444.27699999999999</v>
      </c>
      <c r="Q72" s="436"/>
      <c r="R72" s="436"/>
      <c r="S72" s="436"/>
      <c r="T72" s="436"/>
      <c r="U72" s="885">
        <v>508.72399999999999</v>
      </c>
      <c r="V72" s="436"/>
      <c r="W72" s="436"/>
      <c r="X72" s="436"/>
      <c r="Y72" s="436"/>
      <c r="Z72" s="885">
        <v>504.27</v>
      </c>
      <c r="AA72" s="436"/>
      <c r="AB72" s="436"/>
      <c r="AC72" s="436"/>
      <c r="AD72" s="436"/>
      <c r="AE72" s="885">
        <v>482.21899999999999</v>
      </c>
      <c r="AF72" s="436"/>
      <c r="AG72" s="436"/>
      <c r="AH72" s="436"/>
      <c r="AI72" s="436"/>
      <c r="AJ72" s="885">
        <v>575.83000000000004</v>
      </c>
      <c r="AK72" s="436"/>
      <c r="AL72" s="436"/>
      <c r="AM72" s="436"/>
      <c r="AN72" s="436"/>
      <c r="AO72" s="885">
        <v>583.58900000000006</v>
      </c>
      <c r="AP72" s="436"/>
      <c r="AQ72" s="886"/>
      <c r="AR72" s="855"/>
      <c r="AS72" s="855"/>
      <c r="AT72" s="870"/>
      <c r="AU72" s="855"/>
      <c r="AV72" s="855"/>
      <c r="AW72" s="855"/>
      <c r="AX72" s="855"/>
      <c r="AY72" s="870"/>
      <c r="AZ72" s="870"/>
      <c r="BA72" s="870"/>
      <c r="BB72" s="870"/>
      <c r="BC72" s="362"/>
    </row>
    <row r="73" spans="1:55" s="23" customFormat="1" hidden="1" outlineLevel="1">
      <c r="A73" s="398" t="s">
        <v>290</v>
      </c>
      <c r="B73" s="399"/>
      <c r="C73" s="887"/>
      <c r="D73" s="887"/>
      <c r="E73" s="887"/>
      <c r="F73" s="887"/>
      <c r="G73" s="888"/>
      <c r="H73" s="888"/>
      <c r="I73" s="888"/>
      <c r="J73" s="888"/>
      <c r="K73" s="887"/>
      <c r="L73" s="888"/>
      <c r="M73" s="888"/>
      <c r="N73" s="888"/>
      <c r="O73" s="888"/>
      <c r="P73" s="887">
        <v>8.7170000000000005</v>
      </c>
      <c r="Q73" s="888"/>
      <c r="R73" s="888"/>
      <c r="S73" s="888"/>
      <c r="T73" s="888"/>
      <c r="U73" s="887">
        <v>13.044</v>
      </c>
      <c r="V73" s="888"/>
      <c r="W73" s="888"/>
      <c r="X73" s="888"/>
      <c r="Y73" s="888"/>
      <c r="Z73" s="887">
        <v>12.331</v>
      </c>
      <c r="AA73" s="888"/>
      <c r="AB73" s="888"/>
      <c r="AC73" s="888"/>
      <c r="AD73" s="888"/>
      <c r="AE73" s="887">
        <v>6.1980000000000004</v>
      </c>
      <c r="AF73" s="888"/>
      <c r="AG73" s="888"/>
      <c r="AH73" s="888"/>
      <c r="AI73" s="888"/>
      <c r="AJ73" s="887">
        <v>10.834</v>
      </c>
      <c r="AK73" s="888"/>
      <c r="AL73" s="888"/>
      <c r="AM73" s="888"/>
      <c r="AN73" s="888"/>
      <c r="AO73" s="887">
        <v>12.585000000000001</v>
      </c>
      <c r="AP73" s="888"/>
      <c r="AQ73" s="889"/>
      <c r="AR73" s="890"/>
      <c r="AS73" s="890"/>
      <c r="AT73" s="872"/>
      <c r="AU73" s="890"/>
      <c r="AV73" s="890"/>
      <c r="AW73" s="890"/>
      <c r="AX73" s="890"/>
      <c r="AY73" s="872"/>
      <c r="AZ73" s="872"/>
      <c r="BA73" s="872"/>
      <c r="BB73" s="872"/>
      <c r="BC73" s="362"/>
    </row>
    <row r="74" spans="1:55" s="23" customFormat="1" hidden="1" outlineLevel="1">
      <c r="A74" s="229" t="s">
        <v>289</v>
      </c>
      <c r="B74" s="395"/>
      <c r="C74" s="885">
        <v>165.12299999999999</v>
      </c>
      <c r="D74" s="885">
        <v>168.55600000000001</v>
      </c>
      <c r="E74" s="885">
        <v>196.447</v>
      </c>
      <c r="F74" s="885">
        <v>233.245</v>
      </c>
      <c r="G74" s="436"/>
      <c r="H74" s="436"/>
      <c r="I74" s="436"/>
      <c r="J74" s="436"/>
      <c r="K74" s="885">
        <v>300.36799999999999</v>
      </c>
      <c r="L74" s="436"/>
      <c r="M74" s="436"/>
      <c r="N74" s="436"/>
      <c r="O74" s="436"/>
      <c r="P74" s="885">
        <f>SUM(P72:P73)</f>
        <v>452.99399999999997</v>
      </c>
      <c r="Q74" s="436"/>
      <c r="R74" s="436"/>
      <c r="S74" s="436"/>
      <c r="T74" s="436"/>
      <c r="U74" s="885">
        <f>SUM(U72:U73)</f>
        <v>521.76800000000003</v>
      </c>
      <c r="V74" s="436"/>
      <c r="W74" s="436"/>
      <c r="X74" s="436"/>
      <c r="Y74" s="436"/>
      <c r="Z74" s="885">
        <f>SUM(Z72:Z73)</f>
        <v>516.601</v>
      </c>
      <c r="AA74" s="436"/>
      <c r="AB74" s="436"/>
      <c r="AC74" s="436"/>
      <c r="AD74" s="436"/>
      <c r="AE74" s="885">
        <f>SUM(AE72:AE73)</f>
        <v>488.41699999999997</v>
      </c>
      <c r="AF74" s="436"/>
      <c r="AG74" s="436"/>
      <c r="AH74" s="436"/>
      <c r="AI74" s="436"/>
      <c r="AJ74" s="885">
        <f>SUM(AJ72:AJ73)</f>
        <v>586.66399999999999</v>
      </c>
      <c r="AK74" s="436"/>
      <c r="AL74" s="436"/>
      <c r="AM74" s="436"/>
      <c r="AN74" s="436"/>
      <c r="AO74" s="885">
        <f>SUM(AO72:AO73)</f>
        <v>596.17400000000009</v>
      </c>
      <c r="AP74" s="436"/>
      <c r="AQ74" s="886"/>
      <c r="AR74" s="855"/>
      <c r="AS74" s="855"/>
      <c r="AT74" s="870"/>
      <c r="AU74" s="855"/>
      <c r="AV74" s="855"/>
      <c r="AW74" s="855"/>
      <c r="AX74" s="855"/>
      <c r="AY74" s="870"/>
      <c r="AZ74" s="870"/>
      <c r="BA74" s="870"/>
      <c r="BB74" s="870"/>
      <c r="BC74" s="362"/>
    </row>
    <row r="75" spans="1:55" s="23" customFormat="1" hidden="1" outlineLevel="1">
      <c r="A75" s="229" t="s">
        <v>193</v>
      </c>
      <c r="B75" s="395"/>
      <c r="C75" s="885">
        <v>10.867000000000001</v>
      </c>
      <c r="D75" s="885">
        <v>13.026</v>
      </c>
      <c r="E75" s="885">
        <v>12.544</v>
      </c>
      <c r="F75" s="885">
        <v>16.187999999999999</v>
      </c>
      <c r="G75" s="436"/>
      <c r="H75" s="436"/>
      <c r="I75" s="436"/>
      <c r="J75" s="436"/>
      <c r="K75" s="885">
        <v>15.57</v>
      </c>
      <c r="L75" s="436"/>
      <c r="M75" s="436"/>
      <c r="N75" s="436"/>
      <c r="O75" s="436"/>
      <c r="P75" s="885">
        <v>141.24700000000001</v>
      </c>
      <c r="Q75" s="436"/>
      <c r="R75" s="436"/>
      <c r="S75" s="436"/>
      <c r="T75" s="436"/>
      <c r="U75" s="885">
        <v>108.967</v>
      </c>
      <c r="V75" s="436"/>
      <c r="W75" s="436"/>
      <c r="X75" s="436"/>
      <c r="Y75" s="436"/>
      <c r="Z75" s="885">
        <v>52.170999999999999</v>
      </c>
      <c r="AA75" s="436"/>
      <c r="AB75" s="436"/>
      <c r="AC75" s="436"/>
      <c r="AD75" s="436"/>
      <c r="AE75" s="885">
        <v>58.731999999999999</v>
      </c>
      <c r="AF75" s="436"/>
      <c r="AG75" s="436"/>
      <c r="AH75" s="436"/>
      <c r="AI75" s="436"/>
      <c r="AJ75" s="885">
        <v>112.13500000000001</v>
      </c>
      <c r="AK75" s="436"/>
      <c r="AL75" s="436"/>
      <c r="AM75" s="436"/>
      <c r="AN75" s="436"/>
      <c r="AO75" s="885">
        <v>40.764000000000003</v>
      </c>
      <c r="AP75" s="436"/>
      <c r="AQ75" s="886"/>
      <c r="AR75" s="855"/>
      <c r="AS75" s="855"/>
      <c r="AT75" s="870"/>
      <c r="AU75" s="855"/>
      <c r="AV75" s="855"/>
      <c r="AW75" s="855"/>
      <c r="AX75" s="855"/>
      <c r="AY75" s="870"/>
      <c r="AZ75" s="870"/>
      <c r="BA75" s="870"/>
      <c r="BB75" s="870"/>
      <c r="BC75" s="362"/>
    </row>
    <row r="76" spans="1:55" s="23" customFormat="1" hidden="1" outlineLevel="1">
      <c r="A76" s="229" t="s">
        <v>194</v>
      </c>
      <c r="B76" s="395"/>
      <c r="C76" s="885">
        <v>13.391</v>
      </c>
      <c r="D76" s="885">
        <v>11.294</v>
      </c>
      <c r="E76" s="885">
        <v>16.238</v>
      </c>
      <c r="F76" s="885">
        <v>14.03</v>
      </c>
      <c r="G76" s="436"/>
      <c r="H76" s="436"/>
      <c r="I76" s="436"/>
      <c r="J76" s="436"/>
      <c r="K76" s="885">
        <v>21.19</v>
      </c>
      <c r="L76" s="436"/>
      <c r="M76" s="436"/>
      <c r="N76" s="436"/>
      <c r="O76" s="436"/>
      <c r="P76" s="885">
        <v>64.742000000000004</v>
      </c>
      <c r="Q76" s="436"/>
      <c r="R76" s="436"/>
      <c r="S76" s="436"/>
      <c r="T76" s="436"/>
      <c r="U76" s="885">
        <v>57.936</v>
      </c>
      <c r="V76" s="436"/>
      <c r="W76" s="436"/>
      <c r="X76" s="436"/>
      <c r="Y76" s="436"/>
      <c r="Z76" s="885">
        <v>61.2</v>
      </c>
      <c r="AA76" s="436"/>
      <c r="AB76" s="436"/>
      <c r="AC76" s="436"/>
      <c r="AD76" s="436"/>
      <c r="AE76" s="885">
        <v>73.677000000000007</v>
      </c>
      <c r="AF76" s="436"/>
      <c r="AG76" s="436"/>
      <c r="AH76" s="436"/>
      <c r="AI76" s="436"/>
      <c r="AJ76" s="885">
        <v>98.192999999999998</v>
      </c>
      <c r="AK76" s="436"/>
      <c r="AL76" s="436"/>
      <c r="AM76" s="436"/>
      <c r="AN76" s="436"/>
      <c r="AO76" s="885">
        <v>130.227</v>
      </c>
      <c r="AP76" s="436"/>
      <c r="AQ76" s="886"/>
      <c r="AR76" s="855"/>
      <c r="AS76" s="855"/>
      <c r="AT76" s="870"/>
      <c r="AU76" s="855"/>
      <c r="AV76" s="855"/>
      <c r="AW76" s="855"/>
      <c r="AX76" s="855"/>
      <c r="AY76" s="870"/>
      <c r="AZ76" s="870"/>
      <c r="BA76" s="870"/>
      <c r="BB76" s="870"/>
      <c r="BC76" s="362"/>
    </row>
    <row r="77" spans="1:55" s="23" customFormat="1" hidden="1" outlineLevel="1">
      <c r="A77" s="229" t="s">
        <v>195</v>
      </c>
      <c r="B77" s="395"/>
      <c r="C77" s="885">
        <v>1.659</v>
      </c>
      <c r="D77" s="885">
        <v>2.4569999999999999</v>
      </c>
      <c r="E77" s="885">
        <v>2.6779999999999999</v>
      </c>
      <c r="F77" s="885">
        <v>1.9370000000000001</v>
      </c>
      <c r="G77" s="436"/>
      <c r="H77" s="436"/>
      <c r="I77" s="436"/>
      <c r="J77" s="436"/>
      <c r="K77" s="885">
        <v>1.851</v>
      </c>
      <c r="L77" s="436"/>
      <c r="M77" s="436"/>
      <c r="N77" s="436"/>
      <c r="O77" s="436"/>
      <c r="P77" s="885">
        <v>1.1919999999999999</v>
      </c>
      <c r="Q77" s="436"/>
      <c r="R77" s="436"/>
      <c r="S77" s="436"/>
      <c r="T77" s="436"/>
      <c r="U77" s="885">
        <v>1.1120000000000001</v>
      </c>
      <c r="V77" s="436"/>
      <c r="W77" s="436"/>
      <c r="X77" s="436"/>
      <c r="Y77" s="436"/>
      <c r="Z77" s="885">
        <v>0.57699999999999996</v>
      </c>
      <c r="AA77" s="436"/>
      <c r="AB77" s="436"/>
      <c r="AC77" s="436"/>
      <c r="AD77" s="436"/>
      <c r="AE77" s="885">
        <v>1.28</v>
      </c>
      <c r="AF77" s="436"/>
      <c r="AG77" s="436"/>
      <c r="AH77" s="436"/>
      <c r="AI77" s="436"/>
      <c r="AJ77" s="885">
        <v>1.9730000000000001</v>
      </c>
      <c r="AK77" s="436"/>
      <c r="AL77" s="436"/>
      <c r="AM77" s="436"/>
      <c r="AN77" s="436"/>
      <c r="AO77" s="885">
        <v>0.86199999999999999</v>
      </c>
      <c r="AP77" s="436"/>
      <c r="AQ77" s="886"/>
      <c r="AR77" s="855"/>
      <c r="AS77" s="855"/>
      <c r="AT77" s="870"/>
      <c r="AU77" s="855"/>
      <c r="AV77" s="855"/>
      <c r="AW77" s="855"/>
      <c r="AX77" s="855"/>
      <c r="AY77" s="870"/>
      <c r="AZ77" s="870"/>
      <c r="BA77" s="870"/>
      <c r="BB77" s="870"/>
      <c r="BC77" s="362"/>
    </row>
    <row r="78" spans="1:55" s="23" customFormat="1" hidden="1" outlineLevel="1">
      <c r="A78" s="229" t="s">
        <v>191</v>
      </c>
      <c r="B78" s="395"/>
      <c r="C78" s="885">
        <v>0.161</v>
      </c>
      <c r="D78" s="885">
        <v>0.42099999999999999</v>
      </c>
      <c r="E78" s="885">
        <v>0.25600000000000001</v>
      </c>
      <c r="F78" s="885">
        <v>1.046</v>
      </c>
      <c r="G78" s="436"/>
      <c r="H78" s="436"/>
      <c r="I78" s="436"/>
      <c r="J78" s="436"/>
      <c r="K78" s="885">
        <v>0.95799999999999996</v>
      </c>
      <c r="L78" s="436"/>
      <c r="M78" s="436"/>
      <c r="N78" s="436"/>
      <c r="O78" s="436"/>
      <c r="P78" s="885">
        <v>0.86399999999999999</v>
      </c>
      <c r="Q78" s="436"/>
      <c r="R78" s="436"/>
      <c r="S78" s="436"/>
      <c r="T78" s="436"/>
      <c r="U78" s="885">
        <v>2.496</v>
      </c>
      <c r="V78" s="436"/>
      <c r="W78" s="436"/>
      <c r="X78" s="436"/>
      <c r="Y78" s="436"/>
      <c r="Z78" s="885">
        <v>2.5739999999999998</v>
      </c>
      <c r="AA78" s="436"/>
      <c r="AB78" s="436"/>
      <c r="AC78" s="436"/>
      <c r="AD78" s="436"/>
      <c r="AE78" s="885">
        <v>2.3580000000000001</v>
      </c>
      <c r="AF78" s="436"/>
      <c r="AG78" s="436"/>
      <c r="AH78" s="436"/>
      <c r="AI78" s="436"/>
      <c r="AJ78" s="885">
        <v>4.2910000000000004</v>
      </c>
      <c r="AK78" s="436"/>
      <c r="AL78" s="436"/>
      <c r="AM78" s="436"/>
      <c r="AN78" s="436"/>
      <c r="AO78" s="885">
        <v>4.6749999999999998</v>
      </c>
      <c r="AP78" s="436"/>
      <c r="AQ78" s="886"/>
      <c r="AR78" s="855"/>
      <c r="AS78" s="855"/>
      <c r="AT78" s="870"/>
      <c r="AU78" s="855"/>
      <c r="AV78" s="855"/>
      <c r="AW78" s="855"/>
      <c r="AX78" s="855"/>
      <c r="AY78" s="870"/>
      <c r="AZ78" s="870"/>
      <c r="BA78" s="870"/>
      <c r="BB78" s="870"/>
      <c r="BC78" s="362"/>
    </row>
    <row r="79" spans="1:55" s="4" customFormat="1" hidden="1" outlineLevel="1">
      <c r="A79" s="402" t="s">
        <v>187</v>
      </c>
      <c r="B79" s="397"/>
      <c r="C79" s="858">
        <f t="shared" ref="C79:AQ79" si="35">SUM(C74:C78)</f>
        <v>191.20099999999996</v>
      </c>
      <c r="D79" s="858">
        <f t="shared" si="35"/>
        <v>195.75400000000002</v>
      </c>
      <c r="E79" s="858">
        <f t="shared" si="35"/>
        <v>228.16300000000001</v>
      </c>
      <c r="F79" s="858">
        <f t="shared" si="35"/>
        <v>266.44599999999997</v>
      </c>
      <c r="G79" s="402">
        <f t="shared" si="35"/>
        <v>0</v>
      </c>
      <c r="H79" s="402">
        <f t="shared" si="35"/>
        <v>0</v>
      </c>
      <c r="I79" s="402">
        <f t="shared" si="35"/>
        <v>0</v>
      </c>
      <c r="J79" s="402">
        <f t="shared" si="35"/>
        <v>0</v>
      </c>
      <c r="K79" s="858">
        <f t="shared" si="35"/>
        <v>339.93700000000001</v>
      </c>
      <c r="L79" s="402">
        <f t="shared" si="35"/>
        <v>0</v>
      </c>
      <c r="M79" s="402">
        <f t="shared" si="35"/>
        <v>0</v>
      </c>
      <c r="N79" s="402">
        <f t="shared" si="35"/>
        <v>0</v>
      </c>
      <c r="O79" s="402">
        <f t="shared" si="35"/>
        <v>0</v>
      </c>
      <c r="P79" s="858">
        <f t="shared" si="35"/>
        <v>661.03899999999999</v>
      </c>
      <c r="Q79" s="402">
        <f t="shared" si="35"/>
        <v>0</v>
      </c>
      <c r="R79" s="402">
        <f t="shared" si="35"/>
        <v>0</v>
      </c>
      <c r="S79" s="402">
        <f t="shared" si="35"/>
        <v>0</v>
      </c>
      <c r="T79" s="402">
        <f t="shared" si="35"/>
        <v>0</v>
      </c>
      <c r="U79" s="858">
        <f t="shared" si="35"/>
        <v>692.279</v>
      </c>
      <c r="V79" s="402">
        <f t="shared" si="35"/>
        <v>0</v>
      </c>
      <c r="W79" s="402">
        <f t="shared" si="35"/>
        <v>0</v>
      </c>
      <c r="X79" s="402">
        <f t="shared" si="35"/>
        <v>0</v>
      </c>
      <c r="Y79" s="402">
        <f t="shared" si="35"/>
        <v>0</v>
      </c>
      <c r="Z79" s="858">
        <f t="shared" si="35"/>
        <v>633.12300000000005</v>
      </c>
      <c r="AA79" s="402">
        <f t="shared" si="35"/>
        <v>0</v>
      </c>
      <c r="AB79" s="402">
        <f t="shared" si="35"/>
        <v>0</v>
      </c>
      <c r="AC79" s="402">
        <f t="shared" si="35"/>
        <v>0</v>
      </c>
      <c r="AD79" s="402">
        <f t="shared" si="35"/>
        <v>0</v>
      </c>
      <c r="AE79" s="858">
        <f t="shared" si="35"/>
        <v>624.46399999999994</v>
      </c>
      <c r="AF79" s="402">
        <f t="shared" si="35"/>
        <v>0</v>
      </c>
      <c r="AG79" s="402">
        <f t="shared" si="35"/>
        <v>0</v>
      </c>
      <c r="AH79" s="402">
        <f t="shared" si="35"/>
        <v>0</v>
      </c>
      <c r="AI79" s="402">
        <f t="shared" si="35"/>
        <v>0</v>
      </c>
      <c r="AJ79" s="858">
        <f t="shared" si="35"/>
        <v>803.25599999999997</v>
      </c>
      <c r="AK79" s="402">
        <f t="shared" si="35"/>
        <v>0</v>
      </c>
      <c r="AL79" s="402">
        <f t="shared" si="35"/>
        <v>0</v>
      </c>
      <c r="AM79" s="402">
        <f t="shared" si="35"/>
        <v>0</v>
      </c>
      <c r="AN79" s="402">
        <f t="shared" si="35"/>
        <v>0</v>
      </c>
      <c r="AO79" s="858">
        <f t="shared" si="35"/>
        <v>772.702</v>
      </c>
      <c r="AP79" s="402">
        <f t="shared" si="35"/>
        <v>0</v>
      </c>
      <c r="AQ79" s="891">
        <f t="shared" si="35"/>
        <v>0</v>
      </c>
      <c r="AR79" s="902"/>
      <c r="AS79" s="902"/>
      <c r="AT79" s="903"/>
      <c r="AU79" s="902"/>
      <c r="AV79" s="902"/>
      <c r="AW79" s="902"/>
      <c r="AX79" s="902"/>
      <c r="AY79" s="903"/>
      <c r="AZ79" s="903"/>
      <c r="BA79" s="903"/>
      <c r="BB79" s="903"/>
      <c r="BC79" s="363"/>
    </row>
    <row r="80" spans="1:55" s="23" customFormat="1" ht="14.45" customHeight="1" collapsed="1">
      <c r="A80" s="422"/>
      <c r="B80" s="395"/>
      <c r="C80" s="885"/>
      <c r="D80" s="885"/>
      <c r="E80" s="885"/>
      <c r="F80" s="885"/>
      <c r="G80" s="436"/>
      <c r="H80" s="436"/>
      <c r="I80" s="436"/>
      <c r="J80" s="436"/>
      <c r="K80" s="885"/>
      <c r="L80" s="436"/>
      <c r="M80" s="436"/>
      <c r="N80" s="436"/>
      <c r="O80" s="436"/>
      <c r="P80" s="885"/>
      <c r="Q80" s="436"/>
      <c r="R80" s="436"/>
      <c r="S80" s="436"/>
      <c r="T80" s="436"/>
      <c r="U80" s="885"/>
      <c r="V80" s="436"/>
      <c r="W80" s="436"/>
      <c r="X80" s="436"/>
      <c r="Y80" s="436"/>
      <c r="Z80" s="885"/>
      <c r="AA80" s="436"/>
      <c r="AB80" s="436"/>
      <c r="AC80" s="436"/>
      <c r="AD80" s="436"/>
      <c r="AE80" s="885"/>
      <c r="AF80" s="436"/>
      <c r="AG80" s="436"/>
      <c r="AH80" s="436"/>
      <c r="AI80" s="436"/>
      <c r="AJ80" s="885"/>
      <c r="AK80" s="436"/>
      <c r="AL80" s="436"/>
      <c r="AM80" s="436"/>
      <c r="AN80" s="436"/>
      <c r="AO80" s="885"/>
      <c r="AP80" s="436"/>
      <c r="AQ80" s="886"/>
      <c r="AR80" s="855"/>
      <c r="AS80" s="855"/>
      <c r="AT80" s="870"/>
      <c r="AU80" s="855"/>
      <c r="AV80" s="855"/>
      <c r="AW80" s="855"/>
      <c r="AX80" s="855"/>
      <c r="AY80" s="870"/>
      <c r="AZ80" s="870"/>
      <c r="BA80" s="870"/>
      <c r="BB80" s="870"/>
      <c r="BC80" s="362"/>
    </row>
    <row r="81" spans="1:55" s="4" customFormat="1" ht="14.45" customHeight="1">
      <c r="A81" s="514" t="s">
        <v>116</v>
      </c>
      <c r="B81" s="514"/>
      <c r="C81" s="883"/>
      <c r="D81" s="883"/>
      <c r="E81" s="883"/>
      <c r="F81" s="883"/>
      <c r="G81" s="883"/>
      <c r="H81" s="883"/>
      <c r="I81" s="883"/>
      <c r="J81" s="883"/>
      <c r="K81" s="883"/>
      <c r="L81" s="883"/>
      <c r="M81" s="883"/>
      <c r="N81" s="883"/>
      <c r="O81" s="883"/>
      <c r="P81" s="883"/>
      <c r="Q81" s="883"/>
      <c r="R81" s="883"/>
      <c r="S81" s="883"/>
      <c r="T81" s="883"/>
      <c r="U81" s="883"/>
      <c r="V81" s="883"/>
      <c r="W81" s="883"/>
      <c r="X81" s="883"/>
      <c r="Y81" s="883"/>
      <c r="Z81" s="883"/>
      <c r="AA81" s="883"/>
      <c r="AB81" s="883"/>
      <c r="AC81" s="883"/>
      <c r="AD81" s="883"/>
      <c r="AE81" s="883"/>
      <c r="AF81" s="883"/>
      <c r="AG81" s="883"/>
      <c r="AH81" s="883"/>
      <c r="AI81" s="883"/>
      <c r="AJ81" s="883"/>
      <c r="AK81" s="883"/>
      <c r="AL81" s="883"/>
      <c r="AM81" s="883"/>
      <c r="AN81" s="883"/>
      <c r="AO81" s="883"/>
      <c r="AP81" s="883"/>
      <c r="AQ81" s="884"/>
      <c r="AR81" s="883"/>
      <c r="AS81" s="883"/>
      <c r="AT81" s="883"/>
      <c r="AU81" s="883"/>
      <c r="AV81" s="883"/>
      <c r="AW81" s="883"/>
      <c r="AX81" s="883"/>
      <c r="AY81" s="883"/>
      <c r="AZ81" s="883"/>
      <c r="BA81" s="883"/>
      <c r="BB81" s="883"/>
      <c r="BC81" s="363"/>
    </row>
    <row r="82" spans="1:55" s="43" customFormat="1" hidden="1" outlineLevel="1">
      <c r="A82" s="423" t="s">
        <v>349</v>
      </c>
      <c r="B82" s="188"/>
      <c r="C82" s="384">
        <v>0.19400000000000001</v>
      </c>
      <c r="D82" s="384">
        <v>0.26500000000000001</v>
      </c>
      <c r="E82" s="384">
        <v>0.35699999999999998</v>
      </c>
      <c r="F82" s="384">
        <v>0.38</v>
      </c>
      <c r="G82" s="385"/>
      <c r="H82" s="385"/>
      <c r="I82" s="385"/>
      <c r="J82" s="385"/>
      <c r="K82" s="384">
        <v>0.29599999999999999</v>
      </c>
      <c r="L82" s="385"/>
      <c r="M82" s="385"/>
      <c r="N82" s="385"/>
      <c r="O82" s="385"/>
      <c r="P82" s="384">
        <v>0.17699999999999999</v>
      </c>
      <c r="Q82" s="385"/>
      <c r="R82" s="385"/>
      <c r="S82" s="385"/>
      <c r="T82" s="385"/>
      <c r="U82" s="384">
        <v>0.21</v>
      </c>
      <c r="V82" s="385"/>
      <c r="W82" s="385"/>
      <c r="X82" s="385"/>
      <c r="Y82" s="385"/>
      <c r="Z82" s="384">
        <v>0.216</v>
      </c>
      <c r="AA82" s="385"/>
      <c r="AB82" s="385"/>
      <c r="AC82" s="385"/>
      <c r="AD82" s="385"/>
      <c r="AE82" s="384">
        <v>0.191</v>
      </c>
      <c r="AF82" s="385"/>
      <c r="AG82" s="385"/>
      <c r="AH82" s="385"/>
      <c r="AI82" s="385"/>
      <c r="AJ82" s="384">
        <v>0.14399999999999999</v>
      </c>
      <c r="AK82" s="385"/>
      <c r="AL82" s="385"/>
      <c r="AM82" s="385"/>
      <c r="AN82" s="385"/>
      <c r="AO82" s="384">
        <v>0.13</v>
      </c>
      <c r="AP82" s="385"/>
      <c r="AQ82" s="386"/>
      <c r="AR82" s="876"/>
      <c r="AS82" s="876"/>
      <c r="AT82" s="877"/>
      <c r="AU82" s="876"/>
      <c r="AV82" s="876"/>
      <c r="AW82" s="876"/>
      <c r="AX82" s="876"/>
      <c r="AY82" s="877"/>
      <c r="AZ82" s="877"/>
      <c r="BA82" s="877"/>
      <c r="BB82" s="877"/>
      <c r="BC82" s="44"/>
    </row>
    <row r="83" spans="1:55" s="43" customFormat="1" hidden="1" outlineLevel="1">
      <c r="A83" s="423" t="s">
        <v>350</v>
      </c>
      <c r="B83" s="188"/>
      <c r="C83" s="384">
        <v>0</v>
      </c>
      <c r="D83" s="384">
        <v>0</v>
      </c>
      <c r="E83" s="384">
        <v>0</v>
      </c>
      <c r="F83" s="384">
        <v>0</v>
      </c>
      <c r="G83" s="385"/>
      <c r="H83" s="385"/>
      <c r="I83" s="385"/>
      <c r="J83" s="385"/>
      <c r="K83" s="384">
        <v>0</v>
      </c>
      <c r="L83" s="385"/>
      <c r="M83" s="385"/>
      <c r="N83" s="385"/>
      <c r="O83" s="385"/>
      <c r="P83" s="384">
        <v>0.17899999999999999</v>
      </c>
      <c r="Q83" s="385"/>
      <c r="R83" s="385"/>
      <c r="S83" s="385"/>
      <c r="T83" s="385"/>
      <c r="U83" s="384">
        <v>0.13100000000000001</v>
      </c>
      <c r="V83" s="385"/>
      <c r="W83" s="385"/>
      <c r="X83" s="385"/>
      <c r="Y83" s="385"/>
      <c r="Z83" s="384"/>
      <c r="AA83" s="385"/>
      <c r="AB83" s="385"/>
      <c r="AC83" s="385"/>
      <c r="AD83" s="385"/>
      <c r="AE83" s="384"/>
      <c r="AF83" s="385"/>
      <c r="AG83" s="385"/>
      <c r="AH83" s="385"/>
      <c r="AI83" s="385"/>
      <c r="AJ83" s="384"/>
      <c r="AK83" s="385"/>
      <c r="AL83" s="385"/>
      <c r="AM83" s="385"/>
      <c r="AN83" s="385"/>
      <c r="AO83" s="384"/>
      <c r="AP83" s="385"/>
      <c r="AQ83" s="386"/>
      <c r="AR83" s="876"/>
      <c r="AS83" s="876"/>
      <c r="AT83" s="877"/>
      <c r="AU83" s="876"/>
      <c r="AV83" s="876"/>
      <c r="AW83" s="876"/>
      <c r="AX83" s="876"/>
      <c r="AY83" s="877"/>
      <c r="AZ83" s="877"/>
      <c r="BA83" s="877"/>
      <c r="BB83" s="877"/>
      <c r="BC83" s="44"/>
    </row>
    <row r="84" spans="1:55" s="43" customFormat="1" hidden="1" outlineLevel="1">
      <c r="A84" s="423" t="s">
        <v>351</v>
      </c>
      <c r="B84" s="188"/>
      <c r="C84" s="384">
        <v>0</v>
      </c>
      <c r="D84" s="384">
        <v>0</v>
      </c>
      <c r="E84" s="384">
        <v>4.3999999999999997E-2</v>
      </c>
      <c r="F84" s="384">
        <v>5.5E-2</v>
      </c>
      <c r="G84" s="385"/>
      <c r="H84" s="385"/>
      <c r="I84" s="385"/>
      <c r="J84" s="385"/>
      <c r="K84" s="384">
        <v>0.14499999999999999</v>
      </c>
      <c r="L84" s="385"/>
      <c r="M84" s="385"/>
      <c r="N84" s="385"/>
      <c r="O84" s="385"/>
      <c r="P84" s="384">
        <v>0.14099999999999999</v>
      </c>
      <c r="Q84" s="385"/>
      <c r="R84" s="385"/>
      <c r="S84" s="385"/>
      <c r="T84" s="385"/>
      <c r="U84" s="384">
        <v>0.13</v>
      </c>
      <c r="V84" s="385"/>
      <c r="W84" s="385"/>
      <c r="X84" s="385"/>
      <c r="Y84" s="385"/>
      <c r="Z84" s="384">
        <v>0.152</v>
      </c>
      <c r="AA84" s="385"/>
      <c r="AB84" s="385"/>
      <c r="AC84" s="385"/>
      <c r="AD84" s="385"/>
      <c r="AE84" s="384">
        <v>0.16800000000000001</v>
      </c>
      <c r="AF84" s="385"/>
      <c r="AG84" s="385"/>
      <c r="AH84" s="385"/>
      <c r="AI84" s="385"/>
      <c r="AJ84" s="384">
        <v>0.14299999999999999</v>
      </c>
      <c r="AK84" s="385"/>
      <c r="AL84" s="385"/>
      <c r="AM84" s="385"/>
      <c r="AN84" s="385"/>
      <c r="AO84" s="384">
        <v>0.13600000000000001</v>
      </c>
      <c r="AP84" s="385"/>
      <c r="AQ84" s="386"/>
      <c r="AR84" s="876"/>
      <c r="AS84" s="876"/>
      <c r="AT84" s="877"/>
      <c r="AU84" s="876"/>
      <c r="AV84" s="876"/>
      <c r="AW84" s="876"/>
      <c r="AX84" s="876"/>
      <c r="AY84" s="877"/>
      <c r="AZ84" s="877"/>
      <c r="BA84" s="877"/>
      <c r="BB84" s="877"/>
      <c r="BC84" s="44"/>
    </row>
    <row r="85" spans="1:55" s="43" customFormat="1" ht="14.45" customHeight="1" collapsed="1">
      <c r="A85" s="423"/>
      <c r="B85" s="188"/>
      <c r="C85" s="384"/>
      <c r="D85" s="384"/>
      <c r="E85" s="384"/>
      <c r="F85" s="384"/>
      <c r="G85" s="385"/>
      <c r="H85" s="385"/>
      <c r="I85" s="385"/>
      <c r="J85" s="385"/>
      <c r="K85" s="384"/>
      <c r="L85" s="385"/>
      <c r="M85" s="385"/>
      <c r="N85" s="385"/>
      <c r="O85" s="385"/>
      <c r="P85" s="384"/>
      <c r="Q85" s="385"/>
      <c r="R85" s="385"/>
      <c r="S85" s="385"/>
      <c r="T85" s="385"/>
      <c r="U85" s="384"/>
      <c r="V85" s="385"/>
      <c r="W85" s="385"/>
      <c r="X85" s="385"/>
      <c r="Y85" s="385"/>
      <c r="Z85" s="384"/>
      <c r="AA85" s="385"/>
      <c r="AB85" s="385"/>
      <c r="AC85" s="385"/>
      <c r="AD85" s="385"/>
      <c r="AE85" s="384"/>
      <c r="AF85" s="385"/>
      <c r="AG85" s="385"/>
      <c r="AH85" s="385"/>
      <c r="AI85" s="385"/>
      <c r="AJ85" s="384"/>
      <c r="AK85" s="385"/>
      <c r="AL85" s="385"/>
      <c r="AM85" s="385"/>
      <c r="AN85" s="385"/>
      <c r="AO85" s="384"/>
      <c r="AP85" s="385"/>
      <c r="AQ85" s="386"/>
      <c r="AR85" s="876"/>
      <c r="AS85" s="876"/>
      <c r="AT85" s="877"/>
      <c r="AU85" s="876"/>
      <c r="AV85" s="876"/>
      <c r="AW85" s="876"/>
      <c r="AX85" s="876"/>
      <c r="AY85" s="877"/>
      <c r="AZ85" s="877"/>
      <c r="BA85" s="877"/>
      <c r="BB85" s="877"/>
      <c r="BC85" s="44"/>
    </row>
    <row r="86" spans="1:55" s="25" customFormat="1" ht="14.45" customHeight="1">
      <c r="A86" s="51" t="s">
        <v>19</v>
      </c>
      <c r="B86" s="51"/>
      <c r="C86" s="874"/>
      <c r="D86" s="874"/>
      <c r="E86" s="874"/>
      <c r="F86" s="874"/>
      <c r="G86" s="874"/>
      <c r="H86" s="874"/>
      <c r="I86" s="874"/>
      <c r="J86" s="874"/>
      <c r="K86" s="874"/>
      <c r="L86" s="874"/>
      <c r="M86" s="874"/>
      <c r="N86" s="874"/>
      <c r="O86" s="874"/>
      <c r="P86" s="874"/>
      <c r="Q86" s="874"/>
      <c r="R86" s="874"/>
      <c r="S86" s="874"/>
      <c r="T86" s="874"/>
      <c r="U86" s="874"/>
      <c r="V86" s="874"/>
      <c r="W86" s="874"/>
      <c r="X86" s="874"/>
      <c r="Y86" s="874"/>
      <c r="Z86" s="874"/>
      <c r="AA86" s="874"/>
      <c r="AB86" s="874"/>
      <c r="AC86" s="874"/>
      <c r="AD86" s="874"/>
      <c r="AE86" s="874"/>
      <c r="AF86" s="874"/>
      <c r="AG86" s="874"/>
      <c r="AH86" s="874"/>
      <c r="AI86" s="874"/>
      <c r="AJ86" s="874"/>
      <c r="AK86" s="874"/>
      <c r="AL86" s="874"/>
      <c r="AM86" s="874"/>
      <c r="AN86" s="874"/>
      <c r="AO86" s="874"/>
      <c r="AP86" s="874"/>
      <c r="AQ86" s="875"/>
      <c r="AR86" s="874"/>
      <c r="AS86" s="874"/>
      <c r="AT86" s="874"/>
      <c r="AU86" s="874"/>
      <c r="AV86" s="874"/>
      <c r="AW86" s="874"/>
      <c r="AX86" s="874"/>
      <c r="AY86" s="874"/>
      <c r="AZ86" s="874"/>
      <c r="BA86" s="874"/>
      <c r="BB86" s="874"/>
      <c r="BC86" s="45"/>
    </row>
    <row r="87" spans="1:55" s="25" customFormat="1" ht="14.45" customHeight="1">
      <c r="A87" s="121" t="s">
        <v>298</v>
      </c>
      <c r="B87" s="86"/>
      <c r="C87" s="274">
        <f t="shared" ref="C87:AQ87" si="36">C152/C149</f>
        <v>0.76665917019262442</v>
      </c>
      <c r="D87" s="274">
        <f t="shared" si="36"/>
        <v>0.73207188614281204</v>
      </c>
      <c r="E87" s="274">
        <f t="shared" si="36"/>
        <v>0.71319188474906092</v>
      </c>
      <c r="F87" s="274">
        <f t="shared" si="36"/>
        <v>0.71346163950669172</v>
      </c>
      <c r="G87" s="280">
        <f t="shared" si="36"/>
        <v>0.70300269038895713</v>
      </c>
      <c r="H87" s="280">
        <f t="shared" si="36"/>
        <v>0.7119704092725142</v>
      </c>
      <c r="I87" s="280">
        <f t="shared" si="36"/>
        <v>0.70047167181454273</v>
      </c>
      <c r="J87" s="280">
        <f t="shared" si="36"/>
        <v>0.71850819299044155</v>
      </c>
      <c r="K87" s="274">
        <f t="shared" si="36"/>
        <v>0.70901372901449389</v>
      </c>
      <c r="L87" s="280">
        <f t="shared" si="36"/>
        <v>0.75280061865470982</v>
      </c>
      <c r="M87" s="280">
        <f t="shared" si="36"/>
        <v>0.7211722988262117</v>
      </c>
      <c r="N87" s="280">
        <f t="shared" si="36"/>
        <v>0.65354264887818914</v>
      </c>
      <c r="O87" s="280">
        <f t="shared" si="36"/>
        <v>0.70730899610435793</v>
      </c>
      <c r="P87" s="274">
        <f t="shared" si="36"/>
        <v>0.70607483068321231</v>
      </c>
      <c r="Q87" s="280">
        <f t="shared" si="36"/>
        <v>0.71362550885311626</v>
      </c>
      <c r="R87" s="280">
        <f t="shared" si="36"/>
        <v>0.67734297396567245</v>
      </c>
      <c r="S87" s="280">
        <f t="shared" si="36"/>
        <v>0.67167303704813996</v>
      </c>
      <c r="T87" s="280">
        <f t="shared" si="36"/>
        <v>0.71158637345875131</v>
      </c>
      <c r="U87" s="274">
        <f t="shared" si="36"/>
        <v>0.69195801114868427</v>
      </c>
      <c r="V87" s="280">
        <f t="shared" si="36"/>
        <v>0.71147119664013037</v>
      </c>
      <c r="W87" s="280">
        <f t="shared" si="36"/>
        <v>0.68718450853271384</v>
      </c>
      <c r="X87" s="280">
        <f t="shared" si="36"/>
        <v>0.71003036770062999</v>
      </c>
      <c r="Y87" s="280">
        <f t="shared" si="36"/>
        <v>0.7220772645844693</v>
      </c>
      <c r="Z87" s="274">
        <f t="shared" si="36"/>
        <v>0.7073917706354057</v>
      </c>
      <c r="AA87" s="280">
        <f t="shared" si="36"/>
        <v>0.70724297225648969</v>
      </c>
      <c r="AB87" s="280">
        <f t="shared" si="36"/>
        <v>0.7323940865836388</v>
      </c>
      <c r="AC87" s="280">
        <f t="shared" si="36"/>
        <v>0.73819802721270289</v>
      </c>
      <c r="AD87" s="280">
        <f t="shared" si="36"/>
        <v>0.76682543573938455</v>
      </c>
      <c r="AE87" s="274">
        <f t="shared" si="36"/>
        <v>0.73709293089753769</v>
      </c>
      <c r="AF87" s="280">
        <f t="shared" si="36"/>
        <v>0.73766747273245126</v>
      </c>
      <c r="AG87" s="280">
        <f t="shared" si="36"/>
        <v>0.72045386997497673</v>
      </c>
      <c r="AH87" s="280">
        <f t="shared" si="36"/>
        <v>0.74377686035904722</v>
      </c>
      <c r="AI87" s="280">
        <f t="shared" si="36"/>
        <v>0.72428135641666225</v>
      </c>
      <c r="AJ87" s="274">
        <f t="shared" si="36"/>
        <v>0.73143306741561831</v>
      </c>
      <c r="AK87" s="280">
        <f t="shared" si="36"/>
        <v>0.71104460691536897</v>
      </c>
      <c r="AL87" s="280">
        <f t="shared" si="36"/>
        <v>0.74475139874562402</v>
      </c>
      <c r="AM87" s="280">
        <f t="shared" si="36"/>
        <v>0.74580551130393513</v>
      </c>
      <c r="AN87" s="280">
        <f t="shared" si="36"/>
        <v>0.819698405338387</v>
      </c>
      <c r="AO87" s="274">
        <f t="shared" si="36"/>
        <v>0.75515658041521827</v>
      </c>
      <c r="AP87" s="280">
        <f t="shared" si="36"/>
        <v>0.72275104071479335</v>
      </c>
      <c r="AQ87" s="348">
        <f t="shared" si="36"/>
        <v>0.71773893640758646</v>
      </c>
      <c r="AR87" s="881">
        <v>0.74</v>
      </c>
      <c r="AS87" s="881">
        <v>0.74</v>
      </c>
      <c r="AT87" s="274">
        <f>AT152/AT149</f>
        <v>0.72991071856618661</v>
      </c>
      <c r="AU87" s="881">
        <v>0.75</v>
      </c>
      <c r="AV87" s="881">
        <v>0.75</v>
      </c>
      <c r="AW87" s="881">
        <v>0.75</v>
      </c>
      <c r="AX87" s="881">
        <v>0.75</v>
      </c>
      <c r="AY87" s="274">
        <f>AY152/AY149</f>
        <v>0.74999999999999989</v>
      </c>
      <c r="AZ87" s="882">
        <v>0.75000000000000011</v>
      </c>
      <c r="BA87" s="882">
        <v>0.75000000000000011</v>
      </c>
      <c r="BB87" s="882">
        <v>0.75000000000000011</v>
      </c>
      <c r="BC87" s="45"/>
    </row>
    <row r="88" spans="1:55" s="87" customFormat="1" ht="14.45" customHeight="1">
      <c r="A88" s="121" t="s">
        <v>299</v>
      </c>
      <c r="B88" s="86"/>
      <c r="C88" s="878">
        <f t="shared" ref="C88:AH88" si="37">(C152+C160)/C149</f>
        <v>0.80505855094900136</v>
      </c>
      <c r="D88" s="878">
        <f t="shared" si="37"/>
        <v>0.75700624252888837</v>
      </c>
      <c r="E88" s="878">
        <f t="shared" si="37"/>
        <v>0.73485622121027505</v>
      </c>
      <c r="F88" s="878">
        <f t="shared" si="37"/>
        <v>0.73937683433040835</v>
      </c>
      <c r="G88" s="879">
        <f t="shared" si="37"/>
        <v>0.72664837021915174</v>
      </c>
      <c r="H88" s="879">
        <f t="shared" si="37"/>
        <v>0.73626699419761976</v>
      </c>
      <c r="I88" s="879">
        <f t="shared" si="37"/>
        <v>0.73478217236649912</v>
      </c>
      <c r="J88" s="879">
        <f t="shared" si="37"/>
        <v>0.76129380974055527</v>
      </c>
      <c r="K88" s="878">
        <f t="shared" si="37"/>
        <v>0.74154622768336487</v>
      </c>
      <c r="L88" s="879">
        <f t="shared" si="37"/>
        <v>0.78712460358564329</v>
      </c>
      <c r="M88" s="879">
        <f t="shared" si="37"/>
        <v>0.75251341922400505</v>
      </c>
      <c r="N88" s="879">
        <f t="shared" si="37"/>
        <v>0.71405802431983589</v>
      </c>
      <c r="O88" s="879">
        <f t="shared" si="37"/>
        <v>0.74395332454254848</v>
      </c>
      <c r="P88" s="878">
        <f t="shared" si="37"/>
        <v>0.74730386558130457</v>
      </c>
      <c r="Q88" s="879">
        <f t="shared" si="37"/>
        <v>0.75153119934668822</v>
      </c>
      <c r="R88" s="879">
        <f t="shared" si="37"/>
        <v>0.71440781722839519</v>
      </c>
      <c r="S88" s="879">
        <f t="shared" si="37"/>
        <v>0.7030802668065651</v>
      </c>
      <c r="T88" s="879">
        <f t="shared" si="37"/>
        <v>0.7527583576967074</v>
      </c>
      <c r="U88" s="878">
        <f t="shared" si="37"/>
        <v>0.72851697075889921</v>
      </c>
      <c r="V88" s="879">
        <f t="shared" si="37"/>
        <v>0.7525042311790886</v>
      </c>
      <c r="W88" s="879">
        <f t="shared" si="37"/>
        <v>0.72732414581635507</v>
      </c>
      <c r="X88" s="879">
        <f t="shared" si="37"/>
        <v>0.75072050754679276</v>
      </c>
      <c r="Y88" s="879">
        <f t="shared" si="37"/>
        <v>0.763182490848197</v>
      </c>
      <c r="Z88" s="878">
        <f t="shared" si="37"/>
        <v>0.74812635143566097</v>
      </c>
      <c r="AA88" s="879">
        <f t="shared" si="37"/>
        <v>0.74856951626026935</v>
      </c>
      <c r="AB88" s="879">
        <f t="shared" si="37"/>
        <v>0.77401167330624554</v>
      </c>
      <c r="AC88" s="879">
        <f t="shared" si="37"/>
        <v>0.78285305675104921</v>
      </c>
      <c r="AD88" s="879">
        <f t="shared" si="37"/>
        <v>0.81231977959116897</v>
      </c>
      <c r="AE88" s="878">
        <f t="shared" si="37"/>
        <v>0.78043089753772832</v>
      </c>
      <c r="AF88" s="879">
        <f t="shared" si="37"/>
        <v>0.79262701120859602</v>
      </c>
      <c r="AG88" s="879">
        <f t="shared" si="37"/>
        <v>0.76236541614335152</v>
      </c>
      <c r="AH88" s="879">
        <f t="shared" si="37"/>
        <v>0.78220186764719712</v>
      </c>
      <c r="AI88" s="879">
        <f t="shared" ref="AI88:BB88" si="38">(AI152+AI160)/AI149</f>
        <v>0.76506650502422102</v>
      </c>
      <c r="AJ88" s="878">
        <f t="shared" si="38"/>
        <v>0.77504556455227225</v>
      </c>
      <c r="AK88" s="879">
        <f t="shared" si="38"/>
        <v>0.74983907692603302</v>
      </c>
      <c r="AL88" s="879">
        <f t="shared" si="38"/>
        <v>0.78654983130440304</v>
      </c>
      <c r="AM88" s="879">
        <f t="shared" si="38"/>
        <v>0.79214543153803563</v>
      </c>
      <c r="AN88" s="879">
        <f t="shared" si="38"/>
        <v>0.86438320262887336</v>
      </c>
      <c r="AO88" s="878">
        <f t="shared" si="38"/>
        <v>0.79792727338611769</v>
      </c>
      <c r="AP88" s="879">
        <f t="shared" si="38"/>
        <v>0.7733335871662097</v>
      </c>
      <c r="AQ88" s="880">
        <f t="shared" si="38"/>
        <v>0.78306951024301907</v>
      </c>
      <c r="AR88" s="879">
        <f t="shared" si="38"/>
        <v>0.81730083666787923</v>
      </c>
      <c r="AS88" s="879">
        <f t="shared" si="38"/>
        <v>0.79625711487041007</v>
      </c>
      <c r="AT88" s="878">
        <f t="shared" si="38"/>
        <v>0.7908551619862445</v>
      </c>
      <c r="AU88" s="879">
        <f t="shared" si="38"/>
        <v>0.79791183320819881</v>
      </c>
      <c r="AV88" s="879">
        <f t="shared" si="38"/>
        <v>0.78954609273903031</v>
      </c>
      <c r="AW88" s="879">
        <f t="shared" si="38"/>
        <v>0.79049238106552822</v>
      </c>
      <c r="AX88" s="879">
        <f t="shared" si="38"/>
        <v>0.79493012205501823</v>
      </c>
      <c r="AY88" s="878">
        <f t="shared" si="38"/>
        <v>0.7929592910496629</v>
      </c>
      <c r="AZ88" s="878">
        <f t="shared" si="38"/>
        <v>0.79417733495136555</v>
      </c>
      <c r="BA88" s="878">
        <f t="shared" si="38"/>
        <v>0.78133866374288174</v>
      </c>
      <c r="BB88" s="878">
        <f t="shared" si="38"/>
        <v>0.80703950188999229</v>
      </c>
      <c r="BC88" s="230"/>
    </row>
    <row r="89" spans="1:55" s="87" customFormat="1" ht="14.45" customHeight="1">
      <c r="A89" s="88" t="s">
        <v>300</v>
      </c>
      <c r="B89" s="89"/>
      <c r="C89" s="54">
        <f t="shared" ref="C89:AH89" si="39">1-C87</f>
        <v>0.23334082980737558</v>
      </c>
      <c r="D89" s="54">
        <f t="shared" si="39"/>
        <v>0.26792811385718796</v>
      </c>
      <c r="E89" s="54">
        <f t="shared" si="39"/>
        <v>0.28680811525093908</v>
      </c>
      <c r="F89" s="54">
        <f t="shared" si="39"/>
        <v>0.28653836049330828</v>
      </c>
      <c r="G89" s="53">
        <f t="shared" si="39"/>
        <v>0.29699730961104287</v>
      </c>
      <c r="H89" s="53">
        <f t="shared" si="39"/>
        <v>0.2880295907274858</v>
      </c>
      <c r="I89" s="53">
        <f t="shared" si="39"/>
        <v>0.29952832818545727</v>
      </c>
      <c r="J89" s="53">
        <f t="shared" si="39"/>
        <v>0.28149180700955845</v>
      </c>
      <c r="K89" s="54">
        <f t="shared" si="39"/>
        <v>0.29098627098550611</v>
      </c>
      <c r="L89" s="53">
        <f t="shared" si="39"/>
        <v>0.24719938134529018</v>
      </c>
      <c r="M89" s="53">
        <f t="shared" si="39"/>
        <v>0.2788277011737883</v>
      </c>
      <c r="N89" s="53">
        <f t="shared" si="39"/>
        <v>0.34645735112181086</v>
      </c>
      <c r="O89" s="53">
        <f t="shared" si="39"/>
        <v>0.29269100389564207</v>
      </c>
      <c r="P89" s="54">
        <f t="shared" si="39"/>
        <v>0.29392516931678769</v>
      </c>
      <c r="Q89" s="53">
        <f t="shared" si="39"/>
        <v>0.28637449114688374</v>
      </c>
      <c r="R89" s="53">
        <f t="shared" si="39"/>
        <v>0.32265702603432755</v>
      </c>
      <c r="S89" s="53">
        <f t="shared" si="39"/>
        <v>0.32832696295186004</v>
      </c>
      <c r="T89" s="53">
        <f t="shared" si="39"/>
        <v>0.28841362654124869</v>
      </c>
      <c r="U89" s="54">
        <f t="shared" si="39"/>
        <v>0.30804198885131573</v>
      </c>
      <c r="V89" s="53">
        <f t="shared" si="39"/>
        <v>0.28852880335986963</v>
      </c>
      <c r="W89" s="53">
        <f t="shared" si="39"/>
        <v>0.31281549146728616</v>
      </c>
      <c r="X89" s="53">
        <f t="shared" si="39"/>
        <v>0.28996963229937001</v>
      </c>
      <c r="Y89" s="53">
        <f t="shared" si="39"/>
        <v>0.2779227354155307</v>
      </c>
      <c r="Z89" s="54">
        <f t="shared" si="39"/>
        <v>0.2926082293645943</v>
      </c>
      <c r="AA89" s="53">
        <f t="shared" si="39"/>
        <v>0.29275702774351031</v>
      </c>
      <c r="AB89" s="53">
        <f t="shared" si="39"/>
        <v>0.2676059134163612</v>
      </c>
      <c r="AC89" s="53">
        <f t="shared" si="39"/>
        <v>0.26180197278729711</v>
      </c>
      <c r="AD89" s="53">
        <f t="shared" si="39"/>
        <v>0.23317456426061545</v>
      </c>
      <c r="AE89" s="54">
        <f t="shared" si="39"/>
        <v>0.26290706910246231</v>
      </c>
      <c r="AF89" s="53">
        <f t="shared" si="39"/>
        <v>0.26233252726754874</v>
      </c>
      <c r="AG89" s="53">
        <f t="shared" si="39"/>
        <v>0.27954613002502327</v>
      </c>
      <c r="AH89" s="53">
        <f t="shared" si="39"/>
        <v>0.25622313964095278</v>
      </c>
      <c r="AI89" s="53">
        <f t="shared" ref="AI89:BB89" si="40">1-AI87</f>
        <v>0.27571864358333775</v>
      </c>
      <c r="AJ89" s="54">
        <f t="shared" si="40"/>
        <v>0.26856693258438169</v>
      </c>
      <c r="AK89" s="53">
        <f t="shared" si="40"/>
        <v>0.28895539308463103</v>
      </c>
      <c r="AL89" s="53">
        <f t="shared" si="40"/>
        <v>0.25524860125437598</v>
      </c>
      <c r="AM89" s="53">
        <f t="shared" si="40"/>
        <v>0.25419448869606487</v>
      </c>
      <c r="AN89" s="53">
        <f t="shared" si="40"/>
        <v>0.180301594661613</v>
      </c>
      <c r="AO89" s="54">
        <f t="shared" si="40"/>
        <v>0.24484341958478173</v>
      </c>
      <c r="AP89" s="53">
        <f t="shared" si="40"/>
        <v>0.27724895928520665</v>
      </c>
      <c r="AQ89" s="349">
        <f t="shared" si="40"/>
        <v>0.28226106359241354</v>
      </c>
      <c r="AR89" s="53">
        <f t="shared" si="40"/>
        <v>0.26</v>
      </c>
      <c r="AS89" s="53">
        <f t="shared" si="40"/>
        <v>0.26</v>
      </c>
      <c r="AT89" s="54">
        <f t="shared" si="40"/>
        <v>0.27008928143381339</v>
      </c>
      <c r="AU89" s="53">
        <f t="shared" si="40"/>
        <v>0.25</v>
      </c>
      <c r="AV89" s="53">
        <f t="shared" si="40"/>
        <v>0.25</v>
      </c>
      <c r="AW89" s="53">
        <f t="shared" si="40"/>
        <v>0.25</v>
      </c>
      <c r="AX89" s="53">
        <f t="shared" si="40"/>
        <v>0.25</v>
      </c>
      <c r="AY89" s="54">
        <f t="shared" si="40"/>
        <v>0.25000000000000011</v>
      </c>
      <c r="AZ89" s="54">
        <f t="shared" si="40"/>
        <v>0.24999999999999989</v>
      </c>
      <c r="BA89" s="54">
        <f t="shared" si="40"/>
        <v>0.24999999999999989</v>
      </c>
      <c r="BB89" s="54">
        <f t="shared" si="40"/>
        <v>0.24999999999999989</v>
      </c>
      <c r="BC89" s="230"/>
    </row>
    <row r="90" spans="1:55" s="87" customFormat="1" ht="14.45" customHeight="1">
      <c r="A90" s="122" t="s">
        <v>301</v>
      </c>
      <c r="B90" s="86"/>
      <c r="C90" s="274">
        <f t="shared" ref="C90:AH90" si="41">1-C88</f>
        <v>0.19494144905099864</v>
      </c>
      <c r="D90" s="274">
        <f t="shared" si="41"/>
        <v>0.24299375747111163</v>
      </c>
      <c r="E90" s="274">
        <f t="shared" si="41"/>
        <v>0.26514377878972495</v>
      </c>
      <c r="F90" s="274">
        <f t="shared" si="41"/>
        <v>0.26062316566959165</v>
      </c>
      <c r="G90" s="280">
        <f t="shared" si="41"/>
        <v>0.27335162978084826</v>
      </c>
      <c r="H90" s="280">
        <f t="shared" si="41"/>
        <v>0.26373300580238024</v>
      </c>
      <c r="I90" s="280">
        <f t="shared" si="41"/>
        <v>0.26521782763350088</v>
      </c>
      <c r="J90" s="280">
        <f t="shared" si="41"/>
        <v>0.23870619025944473</v>
      </c>
      <c r="K90" s="274">
        <f t="shared" si="41"/>
        <v>0.25845377231663513</v>
      </c>
      <c r="L90" s="280">
        <f t="shared" si="41"/>
        <v>0.21287539641435671</v>
      </c>
      <c r="M90" s="280">
        <f t="shared" si="41"/>
        <v>0.24748658077599495</v>
      </c>
      <c r="N90" s="280">
        <f t="shared" si="41"/>
        <v>0.28594197568016411</v>
      </c>
      <c r="O90" s="280">
        <f t="shared" si="41"/>
        <v>0.25604667545745152</v>
      </c>
      <c r="P90" s="274">
        <f t="shared" si="41"/>
        <v>0.25269613441869543</v>
      </c>
      <c r="Q90" s="280">
        <f t="shared" si="41"/>
        <v>0.24846880065331178</v>
      </c>
      <c r="R90" s="280">
        <f t="shared" si="41"/>
        <v>0.28559218277160481</v>
      </c>
      <c r="S90" s="280">
        <f t="shared" si="41"/>
        <v>0.2969197331934349</v>
      </c>
      <c r="T90" s="280">
        <f t="shared" si="41"/>
        <v>0.2472416423032926</v>
      </c>
      <c r="U90" s="274">
        <f t="shared" si="41"/>
        <v>0.27148302924110079</v>
      </c>
      <c r="V90" s="280">
        <f t="shared" si="41"/>
        <v>0.2474957688209114</v>
      </c>
      <c r="W90" s="280">
        <f t="shared" si="41"/>
        <v>0.27267585418364493</v>
      </c>
      <c r="X90" s="280">
        <f t="shared" si="41"/>
        <v>0.24927949245320724</v>
      </c>
      <c r="Y90" s="280">
        <f t="shared" si="41"/>
        <v>0.236817509151803</v>
      </c>
      <c r="Z90" s="274">
        <f t="shared" si="41"/>
        <v>0.25187364856433903</v>
      </c>
      <c r="AA90" s="280">
        <f t="shared" si="41"/>
        <v>0.25143048373973065</v>
      </c>
      <c r="AB90" s="280">
        <f t="shared" si="41"/>
        <v>0.22598832669375446</v>
      </c>
      <c r="AC90" s="280">
        <f t="shared" si="41"/>
        <v>0.21714694324895079</v>
      </c>
      <c r="AD90" s="280">
        <f t="shared" si="41"/>
        <v>0.18768022040883103</v>
      </c>
      <c r="AE90" s="274">
        <f t="shared" si="41"/>
        <v>0.21956910246227168</v>
      </c>
      <c r="AF90" s="280">
        <f t="shared" si="41"/>
        <v>0.20737298879140398</v>
      </c>
      <c r="AG90" s="280">
        <f t="shared" si="41"/>
        <v>0.23763458385664848</v>
      </c>
      <c r="AH90" s="280">
        <f t="shared" si="41"/>
        <v>0.21779813235280288</v>
      </c>
      <c r="AI90" s="280">
        <f t="shared" ref="AI90:BB90" si="42">1-AI88</f>
        <v>0.23493349497577898</v>
      </c>
      <c r="AJ90" s="274">
        <f t="shared" si="42"/>
        <v>0.22495443544772775</v>
      </c>
      <c r="AK90" s="280">
        <f t="shared" si="42"/>
        <v>0.25016092307396698</v>
      </c>
      <c r="AL90" s="280">
        <f t="shared" si="42"/>
        <v>0.21345016869559696</v>
      </c>
      <c r="AM90" s="280">
        <f t="shared" si="42"/>
        <v>0.20785456846196437</v>
      </c>
      <c r="AN90" s="280">
        <f t="shared" si="42"/>
        <v>0.13561679737112664</v>
      </c>
      <c r="AO90" s="274">
        <f t="shared" si="42"/>
        <v>0.20207272661388231</v>
      </c>
      <c r="AP90" s="280">
        <f t="shared" si="42"/>
        <v>0.2266664128337903</v>
      </c>
      <c r="AQ90" s="348">
        <f t="shared" si="42"/>
        <v>0.21693048975698093</v>
      </c>
      <c r="AR90" s="280">
        <f t="shared" si="42"/>
        <v>0.18269916333212077</v>
      </c>
      <c r="AS90" s="280">
        <f t="shared" si="42"/>
        <v>0.20374288512958993</v>
      </c>
      <c r="AT90" s="274">
        <f t="shared" si="42"/>
        <v>0.2091448380137555</v>
      </c>
      <c r="AU90" s="280">
        <f t="shared" si="42"/>
        <v>0.20208816679180119</v>
      </c>
      <c r="AV90" s="280">
        <f t="shared" si="42"/>
        <v>0.21045390726096969</v>
      </c>
      <c r="AW90" s="280">
        <f t="shared" si="42"/>
        <v>0.20950761893447178</v>
      </c>
      <c r="AX90" s="280">
        <f t="shared" si="42"/>
        <v>0.20506987794498177</v>
      </c>
      <c r="AY90" s="274">
        <f t="shared" si="42"/>
        <v>0.2070407089503371</v>
      </c>
      <c r="AZ90" s="274">
        <f t="shared" si="42"/>
        <v>0.20582266504863445</v>
      </c>
      <c r="BA90" s="274">
        <f t="shared" si="42"/>
        <v>0.21866133625711826</v>
      </c>
      <c r="BB90" s="274">
        <f t="shared" si="42"/>
        <v>0.19296049811000771</v>
      </c>
      <c r="BC90" s="230"/>
    </row>
    <row r="91" spans="1:55" s="92" customFormat="1" ht="14.45" customHeight="1">
      <c r="A91" s="90" t="s">
        <v>302</v>
      </c>
      <c r="B91" s="123"/>
      <c r="C91" s="906"/>
      <c r="D91" s="906"/>
      <c r="E91" s="906"/>
      <c r="F91" s="906"/>
      <c r="G91" s="907"/>
      <c r="H91" s="907"/>
      <c r="I91" s="907"/>
      <c r="J91" s="907"/>
      <c r="K91" s="906"/>
      <c r="L91" s="907"/>
      <c r="M91" s="907"/>
      <c r="N91" s="907"/>
      <c r="O91" s="907"/>
      <c r="P91" s="906"/>
      <c r="Q91" s="907"/>
      <c r="R91" s="907"/>
      <c r="S91" s="907"/>
      <c r="T91" s="907"/>
      <c r="U91" s="906"/>
      <c r="V91" s="907"/>
      <c r="W91" s="907"/>
      <c r="X91" s="907"/>
      <c r="Y91" s="907"/>
      <c r="Z91" s="906"/>
      <c r="AA91" s="907"/>
      <c r="AB91" s="907"/>
      <c r="AC91" s="907"/>
      <c r="AD91" s="907"/>
      <c r="AE91" s="906"/>
      <c r="AF91" s="907"/>
      <c r="AG91" s="907"/>
      <c r="AH91" s="907"/>
      <c r="AI91" s="907"/>
      <c r="AJ91" s="906"/>
      <c r="AK91" s="907"/>
      <c r="AL91" s="907"/>
      <c r="AM91" s="907"/>
      <c r="AN91" s="907"/>
      <c r="AO91" s="906"/>
      <c r="AP91" s="907"/>
      <c r="AQ91" s="908"/>
      <c r="AR91" s="907" t="str">
        <f ca="1">IFERROR(VLOOKUP(A91,tb_ConsensusEstimate,MATCH(AR5,OFFSET(tb_ConsensusEstimate,0,0,1,COLUMNS(tb_ConsensusEstimate)),0),FALSE),"-")</f>
        <v>N/A</v>
      </c>
      <c r="AS91" s="907" t="str">
        <f ca="1">IFERROR(VLOOKUP(A91,tb_ConsensusEstimate,MATCH(AS5,OFFSET(tb_ConsensusEstimate,0,0,1,COLUMNS(tb_ConsensusEstimate)),0),FALSE),"-")</f>
        <v>N/A</v>
      </c>
      <c r="AT91" s="906" t="str">
        <f ca="1">IFERROR(VLOOKUP(A91,tb_ConsensusEstimate,MATCH(AT5,OFFSET(tb_ConsensusEstimate,0,0,1,COLUMNS(tb_ConsensusEstimate)),0),FALSE),"-")</f>
        <v>N/A</v>
      </c>
      <c r="AU91" s="907" t="str">
        <f ca="1">IFERROR(VLOOKUP(A91,tb_ConsensusEstimate,MATCH(AU5,OFFSET(tb_ConsensusEstimate,0,0,1,COLUMNS(tb_ConsensusEstimate)),0),FALSE),"-")</f>
        <v>N/A</v>
      </c>
      <c r="AV91" s="907" t="str">
        <f ca="1">IFERROR(VLOOKUP(A91,tb_ConsensusEstimate,MATCH(AV5,OFFSET(tb_ConsensusEstimate,0,0,1,COLUMNS(tb_ConsensusEstimate)),0),FALSE),"-")</f>
        <v>N/A</v>
      </c>
      <c r="AW91" s="907" t="str">
        <f ca="1">IFERROR(VLOOKUP(A91,tb_ConsensusEstimate,MATCH(AW5,OFFSET(tb_ConsensusEstimate,0,0,1,COLUMNS(tb_ConsensusEstimate)),0),FALSE),"-")</f>
        <v>N/A</v>
      </c>
      <c r="AX91" s="907" t="str">
        <f ca="1">IFERROR(VLOOKUP(A91,tb_ConsensusEstimate,MATCH(AX5,OFFSET(tb_ConsensusEstimate,0,0,1,COLUMNS(tb_ConsensusEstimate)),0),FALSE),"-")</f>
        <v>N/A</v>
      </c>
      <c r="AY91" s="906" t="str">
        <f ca="1">IFERROR(VLOOKUP(A91,tb_ConsensusEstimate,MATCH(AY5,OFFSET(tb_ConsensusEstimate,0,0,1,COLUMNS(tb_ConsensusEstimate)),0),FALSE),"-")</f>
        <v>N/A</v>
      </c>
      <c r="AZ91" s="906" t="str">
        <f ca="1">IFERROR(VLOOKUP(A91,tb_ConsensusEstimate,MATCH(AZ5,OFFSET(tb_ConsensusEstimate,0,0,1,COLUMNS(tb_ConsensusEstimate)),0),FALSE),"-")</f>
        <v>N/A</v>
      </c>
      <c r="BA91" s="906" t="str">
        <f ca="1">IFERROR(VLOOKUP(A91,tb_ConsensusEstimate,MATCH(BA5,OFFSET(tb_ConsensusEstimate,0,0,1,COLUMNS(tb_ConsensusEstimate)),0),FALSE),"-")</f>
        <v>N/A</v>
      </c>
      <c r="BB91" s="906" t="str">
        <f ca="1">IFERROR(VLOOKUP(A91,tb_ConsensusEstimate,MATCH(BB5,OFFSET(tb_ConsensusEstimate,0,0,1,COLUMNS(tb_ConsensusEstimate)),0),FALSE),"-")</f>
        <v>N/A</v>
      </c>
      <c r="BC91" s="91"/>
    </row>
    <row r="92" spans="1:55" s="25" customFormat="1" ht="14.45" customHeight="1">
      <c r="A92" s="122"/>
      <c r="B92" s="86"/>
      <c r="C92" s="274"/>
      <c r="D92" s="274"/>
      <c r="E92" s="274"/>
      <c r="F92" s="274"/>
      <c r="G92" s="280"/>
      <c r="H92" s="280"/>
      <c r="I92" s="280"/>
      <c r="J92" s="280"/>
      <c r="K92" s="274"/>
      <c r="L92" s="280"/>
      <c r="M92" s="280"/>
      <c r="N92" s="280"/>
      <c r="O92" s="280"/>
      <c r="P92" s="274"/>
      <c r="Q92" s="280"/>
      <c r="R92" s="280"/>
      <c r="S92" s="280"/>
      <c r="T92" s="280"/>
      <c r="U92" s="274"/>
      <c r="V92" s="280"/>
      <c r="W92" s="280"/>
      <c r="X92" s="280"/>
      <c r="Y92" s="280"/>
      <c r="Z92" s="274"/>
      <c r="AA92" s="280"/>
      <c r="AB92" s="280"/>
      <c r="AC92" s="280"/>
      <c r="AD92" s="280"/>
      <c r="AE92" s="274"/>
      <c r="AF92" s="280"/>
      <c r="AG92" s="280"/>
      <c r="AH92" s="280"/>
      <c r="AI92" s="280"/>
      <c r="AJ92" s="274"/>
      <c r="AK92" s="280"/>
      <c r="AL92" s="280"/>
      <c r="AM92" s="280"/>
      <c r="AN92" s="280"/>
      <c r="AO92" s="274"/>
      <c r="AP92" s="280"/>
      <c r="AQ92" s="348"/>
      <c r="AR92" s="881"/>
      <c r="AS92" s="881"/>
      <c r="AT92" s="882"/>
      <c r="AU92" s="881"/>
      <c r="AV92" s="881"/>
      <c r="AW92" s="881"/>
      <c r="AX92" s="881"/>
      <c r="AY92" s="882"/>
      <c r="AZ92" s="882"/>
      <c r="BA92" s="882"/>
      <c r="BB92" s="882"/>
      <c r="BC92" s="45"/>
    </row>
    <row r="93" spans="1:55" s="25" customFormat="1" ht="14.45" customHeight="1">
      <c r="A93" s="122" t="s">
        <v>352</v>
      </c>
      <c r="B93" s="86"/>
      <c r="C93" s="878">
        <f t="shared" ref="C93:AQ93" si="43">C155/C149</f>
        <v>0.12202865047776948</v>
      </c>
      <c r="D93" s="878">
        <f t="shared" si="43"/>
        <v>0.1139338148901172</v>
      </c>
      <c r="E93" s="878">
        <f t="shared" si="43"/>
        <v>0.11445326367553021</v>
      </c>
      <c r="F93" s="878">
        <f t="shared" si="43"/>
        <v>0.1331076465775429</v>
      </c>
      <c r="G93" s="879">
        <f t="shared" si="43"/>
        <v>0.11939107980585936</v>
      </c>
      <c r="H93" s="879">
        <f t="shared" si="43"/>
        <v>0.14566656784267223</v>
      </c>
      <c r="I93" s="879">
        <f t="shared" si="43"/>
        <v>0.12370513263679039</v>
      </c>
      <c r="J93" s="879">
        <f t="shared" si="43"/>
        <v>0.13205507510241232</v>
      </c>
      <c r="K93" s="878">
        <f t="shared" si="43"/>
        <v>0.12993289933134669</v>
      </c>
      <c r="L93" s="879">
        <f t="shared" si="43"/>
        <v>0.11340111102439855</v>
      </c>
      <c r="M93" s="879">
        <f t="shared" si="43"/>
        <v>0.11599823559402622</v>
      </c>
      <c r="N93" s="879">
        <f t="shared" si="43"/>
        <v>0.1398836392817735</v>
      </c>
      <c r="O93" s="879">
        <f t="shared" si="43"/>
        <v>0.10004636236098821</v>
      </c>
      <c r="P93" s="878">
        <f t="shared" si="43"/>
        <v>0.117920425269916</v>
      </c>
      <c r="Q93" s="879">
        <f t="shared" si="43"/>
        <v>0.13680570162956729</v>
      </c>
      <c r="R93" s="879">
        <f t="shared" si="43"/>
        <v>0.11931437547644898</v>
      </c>
      <c r="S93" s="879">
        <f t="shared" si="43"/>
        <v>0.10842139448899547</v>
      </c>
      <c r="T93" s="879">
        <f t="shared" si="43"/>
        <v>0.14232871488496254</v>
      </c>
      <c r="U93" s="878">
        <f t="shared" si="43"/>
        <v>0.12547975599433178</v>
      </c>
      <c r="V93" s="879">
        <f t="shared" si="43"/>
        <v>0.13343571741992102</v>
      </c>
      <c r="W93" s="879">
        <f t="shared" si="43"/>
        <v>0.13115322394268547</v>
      </c>
      <c r="X93" s="879">
        <f t="shared" si="43"/>
        <v>0.13228969883751671</v>
      </c>
      <c r="Y93" s="879">
        <f t="shared" si="43"/>
        <v>0.13420697354414926</v>
      </c>
      <c r="Z93" s="878">
        <f t="shared" si="43"/>
        <v>0.1327498764063223</v>
      </c>
      <c r="AA93" s="879">
        <f t="shared" si="43"/>
        <v>0.1360075067587076</v>
      </c>
      <c r="AB93" s="879">
        <f t="shared" si="43"/>
        <v>0.14089362997472107</v>
      </c>
      <c r="AC93" s="879">
        <f t="shared" si="43"/>
        <v>0.14269293485524875</v>
      </c>
      <c r="AD93" s="879">
        <f t="shared" si="43"/>
        <v>0.13312670005486865</v>
      </c>
      <c r="AE93" s="878">
        <f t="shared" si="43"/>
        <v>0.13800155012939097</v>
      </c>
      <c r="AF93" s="879">
        <f t="shared" si="43"/>
        <v>0.16513551399259463</v>
      </c>
      <c r="AG93" s="879">
        <f t="shared" si="43"/>
        <v>0.13775730324151753</v>
      </c>
      <c r="AH93" s="879">
        <f t="shared" si="43"/>
        <v>0.12819620640040624</v>
      </c>
      <c r="AI93" s="879">
        <f t="shared" si="43"/>
        <v>0.13978621801031949</v>
      </c>
      <c r="AJ93" s="878">
        <f t="shared" si="43"/>
        <v>0.14184145527702252</v>
      </c>
      <c r="AK93" s="879">
        <f t="shared" si="43"/>
        <v>0.13451727881483758</v>
      </c>
      <c r="AL93" s="879">
        <f t="shared" si="43"/>
        <v>0.15250293498609185</v>
      </c>
      <c r="AM93" s="879">
        <f t="shared" si="43"/>
        <v>0.17451897547142098</v>
      </c>
      <c r="AN93" s="879">
        <f t="shared" si="43"/>
        <v>0.26097715863959853</v>
      </c>
      <c r="AO93" s="878">
        <f t="shared" si="43"/>
        <v>0.18055472873112793</v>
      </c>
      <c r="AP93" s="879">
        <f t="shared" si="43"/>
        <v>0.17237790638643519</v>
      </c>
      <c r="AQ93" s="880">
        <f t="shared" si="43"/>
        <v>0.25709411935906351</v>
      </c>
      <c r="AR93" s="909">
        <v>0.19</v>
      </c>
      <c r="AS93" s="909">
        <v>0.19</v>
      </c>
      <c r="AT93" s="878">
        <f>AT155/AT149</f>
        <v>0.20018232441502407</v>
      </c>
      <c r="AU93" s="909">
        <v>0.13</v>
      </c>
      <c r="AV93" s="909">
        <v>0.125</v>
      </c>
      <c r="AW93" s="909">
        <v>0.115</v>
      </c>
      <c r="AX93" s="909">
        <v>0.11</v>
      </c>
      <c r="AY93" s="878">
        <f>AY155/AY149</f>
        <v>0.11988297451438705</v>
      </c>
      <c r="AZ93" s="910">
        <v>0.125</v>
      </c>
      <c r="BA93" s="910">
        <v>0.125</v>
      </c>
      <c r="BB93" s="910">
        <v>0.125</v>
      </c>
      <c r="BC93" s="45"/>
    </row>
    <row r="94" spans="1:55" s="25" customFormat="1" ht="14.45" customHeight="1">
      <c r="A94" s="392" t="s">
        <v>56</v>
      </c>
      <c r="B94" s="89"/>
      <c r="C94" s="54">
        <f t="shared" ref="C94:AH94" si="44">C156/C149</f>
        <v>0.11131217932960606</v>
      </c>
      <c r="D94" s="54">
        <f t="shared" si="44"/>
        <v>0.15399429896707081</v>
      </c>
      <c r="E94" s="54">
        <f t="shared" si="44"/>
        <v>0.17235485157540886</v>
      </c>
      <c r="F94" s="54">
        <f t="shared" si="44"/>
        <v>0.1534307139157654</v>
      </c>
      <c r="G94" s="53">
        <f t="shared" si="44"/>
        <v>0.17760622980518345</v>
      </c>
      <c r="H94" s="53">
        <f t="shared" si="44"/>
        <v>0.14236302288481356</v>
      </c>
      <c r="I94" s="53">
        <f t="shared" si="44"/>
        <v>0.17582319554866691</v>
      </c>
      <c r="J94" s="53">
        <f t="shared" si="44"/>
        <v>0.14943673190714613</v>
      </c>
      <c r="K94" s="54">
        <f t="shared" si="44"/>
        <v>0.16105337165415945</v>
      </c>
      <c r="L94" s="53">
        <f t="shared" si="44"/>
        <v>0.13379827032089159</v>
      </c>
      <c r="M94" s="53">
        <f t="shared" si="44"/>
        <v>0.16282946557976205</v>
      </c>
      <c r="N94" s="53">
        <f t="shared" si="44"/>
        <v>0.20657371184003742</v>
      </c>
      <c r="O94" s="53">
        <f t="shared" si="44"/>
        <v>0.19264464153465388</v>
      </c>
      <c r="P94" s="54">
        <f t="shared" si="44"/>
        <v>0.17600474404687166</v>
      </c>
      <c r="Q94" s="53">
        <f t="shared" si="44"/>
        <v>0.14956878951731647</v>
      </c>
      <c r="R94" s="53">
        <f t="shared" si="44"/>
        <v>0.20334265055787856</v>
      </c>
      <c r="S94" s="53">
        <f t="shared" si="44"/>
        <v>0.21990556846286452</v>
      </c>
      <c r="T94" s="53">
        <f t="shared" si="44"/>
        <v>0.14608491165628612</v>
      </c>
      <c r="U94" s="54">
        <f t="shared" si="44"/>
        <v>0.182562232856984</v>
      </c>
      <c r="V94" s="53">
        <f t="shared" si="44"/>
        <v>0.15509308593994867</v>
      </c>
      <c r="W94" s="53">
        <f t="shared" si="44"/>
        <v>0.18166226752460066</v>
      </c>
      <c r="X94" s="53">
        <f t="shared" si="44"/>
        <v>0.15767993346185333</v>
      </c>
      <c r="Y94" s="53">
        <f t="shared" si="44"/>
        <v>0.14371576187138141</v>
      </c>
      <c r="Z94" s="54">
        <f t="shared" si="44"/>
        <v>0.15985835295827203</v>
      </c>
      <c r="AA94" s="53">
        <f t="shared" si="44"/>
        <v>0.15674952098480274</v>
      </c>
      <c r="AB94" s="53">
        <f t="shared" si="44"/>
        <v>0.12671228344164012</v>
      </c>
      <c r="AC94" s="53">
        <f t="shared" si="44"/>
        <v>0.11910903793204843</v>
      </c>
      <c r="AD94" s="53">
        <f t="shared" si="44"/>
        <v>0.10004786420574684</v>
      </c>
      <c r="AE94" s="54">
        <f t="shared" si="44"/>
        <v>0.12490551897307135</v>
      </c>
      <c r="AF94" s="53">
        <f t="shared" si="44"/>
        <v>9.7197013274954142E-2</v>
      </c>
      <c r="AG94" s="53">
        <f t="shared" si="44"/>
        <v>0.14178882678350574</v>
      </c>
      <c r="AH94" s="53">
        <f t="shared" si="44"/>
        <v>0.12802693324054651</v>
      </c>
      <c r="AI94" s="53">
        <f t="shared" ref="AI94:BB94" si="45">AI156/AI149</f>
        <v>0.13593242557301824</v>
      </c>
      <c r="AJ94" s="54">
        <f t="shared" si="45"/>
        <v>0.12672547730735914</v>
      </c>
      <c r="AK94" s="53">
        <f t="shared" si="45"/>
        <v>0.15443811426979348</v>
      </c>
      <c r="AL94" s="53">
        <f t="shared" si="45"/>
        <v>0.10274566626828413</v>
      </c>
      <c r="AM94" s="53">
        <f t="shared" si="45"/>
        <v>7.967551322464389E-2</v>
      </c>
      <c r="AN94" s="53">
        <f t="shared" si="45"/>
        <v>-8.0675563977985504E-2</v>
      </c>
      <c r="AO94" s="54">
        <f t="shared" si="45"/>
        <v>6.4288690853653824E-2</v>
      </c>
      <c r="AP94" s="53">
        <f t="shared" si="45"/>
        <v>0.10487105289877151</v>
      </c>
      <c r="AQ94" s="349">
        <f t="shared" si="45"/>
        <v>2.5166944233350037E-2</v>
      </c>
      <c r="AR94" s="53">
        <f t="shared" si="45"/>
        <v>7.0000000000000021E-2</v>
      </c>
      <c r="AS94" s="53">
        <f t="shared" si="45"/>
        <v>6.9999999999999993E-2</v>
      </c>
      <c r="AT94" s="54">
        <f t="shared" si="45"/>
        <v>6.9906957018789309E-2</v>
      </c>
      <c r="AU94" s="53">
        <f t="shared" si="45"/>
        <v>0.12000000000000004</v>
      </c>
      <c r="AV94" s="53">
        <f t="shared" si="45"/>
        <v>0.125</v>
      </c>
      <c r="AW94" s="53">
        <f t="shared" si="45"/>
        <v>0.13499999999999995</v>
      </c>
      <c r="AX94" s="53">
        <f t="shared" si="45"/>
        <v>0.14000000000000001</v>
      </c>
      <c r="AY94" s="54">
        <f t="shared" si="45"/>
        <v>0.13011702548561302</v>
      </c>
      <c r="AZ94" s="54">
        <f t="shared" si="45"/>
        <v>0.12499999999999982</v>
      </c>
      <c r="BA94" s="54">
        <f t="shared" si="45"/>
        <v>0.12499999999999985</v>
      </c>
      <c r="BB94" s="54">
        <f t="shared" si="45"/>
        <v>0.12499999999999986</v>
      </c>
      <c r="BC94" s="45"/>
    </row>
    <row r="95" spans="1:55" s="25" customFormat="1" ht="14.45" customHeight="1">
      <c r="A95" s="393" t="str">
        <f>CONCATENATE("Adjusted ",A94,IFERROR("  - "&amp;RIGHT(A157,FIND("(",A157)),""))</f>
        <v>Adjusted EBITDA Margin, %</v>
      </c>
      <c r="B95" s="86"/>
      <c r="C95" s="274">
        <f t="shared" ref="C95:AH95" si="46">C157/C149</f>
        <v>0.11131217932960606</v>
      </c>
      <c r="D95" s="274">
        <f t="shared" si="46"/>
        <v>0.15399429896707081</v>
      </c>
      <c r="E95" s="274">
        <f t="shared" si="46"/>
        <v>0.17235485157540886</v>
      </c>
      <c r="F95" s="274">
        <f t="shared" si="46"/>
        <v>0.1534307139157654</v>
      </c>
      <c r="G95" s="280">
        <f t="shared" si="46"/>
        <v>0.17760622980518345</v>
      </c>
      <c r="H95" s="280">
        <f t="shared" si="46"/>
        <v>0.14236302288481356</v>
      </c>
      <c r="I95" s="280">
        <f t="shared" si="46"/>
        <v>0.17582319554866691</v>
      </c>
      <c r="J95" s="280">
        <f t="shared" si="46"/>
        <v>0.14943673190714613</v>
      </c>
      <c r="K95" s="274">
        <f t="shared" si="46"/>
        <v>0.16105337165415945</v>
      </c>
      <c r="L95" s="280">
        <f t="shared" si="46"/>
        <v>0.13379827032089159</v>
      </c>
      <c r="M95" s="280">
        <f t="shared" si="46"/>
        <v>0.16282946557976205</v>
      </c>
      <c r="N95" s="280">
        <f t="shared" si="46"/>
        <v>0.20657371184003742</v>
      </c>
      <c r="O95" s="280">
        <f t="shared" si="46"/>
        <v>0.19264464153465388</v>
      </c>
      <c r="P95" s="274">
        <f t="shared" si="46"/>
        <v>0.17600474404687166</v>
      </c>
      <c r="Q95" s="280">
        <f t="shared" si="46"/>
        <v>0.14956878951731647</v>
      </c>
      <c r="R95" s="280">
        <f t="shared" si="46"/>
        <v>0.20334265055787856</v>
      </c>
      <c r="S95" s="280">
        <f t="shared" si="46"/>
        <v>0.21990556846286452</v>
      </c>
      <c r="T95" s="280">
        <f t="shared" si="46"/>
        <v>0.14608491165628612</v>
      </c>
      <c r="U95" s="274">
        <f t="shared" si="46"/>
        <v>0.182562232856984</v>
      </c>
      <c r="V95" s="280">
        <f t="shared" si="46"/>
        <v>0.15509308593994867</v>
      </c>
      <c r="W95" s="280">
        <f t="shared" si="46"/>
        <v>0.18166226752460066</v>
      </c>
      <c r="X95" s="280">
        <f t="shared" si="46"/>
        <v>0.15767993346185333</v>
      </c>
      <c r="Y95" s="280">
        <f t="shared" si="46"/>
        <v>0.14371576187138141</v>
      </c>
      <c r="Z95" s="274">
        <f t="shared" si="46"/>
        <v>0.15985835295827203</v>
      </c>
      <c r="AA95" s="280">
        <f t="shared" si="46"/>
        <v>0.15674952098480274</v>
      </c>
      <c r="AB95" s="280">
        <f t="shared" si="46"/>
        <v>0.12671228344164012</v>
      </c>
      <c r="AC95" s="280">
        <f t="shared" si="46"/>
        <v>0.11910903793204843</v>
      </c>
      <c r="AD95" s="280">
        <f t="shared" si="46"/>
        <v>0.10004786420574684</v>
      </c>
      <c r="AE95" s="274">
        <f t="shared" si="46"/>
        <v>0.12490551897307135</v>
      </c>
      <c r="AF95" s="280">
        <f t="shared" si="46"/>
        <v>9.7197013274954142E-2</v>
      </c>
      <c r="AG95" s="280">
        <f t="shared" si="46"/>
        <v>0.14178882678350574</v>
      </c>
      <c r="AH95" s="280">
        <f t="shared" si="46"/>
        <v>0.12802693324054651</v>
      </c>
      <c r="AI95" s="280">
        <f t="shared" ref="AI95:BB95" si="47">AI157/AI149</f>
        <v>0.13593242557301824</v>
      </c>
      <c r="AJ95" s="274">
        <f t="shared" si="47"/>
        <v>0.12672547730735914</v>
      </c>
      <c r="AK95" s="280">
        <f t="shared" si="47"/>
        <v>0.15443811426979348</v>
      </c>
      <c r="AL95" s="280">
        <f t="shared" si="47"/>
        <v>0.10274566626828413</v>
      </c>
      <c r="AM95" s="280">
        <f t="shared" si="47"/>
        <v>7.967551322464389E-2</v>
      </c>
      <c r="AN95" s="280">
        <f t="shared" si="47"/>
        <v>-8.0675563977985504E-2</v>
      </c>
      <c r="AO95" s="274">
        <f t="shared" si="47"/>
        <v>6.4288690853653824E-2</v>
      </c>
      <c r="AP95" s="280">
        <f t="shared" si="47"/>
        <v>0.10308787694182162</v>
      </c>
      <c r="AQ95" s="348">
        <f t="shared" si="47"/>
        <v>2.5166944233350037E-2</v>
      </c>
      <c r="AR95" s="280">
        <f t="shared" si="47"/>
        <v>7.0000000000000021E-2</v>
      </c>
      <c r="AS95" s="280">
        <f t="shared" si="47"/>
        <v>6.9999999999999993E-2</v>
      </c>
      <c r="AT95" s="274">
        <f t="shared" si="47"/>
        <v>6.938882230376342E-2</v>
      </c>
      <c r="AU95" s="280">
        <f t="shared" si="47"/>
        <v>0.12000000000000004</v>
      </c>
      <c r="AV95" s="280">
        <f t="shared" si="47"/>
        <v>0.125</v>
      </c>
      <c r="AW95" s="280">
        <f t="shared" si="47"/>
        <v>0.13499999999999995</v>
      </c>
      <c r="AX95" s="280">
        <f t="shared" si="47"/>
        <v>0.14000000000000001</v>
      </c>
      <c r="AY95" s="274">
        <f t="shared" si="47"/>
        <v>0.13011702548561294</v>
      </c>
      <c r="AZ95" s="274">
        <f t="shared" si="47"/>
        <v>0.12499999999999982</v>
      </c>
      <c r="BA95" s="274">
        <f t="shared" si="47"/>
        <v>0.12499999999999985</v>
      </c>
      <c r="BB95" s="274">
        <f t="shared" si="47"/>
        <v>0.12499999999999986</v>
      </c>
      <c r="BC95" s="45"/>
    </row>
    <row r="96" spans="1:55" s="85" customFormat="1" ht="14.45" customHeight="1">
      <c r="A96" s="125" t="s">
        <v>297</v>
      </c>
      <c r="B96" s="424"/>
      <c r="C96" s="425"/>
      <c r="D96" s="425"/>
      <c r="E96" s="425"/>
      <c r="F96" s="425"/>
      <c r="G96" s="426"/>
      <c r="H96" s="426"/>
      <c r="I96" s="426"/>
      <c r="J96" s="426"/>
      <c r="K96" s="425"/>
      <c r="L96" s="426"/>
      <c r="M96" s="426"/>
      <c r="N96" s="426"/>
      <c r="O96" s="426"/>
      <c r="P96" s="425"/>
      <c r="Q96" s="426"/>
      <c r="R96" s="426"/>
      <c r="S96" s="426"/>
      <c r="T96" s="426"/>
      <c r="U96" s="425"/>
      <c r="V96" s="426"/>
      <c r="W96" s="426"/>
      <c r="X96" s="426"/>
      <c r="Y96" s="426"/>
      <c r="Z96" s="425"/>
      <c r="AA96" s="426"/>
      <c r="AB96" s="426"/>
      <c r="AC96" s="426"/>
      <c r="AD96" s="426"/>
      <c r="AE96" s="425"/>
      <c r="AF96" s="426"/>
      <c r="AG96" s="426"/>
      <c r="AH96" s="426"/>
      <c r="AI96" s="426"/>
      <c r="AJ96" s="425"/>
      <c r="AK96" s="426"/>
      <c r="AL96" s="426"/>
      <c r="AM96" s="426"/>
      <c r="AN96" s="426"/>
      <c r="AO96" s="425"/>
      <c r="AP96" s="426"/>
      <c r="AQ96" s="427"/>
      <c r="AR96" s="426">
        <f t="shared" ref="AR96:BB96" ca="1" si="48">IFERROR(AR158/AR150,0)</f>
        <v>0</v>
      </c>
      <c r="AS96" s="426">
        <f t="shared" ca="1" si="48"/>
        <v>0</v>
      </c>
      <c r="AT96" s="425">
        <f t="shared" ca="1" si="48"/>
        <v>0</v>
      </c>
      <c r="AU96" s="426">
        <f t="shared" ca="1" si="48"/>
        <v>0</v>
      </c>
      <c r="AV96" s="426">
        <f t="shared" ca="1" si="48"/>
        <v>0</v>
      </c>
      <c r="AW96" s="426">
        <f t="shared" ca="1" si="48"/>
        <v>0</v>
      </c>
      <c r="AX96" s="426">
        <f t="shared" ca="1" si="48"/>
        <v>0</v>
      </c>
      <c r="AY96" s="425">
        <f t="shared" ca="1" si="48"/>
        <v>0</v>
      </c>
      <c r="AZ96" s="425">
        <f t="shared" ca="1" si="48"/>
        <v>0</v>
      </c>
      <c r="BA96" s="425">
        <f t="shared" ca="1" si="48"/>
        <v>0</v>
      </c>
      <c r="BB96" s="425">
        <f t="shared" ca="1" si="48"/>
        <v>0</v>
      </c>
      <c r="BC96" s="84"/>
    </row>
    <row r="97" spans="1:55" s="43" customFormat="1" ht="14.45" customHeight="1" outlineLevel="1">
      <c r="A97" s="423" t="s">
        <v>432</v>
      </c>
      <c r="B97" s="188"/>
      <c r="C97" s="384">
        <f>C48/C22</f>
        <v>0.10458532823495391</v>
      </c>
      <c r="D97" s="384">
        <f>D48/D22</f>
        <v>0.16767454033165166</v>
      </c>
      <c r="E97" s="384">
        <f>E48/E22</f>
        <v>0.18889626602579088</v>
      </c>
      <c r="F97" s="384">
        <f>F48/F22</f>
        <v>0.1731168245376635</v>
      </c>
      <c r="G97" s="385"/>
      <c r="H97" s="385"/>
      <c r="I97" s="385"/>
      <c r="J97" s="385"/>
      <c r="K97" s="384">
        <f t="shared" ref="K97:AQ97" si="49">K48/K22</f>
        <v>0.16700450791153604</v>
      </c>
      <c r="L97" s="385">
        <f t="shared" si="49"/>
        <v>0.14292485209034744</v>
      </c>
      <c r="M97" s="385">
        <f t="shared" si="49"/>
        <v>0.17084008788459795</v>
      </c>
      <c r="N97" s="385">
        <f t="shared" si="49"/>
        <v>0.18045045118748618</v>
      </c>
      <c r="O97" s="385">
        <f t="shared" si="49"/>
        <v>0.15118295119694608</v>
      </c>
      <c r="P97" s="384">
        <f t="shared" si="49"/>
        <v>0.16119956260472523</v>
      </c>
      <c r="Q97" s="385">
        <f t="shared" si="49"/>
        <v>0.16439530178711925</v>
      </c>
      <c r="R97" s="385">
        <f t="shared" si="49"/>
        <v>0.15337065899977301</v>
      </c>
      <c r="S97" s="385">
        <f t="shared" si="49"/>
        <v>0.16618851277319646</v>
      </c>
      <c r="T97" s="385">
        <f t="shared" si="49"/>
        <v>0.13462721997538232</v>
      </c>
      <c r="U97" s="384">
        <f t="shared" si="49"/>
        <v>0.15480647144639809</v>
      </c>
      <c r="V97" s="385">
        <f t="shared" si="49"/>
        <v>0.1351394341655279</v>
      </c>
      <c r="W97" s="385">
        <f t="shared" si="49"/>
        <v>0.17439175865432521</v>
      </c>
      <c r="X97" s="385">
        <f t="shared" si="49"/>
        <v>0.14025515461858618</v>
      </c>
      <c r="Y97" s="385">
        <f t="shared" si="49"/>
        <v>0.13171992627994869</v>
      </c>
      <c r="Z97" s="384">
        <f t="shared" si="49"/>
        <v>0.1459925361535912</v>
      </c>
      <c r="AA97" s="385">
        <f t="shared" si="49"/>
        <v>0.14437209030381432</v>
      </c>
      <c r="AB97" s="385">
        <f t="shared" si="49"/>
        <v>0.10794537889723421</v>
      </c>
      <c r="AC97" s="385">
        <f t="shared" si="49"/>
        <v>0.10115573241724507</v>
      </c>
      <c r="AD97" s="385">
        <f t="shared" si="49"/>
        <v>-5.6353266554891597E-2</v>
      </c>
      <c r="AE97" s="384">
        <f t="shared" si="49"/>
        <v>7.274182898337643E-2</v>
      </c>
      <c r="AF97" s="385">
        <f t="shared" si="49"/>
        <v>7.9678007290400976E-2</v>
      </c>
      <c r="AG97" s="385">
        <f t="shared" si="49"/>
        <v>0.10950398305696613</v>
      </c>
      <c r="AH97" s="385">
        <f t="shared" si="49"/>
        <v>9.5589666173287971E-2</v>
      </c>
      <c r="AI97" s="385">
        <f t="shared" si="49"/>
        <v>0.12688739000924432</v>
      </c>
      <c r="AJ97" s="384">
        <f t="shared" si="49"/>
        <v>0.10325402405180387</v>
      </c>
      <c r="AK97" s="385">
        <f t="shared" si="49"/>
        <v>0.13669954005549045</v>
      </c>
      <c r="AL97" s="385">
        <f t="shared" si="49"/>
        <v>8.2576440009868773E-2</v>
      </c>
      <c r="AM97" s="385">
        <f t="shared" si="49"/>
        <v>5.573169649084983E-2</v>
      </c>
      <c r="AN97" s="385">
        <f t="shared" si="49"/>
        <v>-0.18761438307217679</v>
      </c>
      <c r="AO97" s="384">
        <f t="shared" si="49"/>
        <v>2.4049644171531118E-2</v>
      </c>
      <c r="AP97" s="385">
        <f t="shared" si="49"/>
        <v>-0.44761465938895589</v>
      </c>
      <c r="AQ97" s="386">
        <f t="shared" si="49"/>
        <v>-0.1666130463182319</v>
      </c>
      <c r="AR97" s="876"/>
      <c r="AS97" s="876"/>
      <c r="AT97" s="877"/>
      <c r="AU97" s="876"/>
      <c r="AV97" s="876"/>
      <c r="AW97" s="876"/>
      <c r="AX97" s="876"/>
      <c r="AY97" s="877"/>
      <c r="AZ97" s="877"/>
      <c r="BA97" s="877"/>
      <c r="BB97" s="877"/>
      <c r="BC97" s="44"/>
    </row>
    <row r="98" spans="1:55" s="43" customFormat="1" ht="15" customHeight="1" outlineLevel="1">
      <c r="A98" s="868" t="s">
        <v>433</v>
      </c>
      <c r="B98" s="869"/>
      <c r="C98" s="866"/>
      <c r="D98" s="866"/>
      <c r="E98" s="866"/>
      <c r="F98" s="866"/>
      <c r="G98" s="390"/>
      <c r="H98" s="390"/>
      <c r="I98" s="390"/>
      <c r="J98" s="390"/>
      <c r="K98" s="866"/>
      <c r="L98" s="866"/>
      <c r="M98" s="866"/>
      <c r="N98" s="866"/>
      <c r="O98" s="866"/>
      <c r="P98" s="866"/>
      <c r="Q98" s="866"/>
      <c r="R98" s="866"/>
      <c r="S98" s="866"/>
      <c r="T98" s="866"/>
      <c r="U98" s="866"/>
      <c r="V98" s="866"/>
      <c r="W98" s="866"/>
      <c r="X98" s="866"/>
      <c r="Y98" s="866"/>
      <c r="Z98" s="866"/>
      <c r="AA98" s="866"/>
      <c r="AB98" s="866"/>
      <c r="AC98" s="866"/>
      <c r="AD98" s="866"/>
      <c r="AE98" s="866"/>
      <c r="AF98" s="866"/>
      <c r="AG98" s="866"/>
      <c r="AH98" s="866"/>
      <c r="AI98" s="866"/>
      <c r="AJ98" s="866"/>
      <c r="AK98" s="866"/>
      <c r="AL98" s="866"/>
      <c r="AM98" s="866"/>
      <c r="AN98" s="866"/>
      <c r="AO98" s="866"/>
      <c r="AP98" s="866"/>
      <c r="AQ98" s="867"/>
      <c r="AR98" s="39"/>
      <c r="AS98" s="39"/>
      <c r="AT98" s="3"/>
      <c r="AU98" s="39"/>
      <c r="AV98" s="39"/>
      <c r="AW98" s="39"/>
      <c r="AX98" s="39"/>
      <c r="AY98" s="3"/>
      <c r="AZ98" s="3"/>
      <c r="BA98" s="3"/>
      <c r="BB98" s="3"/>
      <c r="BC98" s="44"/>
    </row>
    <row r="99" spans="1:55" s="25" customFormat="1" ht="14.45" customHeight="1">
      <c r="A99" s="393" t="s">
        <v>216</v>
      </c>
      <c r="B99" s="86"/>
      <c r="C99" s="54">
        <f t="shared" ref="C99:AH99" si="50">C162/C149</f>
        <v>6.8869932688636615E-2</v>
      </c>
      <c r="D99" s="54">
        <f t="shared" si="50"/>
        <v>0.12454407061924649</v>
      </c>
      <c r="E99" s="54">
        <f t="shared" si="50"/>
        <v>0.14604033081612713</v>
      </c>
      <c r="F99" s="54">
        <f t="shared" si="50"/>
        <v>0.12244507329815435</v>
      </c>
      <c r="G99" s="53">
        <f t="shared" si="50"/>
        <v>0.14955317912041863</v>
      </c>
      <c r="H99" s="53">
        <f t="shared" si="50"/>
        <v>0.11265935369107619</v>
      </c>
      <c r="I99" s="53">
        <f t="shared" si="50"/>
        <v>0.13773263010002115</v>
      </c>
      <c r="J99" s="53">
        <f t="shared" si="50"/>
        <v>0.1034649522075558</v>
      </c>
      <c r="K99" s="54">
        <f t="shared" si="50"/>
        <v>0.12444953035415388</v>
      </c>
      <c r="L99" s="53">
        <f t="shared" si="50"/>
        <v>9.6678987733325686E-2</v>
      </c>
      <c r="M99" s="53">
        <f t="shared" si="50"/>
        <v>0.12878445031306751</v>
      </c>
      <c r="N99" s="53">
        <f t="shared" si="50"/>
        <v>0.14361743627467369</v>
      </c>
      <c r="O99" s="53">
        <f t="shared" si="50"/>
        <v>0.15343533052750682</v>
      </c>
      <c r="P99" s="54">
        <f t="shared" si="50"/>
        <v>0.13215861696511097</v>
      </c>
      <c r="Q99" s="53">
        <f t="shared" si="50"/>
        <v>0.10853264702607061</v>
      </c>
      <c r="R99" s="53">
        <f t="shared" si="50"/>
        <v>0.16259904363695177</v>
      </c>
      <c r="S99" s="53">
        <f t="shared" si="50"/>
        <v>0.18551550126158545</v>
      </c>
      <c r="T99" s="53">
        <f t="shared" si="50"/>
        <v>0.10151900343205834</v>
      </c>
      <c r="U99" s="54">
        <f t="shared" si="50"/>
        <v>0.14271847044327507</v>
      </c>
      <c r="V99" s="53">
        <f t="shared" si="50"/>
        <v>0.11031780856265286</v>
      </c>
      <c r="W99" s="53">
        <f t="shared" si="50"/>
        <v>0.13751474827582005</v>
      </c>
      <c r="X99" s="53">
        <f t="shared" si="50"/>
        <v>0.11299234682364161</v>
      </c>
      <c r="Y99" s="53">
        <f t="shared" si="50"/>
        <v>9.9981826206610017E-2</v>
      </c>
      <c r="Z99" s="54">
        <f t="shared" si="50"/>
        <v>0.11552099670996009</v>
      </c>
      <c r="AA99" s="53">
        <f t="shared" si="50"/>
        <v>0.11111840205779676</v>
      </c>
      <c r="AB99" s="53">
        <f t="shared" si="50"/>
        <v>7.9800680281112327E-2</v>
      </c>
      <c r="AC99" s="53">
        <f t="shared" si="50"/>
        <v>6.9461894196583704E-2</v>
      </c>
      <c r="AD99" s="53">
        <f t="shared" si="50"/>
        <v>5.224786654058617E-2</v>
      </c>
      <c r="AE99" s="54">
        <f t="shared" si="50"/>
        <v>7.7407184401342644E-2</v>
      </c>
      <c r="AF99" s="53">
        <f t="shared" si="50"/>
        <v>3.7038071250258382E-2</v>
      </c>
      <c r="AG99" s="53">
        <f t="shared" si="50"/>
        <v>9.6492910079288216E-2</v>
      </c>
      <c r="AH99" s="53">
        <f t="shared" si="50"/>
        <v>8.6254079012949347E-2</v>
      </c>
      <c r="AI99" s="53">
        <f t="shared" ref="AI99:BB99" si="51">AI162/AI149</f>
        <v>9.1456112597762373E-2</v>
      </c>
      <c r="AJ99" s="54">
        <f t="shared" si="51"/>
        <v>7.9256177358152408E-2</v>
      </c>
      <c r="AK99" s="53">
        <f t="shared" si="51"/>
        <v>0.10991286135636531</v>
      </c>
      <c r="AL99" s="53">
        <f t="shared" si="51"/>
        <v>5.5912807115886969E-2</v>
      </c>
      <c r="AM99" s="53">
        <f t="shared" si="51"/>
        <v>2.8827576856590934E-2</v>
      </c>
      <c r="AN99" s="53">
        <f t="shared" si="51"/>
        <v>-0.12989637723524819</v>
      </c>
      <c r="AO99" s="54">
        <f t="shared" si="51"/>
        <v>1.6544541103814953E-2</v>
      </c>
      <c r="AP99" s="53">
        <f t="shared" si="51"/>
        <v>4.3481571733170951E-2</v>
      </c>
      <c r="AQ99" s="349">
        <f t="shared" si="51"/>
        <v>-4.9080796158261511E-2</v>
      </c>
      <c r="AR99" s="53">
        <f t="shared" si="51"/>
        <v>-1.8213895962168034E-2</v>
      </c>
      <c r="AS99" s="53">
        <f t="shared" si="51"/>
        <v>5.8007042067084883E-3</v>
      </c>
      <c r="AT99" s="54">
        <f t="shared" si="51"/>
        <v>-6.3680784762043833E-4</v>
      </c>
      <c r="AU99" s="53">
        <f t="shared" si="51"/>
        <v>6.5324143280055424E-2</v>
      </c>
      <c r="AV99" s="53">
        <f t="shared" si="51"/>
        <v>7.9870929462518364E-2</v>
      </c>
      <c r="AW99" s="53">
        <f t="shared" si="51"/>
        <v>8.8791047489926569E-2</v>
      </c>
      <c r="AX99" s="53">
        <f t="shared" si="51"/>
        <v>8.8726801890155693E-2</v>
      </c>
      <c r="AY99" s="54">
        <f t="shared" si="51"/>
        <v>8.109289334658587E-2</v>
      </c>
      <c r="AZ99" s="54">
        <f t="shared" si="51"/>
        <v>7.4585864820206418E-2</v>
      </c>
      <c r="BA99" s="54">
        <f t="shared" si="51"/>
        <v>8.9237054316946784E-2</v>
      </c>
      <c r="BB99" s="54">
        <f t="shared" si="51"/>
        <v>5.99078625490677E-2</v>
      </c>
      <c r="BC99" s="45"/>
    </row>
    <row r="100" spans="1:55" s="43" customFormat="1" ht="14.45" customHeight="1">
      <c r="A100" s="428"/>
      <c r="B100" s="188"/>
      <c r="C100" s="911"/>
      <c r="D100" s="911"/>
      <c r="E100" s="911"/>
      <c r="F100" s="911"/>
      <c r="G100" s="912"/>
      <c r="H100" s="912"/>
      <c r="I100" s="912"/>
      <c r="J100" s="912"/>
      <c r="K100" s="911"/>
      <c r="L100" s="912"/>
      <c r="M100" s="912"/>
      <c r="N100" s="912"/>
      <c r="O100" s="912"/>
      <c r="P100" s="911"/>
      <c r="Q100" s="912"/>
      <c r="R100" s="912"/>
      <c r="S100" s="912"/>
      <c r="T100" s="912"/>
      <c r="U100" s="911"/>
      <c r="V100" s="912"/>
      <c r="W100" s="912"/>
      <c r="X100" s="912"/>
      <c r="Y100" s="912"/>
      <c r="Z100" s="911"/>
      <c r="AA100" s="912"/>
      <c r="AB100" s="912"/>
      <c r="AC100" s="912"/>
      <c r="AD100" s="912"/>
      <c r="AE100" s="911"/>
      <c r="AF100" s="912"/>
      <c r="AG100" s="912"/>
      <c r="AH100" s="912"/>
      <c r="AI100" s="912"/>
      <c r="AJ100" s="911"/>
      <c r="AK100" s="912"/>
      <c r="AL100" s="912"/>
      <c r="AM100" s="912"/>
      <c r="AN100" s="912"/>
      <c r="AO100" s="911"/>
      <c r="AP100" s="912"/>
      <c r="AQ100" s="913"/>
      <c r="AR100" s="914"/>
      <c r="AS100" s="914"/>
      <c r="AT100" s="915"/>
      <c r="AU100" s="914"/>
      <c r="AV100" s="914"/>
      <c r="AW100" s="914"/>
      <c r="AX100" s="914"/>
      <c r="AY100" s="915"/>
      <c r="AZ100" s="915"/>
      <c r="BA100" s="915"/>
      <c r="BB100" s="915"/>
      <c r="BC100" s="44"/>
    </row>
    <row r="101" spans="1:55" s="4" customFormat="1" ht="14.45" customHeight="1">
      <c r="A101" s="514" t="s">
        <v>3</v>
      </c>
      <c r="B101" s="514"/>
      <c r="C101" s="883"/>
      <c r="D101" s="883"/>
      <c r="E101" s="883"/>
      <c r="F101" s="883"/>
      <c r="G101" s="883"/>
      <c r="H101" s="883"/>
      <c r="I101" s="883"/>
      <c r="J101" s="883"/>
      <c r="K101" s="883"/>
      <c r="L101" s="883"/>
      <c r="M101" s="883"/>
      <c r="N101" s="883"/>
      <c r="O101" s="883"/>
      <c r="P101" s="883"/>
      <c r="Q101" s="883"/>
      <c r="R101" s="883"/>
      <c r="S101" s="883"/>
      <c r="T101" s="883"/>
      <c r="U101" s="883"/>
      <c r="V101" s="883"/>
      <c r="W101" s="883"/>
      <c r="X101" s="883"/>
      <c r="Y101" s="883"/>
      <c r="Z101" s="883"/>
      <c r="AA101" s="883"/>
      <c r="AB101" s="883"/>
      <c r="AC101" s="883"/>
      <c r="AD101" s="883"/>
      <c r="AE101" s="883"/>
      <c r="AF101" s="883"/>
      <c r="AG101" s="883"/>
      <c r="AH101" s="883"/>
      <c r="AI101" s="883"/>
      <c r="AJ101" s="883"/>
      <c r="AK101" s="883"/>
      <c r="AL101" s="883"/>
      <c r="AM101" s="883"/>
      <c r="AN101" s="883"/>
      <c r="AO101" s="883"/>
      <c r="AP101" s="883"/>
      <c r="AQ101" s="884"/>
      <c r="AR101" s="883"/>
      <c r="AS101" s="883"/>
      <c r="AT101" s="883"/>
      <c r="AU101" s="883"/>
      <c r="AV101" s="883"/>
      <c r="AW101" s="883"/>
      <c r="AX101" s="883"/>
      <c r="AY101" s="883"/>
      <c r="AZ101" s="883"/>
      <c r="BA101" s="883"/>
      <c r="BB101" s="883"/>
      <c r="BC101" s="363"/>
    </row>
    <row r="102" spans="1:55" s="4" customFormat="1" outlineLevel="1">
      <c r="A102" s="403" t="s">
        <v>129</v>
      </c>
      <c r="B102" s="345"/>
      <c r="C102" s="852">
        <v>191.20099999999999</v>
      </c>
      <c r="D102" s="852">
        <v>195.75399999999999</v>
      </c>
      <c r="E102" s="852">
        <v>228.16300000000001</v>
      </c>
      <c r="F102" s="852">
        <v>266.44600000000003</v>
      </c>
      <c r="G102" s="418">
        <v>73.966999999999999</v>
      </c>
      <c r="H102" s="418">
        <v>70.832999999999998</v>
      </c>
      <c r="I102" s="418">
        <v>89.680999999999997</v>
      </c>
      <c r="J102" s="418">
        <f>K102-SUM(G102,H102,I102)</f>
        <v>105.45600000000002</v>
      </c>
      <c r="K102" s="852">
        <v>339.93700000000001</v>
      </c>
      <c r="L102" s="418">
        <v>140.95099999999999</v>
      </c>
      <c r="M102" s="418">
        <v>174.56299999999999</v>
      </c>
      <c r="N102" s="418">
        <v>179.44200000000001</v>
      </c>
      <c r="O102" s="418">
        <f>P102-SUM(L102,M102,N102)</f>
        <v>166.08299999999997</v>
      </c>
      <c r="P102" s="852">
        <v>661.03899999999999</v>
      </c>
      <c r="Q102" s="418">
        <v>161.63800000000001</v>
      </c>
      <c r="R102" s="418">
        <v>173.15600000000001</v>
      </c>
      <c r="S102" s="418">
        <v>200.14500000000001</v>
      </c>
      <c r="T102" s="418">
        <f>U102-SUM(Q102,R102,S102)</f>
        <v>157.34000000000003</v>
      </c>
      <c r="U102" s="852">
        <v>692.279</v>
      </c>
      <c r="V102" s="418">
        <v>159.53</v>
      </c>
      <c r="W102" s="418">
        <v>164.42599999999999</v>
      </c>
      <c r="X102" s="418">
        <v>155.09899999999999</v>
      </c>
      <c r="Y102" s="418">
        <f>Z102-SUM(V102,W102,X102)</f>
        <v>154.06800000000004</v>
      </c>
      <c r="Z102" s="852">
        <v>633.12300000000005</v>
      </c>
      <c r="AA102" s="418">
        <v>152.39599999999999</v>
      </c>
      <c r="AB102" s="418">
        <v>151.114</v>
      </c>
      <c r="AC102" s="418">
        <v>149.636</v>
      </c>
      <c r="AD102" s="418">
        <f>AE102-SUM(AA102,AB102,AC102)</f>
        <v>171.3180000000001</v>
      </c>
      <c r="AE102" s="852">
        <v>624.46400000000006</v>
      </c>
      <c r="AF102" s="418">
        <v>179.059</v>
      </c>
      <c r="AG102" s="418">
        <v>208.60599999999999</v>
      </c>
      <c r="AH102" s="418">
        <v>212.67400000000001</v>
      </c>
      <c r="AI102" s="418">
        <f>AJ102-SUM(AF102,AG102,AH102)</f>
        <v>202.91700000000003</v>
      </c>
      <c r="AJ102" s="852">
        <v>803.25599999999997</v>
      </c>
      <c r="AK102" s="418">
        <v>208.17400000000001</v>
      </c>
      <c r="AL102" s="418">
        <v>189.09800000000001</v>
      </c>
      <c r="AM102" s="418">
        <v>177.018</v>
      </c>
      <c r="AN102" s="418">
        <f>AO102-SUM(AK102,AL102,AM102)</f>
        <v>198.41199999999992</v>
      </c>
      <c r="AO102" s="852">
        <v>772.702</v>
      </c>
      <c r="AP102" s="418">
        <v>157.584</v>
      </c>
      <c r="AQ102" s="895">
        <v>123.694</v>
      </c>
      <c r="AR102" s="896"/>
      <c r="AS102" s="896"/>
      <c r="AT102" s="897"/>
      <c r="AU102" s="896"/>
      <c r="AV102" s="896"/>
      <c r="AW102" s="896"/>
      <c r="AX102" s="896"/>
      <c r="AY102" s="897"/>
      <c r="AZ102" s="897"/>
      <c r="BA102" s="897"/>
      <c r="BB102" s="897"/>
      <c r="BC102" s="363"/>
    </row>
    <row r="103" spans="1:55" s="23" customFormat="1" outlineLevel="1">
      <c r="A103" s="229" t="s">
        <v>130</v>
      </c>
      <c r="B103" s="132"/>
      <c r="C103" s="885">
        <v>153.928</v>
      </c>
      <c r="D103" s="885">
        <v>148.18700000000001</v>
      </c>
      <c r="E103" s="885">
        <v>167.667</v>
      </c>
      <c r="F103" s="885">
        <v>197.00399999999999</v>
      </c>
      <c r="G103" s="436">
        <v>53.747999999999998</v>
      </c>
      <c r="H103" s="436">
        <v>52.152000000000001</v>
      </c>
      <c r="I103" s="436">
        <v>65.896000000000001</v>
      </c>
      <c r="J103" s="436">
        <f>K103-SUM(G103,H103,I103)</f>
        <v>80.283000000000015</v>
      </c>
      <c r="K103" s="885">
        <v>252.07900000000001</v>
      </c>
      <c r="L103" s="436">
        <v>110.946</v>
      </c>
      <c r="M103" s="436">
        <v>131.36099999999999</v>
      </c>
      <c r="N103" s="436">
        <v>128.13200000000001</v>
      </c>
      <c r="O103" s="436">
        <f>P103-SUM(L103,M103,N103)</f>
        <v>123.55800000000005</v>
      </c>
      <c r="P103" s="885">
        <v>493.99700000000001</v>
      </c>
      <c r="Q103" s="436">
        <v>121.476</v>
      </c>
      <c r="R103" s="436">
        <v>123.70399999999999</v>
      </c>
      <c r="S103" s="436">
        <v>140.71799999999999</v>
      </c>
      <c r="T103" s="436">
        <f>U103-SUM(Q103,R103,S103)</f>
        <v>118.43899999999996</v>
      </c>
      <c r="U103" s="885">
        <v>504.33699999999999</v>
      </c>
      <c r="V103" s="436">
        <v>120.047</v>
      </c>
      <c r="W103" s="436">
        <v>119.59099999999999</v>
      </c>
      <c r="X103" s="436">
        <v>116.43600000000001</v>
      </c>
      <c r="Y103" s="436">
        <f>Z103-SUM(V103,W103,X103)</f>
        <v>117.58200000000005</v>
      </c>
      <c r="Z103" s="885">
        <v>473.65600000000001</v>
      </c>
      <c r="AA103" s="436">
        <v>114.07899999999999</v>
      </c>
      <c r="AB103" s="436">
        <v>116.964</v>
      </c>
      <c r="AC103" s="436">
        <v>117.143</v>
      </c>
      <c r="AD103" s="436">
        <f>AE103-SUM(AA103,AB103,AC103)</f>
        <v>139.16499999999996</v>
      </c>
      <c r="AE103" s="885">
        <v>487.351</v>
      </c>
      <c r="AF103" s="436">
        <v>141.92699999999999</v>
      </c>
      <c r="AG103" s="436">
        <v>159.03399999999999</v>
      </c>
      <c r="AH103" s="436">
        <v>166.35400000000001</v>
      </c>
      <c r="AI103" s="436">
        <f>AJ103-SUM(AF103,AG103,AH103)</f>
        <v>155.24499999999989</v>
      </c>
      <c r="AJ103" s="885">
        <v>622.55999999999995</v>
      </c>
      <c r="AK103" s="888">
        <v>156.09700000000001</v>
      </c>
      <c r="AL103" s="436">
        <v>148.73500000000001</v>
      </c>
      <c r="AM103" s="436">
        <v>140.22399999999999</v>
      </c>
      <c r="AN103" s="436">
        <f>AO103-SUM(AK103,AL103,AM103)</f>
        <v>171.50399999999996</v>
      </c>
      <c r="AO103" s="885">
        <v>616.55999999999995</v>
      </c>
      <c r="AP103" s="888">
        <v>121.86499999999999</v>
      </c>
      <c r="AQ103" s="886">
        <v>96.861000000000004</v>
      </c>
      <c r="AR103" s="855"/>
      <c r="AS103" s="855"/>
      <c r="AT103" s="870"/>
      <c r="AU103" s="855"/>
      <c r="AV103" s="855"/>
      <c r="AW103" s="855"/>
      <c r="AX103" s="855"/>
      <c r="AY103" s="870"/>
      <c r="AZ103" s="870"/>
      <c r="BA103" s="870"/>
      <c r="BB103" s="870"/>
      <c r="BC103" s="362"/>
    </row>
    <row r="104" spans="1:55" s="4" customFormat="1" outlineLevel="1">
      <c r="A104" s="402" t="s">
        <v>93</v>
      </c>
      <c r="B104" s="429"/>
      <c r="C104" s="858">
        <f t="shared" ref="C104:AH104" si="52">C102-C103</f>
        <v>37.272999999999996</v>
      </c>
      <c r="D104" s="858">
        <f t="shared" si="52"/>
        <v>47.566999999999979</v>
      </c>
      <c r="E104" s="858">
        <f t="shared" si="52"/>
        <v>60.496000000000009</v>
      </c>
      <c r="F104" s="858">
        <f t="shared" si="52"/>
        <v>69.442000000000036</v>
      </c>
      <c r="G104" s="402">
        <f t="shared" si="52"/>
        <v>20.219000000000001</v>
      </c>
      <c r="H104" s="402">
        <f t="shared" si="52"/>
        <v>18.680999999999997</v>
      </c>
      <c r="I104" s="402">
        <f t="shared" si="52"/>
        <v>23.784999999999997</v>
      </c>
      <c r="J104" s="402">
        <f t="shared" si="52"/>
        <v>25.173000000000002</v>
      </c>
      <c r="K104" s="858">
        <f t="shared" si="52"/>
        <v>87.858000000000004</v>
      </c>
      <c r="L104" s="402">
        <f t="shared" si="52"/>
        <v>30.004999999999995</v>
      </c>
      <c r="M104" s="402">
        <f t="shared" si="52"/>
        <v>43.201999999999998</v>
      </c>
      <c r="N104" s="402">
        <f t="shared" si="52"/>
        <v>51.31</v>
      </c>
      <c r="O104" s="402">
        <f t="shared" si="52"/>
        <v>42.52499999999992</v>
      </c>
      <c r="P104" s="858">
        <f t="shared" si="52"/>
        <v>167.04199999999997</v>
      </c>
      <c r="Q104" s="402">
        <f t="shared" si="52"/>
        <v>40.162000000000006</v>
      </c>
      <c r="R104" s="402">
        <f t="shared" si="52"/>
        <v>49.452000000000012</v>
      </c>
      <c r="S104" s="402">
        <f t="shared" si="52"/>
        <v>59.427000000000021</v>
      </c>
      <c r="T104" s="402">
        <f t="shared" si="52"/>
        <v>38.901000000000067</v>
      </c>
      <c r="U104" s="858">
        <f t="shared" si="52"/>
        <v>187.94200000000001</v>
      </c>
      <c r="V104" s="402">
        <f t="shared" si="52"/>
        <v>39.483000000000004</v>
      </c>
      <c r="W104" s="402">
        <f t="shared" si="52"/>
        <v>44.834999999999994</v>
      </c>
      <c r="X104" s="402">
        <f t="shared" si="52"/>
        <v>38.662999999999982</v>
      </c>
      <c r="Y104" s="402">
        <f t="shared" si="52"/>
        <v>36.48599999999999</v>
      </c>
      <c r="Z104" s="858">
        <f t="shared" si="52"/>
        <v>159.46700000000004</v>
      </c>
      <c r="AA104" s="402">
        <f t="shared" si="52"/>
        <v>38.316999999999993</v>
      </c>
      <c r="AB104" s="402">
        <f t="shared" si="52"/>
        <v>34.150000000000006</v>
      </c>
      <c r="AC104" s="402">
        <f t="shared" si="52"/>
        <v>32.492999999999995</v>
      </c>
      <c r="AD104" s="402">
        <f t="shared" si="52"/>
        <v>32.153000000000134</v>
      </c>
      <c r="AE104" s="858">
        <f t="shared" si="52"/>
        <v>137.11300000000006</v>
      </c>
      <c r="AF104" s="402">
        <f t="shared" si="52"/>
        <v>37.132000000000005</v>
      </c>
      <c r="AG104" s="402">
        <f t="shared" si="52"/>
        <v>49.572000000000003</v>
      </c>
      <c r="AH104" s="402">
        <f t="shared" si="52"/>
        <v>46.319999999999993</v>
      </c>
      <c r="AI104" s="402">
        <f t="shared" ref="AI104:BB104" si="53">AI102-AI103</f>
        <v>47.672000000000139</v>
      </c>
      <c r="AJ104" s="858">
        <f t="shared" si="53"/>
        <v>180.69600000000003</v>
      </c>
      <c r="AK104" s="402">
        <f t="shared" si="53"/>
        <v>52.076999999999998</v>
      </c>
      <c r="AL104" s="402">
        <f t="shared" si="53"/>
        <v>40.363</v>
      </c>
      <c r="AM104" s="402">
        <f t="shared" si="53"/>
        <v>36.794000000000011</v>
      </c>
      <c r="AN104" s="402">
        <f t="shared" si="53"/>
        <v>26.907999999999959</v>
      </c>
      <c r="AO104" s="858">
        <f t="shared" si="53"/>
        <v>156.14200000000005</v>
      </c>
      <c r="AP104" s="402">
        <f t="shared" si="53"/>
        <v>35.719000000000008</v>
      </c>
      <c r="AQ104" s="891">
        <f t="shared" si="53"/>
        <v>26.832999999999998</v>
      </c>
      <c r="AR104" s="402">
        <f t="shared" si="53"/>
        <v>0</v>
      </c>
      <c r="AS104" s="402">
        <f t="shared" si="53"/>
        <v>0</v>
      </c>
      <c r="AT104" s="858">
        <f t="shared" si="53"/>
        <v>0</v>
      </c>
      <c r="AU104" s="402">
        <f t="shared" si="53"/>
        <v>0</v>
      </c>
      <c r="AV104" s="402">
        <f t="shared" si="53"/>
        <v>0</v>
      </c>
      <c r="AW104" s="402">
        <f t="shared" si="53"/>
        <v>0</v>
      </c>
      <c r="AX104" s="402">
        <f t="shared" si="53"/>
        <v>0</v>
      </c>
      <c r="AY104" s="858">
        <f t="shared" si="53"/>
        <v>0</v>
      </c>
      <c r="AZ104" s="858">
        <f t="shared" si="53"/>
        <v>0</v>
      </c>
      <c r="BA104" s="858">
        <f t="shared" si="53"/>
        <v>0</v>
      </c>
      <c r="BB104" s="858">
        <f t="shared" si="53"/>
        <v>0</v>
      </c>
      <c r="BC104" s="363"/>
    </row>
    <row r="105" spans="1:55" s="23" customFormat="1" outlineLevel="1">
      <c r="A105" s="229" t="s">
        <v>131</v>
      </c>
      <c r="B105" s="132"/>
      <c r="C105" s="885">
        <v>19.381</v>
      </c>
      <c r="D105" s="885"/>
      <c r="E105" s="885">
        <v>2.5</v>
      </c>
      <c r="F105" s="885"/>
      <c r="G105" s="436"/>
      <c r="H105" s="436"/>
      <c r="I105" s="436"/>
      <c r="J105" s="436"/>
      <c r="K105" s="885"/>
      <c r="L105" s="436"/>
      <c r="M105" s="436"/>
      <c r="N105" s="436"/>
      <c r="O105" s="436"/>
      <c r="P105" s="885"/>
      <c r="Q105" s="436"/>
      <c r="R105" s="436"/>
      <c r="S105" s="436"/>
      <c r="T105" s="436"/>
      <c r="U105" s="885"/>
      <c r="V105" s="436"/>
      <c r="W105" s="436"/>
      <c r="X105" s="436"/>
      <c r="Y105" s="436"/>
      <c r="Z105" s="885"/>
      <c r="AA105" s="436"/>
      <c r="AB105" s="436"/>
      <c r="AC105" s="436"/>
      <c r="AD105" s="436">
        <f>AE105-SUM(AA105,AB105,AC105)</f>
        <v>16.236999999999998</v>
      </c>
      <c r="AE105" s="885">
        <v>16.236999999999998</v>
      </c>
      <c r="AF105" s="436"/>
      <c r="AG105" s="436"/>
      <c r="AH105" s="436"/>
      <c r="AI105" s="436">
        <f>AJ105-SUM(AF105,AG105,AH105)</f>
        <v>0</v>
      </c>
      <c r="AJ105" s="885"/>
      <c r="AK105" s="436"/>
      <c r="AL105" s="436"/>
      <c r="AM105" s="436"/>
      <c r="AN105" s="436">
        <f>AO105-SUM(AK105,AL105,AM105)</f>
        <v>11.083</v>
      </c>
      <c r="AO105" s="885">
        <v>11.083</v>
      </c>
      <c r="AP105" s="436">
        <v>74.408000000000001</v>
      </c>
      <c r="AQ105" s="886">
        <v>12.608000000000001</v>
      </c>
      <c r="AR105" s="855"/>
      <c r="AS105" s="855"/>
      <c r="AT105" s="870"/>
      <c r="AU105" s="855"/>
      <c r="AV105" s="855"/>
      <c r="AW105" s="855"/>
      <c r="AX105" s="855"/>
      <c r="AY105" s="870"/>
      <c r="AZ105" s="870"/>
      <c r="BA105" s="870"/>
      <c r="BB105" s="870"/>
      <c r="BC105" s="362"/>
    </row>
    <row r="106" spans="1:55" s="23" customFormat="1" outlineLevel="1">
      <c r="A106" s="229" t="s">
        <v>132</v>
      </c>
      <c r="B106" s="132"/>
      <c r="C106" s="885">
        <v>24.105</v>
      </c>
      <c r="D106" s="885">
        <v>23.187000000000001</v>
      </c>
      <c r="E106" s="885">
        <v>27.175000000000001</v>
      </c>
      <c r="F106" s="885">
        <v>36.817</v>
      </c>
      <c r="G106" s="436">
        <v>9.157</v>
      </c>
      <c r="H106" s="436">
        <v>10.701000000000001</v>
      </c>
      <c r="I106" s="436">
        <v>11.433</v>
      </c>
      <c r="J106" s="436">
        <f>K106-SUM(G106,H106,I106)</f>
        <v>14.261999999999997</v>
      </c>
      <c r="K106" s="885">
        <v>45.552999999999997</v>
      </c>
      <c r="L106" s="436">
        <v>16.378</v>
      </c>
      <c r="M106" s="436">
        <v>20.721</v>
      </c>
      <c r="N106" s="436">
        <v>25.539000000000001</v>
      </c>
      <c r="O106" s="436">
        <f>P106-SUM(L106,M106,N106)</f>
        <v>17.042000000000002</v>
      </c>
      <c r="P106" s="885">
        <v>79.680000000000007</v>
      </c>
      <c r="Q106" s="436">
        <v>22.619</v>
      </c>
      <c r="R106" s="436">
        <v>21.297000000000001</v>
      </c>
      <c r="S106" s="436">
        <v>22.297000000000001</v>
      </c>
      <c r="T106" s="436">
        <f>U106-SUM(Q106,R106,S106)</f>
        <v>22.928000000000011</v>
      </c>
      <c r="U106" s="885">
        <v>89.141000000000005</v>
      </c>
      <c r="V106" s="436">
        <v>21.884</v>
      </c>
      <c r="W106" s="436">
        <v>22.224</v>
      </c>
      <c r="X106" s="436">
        <v>21.138000000000002</v>
      </c>
      <c r="Y106" s="436">
        <f>Z106-SUM(V106,W106,X106)</f>
        <v>21.081999999999994</v>
      </c>
      <c r="Z106" s="885">
        <v>86.328000000000003</v>
      </c>
      <c r="AA106" s="436">
        <v>21.382999999999999</v>
      </c>
      <c r="AB106" s="436">
        <v>22.091000000000001</v>
      </c>
      <c r="AC106" s="436">
        <v>22.099</v>
      </c>
      <c r="AD106" s="436">
        <f>AE106-SUM(AA106,AB106,AC106)</f>
        <v>23.201999999999998</v>
      </c>
      <c r="AE106" s="885">
        <v>88.775000000000006</v>
      </c>
      <c r="AF106" s="436">
        <v>30.5</v>
      </c>
      <c r="AG106" s="436">
        <v>29.443000000000001</v>
      </c>
      <c r="AH106" s="436">
        <v>27.975999999999999</v>
      </c>
      <c r="AI106" s="436">
        <f>AJ106-SUM(AF106,AG106,AH106)</f>
        <v>29.114000000000004</v>
      </c>
      <c r="AJ106" s="885">
        <v>117.033</v>
      </c>
      <c r="AK106" s="888">
        <v>29.196000000000002</v>
      </c>
      <c r="AL106" s="436">
        <v>29.79</v>
      </c>
      <c r="AM106" s="436">
        <v>31.690999999999999</v>
      </c>
      <c r="AN106" s="436">
        <f>AO106-SUM(AK106,AL106,AM106)</f>
        <v>52.680999999999997</v>
      </c>
      <c r="AO106" s="885">
        <v>143.358</v>
      </c>
      <c r="AP106" s="888">
        <v>28.867000000000001</v>
      </c>
      <c r="AQ106" s="886">
        <v>32.904000000000003</v>
      </c>
      <c r="AR106" s="855"/>
      <c r="AS106" s="855"/>
      <c r="AT106" s="870"/>
      <c r="AU106" s="855"/>
      <c r="AV106" s="855"/>
      <c r="AW106" s="855"/>
      <c r="AX106" s="855"/>
      <c r="AY106" s="870"/>
      <c r="AZ106" s="870"/>
      <c r="BA106" s="870"/>
      <c r="BB106" s="870"/>
      <c r="BC106" s="362"/>
    </row>
    <row r="107" spans="1:55" s="4" customFormat="1" outlineLevel="1">
      <c r="A107" s="402" t="s">
        <v>133</v>
      </c>
      <c r="B107" s="429"/>
      <c r="C107" s="858">
        <f t="shared" ref="C107:AH107" si="54">C104-SUM(C105:C106)</f>
        <v>-6.2130000000000081</v>
      </c>
      <c r="D107" s="858">
        <f t="shared" si="54"/>
        <v>24.379999999999978</v>
      </c>
      <c r="E107" s="858">
        <f t="shared" si="54"/>
        <v>30.821000000000009</v>
      </c>
      <c r="F107" s="858">
        <f t="shared" si="54"/>
        <v>32.625000000000036</v>
      </c>
      <c r="G107" s="402">
        <f t="shared" si="54"/>
        <v>11.062000000000001</v>
      </c>
      <c r="H107" s="402">
        <f t="shared" si="54"/>
        <v>7.9799999999999969</v>
      </c>
      <c r="I107" s="402">
        <f t="shared" si="54"/>
        <v>12.351999999999997</v>
      </c>
      <c r="J107" s="402">
        <f t="shared" si="54"/>
        <v>10.911000000000005</v>
      </c>
      <c r="K107" s="858">
        <f t="shared" si="54"/>
        <v>42.305000000000007</v>
      </c>
      <c r="L107" s="402">
        <f t="shared" si="54"/>
        <v>13.626999999999995</v>
      </c>
      <c r="M107" s="402">
        <f t="shared" si="54"/>
        <v>22.480999999999998</v>
      </c>
      <c r="N107" s="402">
        <f t="shared" si="54"/>
        <v>25.771000000000001</v>
      </c>
      <c r="O107" s="402">
        <f t="shared" si="54"/>
        <v>25.482999999999919</v>
      </c>
      <c r="P107" s="858">
        <f t="shared" si="54"/>
        <v>87.361999999999966</v>
      </c>
      <c r="Q107" s="402">
        <f t="shared" si="54"/>
        <v>17.543000000000006</v>
      </c>
      <c r="R107" s="402">
        <f t="shared" si="54"/>
        <v>28.155000000000012</v>
      </c>
      <c r="S107" s="402">
        <f t="shared" si="54"/>
        <v>37.130000000000024</v>
      </c>
      <c r="T107" s="402">
        <f t="shared" si="54"/>
        <v>15.973000000000056</v>
      </c>
      <c r="U107" s="858">
        <f t="shared" si="54"/>
        <v>98.801000000000002</v>
      </c>
      <c r="V107" s="402">
        <f t="shared" si="54"/>
        <v>17.599000000000004</v>
      </c>
      <c r="W107" s="402">
        <f t="shared" si="54"/>
        <v>22.610999999999994</v>
      </c>
      <c r="X107" s="402">
        <f t="shared" si="54"/>
        <v>17.524999999999981</v>
      </c>
      <c r="Y107" s="402">
        <f t="shared" si="54"/>
        <v>15.403999999999996</v>
      </c>
      <c r="Z107" s="858">
        <f t="shared" si="54"/>
        <v>73.139000000000038</v>
      </c>
      <c r="AA107" s="402">
        <f t="shared" si="54"/>
        <v>16.933999999999994</v>
      </c>
      <c r="AB107" s="402">
        <f t="shared" si="54"/>
        <v>12.059000000000005</v>
      </c>
      <c r="AC107" s="402">
        <f t="shared" si="54"/>
        <v>10.393999999999995</v>
      </c>
      <c r="AD107" s="402">
        <f t="shared" si="54"/>
        <v>-7.2859999999998593</v>
      </c>
      <c r="AE107" s="858">
        <f t="shared" si="54"/>
        <v>32.101000000000056</v>
      </c>
      <c r="AF107" s="402">
        <f t="shared" si="54"/>
        <v>6.632000000000005</v>
      </c>
      <c r="AG107" s="402">
        <f t="shared" si="54"/>
        <v>20.129000000000001</v>
      </c>
      <c r="AH107" s="402">
        <f t="shared" si="54"/>
        <v>18.343999999999994</v>
      </c>
      <c r="AI107" s="402">
        <f t="shared" ref="AI107:BB107" si="55">AI104-SUM(AI105:AI106)</f>
        <v>18.558000000000135</v>
      </c>
      <c r="AJ107" s="858">
        <f t="shared" si="55"/>
        <v>63.663000000000025</v>
      </c>
      <c r="AK107" s="402">
        <f t="shared" si="55"/>
        <v>22.880999999999997</v>
      </c>
      <c r="AL107" s="402">
        <f t="shared" si="55"/>
        <v>10.573</v>
      </c>
      <c r="AM107" s="402">
        <f t="shared" si="55"/>
        <v>5.1030000000000122</v>
      </c>
      <c r="AN107" s="402">
        <f t="shared" si="55"/>
        <v>-36.856000000000037</v>
      </c>
      <c r="AO107" s="858">
        <f t="shared" si="55"/>
        <v>1.7010000000000502</v>
      </c>
      <c r="AP107" s="402">
        <f t="shared" si="55"/>
        <v>-67.555999999999997</v>
      </c>
      <c r="AQ107" s="891">
        <f t="shared" si="55"/>
        <v>-18.679000000000002</v>
      </c>
      <c r="AR107" s="402">
        <f t="shared" si="55"/>
        <v>0</v>
      </c>
      <c r="AS107" s="402">
        <f t="shared" si="55"/>
        <v>0</v>
      </c>
      <c r="AT107" s="858">
        <f t="shared" si="55"/>
        <v>0</v>
      </c>
      <c r="AU107" s="402">
        <f t="shared" si="55"/>
        <v>0</v>
      </c>
      <c r="AV107" s="402">
        <f t="shared" si="55"/>
        <v>0</v>
      </c>
      <c r="AW107" s="402">
        <f t="shared" si="55"/>
        <v>0</v>
      </c>
      <c r="AX107" s="402">
        <f t="shared" si="55"/>
        <v>0</v>
      </c>
      <c r="AY107" s="858">
        <f t="shared" si="55"/>
        <v>0</v>
      </c>
      <c r="AZ107" s="858">
        <f t="shared" si="55"/>
        <v>0</v>
      </c>
      <c r="BA107" s="858">
        <f t="shared" si="55"/>
        <v>0</v>
      </c>
      <c r="BB107" s="858">
        <f t="shared" si="55"/>
        <v>0</v>
      </c>
      <c r="BC107" s="363"/>
    </row>
    <row r="108" spans="1:55" s="23" customFormat="1" outlineLevel="1">
      <c r="A108" s="229" t="s">
        <v>134</v>
      </c>
      <c r="B108" s="132"/>
      <c r="C108" s="885">
        <v>2.5329999999999999</v>
      </c>
      <c r="D108" s="885">
        <v>2.5510000000000002</v>
      </c>
      <c r="E108" s="885">
        <v>1.806</v>
      </c>
      <c r="F108" s="885">
        <v>1.042</v>
      </c>
      <c r="G108" s="436">
        <v>0.218</v>
      </c>
      <c r="H108" s="436">
        <v>0.26200000000000001</v>
      </c>
      <c r="I108" s="436">
        <v>1.605</v>
      </c>
      <c r="J108" s="436">
        <f>K108-SUM(G108,H108,I108)</f>
        <v>2.0090000000000003</v>
      </c>
      <c r="K108" s="885">
        <v>4.0940000000000003</v>
      </c>
      <c r="L108" s="436">
        <v>2.323</v>
      </c>
      <c r="M108" s="436">
        <v>2.5590000000000002</v>
      </c>
      <c r="N108" s="436">
        <v>2.3010000000000002</v>
      </c>
      <c r="O108" s="436">
        <f>P108-SUM(L108,M108,N108)</f>
        <v>1.072000000000001</v>
      </c>
      <c r="P108" s="885">
        <v>8.2550000000000008</v>
      </c>
      <c r="Q108" s="436">
        <v>1.246</v>
      </c>
      <c r="R108" s="436">
        <v>1.111</v>
      </c>
      <c r="S108" s="436">
        <v>1.2430000000000001</v>
      </c>
      <c r="T108" s="436">
        <f>U108-SUM(Q108,R108,S108)</f>
        <v>1.1509999999999998</v>
      </c>
      <c r="U108" s="885">
        <v>4.7510000000000003</v>
      </c>
      <c r="V108" s="436">
        <v>1.087</v>
      </c>
      <c r="W108" s="436">
        <v>1.056</v>
      </c>
      <c r="X108" s="436">
        <v>1.103</v>
      </c>
      <c r="Y108" s="436">
        <f>Z108-SUM(V108,W108,X108)</f>
        <v>1.1080000000000005</v>
      </c>
      <c r="Z108" s="885">
        <v>4.3540000000000001</v>
      </c>
      <c r="AA108" s="436">
        <v>1.133</v>
      </c>
      <c r="AB108" s="436">
        <v>1.18</v>
      </c>
      <c r="AC108" s="436">
        <v>1.4370000000000001</v>
      </c>
      <c r="AD108" s="436">
        <f>AE108-SUM(AA108,AB108,AC108)</f>
        <v>1.6189999999999998</v>
      </c>
      <c r="AE108" s="885">
        <v>5.3689999999999998</v>
      </c>
      <c r="AF108" s="436">
        <v>2.331</v>
      </c>
      <c r="AG108" s="436">
        <v>2.484</v>
      </c>
      <c r="AH108" s="436">
        <v>2.5110000000000001</v>
      </c>
      <c r="AI108" s="436">
        <f>AJ108-SUM(AF108,AG108,AH108)</f>
        <v>2.3840000000000012</v>
      </c>
      <c r="AJ108" s="885">
        <v>9.7100000000000009</v>
      </c>
      <c r="AK108" s="436">
        <v>1.804</v>
      </c>
      <c r="AL108" s="436">
        <v>1.2250000000000001</v>
      </c>
      <c r="AM108" s="436">
        <v>1.5469999999999999</v>
      </c>
      <c r="AN108" s="436">
        <f>AO108-SUM(AK108,AL108,AM108)</f>
        <v>1.5650000000000004</v>
      </c>
      <c r="AO108" s="885">
        <v>6.141</v>
      </c>
      <c r="AP108" s="436">
        <v>1.333</v>
      </c>
      <c r="AQ108" s="886">
        <v>1.9830000000000001</v>
      </c>
      <c r="AR108" s="855"/>
      <c r="AS108" s="855"/>
      <c r="AT108" s="870"/>
      <c r="AU108" s="855"/>
      <c r="AV108" s="855"/>
      <c r="AW108" s="855"/>
      <c r="AX108" s="855"/>
      <c r="AY108" s="870"/>
      <c r="AZ108" s="870"/>
      <c r="BA108" s="870"/>
      <c r="BB108" s="870"/>
      <c r="BC108" s="362"/>
    </row>
    <row r="109" spans="1:55" s="23" customFormat="1" outlineLevel="1">
      <c r="A109" s="229" t="s">
        <v>334</v>
      </c>
      <c r="B109" s="132"/>
      <c r="C109" s="885"/>
      <c r="D109" s="885"/>
      <c r="E109" s="885"/>
      <c r="F109" s="885"/>
      <c r="G109" s="436"/>
      <c r="H109" s="436"/>
      <c r="I109" s="436"/>
      <c r="J109" s="436"/>
      <c r="K109" s="885"/>
      <c r="L109" s="436"/>
      <c r="M109" s="436"/>
      <c r="N109" s="436"/>
      <c r="O109" s="436"/>
      <c r="P109" s="885"/>
      <c r="Q109" s="436"/>
      <c r="R109" s="436"/>
      <c r="S109" s="436"/>
      <c r="T109" s="436"/>
      <c r="U109" s="885"/>
      <c r="V109" s="436"/>
      <c r="W109" s="436"/>
      <c r="X109" s="436"/>
      <c r="Y109" s="436"/>
      <c r="Z109" s="885"/>
      <c r="AA109" s="436">
        <v>0.31</v>
      </c>
      <c r="AB109" s="436">
        <v>0.31</v>
      </c>
      <c r="AC109" s="436">
        <v>0.311</v>
      </c>
      <c r="AD109" s="436">
        <f>AE109-SUM(AA109,AB109,AC109)</f>
        <v>0.81</v>
      </c>
      <c r="AE109" s="885">
        <v>1.7410000000000001</v>
      </c>
      <c r="AF109" s="436">
        <v>0.375</v>
      </c>
      <c r="AG109" s="436">
        <v>0.46300000000000002</v>
      </c>
      <c r="AH109" s="436">
        <v>0.253</v>
      </c>
      <c r="AI109" s="436">
        <f>AJ109-SUM(AF109,AG109,AH109)</f>
        <v>0.57999999999999985</v>
      </c>
      <c r="AJ109" s="885">
        <v>1.671</v>
      </c>
      <c r="AK109" s="436">
        <v>0.215</v>
      </c>
      <c r="AL109" s="436">
        <v>0.51800000000000002</v>
      </c>
      <c r="AM109" s="436">
        <v>0.46400000000000002</v>
      </c>
      <c r="AN109" s="436">
        <f>AO109-SUM(AK109,AL109,AM109)</f>
        <v>4.8609999999999998</v>
      </c>
      <c r="AO109" s="885">
        <v>6.0579999999999998</v>
      </c>
      <c r="AP109" s="436">
        <v>0.38800000000000001</v>
      </c>
      <c r="AQ109" s="886">
        <v>3.7890000000000001</v>
      </c>
      <c r="AR109" s="855"/>
      <c r="AS109" s="855"/>
      <c r="AT109" s="870"/>
      <c r="AU109" s="855"/>
      <c r="AV109" s="855"/>
      <c r="AW109" s="855"/>
      <c r="AX109" s="855"/>
      <c r="AY109" s="870"/>
      <c r="AZ109" s="870"/>
      <c r="BA109" s="870"/>
      <c r="BB109" s="870"/>
      <c r="BC109" s="362"/>
    </row>
    <row r="110" spans="1:55" s="23" customFormat="1" outlineLevel="1">
      <c r="A110" s="229" t="s">
        <v>396</v>
      </c>
      <c r="B110" s="132"/>
      <c r="C110" s="885"/>
      <c r="D110" s="885"/>
      <c r="E110" s="885"/>
      <c r="F110" s="885"/>
      <c r="G110" s="436"/>
      <c r="H110" s="436"/>
      <c r="I110" s="436"/>
      <c r="J110" s="436"/>
      <c r="K110" s="885"/>
      <c r="L110" s="436"/>
      <c r="M110" s="436"/>
      <c r="N110" s="436"/>
      <c r="O110" s="436"/>
      <c r="P110" s="885"/>
      <c r="Q110" s="436"/>
      <c r="R110" s="436"/>
      <c r="S110" s="436"/>
      <c r="T110" s="436"/>
      <c r="U110" s="885"/>
      <c r="V110" s="436"/>
      <c r="W110" s="436"/>
      <c r="X110" s="436"/>
      <c r="Y110" s="436"/>
      <c r="Z110" s="885"/>
      <c r="AA110" s="436"/>
      <c r="AB110" s="436"/>
      <c r="AC110" s="436"/>
      <c r="AD110" s="436"/>
      <c r="AE110" s="885"/>
      <c r="AF110" s="436"/>
      <c r="AG110" s="436"/>
      <c r="AH110" s="436"/>
      <c r="AI110" s="436"/>
      <c r="AJ110" s="885"/>
      <c r="AK110" s="436">
        <v>-80.132999999999996</v>
      </c>
      <c r="AL110" s="436"/>
      <c r="AM110" s="436">
        <v>1.3320000000000001</v>
      </c>
      <c r="AN110" s="436">
        <f>AO110-SUM(AK110,AL110,AM110)</f>
        <v>0</v>
      </c>
      <c r="AO110" s="885">
        <v>-78.801000000000002</v>
      </c>
      <c r="AP110" s="436"/>
      <c r="AQ110" s="886"/>
      <c r="AR110" s="855"/>
      <c r="AS110" s="855"/>
      <c r="AT110" s="870"/>
      <c r="AU110" s="855"/>
      <c r="AV110" s="855"/>
      <c r="AW110" s="855"/>
      <c r="AX110" s="855"/>
      <c r="AY110" s="870"/>
      <c r="AZ110" s="870"/>
      <c r="BA110" s="870"/>
      <c r="BB110" s="870"/>
      <c r="BC110" s="362"/>
    </row>
    <row r="111" spans="1:55" s="23" customFormat="1" outlineLevel="1">
      <c r="A111" s="229" t="s">
        <v>135</v>
      </c>
      <c r="B111" s="132"/>
      <c r="C111" s="885">
        <v>-1</v>
      </c>
      <c r="D111" s="885"/>
      <c r="E111" s="885"/>
      <c r="F111" s="885"/>
      <c r="G111" s="436"/>
      <c r="H111" s="436"/>
      <c r="I111" s="436"/>
      <c r="J111" s="436"/>
      <c r="K111" s="885"/>
      <c r="L111" s="436"/>
      <c r="M111" s="436"/>
      <c r="N111" s="436"/>
      <c r="O111" s="436"/>
      <c r="P111" s="885"/>
      <c r="Q111" s="436"/>
      <c r="R111" s="436"/>
      <c r="S111" s="436"/>
      <c r="T111" s="436"/>
      <c r="U111" s="885"/>
      <c r="V111" s="436"/>
      <c r="W111" s="436"/>
      <c r="X111" s="436"/>
      <c r="Y111" s="436"/>
      <c r="Z111" s="885"/>
      <c r="AA111" s="436"/>
      <c r="AB111" s="436"/>
      <c r="AC111" s="436"/>
      <c r="AD111" s="436"/>
      <c r="AE111" s="885"/>
      <c r="AF111" s="436"/>
      <c r="AG111" s="436"/>
      <c r="AH111" s="436"/>
      <c r="AI111" s="436"/>
      <c r="AJ111" s="885"/>
      <c r="AK111" s="436"/>
      <c r="AL111" s="436"/>
      <c r="AM111" s="436"/>
      <c r="AN111" s="436"/>
      <c r="AO111" s="885"/>
      <c r="AP111" s="436"/>
      <c r="AQ111" s="886"/>
      <c r="AR111" s="855"/>
      <c r="AS111" s="855"/>
      <c r="AT111" s="870"/>
      <c r="AU111" s="855"/>
      <c r="AV111" s="855"/>
      <c r="AW111" s="855"/>
      <c r="AX111" s="855"/>
      <c r="AY111" s="870"/>
      <c r="AZ111" s="870"/>
      <c r="BA111" s="870"/>
      <c r="BB111" s="870"/>
      <c r="BC111" s="362"/>
    </row>
    <row r="112" spans="1:55" s="4" customFormat="1" outlineLevel="1">
      <c r="A112" s="402" t="s">
        <v>136</v>
      </c>
      <c r="B112" s="429"/>
      <c r="C112" s="858">
        <f t="shared" ref="C112:AH112" si="56">C107-SUM(C108:C111)</f>
        <v>-7.7460000000000075</v>
      </c>
      <c r="D112" s="858">
        <f t="shared" si="56"/>
        <v>21.828999999999979</v>
      </c>
      <c r="E112" s="858">
        <f t="shared" si="56"/>
        <v>29.015000000000008</v>
      </c>
      <c r="F112" s="858">
        <f t="shared" si="56"/>
        <v>31.583000000000034</v>
      </c>
      <c r="G112" s="402">
        <f t="shared" si="56"/>
        <v>10.844000000000001</v>
      </c>
      <c r="H112" s="402">
        <f t="shared" si="56"/>
        <v>7.7179999999999964</v>
      </c>
      <c r="I112" s="402">
        <f t="shared" si="56"/>
        <v>10.746999999999996</v>
      </c>
      <c r="J112" s="402">
        <f t="shared" si="56"/>
        <v>8.9020000000000046</v>
      </c>
      <c r="K112" s="858">
        <f t="shared" si="56"/>
        <v>38.211000000000006</v>
      </c>
      <c r="L112" s="402">
        <f t="shared" si="56"/>
        <v>11.303999999999995</v>
      </c>
      <c r="M112" s="402">
        <f t="shared" si="56"/>
        <v>19.921999999999997</v>
      </c>
      <c r="N112" s="402">
        <f t="shared" si="56"/>
        <v>23.47</v>
      </c>
      <c r="O112" s="402">
        <f t="shared" si="56"/>
        <v>24.410999999999916</v>
      </c>
      <c r="P112" s="858">
        <f t="shared" si="56"/>
        <v>79.106999999999971</v>
      </c>
      <c r="Q112" s="402">
        <f t="shared" si="56"/>
        <v>16.297000000000008</v>
      </c>
      <c r="R112" s="402">
        <f t="shared" si="56"/>
        <v>27.044000000000011</v>
      </c>
      <c r="S112" s="402">
        <f t="shared" si="56"/>
        <v>35.887000000000022</v>
      </c>
      <c r="T112" s="402">
        <f t="shared" si="56"/>
        <v>14.822000000000056</v>
      </c>
      <c r="U112" s="858">
        <f t="shared" si="56"/>
        <v>94.05</v>
      </c>
      <c r="V112" s="402">
        <f t="shared" si="56"/>
        <v>16.512000000000004</v>
      </c>
      <c r="W112" s="402">
        <f t="shared" si="56"/>
        <v>21.554999999999993</v>
      </c>
      <c r="X112" s="402">
        <f t="shared" si="56"/>
        <v>16.421999999999979</v>
      </c>
      <c r="Y112" s="402">
        <f t="shared" si="56"/>
        <v>14.295999999999996</v>
      </c>
      <c r="Z112" s="858">
        <f t="shared" si="56"/>
        <v>68.785000000000039</v>
      </c>
      <c r="AA112" s="402">
        <f t="shared" si="56"/>
        <v>15.490999999999994</v>
      </c>
      <c r="AB112" s="402">
        <f t="shared" si="56"/>
        <v>10.569000000000004</v>
      </c>
      <c r="AC112" s="402">
        <f t="shared" si="56"/>
        <v>8.6459999999999955</v>
      </c>
      <c r="AD112" s="402">
        <f t="shared" si="56"/>
        <v>-9.7149999999998595</v>
      </c>
      <c r="AE112" s="858">
        <f t="shared" si="56"/>
        <v>24.991000000000057</v>
      </c>
      <c r="AF112" s="402">
        <f t="shared" si="56"/>
        <v>3.926000000000005</v>
      </c>
      <c r="AG112" s="402">
        <f t="shared" si="56"/>
        <v>17.182000000000002</v>
      </c>
      <c r="AH112" s="402">
        <f t="shared" si="56"/>
        <v>15.579999999999995</v>
      </c>
      <c r="AI112" s="402">
        <f t="shared" ref="AI112:BB112" si="57">AI107-SUM(AI108:AI111)</f>
        <v>15.594000000000133</v>
      </c>
      <c r="AJ112" s="858">
        <f t="shared" si="57"/>
        <v>52.282000000000025</v>
      </c>
      <c r="AK112" s="402">
        <f t="shared" si="57"/>
        <v>100.99499999999999</v>
      </c>
      <c r="AL112" s="402">
        <f t="shared" si="57"/>
        <v>8.83</v>
      </c>
      <c r="AM112" s="402">
        <f t="shared" si="57"/>
        <v>1.7600000000000122</v>
      </c>
      <c r="AN112" s="402">
        <f t="shared" si="57"/>
        <v>-43.282000000000039</v>
      </c>
      <c r="AO112" s="858">
        <f t="shared" si="57"/>
        <v>68.303000000000054</v>
      </c>
      <c r="AP112" s="402">
        <f t="shared" si="57"/>
        <v>-69.277000000000001</v>
      </c>
      <c r="AQ112" s="891">
        <f t="shared" si="57"/>
        <v>-24.451000000000001</v>
      </c>
      <c r="AR112" s="402">
        <f t="shared" si="57"/>
        <v>0</v>
      </c>
      <c r="AS112" s="402">
        <f t="shared" si="57"/>
        <v>0</v>
      </c>
      <c r="AT112" s="858">
        <f t="shared" si="57"/>
        <v>0</v>
      </c>
      <c r="AU112" s="402">
        <f t="shared" si="57"/>
        <v>0</v>
      </c>
      <c r="AV112" s="402">
        <f t="shared" si="57"/>
        <v>0</v>
      </c>
      <c r="AW112" s="402">
        <f t="shared" si="57"/>
        <v>0</v>
      </c>
      <c r="AX112" s="402">
        <f t="shared" si="57"/>
        <v>0</v>
      </c>
      <c r="AY112" s="858">
        <f t="shared" si="57"/>
        <v>0</v>
      </c>
      <c r="AZ112" s="858">
        <f t="shared" si="57"/>
        <v>0</v>
      </c>
      <c r="BA112" s="858">
        <f t="shared" si="57"/>
        <v>0</v>
      </c>
      <c r="BB112" s="858">
        <f t="shared" si="57"/>
        <v>0</v>
      </c>
      <c r="BC112" s="363"/>
    </row>
    <row r="113" spans="1:55" s="23" customFormat="1" outlineLevel="1">
      <c r="A113" s="229" t="s">
        <v>137</v>
      </c>
      <c r="B113" s="132"/>
      <c r="C113" s="885">
        <v>-3.944</v>
      </c>
      <c r="D113" s="885">
        <v>6.8810000000000002</v>
      </c>
      <c r="E113" s="885">
        <v>7.4240000000000004</v>
      </c>
      <c r="F113" s="885">
        <v>9.7089999999999996</v>
      </c>
      <c r="G113" s="436">
        <v>2.2799999999999998</v>
      </c>
      <c r="H113" s="436">
        <v>2.56</v>
      </c>
      <c r="I113" s="436">
        <v>3.5920000000000001</v>
      </c>
      <c r="J113" s="436">
        <f>K113-SUM(G113,H113,I113)</f>
        <v>2.5129999999999999</v>
      </c>
      <c r="K113" s="885">
        <v>10.945</v>
      </c>
      <c r="L113" s="436">
        <v>3.7970000000000002</v>
      </c>
      <c r="M113" s="436">
        <v>6.7779999999999996</v>
      </c>
      <c r="N113" s="436">
        <v>6.39</v>
      </c>
      <c r="O113" s="436">
        <f>P113-SUM(L113,M113,N113)</f>
        <v>5.9720000000000013</v>
      </c>
      <c r="P113" s="885">
        <v>22.937000000000001</v>
      </c>
      <c r="Q113" s="436">
        <v>5.6139999999999999</v>
      </c>
      <c r="R113" s="436">
        <v>9.3539999999999992</v>
      </c>
      <c r="S113" s="436">
        <v>11.193</v>
      </c>
      <c r="T113" s="436">
        <f>U113-SUM(Q113,R113,S113)</f>
        <v>0.91499999999999915</v>
      </c>
      <c r="U113" s="885">
        <v>27.076000000000001</v>
      </c>
      <c r="V113" s="436">
        <v>5.0270000000000001</v>
      </c>
      <c r="W113" s="436">
        <v>6.5750000000000002</v>
      </c>
      <c r="X113" s="436">
        <v>4.3479999999999999</v>
      </c>
      <c r="Y113" s="436">
        <f>Z113-SUM(V113,W113,X113)</f>
        <v>4.4110000000000014</v>
      </c>
      <c r="Z113" s="885">
        <v>20.361000000000001</v>
      </c>
      <c r="AA113" s="436">
        <v>3.9039999999999999</v>
      </c>
      <c r="AB113" s="436">
        <v>2.8839999999999999</v>
      </c>
      <c r="AC113" s="436">
        <v>2.5859999999999999</v>
      </c>
      <c r="AD113" s="436">
        <f>AE113-SUM(AA113,AB113,AC113)</f>
        <v>-4.0620000000000003</v>
      </c>
      <c r="AE113" s="885">
        <v>5.3120000000000003</v>
      </c>
      <c r="AF113" s="436">
        <v>0.63200000000000001</v>
      </c>
      <c r="AG113" s="436">
        <v>3.157</v>
      </c>
      <c r="AH113" s="436">
        <v>-1.419</v>
      </c>
      <c r="AI113" s="436">
        <f>AJ113-SUM(AF113,AG113,AH113)</f>
        <v>3.109</v>
      </c>
      <c r="AJ113" s="885">
        <v>5.4790000000000001</v>
      </c>
      <c r="AK113" s="888">
        <v>22.849</v>
      </c>
      <c r="AL113" s="436">
        <v>2.1040000000000001</v>
      </c>
      <c r="AM113" s="436">
        <v>0.55000000000000004</v>
      </c>
      <c r="AN113" s="436">
        <f>AO113-SUM(AK113,AL113,AM113)</f>
        <v>-9.2169999999999987</v>
      </c>
      <c r="AO113" s="885">
        <v>16.286000000000001</v>
      </c>
      <c r="AP113" s="888">
        <v>-2.3140000000000001</v>
      </c>
      <c r="AQ113" s="886">
        <v>-0.872</v>
      </c>
      <c r="AR113" s="855"/>
      <c r="AS113" s="855"/>
      <c r="AT113" s="870"/>
      <c r="AU113" s="855"/>
      <c r="AV113" s="855"/>
      <c r="AW113" s="855"/>
      <c r="AX113" s="855"/>
      <c r="AY113" s="870"/>
      <c r="AZ113" s="870"/>
      <c r="BA113" s="870"/>
      <c r="BB113" s="870"/>
      <c r="BC113" s="362"/>
    </row>
    <row r="114" spans="1:55" s="4" customFormat="1" outlineLevel="1">
      <c r="A114" s="430" t="s">
        <v>138</v>
      </c>
      <c r="B114" s="431"/>
      <c r="C114" s="916">
        <f t="shared" ref="C114:AG114" si="58">C112-C113</f>
        <v>-3.8020000000000076</v>
      </c>
      <c r="D114" s="916">
        <f t="shared" si="58"/>
        <v>14.947999999999979</v>
      </c>
      <c r="E114" s="916">
        <f t="shared" si="58"/>
        <v>21.591000000000008</v>
      </c>
      <c r="F114" s="916">
        <f t="shared" si="58"/>
        <v>21.874000000000034</v>
      </c>
      <c r="G114" s="430">
        <f t="shared" si="58"/>
        <v>8.5640000000000018</v>
      </c>
      <c r="H114" s="430">
        <f t="shared" si="58"/>
        <v>5.1579999999999959</v>
      </c>
      <c r="I114" s="430">
        <f t="shared" si="58"/>
        <v>7.1549999999999958</v>
      </c>
      <c r="J114" s="430">
        <f t="shared" si="58"/>
        <v>6.3890000000000047</v>
      </c>
      <c r="K114" s="916">
        <f t="shared" si="58"/>
        <v>27.266000000000005</v>
      </c>
      <c r="L114" s="430">
        <f t="shared" si="58"/>
        <v>7.5069999999999943</v>
      </c>
      <c r="M114" s="430">
        <f t="shared" si="58"/>
        <v>13.143999999999998</v>
      </c>
      <c r="N114" s="430">
        <f t="shared" si="58"/>
        <v>17.079999999999998</v>
      </c>
      <c r="O114" s="430">
        <f t="shared" si="58"/>
        <v>18.438999999999915</v>
      </c>
      <c r="P114" s="916">
        <f t="shared" si="58"/>
        <v>56.169999999999973</v>
      </c>
      <c r="Q114" s="430">
        <f t="shared" si="58"/>
        <v>10.683000000000007</v>
      </c>
      <c r="R114" s="430">
        <f t="shared" si="58"/>
        <v>17.690000000000012</v>
      </c>
      <c r="S114" s="430">
        <f t="shared" si="58"/>
        <v>24.694000000000024</v>
      </c>
      <c r="T114" s="430">
        <f t="shared" si="58"/>
        <v>13.907000000000057</v>
      </c>
      <c r="U114" s="916">
        <f t="shared" si="58"/>
        <v>66.97399999999999</v>
      </c>
      <c r="V114" s="430">
        <f t="shared" si="58"/>
        <v>11.485000000000003</v>
      </c>
      <c r="W114" s="430">
        <f t="shared" si="58"/>
        <v>14.979999999999993</v>
      </c>
      <c r="X114" s="430">
        <f t="shared" si="58"/>
        <v>12.07399999999998</v>
      </c>
      <c r="Y114" s="430">
        <f t="shared" si="58"/>
        <v>9.8849999999999945</v>
      </c>
      <c r="Z114" s="916">
        <f t="shared" si="58"/>
        <v>48.424000000000035</v>
      </c>
      <c r="AA114" s="430">
        <f t="shared" si="58"/>
        <v>11.586999999999994</v>
      </c>
      <c r="AB114" s="430">
        <f t="shared" si="58"/>
        <v>7.6850000000000041</v>
      </c>
      <c r="AC114" s="430">
        <f t="shared" si="58"/>
        <v>6.0599999999999952</v>
      </c>
      <c r="AD114" s="430">
        <f t="shared" si="58"/>
        <v>-5.6529999999998592</v>
      </c>
      <c r="AE114" s="916">
        <f t="shared" si="58"/>
        <v>19.679000000000055</v>
      </c>
      <c r="AF114" s="430">
        <f t="shared" si="58"/>
        <v>3.2940000000000049</v>
      </c>
      <c r="AG114" s="430">
        <f t="shared" si="58"/>
        <v>14.025000000000002</v>
      </c>
      <c r="AH114" s="430">
        <v>16.998999999999999</v>
      </c>
      <c r="AI114" s="430">
        <f t="shared" ref="AI114:BB114" si="59">AI112-AI113</f>
        <v>12.485000000000133</v>
      </c>
      <c r="AJ114" s="916">
        <f t="shared" si="59"/>
        <v>46.803000000000026</v>
      </c>
      <c r="AK114" s="430">
        <f t="shared" si="59"/>
        <v>78.145999999999987</v>
      </c>
      <c r="AL114" s="430">
        <f t="shared" si="59"/>
        <v>6.726</v>
      </c>
      <c r="AM114" s="430">
        <f t="shared" si="59"/>
        <v>1.2100000000000122</v>
      </c>
      <c r="AN114" s="430">
        <f t="shared" si="59"/>
        <v>-34.06500000000004</v>
      </c>
      <c r="AO114" s="916">
        <f t="shared" si="59"/>
        <v>52.017000000000053</v>
      </c>
      <c r="AP114" s="430">
        <f t="shared" si="59"/>
        <v>-66.962999999999994</v>
      </c>
      <c r="AQ114" s="917">
        <f t="shared" si="59"/>
        <v>-23.579000000000001</v>
      </c>
      <c r="AR114" s="430">
        <f t="shared" si="59"/>
        <v>0</v>
      </c>
      <c r="AS114" s="430">
        <f t="shared" si="59"/>
        <v>0</v>
      </c>
      <c r="AT114" s="916">
        <f t="shared" si="59"/>
        <v>0</v>
      </c>
      <c r="AU114" s="430">
        <f t="shared" si="59"/>
        <v>0</v>
      </c>
      <c r="AV114" s="430">
        <f t="shared" si="59"/>
        <v>0</v>
      </c>
      <c r="AW114" s="430">
        <f t="shared" si="59"/>
        <v>0</v>
      </c>
      <c r="AX114" s="430">
        <f t="shared" si="59"/>
        <v>0</v>
      </c>
      <c r="AY114" s="916">
        <f t="shared" si="59"/>
        <v>0</v>
      </c>
      <c r="AZ114" s="916">
        <f t="shared" si="59"/>
        <v>0</v>
      </c>
      <c r="BA114" s="916">
        <f t="shared" si="59"/>
        <v>0</v>
      </c>
      <c r="BB114" s="916">
        <f t="shared" si="59"/>
        <v>0</v>
      </c>
      <c r="BC114" s="363"/>
    </row>
    <row r="115" spans="1:55" s="23" customFormat="1" outlineLevel="1">
      <c r="A115" s="229"/>
      <c r="B115" s="132"/>
      <c r="C115" s="885"/>
      <c r="D115" s="885"/>
      <c r="E115" s="885"/>
      <c r="F115" s="885"/>
      <c r="G115" s="436"/>
      <c r="H115" s="436"/>
      <c r="I115" s="436"/>
      <c r="J115" s="436"/>
      <c r="K115" s="885"/>
      <c r="L115" s="436"/>
      <c r="M115" s="436"/>
      <c r="N115" s="436"/>
      <c r="O115" s="436"/>
      <c r="P115" s="885"/>
      <c r="Q115" s="436"/>
      <c r="R115" s="436"/>
      <c r="S115" s="436"/>
      <c r="T115" s="436"/>
      <c r="U115" s="885"/>
      <c r="V115" s="436"/>
      <c r="W115" s="436"/>
      <c r="X115" s="436"/>
      <c r="Y115" s="436"/>
      <c r="Z115" s="885"/>
      <c r="AA115" s="436"/>
      <c r="AB115" s="436"/>
      <c r="AC115" s="436"/>
      <c r="AD115" s="436"/>
      <c r="AE115" s="885"/>
      <c r="AF115" s="436"/>
      <c r="AG115" s="436"/>
      <c r="AH115" s="436"/>
      <c r="AI115" s="436"/>
      <c r="AJ115" s="885"/>
      <c r="AK115" s="436"/>
      <c r="AL115" s="436"/>
      <c r="AM115" s="436"/>
      <c r="AN115" s="436"/>
      <c r="AO115" s="885"/>
      <c r="AP115" s="436"/>
      <c r="AQ115" s="886"/>
      <c r="AR115" s="855"/>
      <c r="AS115" s="855"/>
      <c r="AT115" s="870"/>
      <c r="AU115" s="855"/>
      <c r="AV115" s="855"/>
      <c r="AW115" s="855"/>
      <c r="AX115" s="855"/>
      <c r="AY115" s="870"/>
      <c r="AZ115" s="870"/>
      <c r="BA115" s="870"/>
      <c r="BB115" s="870"/>
      <c r="BC115" s="362"/>
    </row>
    <row r="116" spans="1:55" s="23" customFormat="1" outlineLevel="1">
      <c r="A116" s="55" t="s">
        <v>112</v>
      </c>
      <c r="B116" s="126"/>
      <c r="C116" s="553">
        <f t="shared" ref="C116:AH116" si="60">IF(ISBLANK(INDEX(MO_IS_FirstRow,0,COLUMN())),0,ROUND(C114-C316,6))</f>
        <v>0</v>
      </c>
      <c r="D116" s="553">
        <f t="shared" si="60"/>
        <v>0</v>
      </c>
      <c r="E116" s="553">
        <f t="shared" si="60"/>
        <v>0</v>
      </c>
      <c r="F116" s="553">
        <f t="shared" si="60"/>
        <v>0</v>
      </c>
      <c r="G116" s="553">
        <f t="shared" si="60"/>
        <v>0</v>
      </c>
      <c r="H116" s="553">
        <f t="shared" si="60"/>
        <v>0</v>
      </c>
      <c r="I116" s="553">
        <f t="shared" si="60"/>
        <v>0</v>
      </c>
      <c r="J116" s="553">
        <f t="shared" si="60"/>
        <v>0</v>
      </c>
      <c r="K116" s="553">
        <f t="shared" si="60"/>
        <v>0</v>
      </c>
      <c r="L116" s="553">
        <f t="shared" si="60"/>
        <v>0</v>
      </c>
      <c r="M116" s="553">
        <f t="shared" si="60"/>
        <v>0</v>
      </c>
      <c r="N116" s="553">
        <f t="shared" si="60"/>
        <v>0</v>
      </c>
      <c r="O116" s="553">
        <f t="shared" si="60"/>
        <v>0</v>
      </c>
      <c r="P116" s="553">
        <f t="shared" si="60"/>
        <v>0</v>
      </c>
      <c r="Q116" s="553">
        <f t="shared" si="60"/>
        <v>0</v>
      </c>
      <c r="R116" s="553">
        <f t="shared" si="60"/>
        <v>0</v>
      </c>
      <c r="S116" s="553">
        <f t="shared" si="60"/>
        <v>0</v>
      </c>
      <c r="T116" s="553">
        <f t="shared" si="60"/>
        <v>0</v>
      </c>
      <c r="U116" s="553">
        <f t="shared" si="60"/>
        <v>0</v>
      </c>
      <c r="V116" s="553">
        <f t="shared" si="60"/>
        <v>0</v>
      </c>
      <c r="W116" s="553">
        <f t="shared" si="60"/>
        <v>0</v>
      </c>
      <c r="X116" s="553">
        <f t="shared" si="60"/>
        <v>0</v>
      </c>
      <c r="Y116" s="553">
        <f t="shared" si="60"/>
        <v>0</v>
      </c>
      <c r="Z116" s="553">
        <f t="shared" si="60"/>
        <v>0</v>
      </c>
      <c r="AA116" s="553">
        <f t="shared" si="60"/>
        <v>0</v>
      </c>
      <c r="AB116" s="553">
        <f t="shared" si="60"/>
        <v>0</v>
      </c>
      <c r="AC116" s="553">
        <f t="shared" si="60"/>
        <v>0</v>
      </c>
      <c r="AD116" s="553">
        <f t="shared" si="60"/>
        <v>0</v>
      </c>
      <c r="AE116" s="553">
        <f t="shared" si="60"/>
        <v>0</v>
      </c>
      <c r="AF116" s="553">
        <f t="shared" si="60"/>
        <v>0</v>
      </c>
      <c r="AG116" s="553">
        <f t="shared" si="60"/>
        <v>0</v>
      </c>
      <c r="AH116" s="553">
        <f t="shared" si="60"/>
        <v>0</v>
      </c>
      <c r="AI116" s="553">
        <f t="shared" ref="AI116:BB116" si="61">IF(ISBLANK(INDEX(MO_IS_FirstRow,0,COLUMN())),0,ROUND(AI114-AI316,6))</f>
        <v>0</v>
      </c>
      <c r="AJ116" s="553">
        <f t="shared" si="61"/>
        <v>0</v>
      </c>
      <c r="AK116" s="553">
        <f t="shared" si="61"/>
        <v>0</v>
      </c>
      <c r="AL116" s="553">
        <f t="shared" si="61"/>
        <v>0</v>
      </c>
      <c r="AM116" s="553">
        <f t="shared" si="61"/>
        <v>0</v>
      </c>
      <c r="AN116" s="553">
        <f t="shared" si="61"/>
        <v>0</v>
      </c>
      <c r="AO116" s="553">
        <f t="shared" si="61"/>
        <v>0</v>
      </c>
      <c r="AP116" s="553">
        <f t="shared" si="61"/>
        <v>0</v>
      </c>
      <c r="AQ116" s="554">
        <f t="shared" si="61"/>
        <v>0</v>
      </c>
      <c r="AR116" s="553">
        <f t="shared" si="61"/>
        <v>0</v>
      </c>
      <c r="AS116" s="553">
        <f t="shared" si="61"/>
        <v>0</v>
      </c>
      <c r="AT116" s="553">
        <f t="shared" si="61"/>
        <v>0</v>
      </c>
      <c r="AU116" s="553">
        <f t="shared" si="61"/>
        <v>0</v>
      </c>
      <c r="AV116" s="553">
        <f t="shared" si="61"/>
        <v>0</v>
      </c>
      <c r="AW116" s="553">
        <f t="shared" si="61"/>
        <v>0</v>
      </c>
      <c r="AX116" s="553">
        <f t="shared" si="61"/>
        <v>0</v>
      </c>
      <c r="AY116" s="553">
        <f t="shared" si="61"/>
        <v>0</v>
      </c>
      <c r="AZ116" s="553">
        <f t="shared" si="61"/>
        <v>0</v>
      </c>
      <c r="BA116" s="553">
        <f t="shared" si="61"/>
        <v>0</v>
      </c>
      <c r="BB116" s="553">
        <f t="shared" si="61"/>
        <v>0</v>
      </c>
      <c r="BC116" s="362"/>
    </row>
    <row r="117" spans="1:55" s="23" customFormat="1" ht="14.45" customHeight="1">
      <c r="A117" s="229"/>
      <c r="B117" s="132"/>
      <c r="C117" s="885"/>
      <c r="D117" s="885"/>
      <c r="E117" s="885"/>
      <c r="F117" s="885"/>
      <c r="G117" s="436"/>
      <c r="H117" s="436"/>
      <c r="I117" s="436"/>
      <c r="J117" s="436"/>
      <c r="K117" s="885"/>
      <c r="L117" s="436"/>
      <c r="M117" s="436"/>
      <c r="N117" s="436"/>
      <c r="O117" s="436"/>
      <c r="P117" s="885"/>
      <c r="Q117" s="436"/>
      <c r="R117" s="436"/>
      <c r="S117" s="436"/>
      <c r="T117" s="436"/>
      <c r="U117" s="885"/>
      <c r="V117" s="436"/>
      <c r="W117" s="436"/>
      <c r="X117" s="436"/>
      <c r="Y117" s="436"/>
      <c r="Z117" s="885"/>
      <c r="AA117" s="436"/>
      <c r="AB117" s="436"/>
      <c r="AC117" s="436"/>
      <c r="AD117" s="436"/>
      <c r="AE117" s="885"/>
      <c r="AF117" s="436"/>
      <c r="AG117" s="436"/>
      <c r="AH117" s="436"/>
      <c r="AI117" s="436"/>
      <c r="AJ117" s="885"/>
      <c r="AK117" s="436"/>
      <c r="AL117" s="436"/>
      <c r="AM117" s="436"/>
      <c r="AN117" s="436"/>
      <c r="AO117" s="885"/>
      <c r="AP117" s="436"/>
      <c r="AQ117" s="886"/>
      <c r="AR117" s="855"/>
      <c r="AS117" s="855"/>
      <c r="AT117" s="870"/>
      <c r="AU117" s="855"/>
      <c r="AV117" s="855"/>
      <c r="AW117" s="855"/>
      <c r="AX117" s="855"/>
      <c r="AY117" s="870"/>
      <c r="AZ117" s="870"/>
      <c r="BA117" s="870"/>
      <c r="BB117" s="870"/>
      <c r="BC117" s="362"/>
    </row>
    <row r="118" spans="1:55" s="4" customFormat="1" ht="14.45" customHeight="1">
      <c r="A118" s="514" t="s">
        <v>84</v>
      </c>
      <c r="B118" s="514"/>
      <c r="C118" s="883"/>
      <c r="D118" s="883"/>
      <c r="E118" s="883"/>
      <c r="F118" s="883"/>
      <c r="G118" s="883"/>
      <c r="H118" s="883"/>
      <c r="I118" s="883"/>
      <c r="J118" s="883"/>
      <c r="K118" s="883"/>
      <c r="L118" s="883"/>
      <c r="M118" s="883"/>
      <c r="N118" s="883"/>
      <c r="O118" s="883"/>
      <c r="P118" s="883"/>
      <c r="Q118" s="883"/>
      <c r="R118" s="883"/>
      <c r="S118" s="883"/>
      <c r="T118" s="883"/>
      <c r="U118" s="883"/>
      <c r="V118" s="883"/>
      <c r="W118" s="883"/>
      <c r="X118" s="883"/>
      <c r="Y118" s="883"/>
      <c r="Z118" s="883"/>
      <c r="AA118" s="883"/>
      <c r="AB118" s="883"/>
      <c r="AC118" s="883"/>
      <c r="AD118" s="883"/>
      <c r="AE118" s="883"/>
      <c r="AF118" s="883"/>
      <c r="AG118" s="883"/>
      <c r="AH118" s="883"/>
      <c r="AI118" s="883"/>
      <c r="AJ118" s="883"/>
      <c r="AK118" s="883"/>
      <c r="AL118" s="883"/>
      <c r="AM118" s="883"/>
      <c r="AN118" s="883"/>
      <c r="AO118" s="883"/>
      <c r="AP118" s="883"/>
      <c r="AQ118" s="884"/>
      <c r="AR118" s="883"/>
      <c r="AS118" s="883"/>
      <c r="AT118" s="883"/>
      <c r="AU118" s="883"/>
      <c r="AV118" s="883"/>
      <c r="AW118" s="883"/>
      <c r="AX118" s="883"/>
      <c r="AY118" s="883"/>
      <c r="AZ118" s="883"/>
      <c r="BA118" s="883"/>
      <c r="BB118" s="883"/>
      <c r="BC118" s="363"/>
    </row>
    <row r="119" spans="1:55" s="4" customFormat="1" hidden="1" outlineLevel="1">
      <c r="A119" s="403" t="s">
        <v>129</v>
      </c>
      <c r="B119" s="345"/>
      <c r="C119" s="852"/>
      <c r="D119" s="852"/>
      <c r="E119" s="852"/>
      <c r="F119" s="852"/>
      <c r="G119" s="418"/>
      <c r="H119" s="418"/>
      <c r="I119" s="418"/>
      <c r="J119" s="418"/>
      <c r="K119" s="852"/>
      <c r="L119" s="418"/>
      <c r="M119" s="418"/>
      <c r="N119" s="418"/>
      <c r="O119" s="418"/>
      <c r="P119" s="852"/>
      <c r="Q119" s="418"/>
      <c r="R119" s="418"/>
      <c r="S119" s="418"/>
      <c r="T119" s="418"/>
      <c r="U119" s="852"/>
      <c r="V119" s="418"/>
      <c r="W119" s="418"/>
      <c r="X119" s="418"/>
      <c r="Y119" s="418"/>
      <c r="Z119" s="852"/>
      <c r="AA119" s="418"/>
      <c r="AB119" s="418"/>
      <c r="AC119" s="418"/>
      <c r="AD119" s="418"/>
      <c r="AE119" s="852"/>
      <c r="AF119" s="418">
        <f t="shared" ref="AF119:AO119" si="62">+AF102</f>
        <v>179.059</v>
      </c>
      <c r="AG119" s="418">
        <f t="shared" si="62"/>
        <v>208.60599999999999</v>
      </c>
      <c r="AH119" s="418">
        <f t="shared" si="62"/>
        <v>212.67400000000001</v>
      </c>
      <c r="AI119" s="418">
        <f t="shared" si="62"/>
        <v>202.91700000000003</v>
      </c>
      <c r="AJ119" s="852">
        <f t="shared" si="62"/>
        <v>803.25599999999997</v>
      </c>
      <c r="AK119" s="418">
        <f t="shared" si="62"/>
        <v>208.17400000000001</v>
      </c>
      <c r="AL119" s="418">
        <f t="shared" si="62"/>
        <v>189.09800000000001</v>
      </c>
      <c r="AM119" s="418">
        <f t="shared" si="62"/>
        <v>177.018</v>
      </c>
      <c r="AN119" s="418">
        <f t="shared" si="62"/>
        <v>198.41199999999992</v>
      </c>
      <c r="AO119" s="852">
        <f t="shared" si="62"/>
        <v>772.702</v>
      </c>
      <c r="AP119" s="418"/>
      <c r="AQ119" s="895"/>
      <c r="AR119" s="896"/>
      <c r="AS119" s="896"/>
      <c r="AT119" s="897"/>
      <c r="AU119" s="896"/>
      <c r="AV119" s="896"/>
      <c r="AW119" s="896"/>
      <c r="AX119" s="896"/>
      <c r="AY119" s="897"/>
      <c r="AZ119" s="897"/>
      <c r="BA119" s="897"/>
      <c r="BB119" s="897"/>
      <c r="BC119" s="363"/>
    </row>
    <row r="120" spans="1:55" s="23" customFormat="1" hidden="1" outlineLevel="1">
      <c r="A120" s="229" t="s">
        <v>405</v>
      </c>
      <c r="B120" s="132"/>
      <c r="C120" s="885"/>
      <c r="D120" s="885"/>
      <c r="E120" s="885"/>
      <c r="F120" s="885"/>
      <c r="G120" s="436"/>
      <c r="H120" s="436"/>
      <c r="I120" s="436"/>
      <c r="J120" s="436"/>
      <c r="K120" s="885"/>
      <c r="L120" s="436"/>
      <c r="M120" s="436"/>
      <c r="N120" s="436"/>
      <c r="O120" s="436"/>
      <c r="P120" s="885"/>
      <c r="Q120" s="436"/>
      <c r="R120" s="436"/>
      <c r="S120" s="436"/>
      <c r="T120" s="436"/>
      <c r="U120" s="885"/>
      <c r="V120" s="436"/>
      <c r="W120" s="436"/>
      <c r="X120" s="436"/>
      <c r="Y120" s="436"/>
      <c r="Z120" s="885"/>
      <c r="AA120" s="436"/>
      <c r="AB120" s="436"/>
      <c r="AC120" s="436"/>
      <c r="AD120" s="436"/>
      <c r="AE120" s="885"/>
      <c r="AF120" s="436">
        <v>-7.06</v>
      </c>
      <c r="AG120" s="436">
        <v>-31.405000000000001</v>
      </c>
      <c r="AH120" s="436">
        <v>-33.595999999999997</v>
      </c>
      <c r="AI120" s="436">
        <v>-12.192999999999998</v>
      </c>
      <c r="AJ120" s="885">
        <v>-84.254000000000005</v>
      </c>
      <c r="AK120" s="888">
        <v>-3.355</v>
      </c>
      <c r="AL120" s="436">
        <v>-2.242</v>
      </c>
      <c r="AM120" s="436">
        <v>-2.2189999999999999</v>
      </c>
      <c r="AN120" s="436">
        <v>-1.877</v>
      </c>
      <c r="AO120" s="885">
        <v>-9.6920000000000002</v>
      </c>
      <c r="AP120" s="888"/>
      <c r="AQ120" s="886"/>
      <c r="AR120" s="855"/>
      <c r="AS120" s="855"/>
      <c r="AT120" s="870"/>
      <c r="AU120" s="855"/>
      <c r="AV120" s="855"/>
      <c r="AW120" s="855"/>
      <c r="AX120" s="855"/>
      <c r="AY120" s="870"/>
      <c r="AZ120" s="870"/>
      <c r="BA120" s="870"/>
      <c r="BB120" s="870"/>
      <c r="BC120" s="362"/>
    </row>
    <row r="121" spans="1:55" s="4" customFormat="1" hidden="1" outlineLevel="1">
      <c r="A121" s="402" t="s">
        <v>406</v>
      </c>
      <c r="B121" s="429"/>
      <c r="C121" s="858"/>
      <c r="D121" s="858"/>
      <c r="E121" s="858"/>
      <c r="F121" s="858"/>
      <c r="G121" s="402"/>
      <c r="H121" s="402"/>
      <c r="I121" s="402"/>
      <c r="J121" s="402"/>
      <c r="K121" s="858"/>
      <c r="L121" s="402"/>
      <c r="M121" s="402"/>
      <c r="N121" s="402"/>
      <c r="O121" s="402"/>
      <c r="P121" s="858"/>
      <c r="Q121" s="402"/>
      <c r="R121" s="402"/>
      <c r="S121" s="402"/>
      <c r="T121" s="402"/>
      <c r="U121" s="858"/>
      <c r="V121" s="402"/>
      <c r="W121" s="402"/>
      <c r="X121" s="402"/>
      <c r="Y121" s="402"/>
      <c r="Z121" s="858"/>
      <c r="AA121" s="402"/>
      <c r="AB121" s="402"/>
      <c r="AC121" s="402"/>
      <c r="AD121" s="402"/>
      <c r="AE121" s="858"/>
      <c r="AF121" s="402">
        <f t="shared" ref="AF121:AO121" si="63">+AF119+AF120</f>
        <v>171.999</v>
      </c>
      <c r="AG121" s="402">
        <f t="shared" si="63"/>
        <v>177.20099999999999</v>
      </c>
      <c r="AH121" s="402">
        <f t="shared" si="63"/>
        <v>179.078</v>
      </c>
      <c r="AI121" s="402">
        <f t="shared" si="63"/>
        <v>190.72400000000005</v>
      </c>
      <c r="AJ121" s="858">
        <f t="shared" si="63"/>
        <v>719.00199999999995</v>
      </c>
      <c r="AK121" s="402">
        <f t="shared" si="63"/>
        <v>204.81900000000002</v>
      </c>
      <c r="AL121" s="402">
        <f t="shared" si="63"/>
        <v>186.85600000000002</v>
      </c>
      <c r="AM121" s="402">
        <f t="shared" si="63"/>
        <v>174.79900000000001</v>
      </c>
      <c r="AN121" s="402">
        <f t="shared" si="63"/>
        <v>196.53499999999991</v>
      </c>
      <c r="AO121" s="858">
        <f t="shared" si="63"/>
        <v>763.01</v>
      </c>
      <c r="AP121" s="402"/>
      <c r="AQ121" s="891"/>
      <c r="AR121" s="902"/>
      <c r="AS121" s="902"/>
      <c r="AT121" s="903"/>
      <c r="AU121" s="902"/>
      <c r="AV121" s="902"/>
      <c r="AW121" s="902"/>
      <c r="AX121" s="902"/>
      <c r="AY121" s="903"/>
      <c r="AZ121" s="903"/>
      <c r="BA121" s="903"/>
      <c r="BB121" s="903"/>
      <c r="BC121" s="363"/>
    </row>
    <row r="122" spans="1:55" s="4" customFormat="1" hidden="1" outlineLevel="1">
      <c r="A122" s="418"/>
      <c r="B122" s="432"/>
      <c r="C122" s="852"/>
      <c r="D122" s="852"/>
      <c r="E122" s="852"/>
      <c r="F122" s="852"/>
      <c r="G122" s="418"/>
      <c r="H122" s="418"/>
      <c r="I122" s="418"/>
      <c r="J122" s="418"/>
      <c r="K122" s="852"/>
      <c r="L122" s="418"/>
      <c r="M122" s="418"/>
      <c r="N122" s="418"/>
      <c r="O122" s="418"/>
      <c r="P122" s="852"/>
      <c r="Q122" s="418"/>
      <c r="R122" s="418"/>
      <c r="S122" s="418"/>
      <c r="T122" s="418"/>
      <c r="U122" s="852"/>
      <c r="V122" s="418"/>
      <c r="W122" s="418"/>
      <c r="X122" s="418"/>
      <c r="Y122" s="418"/>
      <c r="Z122" s="852"/>
      <c r="AA122" s="418"/>
      <c r="AB122" s="418"/>
      <c r="AC122" s="418"/>
      <c r="AD122" s="418"/>
      <c r="AE122" s="852"/>
      <c r="AF122" s="418"/>
      <c r="AG122" s="418"/>
      <c r="AH122" s="418"/>
      <c r="AI122" s="418"/>
      <c r="AJ122" s="852"/>
      <c r="AK122" s="418"/>
      <c r="AL122" s="418"/>
      <c r="AM122" s="418"/>
      <c r="AN122" s="418"/>
      <c r="AO122" s="852"/>
      <c r="AP122" s="418"/>
      <c r="AQ122" s="895"/>
      <c r="AR122" s="896"/>
      <c r="AS122" s="896"/>
      <c r="AT122" s="897"/>
      <c r="AU122" s="896"/>
      <c r="AV122" s="896"/>
      <c r="AW122" s="896"/>
      <c r="AX122" s="896"/>
      <c r="AY122" s="897"/>
      <c r="AZ122" s="897"/>
      <c r="BA122" s="897"/>
      <c r="BB122" s="897"/>
      <c r="BC122" s="363"/>
    </row>
    <row r="123" spans="1:55" s="4" customFormat="1" hidden="1" outlineLevel="1">
      <c r="A123" s="418" t="s">
        <v>407</v>
      </c>
      <c r="B123" s="432"/>
      <c r="C123" s="852"/>
      <c r="D123" s="852"/>
      <c r="E123" s="852"/>
      <c r="F123" s="852"/>
      <c r="G123" s="418"/>
      <c r="H123" s="418"/>
      <c r="I123" s="418"/>
      <c r="J123" s="418"/>
      <c r="K123" s="852"/>
      <c r="L123" s="418"/>
      <c r="M123" s="418"/>
      <c r="N123" s="418"/>
      <c r="O123" s="418"/>
      <c r="P123" s="852"/>
      <c r="Q123" s="418"/>
      <c r="R123" s="418"/>
      <c r="S123" s="418"/>
      <c r="T123" s="418"/>
      <c r="U123" s="852"/>
      <c r="V123" s="418"/>
      <c r="W123" s="418"/>
      <c r="X123" s="418"/>
      <c r="Y123" s="418"/>
      <c r="Z123" s="852"/>
      <c r="AA123" s="418"/>
      <c r="AB123" s="418"/>
      <c r="AC123" s="418"/>
      <c r="AD123" s="418"/>
      <c r="AE123" s="852"/>
      <c r="AF123" s="418"/>
      <c r="AG123" s="418"/>
      <c r="AH123" s="418"/>
      <c r="AI123" s="418"/>
      <c r="AJ123" s="852"/>
      <c r="AK123" s="418">
        <f>+AK107</f>
        <v>22.880999999999997</v>
      </c>
      <c r="AL123" s="418">
        <f>+AL107</f>
        <v>10.573</v>
      </c>
      <c r="AM123" s="418">
        <f>+AM107</f>
        <v>5.1030000000000122</v>
      </c>
      <c r="AN123" s="418">
        <f>+AN107</f>
        <v>-36.856000000000037</v>
      </c>
      <c r="AO123" s="852">
        <f>+AO107</f>
        <v>1.7010000000000502</v>
      </c>
      <c r="AP123" s="418"/>
      <c r="AQ123" s="895"/>
      <c r="AR123" s="896"/>
      <c r="AS123" s="896"/>
      <c r="AT123" s="897"/>
      <c r="AU123" s="896"/>
      <c r="AV123" s="896"/>
      <c r="AW123" s="896"/>
      <c r="AX123" s="896"/>
      <c r="AY123" s="897"/>
      <c r="AZ123" s="897"/>
      <c r="BA123" s="897"/>
      <c r="BB123" s="897"/>
      <c r="BC123" s="363"/>
    </row>
    <row r="124" spans="1:55" s="23" customFormat="1" hidden="1" outlineLevel="1">
      <c r="A124" s="229" t="s">
        <v>405</v>
      </c>
      <c r="B124" s="433"/>
      <c r="C124" s="885"/>
      <c r="D124" s="885"/>
      <c r="E124" s="885"/>
      <c r="F124" s="885"/>
      <c r="G124" s="436"/>
      <c r="H124" s="436"/>
      <c r="I124" s="436"/>
      <c r="J124" s="436"/>
      <c r="K124" s="885"/>
      <c r="L124" s="436"/>
      <c r="M124" s="436"/>
      <c r="N124" s="436"/>
      <c r="O124" s="436"/>
      <c r="P124" s="885"/>
      <c r="Q124" s="436"/>
      <c r="R124" s="436"/>
      <c r="S124" s="436"/>
      <c r="T124" s="436"/>
      <c r="U124" s="885"/>
      <c r="V124" s="436"/>
      <c r="W124" s="436"/>
      <c r="X124" s="436"/>
      <c r="Y124" s="436"/>
      <c r="Z124" s="885"/>
      <c r="AA124" s="436"/>
      <c r="AB124" s="436"/>
      <c r="AC124" s="436"/>
      <c r="AD124" s="436"/>
      <c r="AE124" s="885"/>
      <c r="AF124" s="436"/>
      <c r="AG124" s="436"/>
      <c r="AH124" s="436"/>
      <c r="AI124" s="436"/>
      <c r="AJ124" s="885"/>
      <c r="AK124" s="436">
        <v>-0.91700000000000004</v>
      </c>
      <c r="AL124" s="436">
        <v>-2.0670000000000002</v>
      </c>
      <c r="AM124" s="436">
        <v>-1.9419999999999999</v>
      </c>
      <c r="AN124" s="436">
        <v>-1.8280000000000001</v>
      </c>
      <c r="AO124" s="885">
        <v>-6.7530000000000001</v>
      </c>
      <c r="AP124" s="436"/>
      <c r="AQ124" s="886"/>
      <c r="AR124" s="855"/>
      <c r="AS124" s="855"/>
      <c r="AT124" s="870"/>
      <c r="AU124" s="855"/>
      <c r="AV124" s="855"/>
      <c r="AW124" s="855"/>
      <c r="AX124" s="855"/>
      <c r="AY124" s="870"/>
      <c r="AZ124" s="870"/>
      <c r="BA124" s="870"/>
      <c r="BB124" s="870"/>
      <c r="BC124" s="362"/>
    </row>
    <row r="125" spans="1:55" s="23" customFormat="1" ht="14.25" hidden="1" customHeight="1" outlineLevel="1">
      <c r="A125" s="856" t="s">
        <v>452</v>
      </c>
      <c r="B125" s="871"/>
      <c r="C125" s="885"/>
      <c r="D125" s="885"/>
      <c r="E125" s="885"/>
      <c r="F125" s="885"/>
      <c r="G125" s="436"/>
      <c r="H125" s="436"/>
      <c r="I125" s="436"/>
      <c r="J125" s="436"/>
      <c r="K125" s="885"/>
      <c r="L125" s="436"/>
      <c r="M125" s="436"/>
      <c r="N125" s="436"/>
      <c r="O125" s="436"/>
      <c r="P125" s="885"/>
      <c r="Q125" s="436"/>
      <c r="R125" s="436"/>
      <c r="S125" s="436"/>
      <c r="T125" s="436"/>
      <c r="U125" s="885"/>
      <c r="V125" s="436"/>
      <c r="W125" s="436"/>
      <c r="X125" s="436"/>
      <c r="Y125" s="436"/>
      <c r="Z125" s="885"/>
      <c r="AA125" s="436"/>
      <c r="AB125" s="436"/>
      <c r="AC125" s="436"/>
      <c r="AD125" s="436"/>
      <c r="AE125" s="885"/>
      <c r="AF125" s="436"/>
      <c r="AG125" s="436"/>
      <c r="AH125" s="436"/>
      <c r="AI125" s="436"/>
      <c r="AJ125" s="885"/>
      <c r="AK125" s="436"/>
      <c r="AL125" s="436"/>
      <c r="AM125" s="436"/>
      <c r="AN125" s="436">
        <v>17.919</v>
      </c>
      <c r="AO125" s="870">
        <v>19.619</v>
      </c>
      <c r="AP125" s="991"/>
      <c r="AQ125" s="1005"/>
      <c r="AR125" s="855"/>
      <c r="AS125" s="855"/>
      <c r="AT125" s="870"/>
      <c r="AU125" s="855"/>
      <c r="AV125" s="855"/>
      <c r="AW125" s="855"/>
      <c r="AX125" s="855"/>
      <c r="AY125" s="870"/>
      <c r="AZ125" s="870"/>
      <c r="BA125" s="870"/>
      <c r="BB125" s="870"/>
      <c r="BC125" s="362"/>
    </row>
    <row r="126" spans="1:55" s="23" customFormat="1" ht="14.25" hidden="1" customHeight="1" outlineLevel="1">
      <c r="A126" s="864" t="s">
        <v>453</v>
      </c>
      <c r="B126" s="873"/>
      <c r="C126" s="885"/>
      <c r="D126" s="885"/>
      <c r="E126" s="885"/>
      <c r="F126" s="885"/>
      <c r="G126" s="436"/>
      <c r="H126" s="436"/>
      <c r="I126" s="436"/>
      <c r="J126" s="436"/>
      <c r="K126" s="885"/>
      <c r="L126" s="436"/>
      <c r="M126" s="436"/>
      <c r="N126" s="436"/>
      <c r="O126" s="436"/>
      <c r="P126" s="885"/>
      <c r="Q126" s="436"/>
      <c r="R126" s="436"/>
      <c r="S126" s="436"/>
      <c r="T126" s="436"/>
      <c r="U126" s="885"/>
      <c r="V126" s="436"/>
      <c r="W126" s="436"/>
      <c r="X126" s="436"/>
      <c r="Y126" s="436"/>
      <c r="Z126" s="885"/>
      <c r="AA126" s="436"/>
      <c r="AB126" s="436"/>
      <c r="AC126" s="436"/>
      <c r="AD126" s="436"/>
      <c r="AE126" s="885"/>
      <c r="AF126" s="436"/>
      <c r="AG126" s="436"/>
      <c r="AH126" s="436"/>
      <c r="AI126" s="436"/>
      <c r="AJ126" s="885"/>
      <c r="AK126" s="436"/>
      <c r="AL126" s="436"/>
      <c r="AM126" s="436"/>
      <c r="AN126" s="436">
        <v>28.835999999999999</v>
      </c>
      <c r="AO126" s="872">
        <v>28.835999999999999</v>
      </c>
      <c r="AP126" s="992"/>
      <c r="AQ126" s="1006"/>
      <c r="AR126" s="855"/>
      <c r="AS126" s="855"/>
      <c r="AT126" s="870"/>
      <c r="AU126" s="855"/>
      <c r="AV126" s="855"/>
      <c r="AW126" s="855"/>
      <c r="AX126" s="855"/>
      <c r="AY126" s="870"/>
      <c r="AZ126" s="870"/>
      <c r="BA126" s="870"/>
      <c r="BB126" s="870"/>
      <c r="BC126" s="362"/>
    </row>
    <row r="127" spans="1:55" s="4" customFormat="1" hidden="1" outlineLevel="1">
      <c r="A127" s="402" t="s">
        <v>408</v>
      </c>
      <c r="B127" s="429"/>
      <c r="C127" s="858"/>
      <c r="D127" s="858"/>
      <c r="E127" s="858"/>
      <c r="F127" s="858"/>
      <c r="G127" s="402"/>
      <c r="H127" s="402"/>
      <c r="I127" s="402"/>
      <c r="J127" s="402"/>
      <c r="K127" s="858"/>
      <c r="L127" s="402"/>
      <c r="M127" s="402"/>
      <c r="N127" s="402"/>
      <c r="O127" s="402"/>
      <c r="P127" s="858"/>
      <c r="Q127" s="402"/>
      <c r="R127" s="402"/>
      <c r="S127" s="402"/>
      <c r="T127" s="402"/>
      <c r="U127" s="858"/>
      <c r="V127" s="402"/>
      <c r="W127" s="402"/>
      <c r="X127" s="402"/>
      <c r="Y127" s="402"/>
      <c r="Z127" s="858"/>
      <c r="AA127" s="402"/>
      <c r="AB127" s="402"/>
      <c r="AC127" s="402"/>
      <c r="AD127" s="402"/>
      <c r="AE127" s="858"/>
      <c r="AF127" s="402"/>
      <c r="AG127" s="402"/>
      <c r="AH127" s="402"/>
      <c r="AI127" s="402"/>
      <c r="AJ127" s="858"/>
      <c r="AK127" s="402">
        <f>SUM(AK123:AK126)</f>
        <v>21.963999999999995</v>
      </c>
      <c r="AL127" s="402">
        <f>SUM(AL123:AL126)</f>
        <v>8.5060000000000002</v>
      </c>
      <c r="AM127" s="402">
        <f>SUM(AM123:AM126)</f>
        <v>3.161000000000012</v>
      </c>
      <c r="AN127" s="402">
        <f>SUM(AN123:AN126)</f>
        <v>8.0709999999999589</v>
      </c>
      <c r="AO127" s="858">
        <f>SUM(AO123:AO126)</f>
        <v>43.403000000000048</v>
      </c>
      <c r="AP127" s="402"/>
      <c r="AQ127" s="891"/>
      <c r="AR127" s="902"/>
      <c r="AS127" s="902"/>
      <c r="AT127" s="903"/>
      <c r="AU127" s="902"/>
      <c r="AV127" s="902"/>
      <c r="AW127" s="902"/>
      <c r="AX127" s="902"/>
      <c r="AY127" s="903"/>
      <c r="AZ127" s="903"/>
      <c r="BA127" s="903"/>
      <c r="BB127" s="903"/>
      <c r="BC127" s="363"/>
    </row>
    <row r="128" spans="1:55" s="4" customFormat="1" hidden="1" outlineLevel="1">
      <c r="A128" s="403"/>
      <c r="B128" s="345"/>
      <c r="C128" s="852"/>
      <c r="D128" s="852"/>
      <c r="E128" s="852"/>
      <c r="F128" s="852"/>
      <c r="G128" s="418"/>
      <c r="H128" s="418"/>
      <c r="I128" s="418"/>
      <c r="J128" s="418"/>
      <c r="K128" s="852"/>
      <c r="L128" s="418"/>
      <c r="M128" s="418"/>
      <c r="N128" s="418"/>
      <c r="O128" s="418"/>
      <c r="P128" s="852"/>
      <c r="Q128" s="418"/>
      <c r="R128" s="418"/>
      <c r="S128" s="418"/>
      <c r="T128" s="418"/>
      <c r="U128" s="852"/>
      <c r="V128" s="418"/>
      <c r="W128" s="418"/>
      <c r="X128" s="418"/>
      <c r="Y128" s="418"/>
      <c r="Z128" s="852"/>
      <c r="AA128" s="418"/>
      <c r="AB128" s="418"/>
      <c r="AC128" s="418"/>
      <c r="AD128" s="418"/>
      <c r="AE128" s="852"/>
      <c r="AF128" s="418"/>
      <c r="AG128" s="418"/>
      <c r="AH128" s="418"/>
      <c r="AI128" s="418"/>
      <c r="AJ128" s="852"/>
      <c r="AK128" s="418"/>
      <c r="AL128" s="418"/>
      <c r="AM128" s="418"/>
      <c r="AN128" s="418"/>
      <c r="AO128" s="852"/>
      <c r="AP128" s="418"/>
      <c r="AQ128" s="895"/>
      <c r="AR128" s="896"/>
      <c r="AS128" s="896"/>
      <c r="AT128" s="897"/>
      <c r="AU128" s="896"/>
      <c r="AV128" s="896"/>
      <c r="AW128" s="896"/>
      <c r="AX128" s="896"/>
      <c r="AY128" s="897"/>
      <c r="AZ128" s="897"/>
      <c r="BA128" s="897"/>
      <c r="BB128" s="897"/>
      <c r="BC128" s="363"/>
    </row>
    <row r="129" spans="1:55" s="4" customFormat="1" hidden="1" outlineLevel="1">
      <c r="A129" s="403" t="s">
        <v>409</v>
      </c>
      <c r="B129" s="345"/>
      <c r="C129" s="852"/>
      <c r="D129" s="852"/>
      <c r="E129" s="852"/>
      <c r="F129" s="852"/>
      <c r="G129" s="418"/>
      <c r="H129" s="418"/>
      <c r="I129" s="418"/>
      <c r="J129" s="418"/>
      <c r="K129" s="852"/>
      <c r="L129" s="418"/>
      <c r="M129" s="418"/>
      <c r="N129" s="418"/>
      <c r="O129" s="418"/>
      <c r="P129" s="852"/>
      <c r="Q129" s="418"/>
      <c r="R129" s="418"/>
      <c r="S129" s="418"/>
      <c r="T129" s="418"/>
      <c r="U129" s="852"/>
      <c r="V129" s="418"/>
      <c r="W129" s="418"/>
      <c r="X129" s="418"/>
      <c r="Y129" s="418"/>
      <c r="Z129" s="852"/>
      <c r="AA129" s="418"/>
      <c r="AB129" s="418"/>
      <c r="AC129" s="418"/>
      <c r="AD129" s="418"/>
      <c r="AE129" s="852"/>
      <c r="AF129" s="418"/>
      <c r="AG129" s="418"/>
      <c r="AH129" s="418"/>
      <c r="AI129" s="418"/>
      <c r="AJ129" s="852"/>
      <c r="AK129" s="418">
        <f>+AK114</f>
        <v>78.145999999999987</v>
      </c>
      <c r="AL129" s="418">
        <f>+AL114</f>
        <v>6.726</v>
      </c>
      <c r="AM129" s="418">
        <f>+AM114</f>
        <v>1.2100000000000122</v>
      </c>
      <c r="AN129" s="418">
        <f>+AN114</f>
        <v>-34.06500000000004</v>
      </c>
      <c r="AO129" s="852">
        <f>+AO114</f>
        <v>52.017000000000053</v>
      </c>
      <c r="AP129" s="418"/>
      <c r="AQ129" s="895"/>
      <c r="AR129" s="896"/>
      <c r="AS129" s="896"/>
      <c r="AT129" s="897"/>
      <c r="AU129" s="896"/>
      <c r="AV129" s="896"/>
      <c r="AW129" s="896"/>
      <c r="AX129" s="896"/>
      <c r="AY129" s="897"/>
      <c r="AZ129" s="897"/>
      <c r="BA129" s="897"/>
      <c r="BB129" s="897"/>
      <c r="BC129" s="363"/>
    </row>
    <row r="130" spans="1:55" s="23" customFormat="1" hidden="1" outlineLevel="1">
      <c r="A130" s="229" t="s">
        <v>405</v>
      </c>
      <c r="B130" s="132"/>
      <c r="C130" s="885"/>
      <c r="D130" s="885"/>
      <c r="E130" s="885"/>
      <c r="F130" s="885"/>
      <c r="G130" s="436"/>
      <c r="H130" s="436"/>
      <c r="I130" s="436"/>
      <c r="J130" s="436"/>
      <c r="K130" s="885"/>
      <c r="L130" s="436"/>
      <c r="M130" s="436"/>
      <c r="N130" s="436"/>
      <c r="O130" s="436"/>
      <c r="P130" s="885"/>
      <c r="Q130" s="436"/>
      <c r="R130" s="436"/>
      <c r="S130" s="436"/>
      <c r="T130" s="436"/>
      <c r="U130" s="885"/>
      <c r="V130" s="436"/>
      <c r="W130" s="436"/>
      <c r="X130" s="436"/>
      <c r="Y130" s="436"/>
      <c r="Z130" s="885"/>
      <c r="AA130" s="436"/>
      <c r="AB130" s="436"/>
      <c r="AC130" s="436"/>
      <c r="AD130" s="436"/>
      <c r="AE130" s="885"/>
      <c r="AF130" s="436"/>
      <c r="AG130" s="436"/>
      <c r="AH130" s="436"/>
      <c r="AI130" s="436"/>
      <c r="AJ130" s="885"/>
      <c r="AK130" s="436">
        <v>-62.039000000000001</v>
      </c>
      <c r="AL130" s="436">
        <v>-0.38700000000000001</v>
      </c>
      <c r="AM130" s="436">
        <v>-1.161</v>
      </c>
      <c r="AN130" s="436">
        <v>-2.08</v>
      </c>
      <c r="AO130" s="885">
        <v>-65.665999999999997</v>
      </c>
      <c r="AP130" s="436"/>
      <c r="AQ130" s="886"/>
      <c r="AR130" s="855"/>
      <c r="AS130" s="855"/>
      <c r="AT130" s="870"/>
      <c r="AU130" s="855"/>
      <c r="AV130" s="855"/>
      <c r="AW130" s="855"/>
      <c r="AX130" s="855"/>
      <c r="AY130" s="870"/>
      <c r="AZ130" s="870"/>
      <c r="BA130" s="870"/>
      <c r="BB130" s="870"/>
      <c r="BC130" s="362"/>
    </row>
    <row r="131" spans="1:55" s="23" customFormat="1" hidden="1" outlineLevel="1">
      <c r="A131" s="229" t="s">
        <v>452</v>
      </c>
      <c r="B131" s="132"/>
      <c r="C131" s="885"/>
      <c r="D131" s="885"/>
      <c r="E131" s="885"/>
      <c r="F131" s="885"/>
      <c r="G131" s="436"/>
      <c r="H131" s="436"/>
      <c r="I131" s="436"/>
      <c r="J131" s="436"/>
      <c r="K131" s="885"/>
      <c r="L131" s="436"/>
      <c r="M131" s="436"/>
      <c r="N131" s="436"/>
      <c r="O131" s="436"/>
      <c r="P131" s="885"/>
      <c r="Q131" s="436"/>
      <c r="R131" s="436"/>
      <c r="S131" s="436"/>
      <c r="T131" s="436"/>
      <c r="U131" s="885"/>
      <c r="V131" s="436"/>
      <c r="W131" s="436"/>
      <c r="X131" s="436"/>
      <c r="Y131" s="436"/>
      <c r="Z131" s="885"/>
      <c r="AA131" s="436"/>
      <c r="AB131" s="436"/>
      <c r="AC131" s="436"/>
      <c r="AD131" s="436"/>
      <c r="AE131" s="885"/>
      <c r="AF131" s="436"/>
      <c r="AG131" s="436"/>
      <c r="AH131" s="436"/>
      <c r="AI131" s="436"/>
      <c r="AJ131" s="885"/>
      <c r="AK131" s="436"/>
      <c r="AL131" s="436"/>
      <c r="AM131" s="436"/>
      <c r="AN131" s="436">
        <v>14.143000000000001</v>
      </c>
      <c r="AO131" s="885">
        <v>15.484999999999999</v>
      </c>
      <c r="AP131" s="436"/>
      <c r="AQ131" s="886"/>
      <c r="AR131" s="855"/>
      <c r="AS131" s="855"/>
      <c r="AT131" s="870"/>
      <c r="AU131" s="855"/>
      <c r="AV131" s="855"/>
      <c r="AW131" s="855"/>
      <c r="AX131" s="855"/>
      <c r="AY131" s="870"/>
      <c r="AZ131" s="870"/>
      <c r="BA131" s="870"/>
      <c r="BB131" s="870"/>
      <c r="BC131" s="362"/>
    </row>
    <row r="132" spans="1:55" s="23" customFormat="1" hidden="1" outlineLevel="1">
      <c r="A132" s="229" t="s">
        <v>453</v>
      </c>
      <c r="B132" s="132"/>
      <c r="C132" s="885"/>
      <c r="D132" s="885"/>
      <c r="E132" s="885"/>
      <c r="F132" s="885"/>
      <c r="G132" s="436"/>
      <c r="H132" s="436"/>
      <c r="I132" s="436"/>
      <c r="J132" s="436"/>
      <c r="K132" s="885"/>
      <c r="L132" s="436"/>
      <c r="M132" s="436"/>
      <c r="N132" s="436"/>
      <c r="O132" s="436"/>
      <c r="P132" s="885"/>
      <c r="Q132" s="436"/>
      <c r="R132" s="436"/>
      <c r="S132" s="436"/>
      <c r="T132" s="436"/>
      <c r="U132" s="885"/>
      <c r="V132" s="436"/>
      <c r="W132" s="436"/>
      <c r="X132" s="436"/>
      <c r="Y132" s="436"/>
      <c r="Z132" s="885"/>
      <c r="AA132" s="436"/>
      <c r="AB132" s="436"/>
      <c r="AC132" s="436"/>
      <c r="AD132" s="436"/>
      <c r="AE132" s="885"/>
      <c r="AF132" s="436"/>
      <c r="AG132" s="436"/>
      <c r="AH132" s="436"/>
      <c r="AI132" s="436"/>
      <c r="AJ132" s="885"/>
      <c r="AK132" s="436"/>
      <c r="AL132" s="436"/>
      <c r="AM132" s="436"/>
      <c r="AN132" s="436">
        <v>22.78</v>
      </c>
      <c r="AO132" s="885">
        <v>22.78</v>
      </c>
      <c r="AP132" s="436"/>
      <c r="AQ132" s="886"/>
      <c r="AR132" s="855"/>
      <c r="AS132" s="855"/>
      <c r="AT132" s="870"/>
      <c r="AU132" s="855"/>
      <c r="AV132" s="855"/>
      <c r="AW132" s="855"/>
      <c r="AX132" s="855"/>
      <c r="AY132" s="870"/>
      <c r="AZ132" s="870"/>
      <c r="BA132" s="870"/>
      <c r="BB132" s="870"/>
      <c r="BC132" s="362"/>
    </row>
    <row r="133" spans="1:55" s="23" customFormat="1" hidden="1" outlineLevel="1">
      <c r="A133" s="229" t="s">
        <v>454</v>
      </c>
      <c r="B133" s="132"/>
      <c r="C133" s="885"/>
      <c r="D133" s="885"/>
      <c r="E133" s="885"/>
      <c r="F133" s="885"/>
      <c r="G133" s="436"/>
      <c r="H133" s="436"/>
      <c r="I133" s="436"/>
      <c r="J133" s="436"/>
      <c r="K133" s="885"/>
      <c r="L133" s="436"/>
      <c r="M133" s="436"/>
      <c r="N133" s="436"/>
      <c r="O133" s="436"/>
      <c r="P133" s="885"/>
      <c r="Q133" s="436"/>
      <c r="R133" s="436"/>
      <c r="S133" s="436"/>
      <c r="T133" s="436"/>
      <c r="U133" s="885"/>
      <c r="V133" s="436"/>
      <c r="W133" s="436"/>
      <c r="X133" s="436"/>
      <c r="Y133" s="436"/>
      <c r="Z133" s="885"/>
      <c r="AA133" s="436"/>
      <c r="AB133" s="436"/>
      <c r="AC133" s="436"/>
      <c r="AD133" s="436"/>
      <c r="AE133" s="885"/>
      <c r="AF133" s="436"/>
      <c r="AG133" s="436"/>
      <c r="AH133" s="436"/>
      <c r="AI133" s="436"/>
      <c r="AJ133" s="885"/>
      <c r="AK133" s="436"/>
      <c r="AL133" s="436"/>
      <c r="AM133" s="436"/>
      <c r="AN133" s="436">
        <v>5</v>
      </c>
      <c r="AO133" s="885">
        <v>5</v>
      </c>
      <c r="AP133" s="436"/>
      <c r="AQ133" s="886"/>
      <c r="AR133" s="855"/>
      <c r="AS133" s="855"/>
      <c r="AT133" s="870"/>
      <c r="AU133" s="855"/>
      <c r="AV133" s="855"/>
      <c r="AW133" s="855"/>
      <c r="AX133" s="855"/>
      <c r="AY133" s="870"/>
      <c r="AZ133" s="870"/>
      <c r="BA133" s="870"/>
      <c r="BB133" s="870"/>
      <c r="BC133" s="362"/>
    </row>
    <row r="134" spans="1:55" s="4" customFormat="1" hidden="1" outlineLevel="1">
      <c r="A134" s="402" t="s">
        <v>410</v>
      </c>
      <c r="B134" s="429"/>
      <c r="C134" s="858"/>
      <c r="D134" s="858"/>
      <c r="E134" s="858"/>
      <c r="F134" s="858"/>
      <c r="G134" s="402"/>
      <c r="H134" s="402"/>
      <c r="I134" s="402"/>
      <c r="J134" s="402"/>
      <c r="K134" s="858"/>
      <c r="L134" s="402"/>
      <c r="M134" s="402"/>
      <c r="N134" s="402"/>
      <c r="O134" s="402"/>
      <c r="P134" s="858"/>
      <c r="Q134" s="402"/>
      <c r="R134" s="402"/>
      <c r="S134" s="402"/>
      <c r="T134" s="402"/>
      <c r="U134" s="858"/>
      <c r="V134" s="402"/>
      <c r="W134" s="402"/>
      <c r="X134" s="402"/>
      <c r="Y134" s="402"/>
      <c r="Z134" s="858"/>
      <c r="AA134" s="402"/>
      <c r="AB134" s="402"/>
      <c r="AC134" s="402"/>
      <c r="AD134" s="402"/>
      <c r="AE134" s="858"/>
      <c r="AF134" s="402"/>
      <c r="AG134" s="402"/>
      <c r="AH134" s="402"/>
      <c r="AI134" s="402"/>
      <c r="AJ134" s="858"/>
      <c r="AK134" s="402">
        <f>SUM(AK129:AK133)</f>
        <v>16.106999999999985</v>
      </c>
      <c r="AL134" s="402">
        <f>SUM(AL129:AL133)</f>
        <v>6.3390000000000004</v>
      </c>
      <c r="AM134" s="402">
        <f>SUM(AM129:AM133)</f>
        <v>4.9000000000012145E-2</v>
      </c>
      <c r="AN134" s="402">
        <f>SUM(AN129:AN133)</f>
        <v>5.7779999999999632</v>
      </c>
      <c r="AO134" s="858">
        <f>SUM(AO129:AO133)</f>
        <v>29.616000000000057</v>
      </c>
      <c r="AP134" s="402"/>
      <c r="AQ134" s="891"/>
      <c r="AR134" s="902"/>
      <c r="AS134" s="902"/>
      <c r="AT134" s="903"/>
      <c r="AU134" s="902"/>
      <c r="AV134" s="902"/>
      <c r="AW134" s="902"/>
      <c r="AX134" s="902"/>
      <c r="AY134" s="903"/>
      <c r="AZ134" s="903"/>
      <c r="BA134" s="903"/>
      <c r="BB134" s="903"/>
      <c r="BC134" s="363"/>
    </row>
    <row r="135" spans="1:55" s="4" customFormat="1" hidden="1" outlineLevel="1">
      <c r="A135" s="418"/>
      <c r="B135" s="432"/>
      <c r="C135" s="852"/>
      <c r="D135" s="852"/>
      <c r="E135" s="852"/>
      <c r="F135" s="852"/>
      <c r="G135" s="418"/>
      <c r="H135" s="418"/>
      <c r="I135" s="418"/>
      <c r="J135" s="418"/>
      <c r="K135" s="852"/>
      <c r="L135" s="418"/>
      <c r="M135" s="418"/>
      <c r="N135" s="418"/>
      <c r="O135" s="418"/>
      <c r="P135" s="852"/>
      <c r="Q135" s="418"/>
      <c r="R135" s="418"/>
      <c r="S135" s="418"/>
      <c r="T135" s="418"/>
      <c r="U135" s="852"/>
      <c r="V135" s="418"/>
      <c r="W135" s="418"/>
      <c r="X135" s="418"/>
      <c r="Y135" s="418"/>
      <c r="Z135" s="852"/>
      <c r="AA135" s="418"/>
      <c r="AB135" s="418"/>
      <c r="AC135" s="418"/>
      <c r="AD135" s="418"/>
      <c r="AE135" s="852"/>
      <c r="AF135" s="418"/>
      <c r="AG135" s="418"/>
      <c r="AH135" s="418"/>
      <c r="AI135" s="418"/>
      <c r="AJ135" s="852"/>
      <c r="AK135" s="418"/>
      <c r="AL135" s="418"/>
      <c r="AM135" s="418"/>
      <c r="AN135" s="418"/>
      <c r="AO135" s="852"/>
      <c r="AP135" s="418"/>
      <c r="AQ135" s="895"/>
      <c r="AR135" s="896"/>
      <c r="AS135" s="896"/>
      <c r="AT135" s="897"/>
      <c r="AU135" s="896"/>
      <c r="AV135" s="896"/>
      <c r="AW135" s="896"/>
      <c r="AX135" s="896"/>
      <c r="AY135" s="897"/>
      <c r="AZ135" s="897"/>
      <c r="BA135" s="897"/>
      <c r="BB135" s="897"/>
      <c r="BC135" s="363"/>
    </row>
    <row r="136" spans="1:55" s="4" customFormat="1" hidden="1" outlineLevel="1">
      <c r="A136" s="403" t="s">
        <v>409</v>
      </c>
      <c r="B136" s="345"/>
      <c r="C136" s="852"/>
      <c r="D136" s="852"/>
      <c r="E136" s="852"/>
      <c r="F136" s="852"/>
      <c r="G136" s="418"/>
      <c r="H136" s="418"/>
      <c r="I136" s="418"/>
      <c r="J136" s="418"/>
      <c r="K136" s="852"/>
      <c r="L136" s="418"/>
      <c r="M136" s="418"/>
      <c r="N136" s="418"/>
      <c r="O136" s="418"/>
      <c r="P136" s="852"/>
      <c r="Q136" s="418"/>
      <c r="R136" s="418"/>
      <c r="S136" s="418"/>
      <c r="T136" s="418"/>
      <c r="U136" s="852"/>
      <c r="V136" s="418"/>
      <c r="W136" s="418"/>
      <c r="X136" s="418"/>
      <c r="Y136" s="418"/>
      <c r="Z136" s="852"/>
      <c r="AA136" s="418"/>
      <c r="AB136" s="418"/>
      <c r="AC136" s="418"/>
      <c r="AD136" s="418"/>
      <c r="AE136" s="852"/>
      <c r="AF136" s="418"/>
      <c r="AG136" s="418"/>
      <c r="AH136" s="418"/>
      <c r="AI136" s="418"/>
      <c r="AJ136" s="852"/>
      <c r="AK136" s="418">
        <f>AK114</f>
        <v>78.145999999999987</v>
      </c>
      <c r="AL136" s="418">
        <v>6.726</v>
      </c>
      <c r="AM136" s="418"/>
      <c r="AN136" s="418"/>
      <c r="AO136" s="852"/>
      <c r="AP136" s="418">
        <f>AP114</f>
        <v>-66.962999999999994</v>
      </c>
      <c r="AQ136" s="895">
        <v>-23.579000000000001</v>
      </c>
      <c r="AR136" s="896"/>
      <c r="AS136" s="896"/>
      <c r="AT136" s="897"/>
      <c r="AU136" s="896"/>
      <c r="AV136" s="896"/>
      <c r="AW136" s="896"/>
      <c r="AX136" s="896"/>
      <c r="AY136" s="897"/>
      <c r="AZ136" s="897"/>
      <c r="BA136" s="897"/>
      <c r="BB136" s="897"/>
      <c r="BC136" s="363"/>
    </row>
    <row r="137" spans="1:55" s="23" customFormat="1" hidden="1" outlineLevel="1">
      <c r="A137" s="434" t="s">
        <v>488</v>
      </c>
      <c r="B137" s="433"/>
      <c r="C137" s="885"/>
      <c r="D137" s="885"/>
      <c r="E137" s="885"/>
      <c r="F137" s="885"/>
      <c r="G137" s="436"/>
      <c r="H137" s="436"/>
      <c r="I137" s="436"/>
      <c r="J137" s="436"/>
      <c r="K137" s="885"/>
      <c r="L137" s="436"/>
      <c r="M137" s="436"/>
      <c r="N137" s="436"/>
      <c r="O137" s="436"/>
      <c r="P137" s="885"/>
      <c r="Q137" s="436"/>
      <c r="R137" s="436"/>
      <c r="S137" s="436"/>
      <c r="T137" s="436"/>
      <c r="U137" s="885"/>
      <c r="V137" s="436"/>
      <c r="W137" s="436"/>
      <c r="X137" s="436"/>
      <c r="Y137" s="436"/>
      <c r="Z137" s="885"/>
      <c r="AA137" s="436"/>
      <c r="AB137" s="436"/>
      <c r="AC137" s="436"/>
      <c r="AD137" s="436"/>
      <c r="AE137" s="885"/>
      <c r="AF137" s="436"/>
      <c r="AG137" s="436"/>
      <c r="AH137" s="436"/>
      <c r="AI137" s="436"/>
      <c r="AJ137" s="885"/>
      <c r="AK137" s="436">
        <v>1.804</v>
      </c>
      <c r="AL137" s="436">
        <v>1.2250000000000001</v>
      </c>
      <c r="AM137" s="436"/>
      <c r="AN137" s="436"/>
      <c r="AO137" s="885"/>
      <c r="AP137" s="436">
        <v>1.333</v>
      </c>
      <c r="AQ137" s="886">
        <v>1.9830000000000001</v>
      </c>
      <c r="AR137" s="855"/>
      <c r="AS137" s="855"/>
      <c r="AT137" s="870"/>
      <c r="AU137" s="855"/>
      <c r="AV137" s="855"/>
      <c r="AW137" s="855"/>
      <c r="AX137" s="855"/>
      <c r="AY137" s="870"/>
      <c r="AZ137" s="870"/>
      <c r="BA137" s="870"/>
      <c r="BB137" s="870"/>
      <c r="BC137" s="362"/>
    </row>
    <row r="138" spans="1:55" s="23" customFormat="1" hidden="1" outlineLevel="1">
      <c r="A138" s="434" t="s">
        <v>489</v>
      </c>
      <c r="B138" s="433"/>
      <c r="C138" s="885"/>
      <c r="D138" s="885"/>
      <c r="E138" s="885"/>
      <c r="F138" s="885"/>
      <c r="G138" s="436"/>
      <c r="H138" s="436"/>
      <c r="I138" s="436"/>
      <c r="J138" s="436"/>
      <c r="K138" s="885"/>
      <c r="L138" s="436"/>
      <c r="M138" s="436"/>
      <c r="N138" s="436"/>
      <c r="O138" s="436"/>
      <c r="P138" s="885"/>
      <c r="Q138" s="436"/>
      <c r="R138" s="436"/>
      <c r="S138" s="436"/>
      <c r="T138" s="436"/>
      <c r="U138" s="885"/>
      <c r="V138" s="436"/>
      <c r="W138" s="436"/>
      <c r="X138" s="436"/>
      <c r="Y138" s="436"/>
      <c r="Z138" s="885"/>
      <c r="AA138" s="436"/>
      <c r="AB138" s="436"/>
      <c r="AC138" s="436"/>
      <c r="AD138" s="436"/>
      <c r="AE138" s="885"/>
      <c r="AF138" s="436"/>
      <c r="AG138" s="436"/>
      <c r="AH138" s="436"/>
      <c r="AI138" s="436"/>
      <c r="AJ138" s="885"/>
      <c r="AK138" s="436">
        <v>22.849</v>
      </c>
      <c r="AL138" s="436">
        <v>2.1040000000000001</v>
      </c>
      <c r="AM138" s="436"/>
      <c r="AN138" s="436"/>
      <c r="AO138" s="885"/>
      <c r="AP138" s="436">
        <v>-2.3140000000000001</v>
      </c>
      <c r="AQ138" s="886">
        <v>-0.872</v>
      </c>
      <c r="AR138" s="855"/>
      <c r="AS138" s="855"/>
      <c r="AT138" s="870"/>
      <c r="AU138" s="855"/>
      <c r="AV138" s="855"/>
      <c r="AW138" s="855"/>
      <c r="AX138" s="855"/>
      <c r="AY138" s="870"/>
      <c r="AZ138" s="870"/>
      <c r="BA138" s="870"/>
      <c r="BB138" s="870"/>
      <c r="BC138" s="362"/>
    </row>
    <row r="139" spans="1:55" s="23" customFormat="1" hidden="1" outlineLevel="1">
      <c r="A139" s="434" t="s">
        <v>490</v>
      </c>
      <c r="B139" s="433"/>
      <c r="C139" s="885"/>
      <c r="D139" s="885"/>
      <c r="E139" s="885"/>
      <c r="F139" s="885"/>
      <c r="G139" s="436"/>
      <c r="H139" s="436"/>
      <c r="I139" s="436"/>
      <c r="J139" s="436"/>
      <c r="K139" s="885"/>
      <c r="L139" s="436"/>
      <c r="M139" s="436"/>
      <c r="N139" s="436"/>
      <c r="O139" s="436"/>
      <c r="P139" s="885"/>
      <c r="Q139" s="436"/>
      <c r="R139" s="436"/>
      <c r="S139" s="436"/>
      <c r="T139" s="436"/>
      <c r="U139" s="885"/>
      <c r="V139" s="436"/>
      <c r="W139" s="436"/>
      <c r="X139" s="436"/>
      <c r="Y139" s="436"/>
      <c r="Z139" s="885"/>
      <c r="AA139" s="436"/>
      <c r="AB139" s="436"/>
      <c r="AC139" s="436"/>
      <c r="AD139" s="436"/>
      <c r="AE139" s="885"/>
      <c r="AF139" s="436"/>
      <c r="AG139" s="436"/>
      <c r="AH139" s="436"/>
      <c r="AI139" s="436"/>
      <c r="AJ139" s="885"/>
      <c r="AK139" s="436">
        <v>8.0760000000000005</v>
      </c>
      <c r="AL139" s="436">
        <v>7.9039999999999999</v>
      </c>
      <c r="AM139" s="436"/>
      <c r="AN139" s="436"/>
      <c r="AO139" s="885"/>
      <c r="AP139" s="436">
        <v>7.9710000000000001</v>
      </c>
      <c r="AQ139" s="886">
        <v>8.0809999999999995</v>
      </c>
      <c r="AR139" s="855"/>
      <c r="AS139" s="855"/>
      <c r="AT139" s="870"/>
      <c r="AU139" s="855"/>
      <c r="AV139" s="855"/>
      <c r="AW139" s="855"/>
      <c r="AX139" s="855"/>
      <c r="AY139" s="870"/>
      <c r="AZ139" s="870"/>
      <c r="BA139" s="870"/>
      <c r="BB139" s="870"/>
      <c r="BC139" s="362"/>
    </row>
    <row r="140" spans="1:55" s="23" customFormat="1" hidden="1" outlineLevel="1">
      <c r="A140" s="434" t="s">
        <v>491</v>
      </c>
      <c r="B140" s="433"/>
      <c r="C140" s="885"/>
      <c r="D140" s="885"/>
      <c r="E140" s="885"/>
      <c r="F140" s="885"/>
      <c r="G140" s="436"/>
      <c r="H140" s="436"/>
      <c r="I140" s="436"/>
      <c r="J140" s="436"/>
      <c r="K140" s="885"/>
      <c r="L140" s="436"/>
      <c r="M140" s="436"/>
      <c r="N140" s="436"/>
      <c r="O140" s="436"/>
      <c r="P140" s="885"/>
      <c r="Q140" s="436"/>
      <c r="R140" s="436"/>
      <c r="S140" s="436"/>
      <c r="T140" s="436"/>
      <c r="U140" s="885"/>
      <c r="V140" s="436"/>
      <c r="W140" s="436"/>
      <c r="X140" s="436"/>
      <c r="Y140" s="436"/>
      <c r="Z140" s="885"/>
      <c r="AA140" s="436"/>
      <c r="AB140" s="436"/>
      <c r="AC140" s="436"/>
      <c r="AD140" s="436"/>
      <c r="AE140" s="885"/>
      <c r="AF140" s="436"/>
      <c r="AG140" s="436"/>
      <c r="AH140" s="436"/>
      <c r="AI140" s="436"/>
      <c r="AJ140" s="885"/>
      <c r="AK140" s="436">
        <v>1.1930000000000001</v>
      </c>
      <c r="AL140" s="436">
        <v>0.95199999999999996</v>
      </c>
      <c r="AM140" s="436"/>
      <c r="AN140" s="436"/>
      <c r="AO140" s="885"/>
      <c r="AP140" s="436">
        <v>1.7030000000000001</v>
      </c>
      <c r="AQ140" s="886">
        <v>1.103</v>
      </c>
      <c r="AR140" s="855"/>
      <c r="AS140" s="855"/>
      <c r="AT140" s="870"/>
      <c r="AU140" s="855"/>
      <c r="AV140" s="855"/>
      <c r="AW140" s="855"/>
      <c r="AX140" s="855"/>
      <c r="AY140" s="870"/>
      <c r="AZ140" s="870"/>
      <c r="BA140" s="870"/>
      <c r="BB140" s="870"/>
      <c r="BC140" s="362"/>
    </row>
    <row r="141" spans="1:55" s="23" customFormat="1" hidden="1" outlineLevel="1">
      <c r="A141" s="434" t="s">
        <v>492</v>
      </c>
      <c r="B141" s="433"/>
      <c r="C141" s="885"/>
      <c r="D141" s="885"/>
      <c r="E141" s="885"/>
      <c r="F141" s="885"/>
      <c r="G141" s="436"/>
      <c r="H141" s="436"/>
      <c r="I141" s="436"/>
      <c r="J141" s="436"/>
      <c r="K141" s="885"/>
      <c r="L141" s="436"/>
      <c r="M141" s="436"/>
      <c r="N141" s="436"/>
      <c r="O141" s="436"/>
      <c r="P141" s="885"/>
      <c r="Q141" s="436"/>
      <c r="R141" s="436"/>
      <c r="S141" s="436"/>
      <c r="T141" s="436"/>
      <c r="U141" s="885"/>
      <c r="V141" s="436"/>
      <c r="W141" s="436"/>
      <c r="X141" s="436"/>
      <c r="Y141" s="436"/>
      <c r="Z141" s="885"/>
      <c r="AA141" s="436"/>
      <c r="AB141" s="436"/>
      <c r="AC141" s="436"/>
      <c r="AD141" s="436"/>
      <c r="AE141" s="885"/>
      <c r="AF141" s="436"/>
      <c r="AG141" s="436"/>
      <c r="AH141" s="436"/>
      <c r="AI141" s="436"/>
      <c r="AJ141" s="885"/>
      <c r="AK141" s="436">
        <v>0</v>
      </c>
      <c r="AL141" s="436"/>
      <c r="AM141" s="436"/>
      <c r="AN141" s="436"/>
      <c r="AO141" s="885"/>
      <c r="AP141" s="436">
        <v>74.408000000000001</v>
      </c>
      <c r="AQ141" s="886">
        <v>12.608000000000001</v>
      </c>
      <c r="AR141" s="855"/>
      <c r="AS141" s="855"/>
      <c r="AT141" s="870"/>
      <c r="AU141" s="855"/>
      <c r="AV141" s="855"/>
      <c r="AW141" s="855"/>
      <c r="AX141" s="855"/>
      <c r="AY141" s="870"/>
      <c r="AZ141" s="870"/>
      <c r="BA141" s="870"/>
      <c r="BB141" s="870"/>
      <c r="BC141" s="362"/>
    </row>
    <row r="142" spans="1:55" s="23" customFormat="1" hidden="1" outlineLevel="1">
      <c r="A142" s="434" t="s">
        <v>501</v>
      </c>
      <c r="B142" s="1026"/>
      <c r="C142" s="1027"/>
      <c r="D142" s="885"/>
      <c r="E142" s="885"/>
      <c r="F142" s="885"/>
      <c r="G142" s="436"/>
      <c r="H142" s="436"/>
      <c r="I142" s="436"/>
      <c r="J142" s="436"/>
      <c r="K142" s="885"/>
      <c r="L142" s="436"/>
      <c r="M142" s="436"/>
      <c r="N142" s="436"/>
      <c r="O142" s="436"/>
      <c r="P142" s="885"/>
      <c r="Q142" s="436"/>
      <c r="R142" s="436"/>
      <c r="S142" s="436"/>
      <c r="T142" s="436"/>
      <c r="U142" s="885"/>
      <c r="V142" s="436"/>
      <c r="W142" s="436"/>
      <c r="X142" s="436"/>
      <c r="Y142" s="436"/>
      <c r="Z142" s="885"/>
      <c r="AA142" s="436"/>
      <c r="AB142" s="436"/>
      <c r="AC142" s="436"/>
      <c r="AD142" s="436"/>
      <c r="AE142" s="885"/>
      <c r="AF142" s="436"/>
      <c r="AG142" s="436"/>
      <c r="AH142" s="436"/>
      <c r="AI142" s="436"/>
      <c r="AJ142" s="885"/>
      <c r="AK142" s="436"/>
      <c r="AL142" s="436">
        <v>2.2109999999999999</v>
      </c>
      <c r="AM142" s="436"/>
      <c r="AN142" s="436"/>
      <c r="AO142" s="885"/>
      <c r="AP142" s="436"/>
      <c r="AQ142" s="886">
        <v>4.8899999999999997</v>
      </c>
      <c r="AR142" s="855"/>
      <c r="AS142" s="855"/>
      <c r="AT142" s="870"/>
      <c r="AU142" s="855"/>
      <c r="AV142" s="855"/>
      <c r="AW142" s="855"/>
      <c r="AX142" s="855"/>
      <c r="AY142" s="870"/>
      <c r="AZ142" s="870"/>
      <c r="BA142" s="870"/>
      <c r="BB142" s="870"/>
      <c r="BC142" s="362"/>
    </row>
    <row r="143" spans="1:55" s="23" customFormat="1" hidden="1" outlineLevel="1">
      <c r="A143" s="434" t="s">
        <v>502</v>
      </c>
      <c r="B143" s="513"/>
      <c r="C143" s="579"/>
      <c r="D143" s="885"/>
      <c r="E143" s="885"/>
      <c r="F143" s="885"/>
      <c r="G143" s="436"/>
      <c r="H143" s="436"/>
      <c r="I143" s="436"/>
      <c r="J143" s="436"/>
      <c r="K143" s="885"/>
      <c r="L143" s="436"/>
      <c r="M143" s="436"/>
      <c r="N143" s="436"/>
      <c r="O143" s="436"/>
      <c r="P143" s="885"/>
      <c r="Q143" s="436"/>
      <c r="R143" s="436"/>
      <c r="S143" s="436"/>
      <c r="T143" s="436"/>
      <c r="U143" s="885"/>
      <c r="V143" s="436"/>
      <c r="W143" s="436"/>
      <c r="X143" s="436"/>
      <c r="Y143" s="436"/>
      <c r="Z143" s="885"/>
      <c r="AA143" s="436"/>
      <c r="AB143" s="436"/>
      <c r="AC143" s="436"/>
      <c r="AD143" s="436"/>
      <c r="AE143" s="885"/>
      <c r="AF143" s="436"/>
      <c r="AG143" s="436"/>
      <c r="AH143" s="436"/>
      <c r="AI143" s="436"/>
      <c r="AJ143" s="885"/>
      <c r="AK143" s="436"/>
      <c r="AL143" s="436"/>
      <c r="AM143" s="436"/>
      <c r="AN143" s="436"/>
      <c r="AO143" s="885"/>
      <c r="AP143" s="436"/>
      <c r="AQ143" s="886">
        <v>1.45</v>
      </c>
      <c r="AR143" s="855"/>
      <c r="AS143" s="855"/>
      <c r="AT143" s="870"/>
      <c r="AU143" s="855"/>
      <c r="AV143" s="855"/>
      <c r="AW143" s="855"/>
      <c r="AX143" s="855"/>
      <c r="AY143" s="870"/>
      <c r="AZ143" s="870"/>
      <c r="BA143" s="870"/>
      <c r="BB143" s="870"/>
      <c r="BC143" s="362"/>
    </row>
    <row r="144" spans="1:55" s="23" customFormat="1" hidden="1" outlineLevel="1">
      <c r="A144" s="434" t="s">
        <v>493</v>
      </c>
      <c r="B144" s="433"/>
      <c r="C144" s="885"/>
      <c r="D144" s="885"/>
      <c r="E144" s="885"/>
      <c r="F144" s="885"/>
      <c r="G144" s="436"/>
      <c r="H144" s="436"/>
      <c r="I144" s="436"/>
      <c r="J144" s="436"/>
      <c r="K144" s="885"/>
      <c r="L144" s="436"/>
      <c r="M144" s="436"/>
      <c r="N144" s="436"/>
      <c r="O144" s="436"/>
      <c r="P144" s="885"/>
      <c r="Q144" s="436"/>
      <c r="R144" s="436"/>
      <c r="S144" s="436"/>
      <c r="T144" s="436"/>
      <c r="U144" s="885"/>
      <c r="V144" s="436"/>
      <c r="W144" s="436"/>
      <c r="X144" s="436"/>
      <c r="Y144" s="436"/>
      <c r="Z144" s="885"/>
      <c r="AA144" s="436"/>
      <c r="AB144" s="436"/>
      <c r="AC144" s="436"/>
      <c r="AD144" s="436"/>
      <c r="AE144" s="885"/>
      <c r="AF144" s="436"/>
      <c r="AG144" s="436"/>
      <c r="AH144" s="436"/>
      <c r="AI144" s="436"/>
      <c r="AJ144" s="885"/>
      <c r="AK144" s="436">
        <v>0</v>
      </c>
      <c r="AL144" s="436"/>
      <c r="AM144" s="436"/>
      <c r="AN144" s="436"/>
      <c r="AO144" s="885"/>
      <c r="AP144" s="436">
        <v>0.107</v>
      </c>
      <c r="AQ144" s="886">
        <v>3.4929999999999999</v>
      </c>
      <c r="AR144" s="855"/>
      <c r="AS144" s="855"/>
      <c r="AT144" s="870"/>
      <c r="AU144" s="855"/>
      <c r="AV144" s="855"/>
      <c r="AW144" s="855"/>
      <c r="AX144" s="855"/>
      <c r="AY144" s="870"/>
      <c r="AZ144" s="870"/>
      <c r="BA144" s="870"/>
      <c r="BB144" s="870"/>
      <c r="BC144" s="362"/>
    </row>
    <row r="145" spans="1:55" s="23" customFormat="1" hidden="1" outlineLevel="1">
      <c r="A145" s="404" t="s">
        <v>494</v>
      </c>
      <c r="B145" s="435"/>
      <c r="C145" s="887"/>
      <c r="D145" s="887"/>
      <c r="E145" s="887"/>
      <c r="F145" s="887"/>
      <c r="G145" s="888"/>
      <c r="H145" s="888"/>
      <c r="I145" s="888"/>
      <c r="J145" s="888"/>
      <c r="K145" s="887"/>
      <c r="L145" s="888"/>
      <c r="M145" s="888"/>
      <c r="N145" s="888"/>
      <c r="O145" s="888"/>
      <c r="P145" s="887"/>
      <c r="Q145" s="888"/>
      <c r="R145" s="888"/>
      <c r="S145" s="888"/>
      <c r="T145" s="888"/>
      <c r="U145" s="887"/>
      <c r="V145" s="888"/>
      <c r="W145" s="888"/>
      <c r="X145" s="888"/>
      <c r="Y145" s="888"/>
      <c r="Z145" s="887"/>
      <c r="AA145" s="888"/>
      <c r="AB145" s="888"/>
      <c r="AC145" s="888"/>
      <c r="AD145" s="888"/>
      <c r="AE145" s="887"/>
      <c r="AF145" s="888"/>
      <c r="AG145" s="888"/>
      <c r="AH145" s="888"/>
      <c r="AI145" s="888"/>
      <c r="AJ145" s="887"/>
      <c r="AK145" s="888">
        <v>-80.132999999999996</v>
      </c>
      <c r="AL145" s="888"/>
      <c r="AM145" s="888"/>
      <c r="AN145" s="888"/>
      <c r="AO145" s="887"/>
      <c r="AP145" s="888">
        <v>0</v>
      </c>
      <c r="AQ145" s="889"/>
      <c r="AR145" s="890"/>
      <c r="AS145" s="890"/>
      <c r="AT145" s="872"/>
      <c r="AU145" s="890"/>
      <c r="AV145" s="890"/>
      <c r="AW145" s="890"/>
      <c r="AX145" s="890"/>
      <c r="AY145" s="872"/>
      <c r="AZ145" s="872"/>
      <c r="BA145" s="872"/>
      <c r="BB145" s="872"/>
      <c r="BC145" s="362"/>
    </row>
    <row r="146" spans="1:55" s="4" customFormat="1" hidden="1" outlineLevel="1">
      <c r="A146" s="418" t="s">
        <v>266</v>
      </c>
      <c r="B146" s="432"/>
      <c r="C146" s="852"/>
      <c r="D146" s="852"/>
      <c r="E146" s="852"/>
      <c r="F146" s="852"/>
      <c r="G146" s="418"/>
      <c r="H146" s="418"/>
      <c r="I146" s="418"/>
      <c r="J146" s="418"/>
      <c r="K146" s="852"/>
      <c r="L146" s="418"/>
      <c r="M146" s="418"/>
      <c r="N146" s="418"/>
      <c r="O146" s="418"/>
      <c r="P146" s="852"/>
      <c r="Q146" s="418"/>
      <c r="R146" s="418"/>
      <c r="S146" s="418"/>
      <c r="T146" s="418"/>
      <c r="U146" s="852"/>
      <c r="V146" s="418"/>
      <c r="W146" s="418"/>
      <c r="X146" s="418"/>
      <c r="Y146" s="418"/>
      <c r="Z146" s="852"/>
      <c r="AA146" s="418"/>
      <c r="AB146" s="418"/>
      <c r="AC146" s="418"/>
      <c r="AD146" s="418"/>
      <c r="AE146" s="852"/>
      <c r="AF146" s="418"/>
      <c r="AG146" s="418"/>
      <c r="AH146" s="418"/>
      <c r="AI146" s="418"/>
      <c r="AJ146" s="852"/>
      <c r="AK146" s="418">
        <f>SUM(AK136:AK145)</f>
        <v>31.935000000000002</v>
      </c>
      <c r="AL146" s="418">
        <f>SUM(AL136:AL145)</f>
        <v>21.122</v>
      </c>
      <c r="AM146" s="418"/>
      <c r="AN146" s="418"/>
      <c r="AO146" s="852"/>
      <c r="AP146" s="418">
        <f>SUM(AP136:AP145)</f>
        <v>16.245000000000019</v>
      </c>
      <c r="AQ146" s="895">
        <f>SUM(AQ136:AQ145)</f>
        <v>9.157</v>
      </c>
      <c r="AR146" s="896"/>
      <c r="AS146" s="896"/>
      <c r="AT146" s="897"/>
      <c r="AU146" s="896"/>
      <c r="AV146" s="896"/>
      <c r="AW146" s="896"/>
      <c r="AX146" s="896"/>
      <c r="AY146" s="897"/>
      <c r="AZ146" s="897"/>
      <c r="BA146" s="897"/>
      <c r="BB146" s="897"/>
      <c r="BC146" s="363"/>
    </row>
    <row r="147" spans="1:55" s="23" customFormat="1" ht="14.45" customHeight="1" collapsed="1">
      <c r="A147" s="436"/>
      <c r="B147" s="132"/>
      <c r="C147" s="885"/>
      <c r="D147" s="885"/>
      <c r="E147" s="885"/>
      <c r="F147" s="885"/>
      <c r="G147" s="436"/>
      <c r="H147" s="436"/>
      <c r="I147" s="436"/>
      <c r="J147" s="436"/>
      <c r="K147" s="885"/>
      <c r="L147" s="436"/>
      <c r="M147" s="436"/>
      <c r="N147" s="436"/>
      <c r="O147" s="436"/>
      <c r="P147" s="885"/>
      <c r="Q147" s="436"/>
      <c r="R147" s="436"/>
      <c r="S147" s="436"/>
      <c r="T147" s="436"/>
      <c r="U147" s="885"/>
      <c r="V147" s="436"/>
      <c r="W147" s="436"/>
      <c r="X147" s="436"/>
      <c r="Y147" s="436"/>
      <c r="Z147" s="885"/>
      <c r="AA147" s="436"/>
      <c r="AB147" s="436"/>
      <c r="AC147" s="436"/>
      <c r="AD147" s="436"/>
      <c r="AE147" s="885"/>
      <c r="AF147" s="436"/>
      <c r="AG147" s="436"/>
      <c r="AH147" s="436"/>
      <c r="AI147" s="436"/>
      <c r="AJ147" s="885"/>
      <c r="AK147" s="436"/>
      <c r="AL147" s="436"/>
      <c r="AM147" s="436"/>
      <c r="AN147" s="436"/>
      <c r="AO147" s="885"/>
      <c r="AP147" s="436"/>
      <c r="AQ147" s="886"/>
      <c r="AR147" s="855"/>
      <c r="AS147" s="855"/>
      <c r="AT147" s="870"/>
      <c r="AU147" s="855"/>
      <c r="AV147" s="855"/>
      <c r="AW147" s="855"/>
      <c r="AX147" s="855"/>
      <c r="AY147" s="870"/>
      <c r="AZ147" s="870"/>
      <c r="BA147" s="870"/>
      <c r="BB147" s="870"/>
      <c r="BC147" s="362"/>
    </row>
    <row r="148" spans="1:55" s="4" customFormat="1" ht="14.45" customHeight="1">
      <c r="A148" s="514" t="s">
        <v>82</v>
      </c>
      <c r="B148" s="514"/>
      <c r="C148" s="883"/>
      <c r="D148" s="883"/>
      <c r="E148" s="883"/>
      <c r="F148" s="883"/>
      <c r="G148" s="883"/>
      <c r="H148" s="883"/>
      <c r="I148" s="883"/>
      <c r="J148" s="883"/>
      <c r="K148" s="883"/>
      <c r="L148" s="883"/>
      <c r="M148" s="883"/>
      <c r="N148" s="883"/>
      <c r="O148" s="883"/>
      <c r="P148" s="883"/>
      <c r="Q148" s="883"/>
      <c r="R148" s="883"/>
      <c r="S148" s="883"/>
      <c r="T148" s="883"/>
      <c r="U148" s="883"/>
      <c r="V148" s="883"/>
      <c r="W148" s="883"/>
      <c r="X148" s="883"/>
      <c r="Y148" s="883"/>
      <c r="Z148" s="883"/>
      <c r="AA148" s="883"/>
      <c r="AB148" s="883"/>
      <c r="AC148" s="883"/>
      <c r="AD148" s="883"/>
      <c r="AE148" s="883"/>
      <c r="AF148" s="883"/>
      <c r="AG148" s="883"/>
      <c r="AH148" s="883"/>
      <c r="AI148" s="883"/>
      <c r="AJ148" s="883"/>
      <c r="AK148" s="883"/>
      <c r="AL148" s="883"/>
      <c r="AM148" s="883"/>
      <c r="AN148" s="883"/>
      <c r="AO148" s="883"/>
      <c r="AP148" s="883"/>
      <c r="AQ148" s="884"/>
      <c r="AR148" s="883"/>
      <c r="AS148" s="883"/>
      <c r="AT148" s="883"/>
      <c r="AU148" s="883"/>
      <c r="AV148" s="883"/>
      <c r="AW148" s="883"/>
      <c r="AX148" s="883"/>
      <c r="AY148" s="883"/>
      <c r="AZ148" s="883"/>
      <c r="BA148" s="883"/>
      <c r="BB148" s="883"/>
      <c r="BC148" s="363"/>
    </row>
    <row r="149" spans="1:55" s="4" customFormat="1" ht="14.45" customHeight="1">
      <c r="A149" s="403" t="s">
        <v>10</v>
      </c>
      <c r="B149" s="345"/>
      <c r="C149" s="852">
        <f t="shared" ref="C149:AQ149" si="64">C102</f>
        <v>191.20099999999999</v>
      </c>
      <c r="D149" s="852">
        <f t="shared" si="64"/>
        <v>195.75399999999999</v>
      </c>
      <c r="E149" s="852">
        <f t="shared" si="64"/>
        <v>228.16300000000001</v>
      </c>
      <c r="F149" s="852">
        <f t="shared" si="64"/>
        <v>266.44600000000003</v>
      </c>
      <c r="G149" s="418">
        <f t="shared" si="64"/>
        <v>73.966999999999999</v>
      </c>
      <c r="H149" s="418">
        <f t="shared" si="64"/>
        <v>70.832999999999998</v>
      </c>
      <c r="I149" s="418">
        <f t="shared" si="64"/>
        <v>89.680999999999997</v>
      </c>
      <c r="J149" s="418">
        <f t="shared" si="64"/>
        <v>105.45600000000002</v>
      </c>
      <c r="K149" s="852">
        <f t="shared" si="64"/>
        <v>339.93700000000001</v>
      </c>
      <c r="L149" s="418">
        <f t="shared" si="64"/>
        <v>140.95099999999999</v>
      </c>
      <c r="M149" s="418">
        <f t="shared" si="64"/>
        <v>174.56299999999999</v>
      </c>
      <c r="N149" s="418">
        <f t="shared" si="64"/>
        <v>179.44200000000001</v>
      </c>
      <c r="O149" s="418">
        <f t="shared" si="64"/>
        <v>166.08299999999997</v>
      </c>
      <c r="P149" s="852">
        <f t="shared" si="64"/>
        <v>661.03899999999999</v>
      </c>
      <c r="Q149" s="418">
        <f t="shared" si="64"/>
        <v>161.63800000000001</v>
      </c>
      <c r="R149" s="418">
        <f t="shared" si="64"/>
        <v>173.15600000000001</v>
      </c>
      <c r="S149" s="418">
        <f t="shared" si="64"/>
        <v>200.14500000000001</v>
      </c>
      <c r="T149" s="418">
        <f t="shared" si="64"/>
        <v>157.34000000000003</v>
      </c>
      <c r="U149" s="852">
        <f t="shared" si="64"/>
        <v>692.279</v>
      </c>
      <c r="V149" s="418">
        <f t="shared" si="64"/>
        <v>159.53</v>
      </c>
      <c r="W149" s="418">
        <f t="shared" si="64"/>
        <v>164.42599999999999</v>
      </c>
      <c r="X149" s="418">
        <f t="shared" si="64"/>
        <v>155.09899999999999</v>
      </c>
      <c r="Y149" s="418">
        <f t="shared" si="64"/>
        <v>154.06800000000004</v>
      </c>
      <c r="Z149" s="852">
        <f t="shared" si="64"/>
        <v>633.12300000000005</v>
      </c>
      <c r="AA149" s="418">
        <f t="shared" si="64"/>
        <v>152.39599999999999</v>
      </c>
      <c r="AB149" s="418">
        <f t="shared" si="64"/>
        <v>151.114</v>
      </c>
      <c r="AC149" s="418">
        <f t="shared" si="64"/>
        <v>149.636</v>
      </c>
      <c r="AD149" s="418">
        <f t="shared" si="64"/>
        <v>171.3180000000001</v>
      </c>
      <c r="AE149" s="852">
        <f t="shared" si="64"/>
        <v>624.46400000000006</v>
      </c>
      <c r="AF149" s="418">
        <f t="shared" si="64"/>
        <v>179.059</v>
      </c>
      <c r="AG149" s="418">
        <f t="shared" si="64"/>
        <v>208.60599999999999</v>
      </c>
      <c r="AH149" s="418">
        <f t="shared" si="64"/>
        <v>212.67400000000001</v>
      </c>
      <c r="AI149" s="418">
        <f t="shared" si="64"/>
        <v>202.91700000000003</v>
      </c>
      <c r="AJ149" s="852">
        <f t="shared" si="64"/>
        <v>803.25599999999997</v>
      </c>
      <c r="AK149" s="418">
        <f t="shared" si="64"/>
        <v>208.17400000000001</v>
      </c>
      <c r="AL149" s="418">
        <f t="shared" si="64"/>
        <v>189.09800000000001</v>
      </c>
      <c r="AM149" s="418">
        <f t="shared" si="64"/>
        <v>177.018</v>
      </c>
      <c r="AN149" s="418">
        <f t="shared" si="64"/>
        <v>198.41199999999992</v>
      </c>
      <c r="AO149" s="852">
        <f t="shared" si="64"/>
        <v>772.702</v>
      </c>
      <c r="AP149" s="418">
        <f t="shared" si="64"/>
        <v>157.584</v>
      </c>
      <c r="AQ149" s="895">
        <f t="shared" si="64"/>
        <v>123.694</v>
      </c>
      <c r="AR149" s="418">
        <f>AR26</f>
        <v>109.96000000000001</v>
      </c>
      <c r="AS149" s="418">
        <f>AS26</f>
        <v>151.09199999999998</v>
      </c>
      <c r="AT149" s="852">
        <f>SUM(AP149,AQ149,AR149,AS149)</f>
        <v>542.33000000000004</v>
      </c>
      <c r="AU149" s="418">
        <f>AU26</f>
        <v>177.40920000000003</v>
      </c>
      <c r="AV149" s="418">
        <f>AV26</f>
        <v>214.93906000000004</v>
      </c>
      <c r="AW149" s="418">
        <f>AW26</f>
        <v>209.916033</v>
      </c>
      <c r="AX149" s="418">
        <f>AX26</f>
        <v>189.18265989999998</v>
      </c>
      <c r="AY149" s="852">
        <f>SUM(AU149,AV149,AW149,AX149)</f>
        <v>791.44695290000004</v>
      </c>
      <c r="AZ149" s="852">
        <f>AZ26</f>
        <v>769.62542075999966</v>
      </c>
      <c r="BA149" s="852">
        <f>BA26</f>
        <v>1084.9218166720004</v>
      </c>
      <c r="BB149" s="852">
        <f>BB26</f>
        <v>596.07813661439934</v>
      </c>
      <c r="BC149" s="363"/>
    </row>
    <row r="150" spans="1:55" s="80" customFormat="1" ht="14.45" customHeight="1">
      <c r="A150" s="560" t="str">
        <f>CONCATENATE("Consensus Estimates - ",IFERROR(LEFT(A149,FIND("(",A149)-1),A149))</f>
        <v>Consensus Estimates - Net Revenue</v>
      </c>
      <c r="B150" s="561"/>
      <c r="C150" s="918"/>
      <c r="D150" s="918"/>
      <c r="E150" s="918"/>
      <c r="F150" s="918"/>
      <c r="G150" s="919"/>
      <c r="H150" s="919"/>
      <c r="I150" s="919"/>
      <c r="J150" s="919"/>
      <c r="K150" s="918"/>
      <c r="L150" s="919"/>
      <c r="M150" s="919"/>
      <c r="N150" s="919"/>
      <c r="O150" s="919"/>
      <c r="P150" s="918"/>
      <c r="Q150" s="919"/>
      <c r="R150" s="919"/>
      <c r="S150" s="919"/>
      <c r="T150" s="919"/>
      <c r="U150" s="918"/>
      <c r="V150" s="919"/>
      <c r="W150" s="919"/>
      <c r="X150" s="919"/>
      <c r="Y150" s="919"/>
      <c r="Z150" s="918"/>
      <c r="AA150" s="919"/>
      <c r="AB150" s="919"/>
      <c r="AC150" s="919"/>
      <c r="AD150" s="919"/>
      <c r="AE150" s="918"/>
      <c r="AF150" s="919"/>
      <c r="AG150" s="919"/>
      <c r="AH150" s="919"/>
      <c r="AI150" s="919"/>
      <c r="AJ150" s="918"/>
      <c r="AK150" s="919"/>
      <c r="AL150" s="919"/>
      <c r="AM150" s="919"/>
      <c r="AN150" s="919"/>
      <c r="AO150" s="918"/>
      <c r="AP150" s="919"/>
      <c r="AQ150" s="920"/>
      <c r="AR150" s="919" t="str">
        <f ca="1">IFERROR(VLOOKUP(A150,tb_ConsensusEstimate,MATCH(AR5,OFFSET(tb_ConsensusEstimate,0,0,1,COLUMNS(tb_ConsensusEstimate)),0),FALSE),"-")</f>
        <v>N/A</v>
      </c>
      <c r="AS150" s="919" t="str">
        <f ca="1">IFERROR(VLOOKUP(A150,tb_ConsensusEstimate,MATCH(AS5,OFFSET(tb_ConsensusEstimate,0,0,1,COLUMNS(tb_ConsensusEstimate)),0),FALSE),"-")</f>
        <v>N/A</v>
      </c>
      <c r="AT150" s="918" t="str">
        <f ca="1">IFERROR(VLOOKUP(A150,tb_ConsensusEstimate,MATCH(AT5,OFFSET(tb_ConsensusEstimate,0,0,1,COLUMNS(tb_ConsensusEstimate)),0),FALSE),"-")</f>
        <v>N/A</v>
      </c>
      <c r="AU150" s="919" t="str">
        <f ca="1">IFERROR(VLOOKUP(A150,tb_ConsensusEstimate,MATCH(AU5,OFFSET(tb_ConsensusEstimate,0,0,1,COLUMNS(tb_ConsensusEstimate)),0),FALSE),"-")</f>
        <v>N/A</v>
      </c>
      <c r="AV150" s="919" t="str">
        <f ca="1">IFERROR(VLOOKUP(A150,tb_ConsensusEstimate,MATCH(AV5,OFFSET(tb_ConsensusEstimate,0,0,1,COLUMNS(tb_ConsensusEstimate)),0),FALSE),"-")</f>
        <v>N/A</v>
      </c>
      <c r="AW150" s="919" t="str">
        <f ca="1">IFERROR(VLOOKUP(A150,tb_ConsensusEstimate,MATCH(AW5,OFFSET(tb_ConsensusEstimate,0,0,1,COLUMNS(tb_ConsensusEstimate)),0),FALSE),"-")</f>
        <v>N/A</v>
      </c>
      <c r="AX150" s="919" t="str">
        <f ca="1">IFERROR(VLOOKUP(A150,tb_ConsensusEstimate,MATCH(AX5,OFFSET(tb_ConsensusEstimate,0,0,1,COLUMNS(tb_ConsensusEstimate)),0),FALSE),"-")</f>
        <v>N/A</v>
      </c>
      <c r="AY150" s="918" t="str">
        <f ca="1">IFERROR(VLOOKUP(A150,tb_ConsensusEstimate,MATCH(AY5,OFFSET(tb_ConsensusEstimate,0,0,1,COLUMNS(tb_ConsensusEstimate)),0),FALSE),"-")</f>
        <v>N/A</v>
      </c>
      <c r="AZ150" s="918" t="str">
        <f ca="1">IFERROR(VLOOKUP(A150,tb_ConsensusEstimate,MATCH(AZ5,OFFSET(tb_ConsensusEstimate,0,0,1,COLUMNS(tb_ConsensusEstimate)),0),FALSE),"-")</f>
        <v>N/A</v>
      </c>
      <c r="BA150" s="918" t="str">
        <f ca="1">IFERROR(VLOOKUP(A150,tb_ConsensusEstimate,MATCH(BA5,OFFSET(tb_ConsensusEstimate,0,0,1,COLUMNS(tb_ConsensusEstimate)),0),FALSE),"-")</f>
        <v>N/A</v>
      </c>
      <c r="BB150" s="918" t="str">
        <f ca="1">IFERROR(VLOOKUP(A150,tb_ConsensusEstimate,MATCH(BB5,OFFSET(tb_ConsensusEstimate,0,0,1,COLUMNS(tb_ConsensusEstimate)),0),FALSE),"-")</f>
        <v>N/A</v>
      </c>
      <c r="BC150" s="519"/>
    </row>
    <row r="151" spans="1:55" s="4" customFormat="1" ht="14.45" customHeight="1">
      <c r="A151" s="403"/>
      <c r="B151" s="345"/>
      <c r="C151" s="852"/>
      <c r="D151" s="852"/>
      <c r="E151" s="852"/>
      <c r="F151" s="852"/>
      <c r="G151" s="418"/>
      <c r="H151" s="418"/>
      <c r="I151" s="418"/>
      <c r="J151" s="418"/>
      <c r="K151" s="852"/>
      <c r="L151" s="418"/>
      <c r="M151" s="418"/>
      <c r="N151" s="418"/>
      <c r="O151" s="418"/>
      <c r="P151" s="852"/>
      <c r="Q151" s="418"/>
      <c r="R151" s="418"/>
      <c r="S151" s="418"/>
      <c r="T151" s="418"/>
      <c r="U151" s="852"/>
      <c r="V151" s="418"/>
      <c r="W151" s="418"/>
      <c r="X151" s="418"/>
      <c r="Y151" s="418"/>
      <c r="Z151" s="852"/>
      <c r="AA151" s="418"/>
      <c r="AB151" s="418"/>
      <c r="AC151" s="418"/>
      <c r="AD151" s="418"/>
      <c r="AE151" s="852"/>
      <c r="AF151" s="418"/>
      <c r="AG151" s="418"/>
      <c r="AH151" s="418"/>
      <c r="AI151" s="418"/>
      <c r="AJ151" s="852"/>
      <c r="AK151" s="418"/>
      <c r="AL151" s="418"/>
      <c r="AM151" s="418"/>
      <c r="AN151" s="418"/>
      <c r="AO151" s="852"/>
      <c r="AP151" s="418"/>
      <c r="AQ151" s="895"/>
      <c r="AR151" s="896"/>
      <c r="AS151" s="896"/>
      <c r="AT151" s="897"/>
      <c r="AU151" s="896"/>
      <c r="AV151" s="896"/>
      <c r="AW151" s="896"/>
      <c r="AX151" s="896"/>
      <c r="AY151" s="897"/>
      <c r="AZ151" s="897"/>
      <c r="BA151" s="897"/>
      <c r="BB151" s="897"/>
      <c r="BC151" s="363"/>
    </row>
    <row r="152" spans="1:55" s="23" customFormat="1" ht="14.45" customHeight="1">
      <c r="A152" s="229" t="s">
        <v>286</v>
      </c>
      <c r="B152" s="132"/>
      <c r="C152" s="887">
        <f t="shared" ref="C152:AQ152" si="65">C103-C160</f>
        <v>146.58599999999998</v>
      </c>
      <c r="D152" s="887">
        <f t="shared" si="65"/>
        <v>143.30600000000001</v>
      </c>
      <c r="E152" s="887">
        <f t="shared" si="65"/>
        <v>162.72399999999999</v>
      </c>
      <c r="F152" s="887">
        <f t="shared" si="65"/>
        <v>190.09899999999999</v>
      </c>
      <c r="G152" s="888">
        <f t="shared" si="65"/>
        <v>51.998999999999995</v>
      </c>
      <c r="H152" s="888">
        <f t="shared" si="65"/>
        <v>50.430999999999997</v>
      </c>
      <c r="I152" s="888">
        <f t="shared" si="65"/>
        <v>62.819000000000003</v>
      </c>
      <c r="J152" s="888">
        <f t="shared" si="65"/>
        <v>75.771000000000015</v>
      </c>
      <c r="K152" s="887">
        <f t="shared" si="65"/>
        <v>241.02</v>
      </c>
      <c r="L152" s="888">
        <f t="shared" si="65"/>
        <v>106.108</v>
      </c>
      <c r="M152" s="888">
        <f t="shared" si="65"/>
        <v>125.88999999999999</v>
      </c>
      <c r="N152" s="888">
        <f t="shared" si="65"/>
        <v>117.27300000000001</v>
      </c>
      <c r="O152" s="888">
        <f t="shared" si="65"/>
        <v>117.47200000000005</v>
      </c>
      <c r="P152" s="887">
        <f t="shared" si="65"/>
        <v>466.74299999999999</v>
      </c>
      <c r="Q152" s="888">
        <f t="shared" si="65"/>
        <v>115.349</v>
      </c>
      <c r="R152" s="888">
        <f t="shared" si="65"/>
        <v>117.28599999999999</v>
      </c>
      <c r="S152" s="888">
        <f t="shared" si="65"/>
        <v>134.43199999999999</v>
      </c>
      <c r="T152" s="888">
        <f t="shared" si="65"/>
        <v>111.96099999999996</v>
      </c>
      <c r="U152" s="887">
        <f t="shared" si="65"/>
        <v>479.02799999999996</v>
      </c>
      <c r="V152" s="888">
        <f t="shared" si="65"/>
        <v>113.50099999999999</v>
      </c>
      <c r="W152" s="888">
        <f t="shared" si="65"/>
        <v>112.991</v>
      </c>
      <c r="X152" s="888">
        <f t="shared" si="65"/>
        <v>110.125</v>
      </c>
      <c r="Y152" s="888">
        <f t="shared" si="65"/>
        <v>111.24900000000005</v>
      </c>
      <c r="Z152" s="887">
        <f t="shared" si="65"/>
        <v>447.86599999999999</v>
      </c>
      <c r="AA152" s="888">
        <f t="shared" si="65"/>
        <v>107.78099999999999</v>
      </c>
      <c r="AB152" s="888">
        <f t="shared" si="65"/>
        <v>110.675</v>
      </c>
      <c r="AC152" s="888">
        <f t="shared" si="65"/>
        <v>110.461</v>
      </c>
      <c r="AD152" s="888">
        <f t="shared" si="65"/>
        <v>131.37099999999995</v>
      </c>
      <c r="AE152" s="887">
        <f t="shared" si="65"/>
        <v>460.28800000000001</v>
      </c>
      <c r="AF152" s="888">
        <f t="shared" si="65"/>
        <v>132.08599999999998</v>
      </c>
      <c r="AG152" s="888">
        <f t="shared" si="65"/>
        <v>150.291</v>
      </c>
      <c r="AH152" s="888">
        <f t="shared" si="65"/>
        <v>158.18200000000002</v>
      </c>
      <c r="AI152" s="888">
        <f t="shared" si="65"/>
        <v>146.96899999999988</v>
      </c>
      <c r="AJ152" s="887">
        <f t="shared" si="65"/>
        <v>587.52799999999991</v>
      </c>
      <c r="AK152" s="888">
        <f t="shared" si="65"/>
        <v>148.02100000000002</v>
      </c>
      <c r="AL152" s="888">
        <f t="shared" si="65"/>
        <v>140.83100000000002</v>
      </c>
      <c r="AM152" s="888">
        <f t="shared" si="65"/>
        <v>132.02099999999999</v>
      </c>
      <c r="AN152" s="888">
        <f t="shared" si="65"/>
        <v>162.63799999999998</v>
      </c>
      <c r="AO152" s="887">
        <f t="shared" si="65"/>
        <v>583.51099999999997</v>
      </c>
      <c r="AP152" s="888">
        <f t="shared" si="65"/>
        <v>113.89399999999999</v>
      </c>
      <c r="AQ152" s="889">
        <f t="shared" si="65"/>
        <v>88.78</v>
      </c>
      <c r="AR152" s="888">
        <f>AR149*AR87</f>
        <v>81.370400000000004</v>
      </c>
      <c r="AS152" s="888">
        <f>AS149*AS87</f>
        <v>111.80807999999999</v>
      </c>
      <c r="AT152" s="887">
        <f>SUM(AP152,AQ152,AR152,AS152)</f>
        <v>395.85248000000001</v>
      </c>
      <c r="AU152" s="888">
        <f>AU149*AU87</f>
        <v>133.05690000000001</v>
      </c>
      <c r="AV152" s="888">
        <f>AV149*AV87</f>
        <v>161.20429500000003</v>
      </c>
      <c r="AW152" s="888">
        <f>AW149*AW87</f>
        <v>157.43702475000001</v>
      </c>
      <c r="AX152" s="888">
        <f>AX149*AX87</f>
        <v>141.88699492499998</v>
      </c>
      <c r="AY152" s="887">
        <f>SUM(AU152,AV152,AW152,AX152)</f>
        <v>593.58521467499997</v>
      </c>
      <c r="AZ152" s="887">
        <f>AZ149*AZ87</f>
        <v>577.21906556999988</v>
      </c>
      <c r="BA152" s="887">
        <f>BA149*BA87</f>
        <v>813.69136250400049</v>
      </c>
      <c r="BB152" s="887">
        <f>BB149*BB87</f>
        <v>447.05860246079959</v>
      </c>
      <c r="BC152" s="362"/>
    </row>
    <row r="153" spans="1:55" s="4" customFormat="1" ht="14.45" customHeight="1">
      <c r="A153" s="402" t="s">
        <v>93</v>
      </c>
      <c r="B153" s="429"/>
      <c r="C153" s="858">
        <f t="shared" ref="C153:AH153" si="66">C149-C152</f>
        <v>44.615000000000009</v>
      </c>
      <c r="D153" s="858">
        <f t="shared" si="66"/>
        <v>52.447999999999979</v>
      </c>
      <c r="E153" s="858">
        <f t="shared" si="66"/>
        <v>65.439000000000021</v>
      </c>
      <c r="F153" s="858">
        <f t="shared" si="66"/>
        <v>76.347000000000037</v>
      </c>
      <c r="G153" s="402">
        <f t="shared" si="66"/>
        <v>21.968000000000004</v>
      </c>
      <c r="H153" s="402">
        <f t="shared" si="66"/>
        <v>20.402000000000001</v>
      </c>
      <c r="I153" s="402">
        <f t="shared" si="66"/>
        <v>26.861999999999995</v>
      </c>
      <c r="J153" s="402">
        <f t="shared" si="66"/>
        <v>29.685000000000002</v>
      </c>
      <c r="K153" s="858">
        <f t="shared" si="66"/>
        <v>98.917000000000002</v>
      </c>
      <c r="L153" s="402">
        <f t="shared" si="66"/>
        <v>34.842999999999989</v>
      </c>
      <c r="M153" s="402">
        <f t="shared" si="66"/>
        <v>48.673000000000002</v>
      </c>
      <c r="N153" s="402">
        <f t="shared" si="66"/>
        <v>62.168999999999997</v>
      </c>
      <c r="O153" s="402">
        <f t="shared" si="66"/>
        <v>48.610999999999919</v>
      </c>
      <c r="P153" s="858">
        <f t="shared" si="66"/>
        <v>194.29599999999999</v>
      </c>
      <c r="Q153" s="402">
        <f t="shared" si="66"/>
        <v>46.289000000000001</v>
      </c>
      <c r="R153" s="402">
        <f t="shared" si="66"/>
        <v>55.870000000000019</v>
      </c>
      <c r="S153" s="402">
        <f t="shared" si="66"/>
        <v>65.713000000000022</v>
      </c>
      <c r="T153" s="402">
        <f t="shared" si="66"/>
        <v>45.379000000000076</v>
      </c>
      <c r="U153" s="858">
        <f t="shared" si="66"/>
        <v>213.25100000000003</v>
      </c>
      <c r="V153" s="402">
        <f t="shared" si="66"/>
        <v>46.029000000000011</v>
      </c>
      <c r="W153" s="402">
        <f t="shared" si="66"/>
        <v>51.434999999999988</v>
      </c>
      <c r="X153" s="402">
        <f t="shared" si="66"/>
        <v>44.97399999999999</v>
      </c>
      <c r="Y153" s="402">
        <f t="shared" si="66"/>
        <v>42.818999999999988</v>
      </c>
      <c r="Z153" s="858">
        <f t="shared" si="66"/>
        <v>185.25700000000006</v>
      </c>
      <c r="AA153" s="402">
        <f t="shared" si="66"/>
        <v>44.614999999999995</v>
      </c>
      <c r="AB153" s="402">
        <f t="shared" si="66"/>
        <v>40.439000000000007</v>
      </c>
      <c r="AC153" s="402">
        <f t="shared" si="66"/>
        <v>39.174999999999997</v>
      </c>
      <c r="AD153" s="402">
        <f t="shared" si="66"/>
        <v>39.947000000000145</v>
      </c>
      <c r="AE153" s="858">
        <f t="shared" si="66"/>
        <v>164.17600000000004</v>
      </c>
      <c r="AF153" s="402">
        <f t="shared" si="66"/>
        <v>46.973000000000013</v>
      </c>
      <c r="AG153" s="402">
        <f t="shared" si="66"/>
        <v>58.314999999999998</v>
      </c>
      <c r="AH153" s="402">
        <f t="shared" si="66"/>
        <v>54.49199999999999</v>
      </c>
      <c r="AI153" s="402">
        <f t="shared" ref="AI153:BB153" si="67">AI149-AI152</f>
        <v>55.94800000000015</v>
      </c>
      <c r="AJ153" s="858">
        <f t="shared" si="67"/>
        <v>215.72800000000007</v>
      </c>
      <c r="AK153" s="402">
        <f t="shared" si="67"/>
        <v>60.152999999999992</v>
      </c>
      <c r="AL153" s="402">
        <f t="shared" si="67"/>
        <v>48.266999999999996</v>
      </c>
      <c r="AM153" s="402">
        <f t="shared" si="67"/>
        <v>44.997000000000014</v>
      </c>
      <c r="AN153" s="402">
        <f t="shared" si="67"/>
        <v>35.773999999999944</v>
      </c>
      <c r="AO153" s="858">
        <f t="shared" si="67"/>
        <v>189.19100000000003</v>
      </c>
      <c r="AP153" s="402">
        <f t="shared" si="67"/>
        <v>43.690000000000012</v>
      </c>
      <c r="AQ153" s="891">
        <f t="shared" si="67"/>
        <v>34.914000000000001</v>
      </c>
      <c r="AR153" s="402">
        <f t="shared" si="67"/>
        <v>28.589600000000004</v>
      </c>
      <c r="AS153" s="402">
        <f t="shared" si="67"/>
        <v>39.283919999999995</v>
      </c>
      <c r="AT153" s="858">
        <f t="shared" si="67"/>
        <v>146.47752000000003</v>
      </c>
      <c r="AU153" s="402">
        <f t="shared" si="67"/>
        <v>44.352300000000014</v>
      </c>
      <c r="AV153" s="402">
        <f t="shared" si="67"/>
        <v>53.73476500000001</v>
      </c>
      <c r="AW153" s="402">
        <f t="shared" si="67"/>
        <v>52.479008249999993</v>
      </c>
      <c r="AX153" s="402">
        <f t="shared" si="67"/>
        <v>47.295664974999994</v>
      </c>
      <c r="AY153" s="858">
        <f t="shared" si="67"/>
        <v>197.86173822500007</v>
      </c>
      <c r="AZ153" s="858">
        <f t="shared" si="67"/>
        <v>192.40635518999977</v>
      </c>
      <c r="BA153" s="858">
        <f t="shared" si="67"/>
        <v>271.23045416799994</v>
      </c>
      <c r="BB153" s="858">
        <f t="shared" si="67"/>
        <v>149.01953415359975</v>
      </c>
      <c r="BC153" s="363"/>
    </row>
    <row r="154" spans="1:55" s="4" customFormat="1" ht="14.45" customHeight="1">
      <c r="A154" s="403"/>
      <c r="B154" s="345"/>
      <c r="C154" s="852"/>
      <c r="D154" s="852"/>
      <c r="E154" s="852"/>
      <c r="F154" s="852"/>
      <c r="G154" s="418"/>
      <c r="H154" s="418"/>
      <c r="I154" s="418"/>
      <c r="J154" s="418"/>
      <c r="K154" s="852"/>
      <c r="L154" s="418"/>
      <c r="M154" s="418"/>
      <c r="N154" s="418"/>
      <c r="O154" s="418"/>
      <c r="P154" s="852"/>
      <c r="Q154" s="418"/>
      <c r="R154" s="418"/>
      <c r="S154" s="418"/>
      <c r="T154" s="418"/>
      <c r="U154" s="852"/>
      <c r="V154" s="418"/>
      <c r="W154" s="418"/>
      <c r="X154" s="418"/>
      <c r="Y154" s="418"/>
      <c r="Z154" s="852"/>
      <c r="AA154" s="418"/>
      <c r="AB154" s="418"/>
      <c r="AC154" s="418"/>
      <c r="AD154" s="418"/>
      <c r="AE154" s="852"/>
      <c r="AF154" s="418"/>
      <c r="AG154" s="418"/>
      <c r="AH154" s="418"/>
      <c r="AI154" s="418"/>
      <c r="AJ154" s="852"/>
      <c r="AK154" s="418"/>
      <c r="AL154" s="418"/>
      <c r="AM154" s="418"/>
      <c r="AN154" s="418"/>
      <c r="AO154" s="852"/>
      <c r="AP154" s="418"/>
      <c r="AQ154" s="895"/>
      <c r="AR154" s="896"/>
      <c r="AS154" s="896"/>
      <c r="AT154" s="897"/>
      <c r="AU154" s="896"/>
      <c r="AV154" s="896"/>
      <c r="AW154" s="896"/>
      <c r="AX154" s="896"/>
      <c r="AY154" s="897"/>
      <c r="AZ154" s="897"/>
      <c r="BA154" s="897"/>
      <c r="BB154" s="897"/>
      <c r="BC154" s="363"/>
    </row>
    <row r="155" spans="1:55" s="23" customFormat="1" ht="14.45" customHeight="1">
      <c r="A155" s="229" t="s">
        <v>287</v>
      </c>
      <c r="B155" s="132"/>
      <c r="C155" s="887">
        <f t="shared" ref="C155:AQ155" si="68">C106-C161</f>
        <v>23.332000000000001</v>
      </c>
      <c r="D155" s="887">
        <f t="shared" si="68"/>
        <v>22.303000000000001</v>
      </c>
      <c r="E155" s="887">
        <f t="shared" si="68"/>
        <v>26.114000000000001</v>
      </c>
      <c r="F155" s="887">
        <f t="shared" si="68"/>
        <v>35.466000000000001</v>
      </c>
      <c r="G155" s="888">
        <f t="shared" si="68"/>
        <v>8.8309999999999995</v>
      </c>
      <c r="H155" s="888">
        <f t="shared" si="68"/>
        <v>10.318000000000001</v>
      </c>
      <c r="I155" s="888">
        <f t="shared" si="68"/>
        <v>11.093999999999999</v>
      </c>
      <c r="J155" s="888">
        <f t="shared" si="68"/>
        <v>13.925999999999997</v>
      </c>
      <c r="K155" s="887">
        <f t="shared" si="68"/>
        <v>44.168999999999997</v>
      </c>
      <c r="L155" s="888">
        <f t="shared" si="68"/>
        <v>15.984</v>
      </c>
      <c r="M155" s="888">
        <f t="shared" si="68"/>
        <v>20.248999999999999</v>
      </c>
      <c r="N155" s="888">
        <f t="shared" si="68"/>
        <v>25.101000000000003</v>
      </c>
      <c r="O155" s="888">
        <f t="shared" si="68"/>
        <v>16.616000000000003</v>
      </c>
      <c r="P155" s="887">
        <f t="shared" si="68"/>
        <v>77.95</v>
      </c>
      <c r="Q155" s="888">
        <f t="shared" si="68"/>
        <v>22.113</v>
      </c>
      <c r="R155" s="888">
        <f t="shared" si="68"/>
        <v>20.66</v>
      </c>
      <c r="S155" s="888">
        <f t="shared" si="68"/>
        <v>21.7</v>
      </c>
      <c r="T155" s="888">
        <f t="shared" si="68"/>
        <v>22.394000000000013</v>
      </c>
      <c r="U155" s="887">
        <f t="shared" si="68"/>
        <v>86.867000000000004</v>
      </c>
      <c r="V155" s="888">
        <f t="shared" si="68"/>
        <v>21.286999999999999</v>
      </c>
      <c r="W155" s="888">
        <f t="shared" si="68"/>
        <v>21.565000000000001</v>
      </c>
      <c r="X155" s="888">
        <f t="shared" si="68"/>
        <v>20.518000000000001</v>
      </c>
      <c r="Y155" s="888">
        <f t="shared" si="68"/>
        <v>20.676999999999992</v>
      </c>
      <c r="Z155" s="887">
        <f t="shared" si="68"/>
        <v>84.046999999999997</v>
      </c>
      <c r="AA155" s="888">
        <f t="shared" si="68"/>
        <v>20.727</v>
      </c>
      <c r="AB155" s="888">
        <f t="shared" si="68"/>
        <v>21.291</v>
      </c>
      <c r="AC155" s="888">
        <f t="shared" si="68"/>
        <v>21.352</v>
      </c>
      <c r="AD155" s="888">
        <f t="shared" si="68"/>
        <v>22.806999999999999</v>
      </c>
      <c r="AE155" s="887">
        <f t="shared" si="68"/>
        <v>86.177000000000007</v>
      </c>
      <c r="AF155" s="888">
        <f t="shared" si="68"/>
        <v>29.568999999999999</v>
      </c>
      <c r="AG155" s="888">
        <f t="shared" si="68"/>
        <v>28.737000000000002</v>
      </c>
      <c r="AH155" s="888">
        <f t="shared" si="68"/>
        <v>27.263999999999999</v>
      </c>
      <c r="AI155" s="888">
        <f t="shared" si="68"/>
        <v>28.365000000000006</v>
      </c>
      <c r="AJ155" s="887">
        <f t="shared" si="68"/>
        <v>113.935</v>
      </c>
      <c r="AK155" s="888">
        <f t="shared" si="68"/>
        <v>28.003</v>
      </c>
      <c r="AL155" s="888">
        <f t="shared" si="68"/>
        <v>28.838000000000001</v>
      </c>
      <c r="AM155" s="888">
        <f t="shared" si="68"/>
        <v>30.893000000000001</v>
      </c>
      <c r="AN155" s="888">
        <f t="shared" si="68"/>
        <v>51.780999999999999</v>
      </c>
      <c r="AO155" s="887">
        <f t="shared" si="68"/>
        <v>139.51500000000001</v>
      </c>
      <c r="AP155" s="888">
        <f t="shared" si="68"/>
        <v>27.164000000000001</v>
      </c>
      <c r="AQ155" s="889">
        <f t="shared" si="68"/>
        <v>31.801000000000002</v>
      </c>
      <c r="AR155" s="888">
        <f>AR149*AR93</f>
        <v>20.892400000000002</v>
      </c>
      <c r="AS155" s="888">
        <f>AS149*AS93</f>
        <v>28.707479999999997</v>
      </c>
      <c r="AT155" s="887">
        <f>SUM(AP155,AQ155,AR155,AS155)</f>
        <v>108.56488000000002</v>
      </c>
      <c r="AU155" s="888">
        <f>AU149*AU93</f>
        <v>23.063196000000005</v>
      </c>
      <c r="AV155" s="888">
        <f>AV149*AV93</f>
        <v>26.867382500000005</v>
      </c>
      <c r="AW155" s="888">
        <f>AW149*AW93</f>
        <v>24.140343795</v>
      </c>
      <c r="AX155" s="888">
        <f>AX149*AX93</f>
        <v>20.810092588999996</v>
      </c>
      <c r="AY155" s="887">
        <f>SUM(AU155,AV155,AW155,AX155)</f>
        <v>94.881014883999995</v>
      </c>
      <c r="AZ155" s="887">
        <f>AZ149*AZ93</f>
        <v>96.203177594999957</v>
      </c>
      <c r="BA155" s="887">
        <f>BA149*BA93</f>
        <v>135.61522708400005</v>
      </c>
      <c r="BB155" s="887">
        <f>BB149*BB93</f>
        <v>74.509767076799918</v>
      </c>
      <c r="BC155" s="362"/>
    </row>
    <row r="156" spans="1:55" s="4" customFormat="1" ht="14.45" customHeight="1">
      <c r="A156" s="402" t="s">
        <v>11</v>
      </c>
      <c r="B156" s="429"/>
      <c r="C156" s="858">
        <f t="shared" ref="C156:AH156" si="69">C153-SUM(C155:C155)</f>
        <v>21.283000000000008</v>
      </c>
      <c r="D156" s="858">
        <f t="shared" si="69"/>
        <v>30.144999999999978</v>
      </c>
      <c r="E156" s="858">
        <f t="shared" si="69"/>
        <v>39.325000000000017</v>
      </c>
      <c r="F156" s="858">
        <f t="shared" si="69"/>
        <v>40.881000000000036</v>
      </c>
      <c r="G156" s="402">
        <f t="shared" si="69"/>
        <v>13.137000000000004</v>
      </c>
      <c r="H156" s="402">
        <f t="shared" si="69"/>
        <v>10.084</v>
      </c>
      <c r="I156" s="402">
        <f t="shared" si="69"/>
        <v>15.767999999999995</v>
      </c>
      <c r="J156" s="402">
        <f t="shared" si="69"/>
        <v>15.759000000000006</v>
      </c>
      <c r="K156" s="858">
        <f t="shared" si="69"/>
        <v>54.748000000000005</v>
      </c>
      <c r="L156" s="402">
        <f t="shared" si="69"/>
        <v>18.858999999999988</v>
      </c>
      <c r="M156" s="402">
        <f t="shared" si="69"/>
        <v>28.424000000000003</v>
      </c>
      <c r="N156" s="402">
        <f t="shared" si="69"/>
        <v>37.067999999999998</v>
      </c>
      <c r="O156" s="402">
        <f t="shared" si="69"/>
        <v>31.994999999999916</v>
      </c>
      <c r="P156" s="858">
        <f t="shared" si="69"/>
        <v>116.34599999999999</v>
      </c>
      <c r="Q156" s="402">
        <f t="shared" si="69"/>
        <v>24.176000000000002</v>
      </c>
      <c r="R156" s="402">
        <f t="shared" si="69"/>
        <v>35.210000000000022</v>
      </c>
      <c r="S156" s="402">
        <f t="shared" si="69"/>
        <v>44.013000000000019</v>
      </c>
      <c r="T156" s="402">
        <f t="shared" si="69"/>
        <v>22.985000000000063</v>
      </c>
      <c r="U156" s="858">
        <f t="shared" si="69"/>
        <v>126.38400000000003</v>
      </c>
      <c r="V156" s="402">
        <f t="shared" si="69"/>
        <v>24.742000000000012</v>
      </c>
      <c r="W156" s="402">
        <f t="shared" si="69"/>
        <v>29.869999999999987</v>
      </c>
      <c r="X156" s="402">
        <f t="shared" si="69"/>
        <v>24.455999999999989</v>
      </c>
      <c r="Y156" s="402">
        <f t="shared" si="69"/>
        <v>22.141999999999996</v>
      </c>
      <c r="Z156" s="858">
        <f t="shared" si="69"/>
        <v>101.21000000000006</v>
      </c>
      <c r="AA156" s="402">
        <f t="shared" si="69"/>
        <v>23.887999999999995</v>
      </c>
      <c r="AB156" s="402">
        <f t="shared" si="69"/>
        <v>19.148000000000007</v>
      </c>
      <c r="AC156" s="402">
        <f t="shared" si="69"/>
        <v>17.822999999999997</v>
      </c>
      <c r="AD156" s="402">
        <f t="shared" si="69"/>
        <v>17.140000000000146</v>
      </c>
      <c r="AE156" s="858">
        <f t="shared" si="69"/>
        <v>77.999000000000038</v>
      </c>
      <c r="AF156" s="402">
        <f t="shared" si="69"/>
        <v>17.404000000000014</v>
      </c>
      <c r="AG156" s="402">
        <f t="shared" si="69"/>
        <v>29.577999999999996</v>
      </c>
      <c r="AH156" s="402">
        <f t="shared" si="69"/>
        <v>27.227999999999991</v>
      </c>
      <c r="AI156" s="402">
        <f t="shared" ref="AI156:BB156" si="70">AI153-SUM(AI155:AI155)</f>
        <v>27.583000000000144</v>
      </c>
      <c r="AJ156" s="858">
        <f t="shared" si="70"/>
        <v>101.79300000000006</v>
      </c>
      <c r="AK156" s="402">
        <f t="shared" si="70"/>
        <v>32.149999999999991</v>
      </c>
      <c r="AL156" s="402">
        <f t="shared" si="70"/>
        <v>19.428999999999995</v>
      </c>
      <c r="AM156" s="402">
        <f t="shared" si="70"/>
        <v>14.104000000000013</v>
      </c>
      <c r="AN156" s="402">
        <f t="shared" si="70"/>
        <v>-16.007000000000055</v>
      </c>
      <c r="AO156" s="858">
        <f t="shared" si="70"/>
        <v>49.676000000000016</v>
      </c>
      <c r="AP156" s="402">
        <f t="shared" si="70"/>
        <v>16.52600000000001</v>
      </c>
      <c r="AQ156" s="891">
        <f t="shared" si="70"/>
        <v>3.1129999999999995</v>
      </c>
      <c r="AR156" s="402">
        <f t="shared" si="70"/>
        <v>7.6972000000000023</v>
      </c>
      <c r="AS156" s="402">
        <f t="shared" si="70"/>
        <v>10.576439999999998</v>
      </c>
      <c r="AT156" s="858">
        <f t="shared" si="70"/>
        <v>37.91264000000001</v>
      </c>
      <c r="AU156" s="402">
        <f t="shared" si="70"/>
        <v>21.289104000000009</v>
      </c>
      <c r="AV156" s="402">
        <f t="shared" si="70"/>
        <v>26.867382500000005</v>
      </c>
      <c r="AW156" s="402">
        <f t="shared" si="70"/>
        <v>28.338664454999993</v>
      </c>
      <c r="AX156" s="402">
        <f t="shared" si="70"/>
        <v>26.485572385999998</v>
      </c>
      <c r="AY156" s="858">
        <f t="shared" si="70"/>
        <v>102.98072334100007</v>
      </c>
      <c r="AZ156" s="858">
        <f t="shared" si="70"/>
        <v>96.203177594999815</v>
      </c>
      <c r="BA156" s="858">
        <f t="shared" si="70"/>
        <v>135.61522708399988</v>
      </c>
      <c r="BB156" s="858">
        <f t="shared" si="70"/>
        <v>74.509767076799832</v>
      </c>
      <c r="BC156" s="363"/>
    </row>
    <row r="157" spans="1:55" s="4" customFormat="1" ht="14.45" customHeight="1">
      <c r="A157" s="403" t="str">
        <f>CONCATENATE("Adjusted ",A156,IF(AND(ROUND(SUM(C156:XFD156)-SUM(C157:XFD157),6)=0)," (No Adjustments)",""))</f>
        <v>Adjusted EBITDA</v>
      </c>
      <c r="B157" s="345"/>
      <c r="C157" s="852">
        <f t="shared" ref="C157:AO157" si="71">C156</f>
        <v>21.283000000000008</v>
      </c>
      <c r="D157" s="852">
        <f t="shared" si="71"/>
        <v>30.144999999999978</v>
      </c>
      <c r="E157" s="852">
        <f t="shared" si="71"/>
        <v>39.325000000000017</v>
      </c>
      <c r="F157" s="852">
        <f t="shared" si="71"/>
        <v>40.881000000000036</v>
      </c>
      <c r="G157" s="418">
        <f t="shared" si="71"/>
        <v>13.137000000000004</v>
      </c>
      <c r="H157" s="418">
        <f t="shared" si="71"/>
        <v>10.084</v>
      </c>
      <c r="I157" s="418">
        <f t="shared" si="71"/>
        <v>15.767999999999995</v>
      </c>
      <c r="J157" s="418">
        <f t="shared" si="71"/>
        <v>15.759000000000006</v>
      </c>
      <c r="K157" s="852">
        <f t="shared" si="71"/>
        <v>54.748000000000005</v>
      </c>
      <c r="L157" s="418">
        <f t="shared" si="71"/>
        <v>18.858999999999988</v>
      </c>
      <c r="M157" s="418">
        <f t="shared" si="71"/>
        <v>28.424000000000003</v>
      </c>
      <c r="N157" s="418">
        <f t="shared" si="71"/>
        <v>37.067999999999998</v>
      </c>
      <c r="O157" s="418">
        <f t="shared" si="71"/>
        <v>31.994999999999916</v>
      </c>
      <c r="P157" s="852">
        <f t="shared" si="71"/>
        <v>116.34599999999999</v>
      </c>
      <c r="Q157" s="418">
        <f t="shared" si="71"/>
        <v>24.176000000000002</v>
      </c>
      <c r="R157" s="418">
        <f t="shared" si="71"/>
        <v>35.210000000000022</v>
      </c>
      <c r="S157" s="418">
        <f t="shared" si="71"/>
        <v>44.013000000000019</v>
      </c>
      <c r="T157" s="418">
        <f t="shared" si="71"/>
        <v>22.985000000000063</v>
      </c>
      <c r="U157" s="852">
        <f t="shared" si="71"/>
        <v>126.38400000000003</v>
      </c>
      <c r="V157" s="418">
        <f t="shared" si="71"/>
        <v>24.742000000000012</v>
      </c>
      <c r="W157" s="418">
        <f t="shared" si="71"/>
        <v>29.869999999999987</v>
      </c>
      <c r="X157" s="418">
        <f t="shared" si="71"/>
        <v>24.455999999999989</v>
      </c>
      <c r="Y157" s="418">
        <f t="shared" si="71"/>
        <v>22.141999999999996</v>
      </c>
      <c r="Z157" s="852">
        <f t="shared" si="71"/>
        <v>101.21000000000006</v>
      </c>
      <c r="AA157" s="418">
        <f t="shared" si="71"/>
        <v>23.887999999999995</v>
      </c>
      <c r="AB157" s="418">
        <f t="shared" si="71"/>
        <v>19.148000000000007</v>
      </c>
      <c r="AC157" s="418">
        <f t="shared" si="71"/>
        <v>17.822999999999997</v>
      </c>
      <c r="AD157" s="418">
        <f t="shared" si="71"/>
        <v>17.140000000000146</v>
      </c>
      <c r="AE157" s="852">
        <f t="shared" si="71"/>
        <v>77.999000000000038</v>
      </c>
      <c r="AF157" s="418">
        <f t="shared" si="71"/>
        <v>17.404000000000014</v>
      </c>
      <c r="AG157" s="418">
        <f t="shared" si="71"/>
        <v>29.577999999999996</v>
      </c>
      <c r="AH157" s="418">
        <f t="shared" si="71"/>
        <v>27.227999999999991</v>
      </c>
      <c r="AI157" s="418">
        <f t="shared" si="71"/>
        <v>27.583000000000144</v>
      </c>
      <c r="AJ157" s="852">
        <f t="shared" si="71"/>
        <v>101.79300000000006</v>
      </c>
      <c r="AK157" s="418">
        <f t="shared" si="71"/>
        <v>32.149999999999991</v>
      </c>
      <c r="AL157" s="418">
        <f t="shared" si="71"/>
        <v>19.428999999999995</v>
      </c>
      <c r="AM157" s="418">
        <f t="shared" si="71"/>
        <v>14.104000000000013</v>
      </c>
      <c r="AN157" s="418">
        <f t="shared" si="71"/>
        <v>-16.007000000000055</v>
      </c>
      <c r="AO157" s="852">
        <f t="shared" si="71"/>
        <v>49.676000000000016</v>
      </c>
      <c r="AP157" s="418">
        <f>AP146</f>
        <v>16.245000000000019</v>
      </c>
      <c r="AQ157" s="895">
        <f>AQ156</f>
        <v>3.1129999999999995</v>
      </c>
      <c r="AR157" s="418">
        <f>AR156</f>
        <v>7.6972000000000023</v>
      </c>
      <c r="AS157" s="418">
        <f>AS156</f>
        <v>10.576439999999998</v>
      </c>
      <c r="AT157" s="852">
        <f>SUM(AP157,AQ157,AR157,AS157)</f>
        <v>37.631640000000019</v>
      </c>
      <c r="AU157" s="418">
        <f>AU156</f>
        <v>21.289104000000009</v>
      </c>
      <c r="AV157" s="418">
        <f>AV156</f>
        <v>26.867382500000005</v>
      </c>
      <c r="AW157" s="418">
        <f>AW156</f>
        <v>28.338664454999993</v>
      </c>
      <c r="AX157" s="418">
        <f>AX156</f>
        <v>26.485572385999998</v>
      </c>
      <c r="AY157" s="852">
        <f>SUM(AU157,AV157,AW157,AX157)</f>
        <v>102.98072334100002</v>
      </c>
      <c r="AZ157" s="852">
        <f>AZ156</f>
        <v>96.203177594999815</v>
      </c>
      <c r="BA157" s="852">
        <f>BA156</f>
        <v>135.61522708399988</v>
      </c>
      <c r="BB157" s="852">
        <f>BB156</f>
        <v>74.509767076799832</v>
      </c>
      <c r="BC157" s="363"/>
    </row>
    <row r="158" spans="1:55" s="80" customFormat="1" ht="14.45" customHeight="1">
      <c r="A158" s="560" t="str">
        <f>CONCATENATE("Consensus Estimates - ",IFERROR(LEFT(A157,FIND("(",A157)-1),A157))</f>
        <v>Consensus Estimates - Adjusted EBITDA</v>
      </c>
      <c r="B158" s="561"/>
      <c r="C158" s="918"/>
      <c r="D158" s="918"/>
      <c r="E158" s="918"/>
      <c r="F158" s="918"/>
      <c r="G158" s="919"/>
      <c r="H158" s="919"/>
      <c r="I158" s="919"/>
      <c r="J158" s="919"/>
      <c r="K158" s="918"/>
      <c r="L158" s="919"/>
      <c r="M158" s="919"/>
      <c r="N158" s="919"/>
      <c r="O158" s="919"/>
      <c r="P158" s="918"/>
      <c r="Q158" s="919"/>
      <c r="R158" s="919"/>
      <c r="S158" s="919"/>
      <c r="T158" s="919"/>
      <c r="U158" s="918"/>
      <c r="V158" s="919"/>
      <c r="W158" s="919"/>
      <c r="X158" s="919"/>
      <c r="Y158" s="919"/>
      <c r="Z158" s="918"/>
      <c r="AA158" s="919"/>
      <c r="AB158" s="919"/>
      <c r="AC158" s="919"/>
      <c r="AD158" s="919"/>
      <c r="AE158" s="918"/>
      <c r="AF158" s="919"/>
      <c r="AG158" s="919"/>
      <c r="AH158" s="919"/>
      <c r="AI158" s="919"/>
      <c r="AJ158" s="918"/>
      <c r="AK158" s="919"/>
      <c r="AL158" s="919"/>
      <c r="AM158" s="919"/>
      <c r="AN158" s="919"/>
      <c r="AO158" s="918"/>
      <c r="AP158" s="919"/>
      <c r="AQ158" s="920"/>
      <c r="AR158" s="919" t="str">
        <f ca="1">IFERROR(VLOOKUP(A158,tb_ConsensusEstimate,MATCH(AR5,OFFSET(tb_ConsensusEstimate,0,0,1,COLUMNS(tb_ConsensusEstimate)),0),FALSE),"-")</f>
        <v>N/A</v>
      </c>
      <c r="AS158" s="919" t="str">
        <f ca="1">IFERROR(VLOOKUP(A158,tb_ConsensusEstimate,MATCH(AS5,OFFSET(tb_ConsensusEstimate,0,0,1,COLUMNS(tb_ConsensusEstimate)),0),FALSE),"-")</f>
        <v>N/A</v>
      </c>
      <c r="AT158" s="921" t="str">
        <f ca="1">IFERROR(VLOOKUP(A158,tb_ConsensusEstimate,MATCH(AT5,OFFSET(tb_ConsensusEstimate,0,0,1,COLUMNS(tb_ConsensusEstimate)),0),FALSE),"-")</f>
        <v>N/A</v>
      </c>
      <c r="AU158" s="919" t="str">
        <f ca="1">IFERROR(VLOOKUP(A158,tb_ConsensusEstimate,MATCH(AU5,OFFSET(tb_ConsensusEstimate,0,0,1,COLUMNS(tb_ConsensusEstimate)),0),FALSE),"-")</f>
        <v>N/A</v>
      </c>
      <c r="AV158" s="919" t="str">
        <f ca="1">IFERROR(VLOOKUP(A158,tb_ConsensusEstimate,MATCH(AV5,OFFSET(tb_ConsensusEstimate,0,0,1,COLUMNS(tb_ConsensusEstimate)),0),FALSE),"-")</f>
        <v>N/A</v>
      </c>
      <c r="AW158" s="919" t="str">
        <f ca="1">IFERROR(VLOOKUP(A158,tb_ConsensusEstimate,MATCH(AW5,OFFSET(tb_ConsensusEstimate,0,0,1,COLUMNS(tb_ConsensusEstimate)),0),FALSE),"-")</f>
        <v>N/A</v>
      </c>
      <c r="AX158" s="919" t="str">
        <f ca="1">IFERROR(VLOOKUP(A158,tb_ConsensusEstimate,MATCH(AX5,OFFSET(tb_ConsensusEstimate,0,0,1,COLUMNS(tb_ConsensusEstimate)),0),FALSE),"-")</f>
        <v>N/A</v>
      </c>
      <c r="AY158" s="921" t="str">
        <f ca="1">IFERROR(VLOOKUP(A158,tb_ConsensusEstimate,MATCH(AY5,OFFSET(tb_ConsensusEstimate,0,0,1,COLUMNS(tb_ConsensusEstimate)),0),FALSE),"-")</f>
        <v>N/A</v>
      </c>
      <c r="AZ158" s="921" t="str">
        <f ca="1">IFERROR(VLOOKUP(A158,tb_ConsensusEstimate,MATCH(AZ5,OFFSET(tb_ConsensusEstimate,0,0,1,COLUMNS(tb_ConsensusEstimate)),0),FALSE),"-")</f>
        <v>N/A</v>
      </c>
      <c r="BA158" s="921" t="str">
        <f ca="1">IFERROR(VLOOKUP(A158,tb_ConsensusEstimate,MATCH(BA5,OFFSET(tb_ConsensusEstimate,0,0,1,COLUMNS(tb_ConsensusEstimate)),0),FALSE),"-")</f>
        <v>N/A</v>
      </c>
      <c r="BB158" s="921" t="str">
        <f ca="1">IFERROR(VLOOKUP(A158,tb_ConsensusEstimate,MATCH(BB5,OFFSET(tb_ConsensusEstimate,0,0,1,COLUMNS(tb_ConsensusEstimate)),0),FALSE),"-")</f>
        <v>N/A</v>
      </c>
      <c r="BC158" s="519"/>
    </row>
    <row r="159" spans="1:55" s="29" customFormat="1" ht="14.45" customHeight="1">
      <c r="A159" s="81"/>
      <c r="B159" s="124"/>
      <c r="C159" s="922"/>
      <c r="D159" s="922"/>
      <c r="E159" s="922"/>
      <c r="F159" s="922"/>
      <c r="G159" s="923"/>
      <c r="H159" s="923"/>
      <c r="I159" s="923"/>
      <c r="J159" s="923"/>
      <c r="K159" s="922"/>
      <c r="L159" s="923"/>
      <c r="M159" s="923"/>
      <c r="N159" s="923"/>
      <c r="O159" s="923"/>
      <c r="P159" s="922"/>
      <c r="Q159" s="923"/>
      <c r="R159" s="923"/>
      <c r="S159" s="923"/>
      <c r="T159" s="923"/>
      <c r="U159" s="922"/>
      <c r="V159" s="923"/>
      <c r="W159" s="923"/>
      <c r="X159" s="923"/>
      <c r="Y159" s="923"/>
      <c r="Z159" s="922"/>
      <c r="AA159" s="923"/>
      <c r="AB159" s="923"/>
      <c r="AC159" s="923"/>
      <c r="AD159" s="923"/>
      <c r="AE159" s="922"/>
      <c r="AF159" s="923"/>
      <c r="AG159" s="923"/>
      <c r="AH159" s="923"/>
      <c r="AI159" s="923"/>
      <c r="AJ159" s="922"/>
      <c r="AK159" s="923"/>
      <c r="AL159" s="923"/>
      <c r="AM159" s="923"/>
      <c r="AN159" s="923"/>
      <c r="AO159" s="922"/>
      <c r="AP159" s="923"/>
      <c r="AQ159" s="924"/>
      <c r="AR159" s="925"/>
      <c r="AS159" s="925"/>
      <c r="AT159" s="926"/>
      <c r="AU159" s="925"/>
      <c r="AV159" s="925"/>
      <c r="AW159" s="925"/>
      <c r="AX159" s="925"/>
      <c r="AY159" s="926"/>
      <c r="AZ159" s="927"/>
      <c r="BA159" s="927"/>
      <c r="BB159" s="927"/>
      <c r="BC159" s="56"/>
    </row>
    <row r="160" spans="1:55" s="23" customFormat="1" ht="14.45" customHeight="1">
      <c r="A160" s="229" t="s">
        <v>37</v>
      </c>
      <c r="B160" s="132"/>
      <c r="C160" s="885">
        <f t="shared" ref="C160:AQ160" si="72">C317</f>
        <v>7.3419999999999996</v>
      </c>
      <c r="D160" s="885">
        <f t="shared" si="72"/>
        <v>4.8810000000000002</v>
      </c>
      <c r="E160" s="885">
        <f t="shared" si="72"/>
        <v>4.9429999999999996</v>
      </c>
      <c r="F160" s="885">
        <f t="shared" si="72"/>
        <v>6.9050000000000002</v>
      </c>
      <c r="G160" s="436">
        <f t="shared" si="72"/>
        <v>1.7490000000000001</v>
      </c>
      <c r="H160" s="436">
        <f t="shared" si="72"/>
        <v>1.7210000000000001</v>
      </c>
      <c r="I160" s="436">
        <f t="shared" si="72"/>
        <v>3.0769999999999995</v>
      </c>
      <c r="J160" s="436">
        <f t="shared" si="72"/>
        <v>4.5119999999999996</v>
      </c>
      <c r="K160" s="885">
        <f t="shared" si="72"/>
        <v>11.058999999999999</v>
      </c>
      <c r="L160" s="436">
        <f t="shared" si="72"/>
        <v>4.8380000000000001</v>
      </c>
      <c r="M160" s="436">
        <f t="shared" si="72"/>
        <v>5.4709999999999992</v>
      </c>
      <c r="N160" s="436">
        <f t="shared" si="72"/>
        <v>10.859</v>
      </c>
      <c r="O160" s="436">
        <f t="shared" si="72"/>
        <v>6.0860000000000021</v>
      </c>
      <c r="P160" s="885">
        <f t="shared" si="72"/>
        <v>27.254000000000001</v>
      </c>
      <c r="Q160" s="436">
        <f t="shared" si="72"/>
        <v>6.1269999999999998</v>
      </c>
      <c r="R160" s="436">
        <f t="shared" si="72"/>
        <v>6.4180000000000001</v>
      </c>
      <c r="S160" s="436">
        <f t="shared" si="72"/>
        <v>6.2859999999999996</v>
      </c>
      <c r="T160" s="436">
        <f t="shared" si="72"/>
        <v>6.4780000000000015</v>
      </c>
      <c r="U160" s="885">
        <f t="shared" si="72"/>
        <v>25.309000000000001</v>
      </c>
      <c r="V160" s="436">
        <f t="shared" si="72"/>
        <v>6.5460000000000003</v>
      </c>
      <c r="W160" s="436">
        <f t="shared" si="72"/>
        <v>6.6000000000000005</v>
      </c>
      <c r="X160" s="436">
        <f t="shared" si="72"/>
        <v>6.3109999999999999</v>
      </c>
      <c r="Y160" s="436">
        <f t="shared" si="72"/>
        <v>6.3329999999999984</v>
      </c>
      <c r="Z160" s="885">
        <f t="shared" si="72"/>
        <v>25.79</v>
      </c>
      <c r="AA160" s="436">
        <f t="shared" si="72"/>
        <v>6.298</v>
      </c>
      <c r="AB160" s="436">
        <f t="shared" si="72"/>
        <v>6.2889999999999997</v>
      </c>
      <c r="AC160" s="436">
        <f t="shared" si="72"/>
        <v>6.6819999999999986</v>
      </c>
      <c r="AD160" s="436">
        <f t="shared" si="72"/>
        <v>7.7940000000000005</v>
      </c>
      <c r="AE160" s="885">
        <f t="shared" si="72"/>
        <v>27.062999999999999</v>
      </c>
      <c r="AF160" s="436">
        <f t="shared" si="72"/>
        <v>9.8409999999999993</v>
      </c>
      <c r="AG160" s="436">
        <f t="shared" si="72"/>
        <v>8.7430000000000003</v>
      </c>
      <c r="AH160" s="436">
        <f t="shared" si="72"/>
        <v>8.1720000000000006</v>
      </c>
      <c r="AI160" s="436">
        <f t="shared" si="72"/>
        <v>8.2759999999999962</v>
      </c>
      <c r="AJ160" s="885">
        <f t="shared" si="72"/>
        <v>35.031999999999996</v>
      </c>
      <c r="AK160" s="436">
        <f t="shared" si="72"/>
        <v>8.0760000000000005</v>
      </c>
      <c r="AL160" s="436">
        <f t="shared" si="72"/>
        <v>7.9039999999999999</v>
      </c>
      <c r="AM160" s="436">
        <f t="shared" si="72"/>
        <v>8.2029999999999994</v>
      </c>
      <c r="AN160" s="436">
        <f t="shared" si="72"/>
        <v>8.8659999999999997</v>
      </c>
      <c r="AO160" s="885">
        <f t="shared" si="72"/>
        <v>33.048999999999999</v>
      </c>
      <c r="AP160" s="436">
        <f t="shared" si="72"/>
        <v>7.9710000000000001</v>
      </c>
      <c r="AQ160" s="886">
        <f t="shared" si="72"/>
        <v>8.0809999999999995</v>
      </c>
      <c r="AR160" s="855">
        <v>8.5</v>
      </c>
      <c r="AS160" s="855">
        <v>8.5</v>
      </c>
      <c r="AT160" s="885">
        <f>SUM(AP160,AQ160,AR160,AS160)</f>
        <v>33.052</v>
      </c>
      <c r="AU160" s="855">
        <v>8.5</v>
      </c>
      <c r="AV160" s="855">
        <v>8.5</v>
      </c>
      <c r="AW160" s="855">
        <v>8.5</v>
      </c>
      <c r="AX160" s="855">
        <v>8.5</v>
      </c>
      <c r="AY160" s="885">
        <f>SUM(AU160,AV160,AW160,AX160)</f>
        <v>34</v>
      </c>
      <c r="AZ160" s="870">
        <v>34</v>
      </c>
      <c r="BA160" s="870">
        <v>34</v>
      </c>
      <c r="BB160" s="870">
        <v>34</v>
      </c>
      <c r="BC160" s="362"/>
    </row>
    <row r="161" spans="1:55" s="23" customFormat="1" ht="14.45" customHeight="1">
      <c r="A161" s="229" t="s">
        <v>73</v>
      </c>
      <c r="B161" s="132"/>
      <c r="C161" s="887">
        <f t="shared" ref="C161:AQ161" si="73">C319</f>
        <v>0.77300000000000002</v>
      </c>
      <c r="D161" s="887">
        <f t="shared" si="73"/>
        <v>0.88400000000000001</v>
      </c>
      <c r="E161" s="887">
        <f t="shared" si="73"/>
        <v>1.0609999999999999</v>
      </c>
      <c r="F161" s="887">
        <f t="shared" si="73"/>
        <v>1.351</v>
      </c>
      <c r="G161" s="888">
        <f t="shared" si="73"/>
        <v>0.32600000000000001</v>
      </c>
      <c r="H161" s="888">
        <f t="shared" si="73"/>
        <v>0.38299999999999995</v>
      </c>
      <c r="I161" s="888">
        <f t="shared" si="73"/>
        <v>0.33900000000000008</v>
      </c>
      <c r="J161" s="888">
        <f t="shared" si="73"/>
        <v>0.33599999999999985</v>
      </c>
      <c r="K161" s="887">
        <f t="shared" si="73"/>
        <v>1.3839999999999999</v>
      </c>
      <c r="L161" s="888">
        <f t="shared" si="73"/>
        <v>0.39400000000000002</v>
      </c>
      <c r="M161" s="888">
        <f t="shared" si="73"/>
        <v>0.47199999999999998</v>
      </c>
      <c r="N161" s="888">
        <f t="shared" si="73"/>
        <v>0.43800000000000006</v>
      </c>
      <c r="O161" s="888">
        <f t="shared" si="73"/>
        <v>0.42599999999999993</v>
      </c>
      <c r="P161" s="887">
        <f t="shared" si="73"/>
        <v>1.73</v>
      </c>
      <c r="Q161" s="888">
        <f t="shared" si="73"/>
        <v>0.50600000000000001</v>
      </c>
      <c r="R161" s="888">
        <f t="shared" si="73"/>
        <v>0.63700000000000001</v>
      </c>
      <c r="S161" s="888">
        <f t="shared" si="73"/>
        <v>0.59699999999999998</v>
      </c>
      <c r="T161" s="888">
        <f t="shared" si="73"/>
        <v>0.53400000000000003</v>
      </c>
      <c r="U161" s="887">
        <f t="shared" si="73"/>
        <v>2.274</v>
      </c>
      <c r="V161" s="888">
        <f t="shared" si="73"/>
        <v>0.59699999999999998</v>
      </c>
      <c r="W161" s="888">
        <f t="shared" si="73"/>
        <v>0.65900000000000003</v>
      </c>
      <c r="X161" s="888">
        <f t="shared" si="73"/>
        <v>0.61999999999999988</v>
      </c>
      <c r="Y161" s="888">
        <f t="shared" si="73"/>
        <v>0.40500000000000025</v>
      </c>
      <c r="Z161" s="887">
        <f t="shared" si="73"/>
        <v>2.2810000000000001</v>
      </c>
      <c r="AA161" s="888">
        <f t="shared" si="73"/>
        <v>0.65600000000000003</v>
      </c>
      <c r="AB161" s="888">
        <f t="shared" si="73"/>
        <v>0.79999999999999993</v>
      </c>
      <c r="AC161" s="888">
        <f t="shared" si="73"/>
        <v>0.74699999999999989</v>
      </c>
      <c r="AD161" s="888">
        <f t="shared" si="73"/>
        <v>0.39500000000000002</v>
      </c>
      <c r="AE161" s="887">
        <f t="shared" si="73"/>
        <v>2.5979999999999999</v>
      </c>
      <c r="AF161" s="888">
        <f t="shared" si="73"/>
        <v>0.93100000000000005</v>
      </c>
      <c r="AG161" s="888">
        <f t="shared" si="73"/>
        <v>0.70599999999999996</v>
      </c>
      <c r="AH161" s="888">
        <f t="shared" si="73"/>
        <v>0.71200000000000019</v>
      </c>
      <c r="AI161" s="888">
        <f t="shared" si="73"/>
        <v>0.74899999999999967</v>
      </c>
      <c r="AJ161" s="887">
        <f t="shared" si="73"/>
        <v>3.0979999999999999</v>
      </c>
      <c r="AK161" s="888">
        <f t="shared" si="73"/>
        <v>1.1930000000000001</v>
      </c>
      <c r="AL161" s="888">
        <f t="shared" si="73"/>
        <v>0.95199999999999996</v>
      </c>
      <c r="AM161" s="888">
        <f t="shared" si="73"/>
        <v>0.79800000000000004</v>
      </c>
      <c r="AN161" s="888">
        <f t="shared" si="73"/>
        <v>0.89999999999999991</v>
      </c>
      <c r="AO161" s="887">
        <f t="shared" si="73"/>
        <v>3.843</v>
      </c>
      <c r="AP161" s="888">
        <f t="shared" si="73"/>
        <v>1.7030000000000001</v>
      </c>
      <c r="AQ161" s="889">
        <f t="shared" si="73"/>
        <v>1.103</v>
      </c>
      <c r="AR161" s="890">
        <v>1.2</v>
      </c>
      <c r="AS161" s="890">
        <v>1.2</v>
      </c>
      <c r="AT161" s="887">
        <f>SUM(AP161,AQ161,AR161,AS161)</f>
        <v>5.2060000000000004</v>
      </c>
      <c r="AU161" s="890">
        <v>1.2</v>
      </c>
      <c r="AV161" s="890">
        <v>1.2</v>
      </c>
      <c r="AW161" s="890">
        <v>1.2</v>
      </c>
      <c r="AX161" s="890">
        <v>1.2</v>
      </c>
      <c r="AY161" s="887">
        <f>SUM(AU161,AV161,AW161,AX161)</f>
        <v>4.8</v>
      </c>
      <c r="AZ161" s="872">
        <v>4.8</v>
      </c>
      <c r="BA161" s="872">
        <v>4.8</v>
      </c>
      <c r="BB161" s="872">
        <v>4.8</v>
      </c>
      <c r="BC161" s="362"/>
    </row>
    <row r="162" spans="1:55" s="4" customFormat="1" ht="14.45" customHeight="1">
      <c r="A162" s="402" t="s">
        <v>114</v>
      </c>
      <c r="B162" s="429"/>
      <c r="C162" s="858">
        <f t="shared" ref="C162:AH162" si="74">C156-SUM(C160:C161)</f>
        <v>13.168000000000008</v>
      </c>
      <c r="D162" s="858">
        <f t="shared" si="74"/>
        <v>24.379999999999978</v>
      </c>
      <c r="E162" s="858">
        <f t="shared" si="74"/>
        <v>33.321000000000019</v>
      </c>
      <c r="F162" s="858">
        <f t="shared" si="74"/>
        <v>32.625000000000036</v>
      </c>
      <c r="G162" s="402">
        <f t="shared" si="74"/>
        <v>11.062000000000005</v>
      </c>
      <c r="H162" s="402">
        <f t="shared" si="74"/>
        <v>7.9799999999999995</v>
      </c>
      <c r="I162" s="402">
        <f t="shared" si="74"/>
        <v>12.351999999999997</v>
      </c>
      <c r="J162" s="402">
        <f t="shared" si="74"/>
        <v>10.911000000000007</v>
      </c>
      <c r="K162" s="858">
        <f t="shared" si="74"/>
        <v>42.305000000000007</v>
      </c>
      <c r="L162" s="402">
        <f t="shared" si="74"/>
        <v>13.626999999999988</v>
      </c>
      <c r="M162" s="402">
        <f t="shared" si="74"/>
        <v>22.481000000000002</v>
      </c>
      <c r="N162" s="402">
        <f t="shared" si="74"/>
        <v>25.770999999999997</v>
      </c>
      <c r="O162" s="402">
        <f t="shared" si="74"/>
        <v>25.482999999999912</v>
      </c>
      <c r="P162" s="858">
        <f t="shared" si="74"/>
        <v>87.361999999999995</v>
      </c>
      <c r="Q162" s="402">
        <f t="shared" si="74"/>
        <v>17.543000000000003</v>
      </c>
      <c r="R162" s="402">
        <f t="shared" si="74"/>
        <v>28.155000000000022</v>
      </c>
      <c r="S162" s="402">
        <f t="shared" si="74"/>
        <v>37.130000000000024</v>
      </c>
      <c r="T162" s="402">
        <f t="shared" si="74"/>
        <v>15.973000000000063</v>
      </c>
      <c r="U162" s="858">
        <f t="shared" si="74"/>
        <v>98.80100000000003</v>
      </c>
      <c r="V162" s="402">
        <f t="shared" si="74"/>
        <v>17.599000000000011</v>
      </c>
      <c r="W162" s="402">
        <f t="shared" si="74"/>
        <v>22.610999999999986</v>
      </c>
      <c r="X162" s="402">
        <f t="shared" si="74"/>
        <v>17.524999999999988</v>
      </c>
      <c r="Y162" s="402">
        <f t="shared" si="74"/>
        <v>15.403999999999996</v>
      </c>
      <c r="Z162" s="858">
        <f t="shared" si="74"/>
        <v>73.139000000000067</v>
      </c>
      <c r="AA162" s="402">
        <f t="shared" si="74"/>
        <v>16.933999999999994</v>
      </c>
      <c r="AB162" s="402">
        <f t="shared" si="74"/>
        <v>12.059000000000008</v>
      </c>
      <c r="AC162" s="402">
        <f t="shared" si="74"/>
        <v>10.393999999999998</v>
      </c>
      <c r="AD162" s="402">
        <f t="shared" si="74"/>
        <v>8.9510000000001462</v>
      </c>
      <c r="AE162" s="858">
        <f t="shared" si="74"/>
        <v>48.338000000000036</v>
      </c>
      <c r="AF162" s="402">
        <f t="shared" si="74"/>
        <v>6.6320000000000157</v>
      </c>
      <c r="AG162" s="402">
        <f t="shared" si="74"/>
        <v>20.128999999999998</v>
      </c>
      <c r="AH162" s="402">
        <f t="shared" si="74"/>
        <v>18.343999999999991</v>
      </c>
      <c r="AI162" s="402">
        <f t="shared" ref="AI162:BB162" si="75">AI156-SUM(AI160:AI161)</f>
        <v>18.558000000000149</v>
      </c>
      <c r="AJ162" s="858">
        <f t="shared" si="75"/>
        <v>63.663000000000068</v>
      </c>
      <c r="AK162" s="402">
        <f t="shared" si="75"/>
        <v>22.880999999999993</v>
      </c>
      <c r="AL162" s="402">
        <f t="shared" si="75"/>
        <v>10.572999999999995</v>
      </c>
      <c r="AM162" s="402">
        <f t="shared" si="75"/>
        <v>5.103000000000014</v>
      </c>
      <c r="AN162" s="402">
        <f t="shared" si="75"/>
        <v>-25.773000000000053</v>
      </c>
      <c r="AO162" s="858">
        <f t="shared" si="75"/>
        <v>12.78400000000002</v>
      </c>
      <c r="AP162" s="402">
        <f t="shared" si="75"/>
        <v>6.852000000000011</v>
      </c>
      <c r="AQ162" s="891">
        <f t="shared" si="75"/>
        <v>-6.0709999999999997</v>
      </c>
      <c r="AR162" s="402">
        <f t="shared" si="75"/>
        <v>-2.002799999999997</v>
      </c>
      <c r="AS162" s="402">
        <f t="shared" si="75"/>
        <v>0.87643999999999878</v>
      </c>
      <c r="AT162" s="858">
        <f t="shared" si="75"/>
        <v>-0.34535999999999234</v>
      </c>
      <c r="AU162" s="402">
        <f t="shared" si="75"/>
        <v>11.58910400000001</v>
      </c>
      <c r="AV162" s="402">
        <f t="shared" si="75"/>
        <v>17.167382500000006</v>
      </c>
      <c r="AW162" s="402">
        <f t="shared" si="75"/>
        <v>18.638664454999994</v>
      </c>
      <c r="AX162" s="402">
        <f t="shared" si="75"/>
        <v>16.785572385999998</v>
      </c>
      <c r="AY162" s="858">
        <f t="shared" si="75"/>
        <v>64.180723341000075</v>
      </c>
      <c r="AZ162" s="858">
        <f t="shared" si="75"/>
        <v>57.403177594999818</v>
      </c>
      <c r="BA162" s="858">
        <f t="shared" si="75"/>
        <v>96.815227083999886</v>
      </c>
      <c r="BB162" s="858">
        <f t="shared" si="75"/>
        <v>35.709767076799835</v>
      </c>
      <c r="BC162" s="363"/>
    </row>
    <row r="163" spans="1:55" s="23" customFormat="1" ht="14.45" customHeight="1">
      <c r="A163" s="229"/>
      <c r="B163" s="132"/>
      <c r="C163" s="885"/>
      <c r="D163" s="885"/>
      <c r="E163" s="885"/>
      <c r="F163" s="885"/>
      <c r="G163" s="436"/>
      <c r="H163" s="436"/>
      <c r="I163" s="436"/>
      <c r="J163" s="436"/>
      <c r="K163" s="885"/>
      <c r="L163" s="436"/>
      <c r="M163" s="436"/>
      <c r="N163" s="436"/>
      <c r="O163" s="436"/>
      <c r="P163" s="885"/>
      <c r="Q163" s="436"/>
      <c r="R163" s="436"/>
      <c r="S163" s="436"/>
      <c r="T163" s="436"/>
      <c r="U163" s="885"/>
      <c r="V163" s="436"/>
      <c r="W163" s="436"/>
      <c r="X163" s="436"/>
      <c r="Y163" s="436"/>
      <c r="Z163" s="885"/>
      <c r="AA163" s="436"/>
      <c r="AB163" s="436"/>
      <c r="AC163" s="436"/>
      <c r="AD163" s="436"/>
      <c r="AE163" s="885"/>
      <c r="AF163" s="436"/>
      <c r="AG163" s="436"/>
      <c r="AH163" s="436"/>
      <c r="AI163" s="436"/>
      <c r="AJ163" s="885"/>
      <c r="AK163" s="436"/>
      <c r="AL163" s="436"/>
      <c r="AM163" s="436"/>
      <c r="AN163" s="436"/>
      <c r="AO163" s="885"/>
      <c r="AP163" s="436"/>
      <c r="AQ163" s="886"/>
      <c r="AR163" s="855"/>
      <c r="AS163" s="855"/>
      <c r="AT163" s="870"/>
      <c r="AU163" s="855"/>
      <c r="AV163" s="855"/>
      <c r="AW163" s="855"/>
      <c r="AX163" s="855"/>
      <c r="AY163" s="870"/>
      <c r="AZ163" s="870"/>
      <c r="BA163" s="870"/>
      <c r="BB163" s="870"/>
      <c r="BC163" s="362"/>
    </row>
    <row r="164" spans="1:55" s="23" customFormat="1" ht="14.45" customHeight="1">
      <c r="A164" s="229" t="s">
        <v>468</v>
      </c>
      <c r="B164" s="132"/>
      <c r="C164" s="885">
        <f t="shared" ref="C164:AQ164" si="76">C108</f>
        <v>2.5329999999999999</v>
      </c>
      <c r="D164" s="885">
        <f t="shared" si="76"/>
        <v>2.5510000000000002</v>
      </c>
      <c r="E164" s="885">
        <f t="shared" si="76"/>
        <v>1.806</v>
      </c>
      <c r="F164" s="885">
        <f t="shared" si="76"/>
        <v>1.042</v>
      </c>
      <c r="G164" s="436">
        <f t="shared" si="76"/>
        <v>0.218</v>
      </c>
      <c r="H164" s="436">
        <f t="shared" si="76"/>
        <v>0.26200000000000001</v>
      </c>
      <c r="I164" s="436">
        <f t="shared" si="76"/>
        <v>1.605</v>
      </c>
      <c r="J164" s="436">
        <f t="shared" si="76"/>
        <v>2.0090000000000003</v>
      </c>
      <c r="K164" s="885">
        <f t="shared" si="76"/>
        <v>4.0940000000000003</v>
      </c>
      <c r="L164" s="436">
        <f t="shared" si="76"/>
        <v>2.323</v>
      </c>
      <c r="M164" s="436">
        <f t="shared" si="76"/>
        <v>2.5590000000000002</v>
      </c>
      <c r="N164" s="436">
        <f t="shared" si="76"/>
        <v>2.3010000000000002</v>
      </c>
      <c r="O164" s="436">
        <f t="shared" si="76"/>
        <v>1.072000000000001</v>
      </c>
      <c r="P164" s="885">
        <f t="shared" si="76"/>
        <v>8.2550000000000008</v>
      </c>
      <c r="Q164" s="436">
        <f t="shared" si="76"/>
        <v>1.246</v>
      </c>
      <c r="R164" s="436">
        <f t="shared" si="76"/>
        <v>1.111</v>
      </c>
      <c r="S164" s="436">
        <f t="shared" si="76"/>
        <v>1.2430000000000001</v>
      </c>
      <c r="T164" s="436">
        <f t="shared" si="76"/>
        <v>1.1509999999999998</v>
      </c>
      <c r="U164" s="885">
        <f t="shared" si="76"/>
        <v>4.7510000000000003</v>
      </c>
      <c r="V164" s="436">
        <f t="shared" si="76"/>
        <v>1.087</v>
      </c>
      <c r="W164" s="436">
        <f t="shared" si="76"/>
        <v>1.056</v>
      </c>
      <c r="X164" s="436">
        <f t="shared" si="76"/>
        <v>1.103</v>
      </c>
      <c r="Y164" s="436">
        <f t="shared" si="76"/>
        <v>1.1080000000000005</v>
      </c>
      <c r="Z164" s="885">
        <f t="shared" si="76"/>
        <v>4.3540000000000001</v>
      </c>
      <c r="AA164" s="436">
        <f t="shared" si="76"/>
        <v>1.133</v>
      </c>
      <c r="AB164" s="436">
        <f t="shared" si="76"/>
        <v>1.18</v>
      </c>
      <c r="AC164" s="436">
        <f t="shared" si="76"/>
        <v>1.4370000000000001</v>
      </c>
      <c r="AD164" s="436">
        <f t="shared" si="76"/>
        <v>1.6189999999999998</v>
      </c>
      <c r="AE164" s="885">
        <f t="shared" si="76"/>
        <v>5.3689999999999998</v>
      </c>
      <c r="AF164" s="436">
        <f t="shared" si="76"/>
        <v>2.331</v>
      </c>
      <c r="AG164" s="436">
        <f t="shared" si="76"/>
        <v>2.484</v>
      </c>
      <c r="AH164" s="436">
        <f t="shared" si="76"/>
        <v>2.5110000000000001</v>
      </c>
      <c r="AI164" s="436">
        <f t="shared" si="76"/>
        <v>2.3840000000000012</v>
      </c>
      <c r="AJ164" s="885">
        <f t="shared" si="76"/>
        <v>9.7100000000000009</v>
      </c>
      <c r="AK164" s="436">
        <f t="shared" si="76"/>
        <v>1.804</v>
      </c>
      <c r="AL164" s="436">
        <f t="shared" si="76"/>
        <v>1.2250000000000001</v>
      </c>
      <c r="AM164" s="436">
        <f t="shared" si="76"/>
        <v>1.5469999999999999</v>
      </c>
      <c r="AN164" s="436">
        <f t="shared" si="76"/>
        <v>1.5650000000000004</v>
      </c>
      <c r="AO164" s="885">
        <f t="shared" si="76"/>
        <v>6.141</v>
      </c>
      <c r="AP164" s="436">
        <f t="shared" si="76"/>
        <v>1.333</v>
      </c>
      <c r="AQ164" s="886">
        <f t="shared" si="76"/>
        <v>1.9830000000000001</v>
      </c>
      <c r="AR164" s="436">
        <f>AR226</f>
        <v>1.6244711475409839</v>
      </c>
      <c r="AS164" s="436">
        <f ca="1">AS226</f>
        <v>1.553903347463566</v>
      </c>
      <c r="AT164" s="885">
        <f ca="1">SUM(AP164,AQ164,AR164,AS164)</f>
        <v>6.4943744950045499</v>
      </c>
      <c r="AU164" s="436">
        <f ca="1">AU226</f>
        <v>1.4602557464672676</v>
      </c>
      <c r="AV164" s="436">
        <f ca="1">AV226</f>
        <v>1.4693945765608349</v>
      </c>
      <c r="AW164" s="436">
        <f ca="1">AW226</f>
        <v>1.5274101976003536</v>
      </c>
      <c r="AX164" s="436">
        <f ca="1">AX226</f>
        <v>1.5639837256926206</v>
      </c>
      <c r="AY164" s="885">
        <f ca="1">SUM(AU164,AV164,AW164,AX164)</f>
        <v>6.0210442463210772</v>
      </c>
      <c r="AZ164" s="885">
        <f ca="1">AZ226</f>
        <v>6.1332323354919485</v>
      </c>
      <c r="BA164" s="885">
        <f ca="1">BA226</f>
        <v>5.5309582973438767</v>
      </c>
      <c r="BB164" s="885">
        <f ca="1">BB226</f>
        <v>5.6939207498383855</v>
      </c>
      <c r="BC164" s="362"/>
    </row>
    <row r="165" spans="1:55" s="23" customFormat="1" ht="14.45" customHeight="1">
      <c r="A165" s="229" t="s">
        <v>96</v>
      </c>
      <c r="B165" s="132"/>
      <c r="C165" s="885">
        <f t="shared" ref="C165:AQ165" si="77">C109</f>
        <v>0</v>
      </c>
      <c r="D165" s="885">
        <f t="shared" si="77"/>
        <v>0</v>
      </c>
      <c r="E165" s="885">
        <f t="shared" si="77"/>
        <v>0</v>
      </c>
      <c r="F165" s="885">
        <f t="shared" si="77"/>
        <v>0</v>
      </c>
      <c r="G165" s="436">
        <f t="shared" si="77"/>
        <v>0</v>
      </c>
      <c r="H165" s="436">
        <f t="shared" si="77"/>
        <v>0</v>
      </c>
      <c r="I165" s="436">
        <f t="shared" si="77"/>
        <v>0</v>
      </c>
      <c r="J165" s="436">
        <f t="shared" si="77"/>
        <v>0</v>
      </c>
      <c r="K165" s="885">
        <f t="shared" si="77"/>
        <v>0</v>
      </c>
      <c r="L165" s="436">
        <f t="shared" si="77"/>
        <v>0</v>
      </c>
      <c r="M165" s="436">
        <f t="shared" si="77"/>
        <v>0</v>
      </c>
      <c r="N165" s="436">
        <f t="shared" si="77"/>
        <v>0</v>
      </c>
      <c r="O165" s="436">
        <f t="shared" si="77"/>
        <v>0</v>
      </c>
      <c r="P165" s="885">
        <f t="shared" si="77"/>
        <v>0</v>
      </c>
      <c r="Q165" s="436">
        <f t="shared" si="77"/>
        <v>0</v>
      </c>
      <c r="R165" s="436">
        <f t="shared" si="77"/>
        <v>0</v>
      </c>
      <c r="S165" s="436">
        <f t="shared" si="77"/>
        <v>0</v>
      </c>
      <c r="T165" s="436">
        <f t="shared" si="77"/>
        <v>0</v>
      </c>
      <c r="U165" s="885">
        <f t="shared" si="77"/>
        <v>0</v>
      </c>
      <c r="V165" s="436">
        <f t="shared" si="77"/>
        <v>0</v>
      </c>
      <c r="W165" s="436">
        <f t="shared" si="77"/>
        <v>0</v>
      </c>
      <c r="X165" s="436">
        <f t="shared" si="77"/>
        <v>0</v>
      </c>
      <c r="Y165" s="436">
        <f t="shared" si="77"/>
        <v>0</v>
      </c>
      <c r="Z165" s="885">
        <f t="shared" si="77"/>
        <v>0</v>
      </c>
      <c r="AA165" s="436">
        <f t="shared" si="77"/>
        <v>0.31</v>
      </c>
      <c r="AB165" s="436">
        <f t="shared" si="77"/>
        <v>0.31</v>
      </c>
      <c r="AC165" s="436">
        <f t="shared" si="77"/>
        <v>0.311</v>
      </c>
      <c r="AD165" s="436">
        <f t="shared" si="77"/>
        <v>0.81</v>
      </c>
      <c r="AE165" s="885">
        <f t="shared" si="77"/>
        <v>1.7410000000000001</v>
      </c>
      <c r="AF165" s="436">
        <f t="shared" si="77"/>
        <v>0.375</v>
      </c>
      <c r="AG165" s="436">
        <f t="shared" si="77"/>
        <v>0.46300000000000002</v>
      </c>
      <c r="AH165" s="436">
        <f t="shared" si="77"/>
        <v>0.253</v>
      </c>
      <c r="AI165" s="436">
        <f t="shared" si="77"/>
        <v>0.57999999999999985</v>
      </c>
      <c r="AJ165" s="885">
        <f t="shared" si="77"/>
        <v>1.671</v>
      </c>
      <c r="AK165" s="436">
        <f t="shared" si="77"/>
        <v>0.215</v>
      </c>
      <c r="AL165" s="436">
        <f t="shared" si="77"/>
        <v>0.51800000000000002</v>
      </c>
      <c r="AM165" s="436">
        <f t="shared" si="77"/>
        <v>0.46400000000000002</v>
      </c>
      <c r="AN165" s="436">
        <f t="shared" si="77"/>
        <v>4.8609999999999998</v>
      </c>
      <c r="AO165" s="885">
        <f t="shared" si="77"/>
        <v>6.0579999999999998</v>
      </c>
      <c r="AP165" s="436">
        <f t="shared" si="77"/>
        <v>0.38800000000000001</v>
      </c>
      <c r="AQ165" s="886">
        <f t="shared" si="77"/>
        <v>3.7890000000000001</v>
      </c>
      <c r="AR165" s="855">
        <v>0</v>
      </c>
      <c r="AS165" s="855">
        <v>0</v>
      </c>
      <c r="AT165" s="885">
        <f>SUM(AP165,AQ165,AR165,AS165)</f>
        <v>4.1770000000000005</v>
      </c>
      <c r="AU165" s="855">
        <v>0</v>
      </c>
      <c r="AV165" s="855">
        <v>0</v>
      </c>
      <c r="AW165" s="855">
        <v>0</v>
      </c>
      <c r="AX165" s="855">
        <v>0</v>
      </c>
      <c r="AY165" s="885">
        <f>SUM(AU165,AV165,AW165,AX165)</f>
        <v>0</v>
      </c>
      <c r="AZ165" s="870">
        <v>0</v>
      </c>
      <c r="BA165" s="870">
        <v>0</v>
      </c>
      <c r="BB165" s="870">
        <v>0</v>
      </c>
      <c r="BC165" s="362"/>
    </row>
    <row r="166" spans="1:55" s="23" customFormat="1" ht="14.45" customHeight="1">
      <c r="A166" s="229" t="s">
        <v>95</v>
      </c>
      <c r="B166" s="132"/>
      <c r="C166" s="887">
        <f t="shared" ref="C166:AQ166" si="78">C105+C111+C110</f>
        <v>18.381</v>
      </c>
      <c r="D166" s="887">
        <f t="shared" si="78"/>
        <v>0</v>
      </c>
      <c r="E166" s="887">
        <f t="shared" si="78"/>
        <v>2.5</v>
      </c>
      <c r="F166" s="887">
        <f t="shared" si="78"/>
        <v>0</v>
      </c>
      <c r="G166" s="888">
        <f t="shared" si="78"/>
        <v>0</v>
      </c>
      <c r="H166" s="888">
        <f t="shared" si="78"/>
        <v>0</v>
      </c>
      <c r="I166" s="888">
        <f t="shared" si="78"/>
        <v>0</v>
      </c>
      <c r="J166" s="888">
        <f t="shared" si="78"/>
        <v>0</v>
      </c>
      <c r="K166" s="887">
        <f t="shared" si="78"/>
        <v>0</v>
      </c>
      <c r="L166" s="888">
        <f t="shared" si="78"/>
        <v>0</v>
      </c>
      <c r="M166" s="888">
        <f t="shared" si="78"/>
        <v>0</v>
      </c>
      <c r="N166" s="888">
        <f t="shared" si="78"/>
        <v>0</v>
      </c>
      <c r="O166" s="888">
        <f t="shared" si="78"/>
        <v>0</v>
      </c>
      <c r="P166" s="887">
        <f t="shared" si="78"/>
        <v>0</v>
      </c>
      <c r="Q166" s="888">
        <f t="shared" si="78"/>
        <v>0</v>
      </c>
      <c r="R166" s="888">
        <f t="shared" si="78"/>
        <v>0</v>
      </c>
      <c r="S166" s="888">
        <f t="shared" si="78"/>
        <v>0</v>
      </c>
      <c r="T166" s="888">
        <f t="shared" si="78"/>
        <v>0</v>
      </c>
      <c r="U166" s="887">
        <f t="shared" si="78"/>
        <v>0</v>
      </c>
      <c r="V166" s="888">
        <f t="shared" si="78"/>
        <v>0</v>
      </c>
      <c r="W166" s="888">
        <f t="shared" si="78"/>
        <v>0</v>
      </c>
      <c r="X166" s="888">
        <f t="shared" si="78"/>
        <v>0</v>
      </c>
      <c r="Y166" s="888">
        <f t="shared" si="78"/>
        <v>0</v>
      </c>
      <c r="Z166" s="887">
        <f t="shared" si="78"/>
        <v>0</v>
      </c>
      <c r="AA166" s="888">
        <f t="shared" si="78"/>
        <v>0</v>
      </c>
      <c r="AB166" s="888">
        <f t="shared" si="78"/>
        <v>0</v>
      </c>
      <c r="AC166" s="888">
        <f t="shared" si="78"/>
        <v>0</v>
      </c>
      <c r="AD166" s="888">
        <f t="shared" si="78"/>
        <v>16.236999999999998</v>
      </c>
      <c r="AE166" s="887">
        <f t="shared" si="78"/>
        <v>16.236999999999998</v>
      </c>
      <c r="AF166" s="888">
        <f t="shared" si="78"/>
        <v>0</v>
      </c>
      <c r="AG166" s="888">
        <f t="shared" si="78"/>
        <v>0</v>
      </c>
      <c r="AH166" s="888">
        <f t="shared" si="78"/>
        <v>0</v>
      </c>
      <c r="AI166" s="888">
        <f t="shared" si="78"/>
        <v>0</v>
      </c>
      <c r="AJ166" s="887">
        <f t="shared" si="78"/>
        <v>0</v>
      </c>
      <c r="AK166" s="888">
        <f t="shared" si="78"/>
        <v>-80.132999999999996</v>
      </c>
      <c r="AL166" s="888">
        <f t="shared" si="78"/>
        <v>0</v>
      </c>
      <c r="AM166" s="888">
        <f t="shared" si="78"/>
        <v>1.3320000000000001</v>
      </c>
      <c r="AN166" s="888">
        <f t="shared" si="78"/>
        <v>11.083</v>
      </c>
      <c r="AO166" s="887">
        <f t="shared" si="78"/>
        <v>-67.718000000000004</v>
      </c>
      <c r="AP166" s="888">
        <f t="shared" si="78"/>
        <v>74.408000000000001</v>
      </c>
      <c r="AQ166" s="889">
        <f t="shared" si="78"/>
        <v>12.608000000000001</v>
      </c>
      <c r="AR166" s="890">
        <v>0</v>
      </c>
      <c r="AS166" s="890">
        <v>0</v>
      </c>
      <c r="AT166" s="887">
        <f>SUM(AP166,AQ166,AR166,AS166)</f>
        <v>87.016000000000005</v>
      </c>
      <c r="AU166" s="890">
        <v>0</v>
      </c>
      <c r="AV166" s="890">
        <v>0</v>
      </c>
      <c r="AW166" s="890">
        <v>0</v>
      </c>
      <c r="AX166" s="890">
        <v>0</v>
      </c>
      <c r="AY166" s="887">
        <f>SUM(AU166,AV166,AW166,AX166)</f>
        <v>0</v>
      </c>
      <c r="AZ166" s="872">
        <v>0</v>
      </c>
      <c r="BA166" s="872">
        <v>0</v>
      </c>
      <c r="BB166" s="872">
        <v>0</v>
      </c>
      <c r="BC166" s="362"/>
    </row>
    <row r="167" spans="1:55" s="4" customFormat="1" ht="14.45" customHeight="1">
      <c r="A167" s="402" t="s">
        <v>12</v>
      </c>
      <c r="B167" s="429"/>
      <c r="C167" s="858">
        <f t="shared" ref="C167:AH167" si="79">C162-SUM(C164:C166)</f>
        <v>-7.7459999999999933</v>
      </c>
      <c r="D167" s="858">
        <f t="shared" si="79"/>
        <v>21.828999999999979</v>
      </c>
      <c r="E167" s="858">
        <f t="shared" si="79"/>
        <v>29.015000000000018</v>
      </c>
      <c r="F167" s="858">
        <f t="shared" si="79"/>
        <v>31.583000000000034</v>
      </c>
      <c r="G167" s="402">
        <f t="shared" si="79"/>
        <v>10.844000000000005</v>
      </c>
      <c r="H167" s="402">
        <f t="shared" si="79"/>
        <v>7.718</v>
      </c>
      <c r="I167" s="402">
        <f t="shared" si="79"/>
        <v>10.746999999999996</v>
      </c>
      <c r="J167" s="402">
        <f t="shared" si="79"/>
        <v>8.9020000000000064</v>
      </c>
      <c r="K167" s="858">
        <f t="shared" si="79"/>
        <v>38.211000000000006</v>
      </c>
      <c r="L167" s="402">
        <f t="shared" si="79"/>
        <v>11.303999999999988</v>
      </c>
      <c r="M167" s="402">
        <f t="shared" si="79"/>
        <v>19.922000000000001</v>
      </c>
      <c r="N167" s="402">
        <f t="shared" si="79"/>
        <v>23.47</v>
      </c>
      <c r="O167" s="402">
        <f t="shared" si="79"/>
        <v>24.410999999999909</v>
      </c>
      <c r="P167" s="858">
        <f t="shared" si="79"/>
        <v>79.106999999999999</v>
      </c>
      <c r="Q167" s="402">
        <f t="shared" si="79"/>
        <v>16.297000000000004</v>
      </c>
      <c r="R167" s="402">
        <f t="shared" si="79"/>
        <v>27.044000000000022</v>
      </c>
      <c r="S167" s="402">
        <f t="shared" si="79"/>
        <v>35.887000000000022</v>
      </c>
      <c r="T167" s="402">
        <f t="shared" si="79"/>
        <v>14.822000000000063</v>
      </c>
      <c r="U167" s="858">
        <f t="shared" si="79"/>
        <v>94.050000000000026</v>
      </c>
      <c r="V167" s="402">
        <f t="shared" si="79"/>
        <v>16.512000000000011</v>
      </c>
      <c r="W167" s="402">
        <f t="shared" si="79"/>
        <v>21.554999999999986</v>
      </c>
      <c r="X167" s="402">
        <f t="shared" si="79"/>
        <v>16.421999999999986</v>
      </c>
      <c r="Y167" s="402">
        <f t="shared" si="79"/>
        <v>14.295999999999996</v>
      </c>
      <c r="Z167" s="858">
        <f t="shared" si="79"/>
        <v>68.785000000000068</v>
      </c>
      <c r="AA167" s="402">
        <f t="shared" si="79"/>
        <v>15.490999999999994</v>
      </c>
      <c r="AB167" s="402">
        <f t="shared" si="79"/>
        <v>10.569000000000008</v>
      </c>
      <c r="AC167" s="402">
        <f t="shared" si="79"/>
        <v>8.645999999999999</v>
      </c>
      <c r="AD167" s="402">
        <f t="shared" si="79"/>
        <v>-9.7149999999998506</v>
      </c>
      <c r="AE167" s="858">
        <f t="shared" si="79"/>
        <v>24.991000000000039</v>
      </c>
      <c r="AF167" s="402">
        <f t="shared" si="79"/>
        <v>3.9260000000000157</v>
      </c>
      <c r="AG167" s="402">
        <f t="shared" si="79"/>
        <v>17.181999999999999</v>
      </c>
      <c r="AH167" s="402">
        <f t="shared" si="79"/>
        <v>15.579999999999991</v>
      </c>
      <c r="AI167" s="402">
        <f t="shared" ref="AI167:BB167" si="80">AI162-SUM(AI164:AI166)</f>
        <v>15.594000000000147</v>
      </c>
      <c r="AJ167" s="858">
        <f t="shared" si="80"/>
        <v>52.282000000000068</v>
      </c>
      <c r="AK167" s="402">
        <f t="shared" si="80"/>
        <v>100.99499999999998</v>
      </c>
      <c r="AL167" s="402">
        <f t="shared" si="80"/>
        <v>8.8299999999999947</v>
      </c>
      <c r="AM167" s="402">
        <f t="shared" si="80"/>
        <v>1.760000000000014</v>
      </c>
      <c r="AN167" s="402">
        <f t="shared" si="80"/>
        <v>-43.282000000000053</v>
      </c>
      <c r="AO167" s="858">
        <f t="shared" si="80"/>
        <v>68.303000000000026</v>
      </c>
      <c r="AP167" s="402">
        <f t="shared" si="80"/>
        <v>-69.276999999999987</v>
      </c>
      <c r="AQ167" s="891">
        <f t="shared" si="80"/>
        <v>-24.451000000000001</v>
      </c>
      <c r="AR167" s="402">
        <f t="shared" si="80"/>
        <v>-3.6272711475409807</v>
      </c>
      <c r="AS167" s="402">
        <f t="shared" ca="1" si="80"/>
        <v>-0.67746334746356718</v>
      </c>
      <c r="AT167" s="858">
        <f t="shared" ca="1" si="80"/>
        <v>-98.032734495004547</v>
      </c>
      <c r="AU167" s="402">
        <f t="shared" ca="1" si="80"/>
        <v>10.128848253532741</v>
      </c>
      <c r="AV167" s="402">
        <f t="shared" ca="1" si="80"/>
        <v>15.697987923439172</v>
      </c>
      <c r="AW167" s="402">
        <f t="shared" ca="1" si="80"/>
        <v>17.11125425739964</v>
      </c>
      <c r="AX167" s="402">
        <f t="shared" ca="1" si="80"/>
        <v>15.221588660307377</v>
      </c>
      <c r="AY167" s="858">
        <f t="shared" ca="1" si="80"/>
        <v>58.159679094678999</v>
      </c>
      <c r="AZ167" s="858">
        <f t="shared" ca="1" si="80"/>
        <v>51.269945259507871</v>
      </c>
      <c r="BA167" s="858">
        <f t="shared" ca="1" si="80"/>
        <v>91.284268786656014</v>
      </c>
      <c r="BB167" s="858">
        <f t="shared" ca="1" si="80"/>
        <v>30.015846326961451</v>
      </c>
      <c r="BC167" s="363"/>
    </row>
    <row r="168" spans="1:55" s="27" customFormat="1" ht="14.45" customHeight="1">
      <c r="A168" s="525"/>
      <c r="B168" s="526"/>
      <c r="C168" s="918"/>
      <c r="D168" s="918"/>
      <c r="E168" s="918"/>
      <c r="F168" s="918"/>
      <c r="G168" s="919"/>
      <c r="H168" s="919"/>
      <c r="I168" s="919"/>
      <c r="J168" s="919"/>
      <c r="K168" s="918"/>
      <c r="L168" s="919"/>
      <c r="M168" s="919"/>
      <c r="N168" s="919"/>
      <c r="O168" s="919"/>
      <c r="P168" s="918"/>
      <c r="Q168" s="919"/>
      <c r="R168" s="919"/>
      <c r="S168" s="919"/>
      <c r="T168" s="919"/>
      <c r="U168" s="918"/>
      <c r="V168" s="919"/>
      <c r="W168" s="919"/>
      <c r="X168" s="919"/>
      <c r="Y168" s="919"/>
      <c r="Z168" s="918"/>
      <c r="AA168" s="919"/>
      <c r="AB168" s="919"/>
      <c r="AC168" s="919"/>
      <c r="AD168" s="919"/>
      <c r="AE168" s="918"/>
      <c r="AF168" s="919"/>
      <c r="AG168" s="919"/>
      <c r="AH168" s="919"/>
      <c r="AI168" s="919"/>
      <c r="AJ168" s="918"/>
      <c r="AK168" s="919"/>
      <c r="AL168" s="919"/>
      <c r="AM168" s="919"/>
      <c r="AN168" s="919"/>
      <c r="AO168" s="918"/>
      <c r="AP168" s="919"/>
      <c r="AQ168" s="920"/>
      <c r="AR168" s="928"/>
      <c r="AS168" s="928"/>
      <c r="AT168" s="929"/>
      <c r="AU168" s="928"/>
      <c r="AV168" s="928"/>
      <c r="AW168" s="928"/>
      <c r="AX168" s="928"/>
      <c r="AY168" s="929"/>
      <c r="AZ168" s="929"/>
      <c r="BA168" s="929"/>
      <c r="BB168" s="929"/>
      <c r="BC168" s="364"/>
    </row>
    <row r="169" spans="1:55" s="23" customFormat="1" ht="14.45" customHeight="1">
      <c r="A169" s="229" t="s">
        <v>13</v>
      </c>
      <c r="B169" s="132"/>
      <c r="C169" s="885">
        <f t="shared" ref="C169:AQ169" si="81">C113-C170</f>
        <v>3.9699999999999998</v>
      </c>
      <c r="D169" s="885">
        <f t="shared" si="81"/>
        <v>5.4960000000000004</v>
      </c>
      <c r="E169" s="885">
        <f t="shared" si="81"/>
        <v>7.0010000000000003</v>
      </c>
      <c r="F169" s="885">
        <f t="shared" si="81"/>
        <v>11.253</v>
      </c>
      <c r="G169" s="436">
        <f t="shared" si="81"/>
        <v>1.2649999999999999</v>
      </c>
      <c r="H169" s="436">
        <f t="shared" si="81"/>
        <v>2.488</v>
      </c>
      <c r="I169" s="436">
        <f t="shared" si="81"/>
        <v>3.5700000000000003</v>
      </c>
      <c r="J169" s="436">
        <f t="shared" si="81"/>
        <v>4.3439999999999994</v>
      </c>
      <c r="K169" s="885">
        <f t="shared" si="81"/>
        <v>11.667</v>
      </c>
      <c r="L169" s="436">
        <f t="shared" si="81"/>
        <v>4.6130000000000004</v>
      </c>
      <c r="M169" s="436">
        <f t="shared" si="81"/>
        <v>8.7270000000000003</v>
      </c>
      <c r="N169" s="436">
        <f t="shared" si="81"/>
        <v>8.222999999999999</v>
      </c>
      <c r="O169" s="436">
        <f t="shared" si="81"/>
        <v>6.051000000000001</v>
      </c>
      <c r="P169" s="885">
        <f t="shared" si="81"/>
        <v>27.614000000000001</v>
      </c>
      <c r="Q169" s="436">
        <f t="shared" si="81"/>
        <v>5.6539999999999999</v>
      </c>
      <c r="R169" s="436">
        <f t="shared" si="81"/>
        <v>9.8899999999999988</v>
      </c>
      <c r="S169" s="436">
        <f t="shared" si="81"/>
        <v>10.86</v>
      </c>
      <c r="T169" s="436">
        <f t="shared" si="81"/>
        <v>0.92399999999999916</v>
      </c>
      <c r="U169" s="885">
        <f t="shared" si="81"/>
        <v>27.327999999999999</v>
      </c>
      <c r="V169" s="436">
        <f t="shared" si="81"/>
        <v>5.4950000000000001</v>
      </c>
      <c r="W169" s="436">
        <f t="shared" si="81"/>
        <v>7.0869999999999997</v>
      </c>
      <c r="X169" s="436">
        <f t="shared" si="81"/>
        <v>6.8949999999999996</v>
      </c>
      <c r="Y169" s="436">
        <f t="shared" si="81"/>
        <v>5.6400000000000015</v>
      </c>
      <c r="Z169" s="885">
        <f t="shared" si="81"/>
        <v>25.117000000000001</v>
      </c>
      <c r="AA169" s="436">
        <f t="shared" si="81"/>
        <v>4.42</v>
      </c>
      <c r="AB169" s="436">
        <f t="shared" si="81"/>
        <v>2.9039999999999999</v>
      </c>
      <c r="AC169" s="436">
        <f t="shared" si="81"/>
        <v>2.9699999999999998</v>
      </c>
      <c r="AD169" s="436">
        <f t="shared" si="81"/>
        <v>0.51199999999999957</v>
      </c>
      <c r="AE169" s="885">
        <f t="shared" si="81"/>
        <v>10.806000000000001</v>
      </c>
      <c r="AF169" s="436">
        <f t="shared" si="81"/>
        <v>1.7599999999999998</v>
      </c>
      <c r="AG169" s="436">
        <f t="shared" si="81"/>
        <v>2.5449999999999999</v>
      </c>
      <c r="AH169" s="436">
        <f t="shared" si="81"/>
        <v>-0.39900000000000002</v>
      </c>
      <c r="AI169" s="436">
        <f t="shared" si="81"/>
        <v>4.2530000000000001</v>
      </c>
      <c r="AJ169" s="885">
        <f t="shared" si="81"/>
        <v>8.1590000000000007</v>
      </c>
      <c r="AK169" s="436">
        <f t="shared" si="81"/>
        <v>26.247</v>
      </c>
      <c r="AL169" s="436">
        <f t="shared" si="81"/>
        <v>2.077</v>
      </c>
      <c r="AM169" s="436">
        <f t="shared" si="81"/>
        <v>0.99899999999999989</v>
      </c>
      <c r="AN169" s="436">
        <f t="shared" si="81"/>
        <v>1.3480000000000008</v>
      </c>
      <c r="AO169" s="885">
        <f t="shared" si="81"/>
        <v>30.670999999999999</v>
      </c>
      <c r="AP169" s="436">
        <f t="shared" si="81"/>
        <v>-4.3639999999999999</v>
      </c>
      <c r="AQ169" s="886">
        <f t="shared" si="81"/>
        <v>-1.2000000000000122E-2</v>
      </c>
      <c r="AR169" s="436">
        <f>AR182*AR167</f>
        <v>-0.18136355737704904</v>
      </c>
      <c r="AS169" s="436">
        <f ca="1">AS182*AS167</f>
        <v>-3.3873167373178359E-2</v>
      </c>
      <c r="AT169" s="885">
        <f ca="1">SUM(AP169,AQ169,AR169,AS169)</f>
        <v>-4.5912367247502273</v>
      </c>
      <c r="AU169" s="436">
        <f ca="1">AU182*AU167</f>
        <v>0.50644241267663703</v>
      </c>
      <c r="AV169" s="436">
        <f ca="1">AV182*AV167</f>
        <v>0.78489939617195859</v>
      </c>
      <c r="AW169" s="436">
        <f ca="1">AW182*AW167</f>
        <v>0.85556271286998209</v>
      </c>
      <c r="AX169" s="436">
        <f ca="1">AX182*AX167</f>
        <v>0.76107943301536896</v>
      </c>
      <c r="AY169" s="885">
        <f ca="1">SUM(AU169,AV169,AW169,AX169)</f>
        <v>2.9079839547339468</v>
      </c>
      <c r="AZ169" s="885">
        <f ca="1">AZ182*AZ167</f>
        <v>5.1269945259507876</v>
      </c>
      <c r="BA169" s="885">
        <f ca="1">BA182*BA167</f>
        <v>9.1284268786656018</v>
      </c>
      <c r="BB169" s="885">
        <f ca="1">BB182*BB167</f>
        <v>3.0015846326961455</v>
      </c>
      <c r="BC169" s="362"/>
    </row>
    <row r="170" spans="1:55" s="23" customFormat="1" ht="14.45" customHeight="1">
      <c r="A170" s="229" t="s">
        <v>14</v>
      </c>
      <c r="B170" s="132"/>
      <c r="C170" s="887">
        <f t="shared" ref="C170:AQ170" si="82">C320</f>
        <v>-7.9139999999999997</v>
      </c>
      <c r="D170" s="887">
        <f t="shared" si="82"/>
        <v>1.385</v>
      </c>
      <c r="E170" s="887">
        <f t="shared" si="82"/>
        <v>0.42299999999999999</v>
      </c>
      <c r="F170" s="887">
        <f t="shared" si="82"/>
        <v>-1.544</v>
      </c>
      <c r="G170" s="888">
        <f t="shared" si="82"/>
        <v>1.0149999999999999</v>
      </c>
      <c r="H170" s="888">
        <f t="shared" si="82"/>
        <v>7.2000000000000064E-2</v>
      </c>
      <c r="I170" s="888">
        <f t="shared" si="82"/>
        <v>2.200000000000002E-2</v>
      </c>
      <c r="J170" s="888">
        <f t="shared" si="82"/>
        <v>-1.831</v>
      </c>
      <c r="K170" s="887">
        <f t="shared" si="82"/>
        <v>-0.72199999999999998</v>
      </c>
      <c r="L170" s="888">
        <f t="shared" si="82"/>
        <v>-0.81599999999999995</v>
      </c>
      <c r="M170" s="888">
        <f t="shared" si="82"/>
        <v>-1.9490000000000003</v>
      </c>
      <c r="N170" s="888">
        <f t="shared" si="82"/>
        <v>-1.8329999999999997</v>
      </c>
      <c r="O170" s="888">
        <f t="shared" si="82"/>
        <v>-7.8999999999999737E-2</v>
      </c>
      <c r="P170" s="887">
        <f t="shared" si="82"/>
        <v>-4.6769999999999996</v>
      </c>
      <c r="Q170" s="888">
        <f t="shared" si="82"/>
        <v>-0.04</v>
      </c>
      <c r="R170" s="888">
        <f t="shared" si="82"/>
        <v>-0.53599999999999992</v>
      </c>
      <c r="S170" s="888">
        <f t="shared" si="82"/>
        <v>0.33299999999999996</v>
      </c>
      <c r="T170" s="888">
        <f t="shared" si="82"/>
        <v>-9.000000000000008E-3</v>
      </c>
      <c r="U170" s="887">
        <f t="shared" si="82"/>
        <v>-0.252</v>
      </c>
      <c r="V170" s="888">
        <f t="shared" si="82"/>
        <v>-0.46800000000000003</v>
      </c>
      <c r="W170" s="888">
        <f t="shared" si="82"/>
        <v>-0.51200000000000001</v>
      </c>
      <c r="X170" s="888">
        <f t="shared" si="82"/>
        <v>-2.5470000000000002</v>
      </c>
      <c r="Y170" s="888">
        <f t="shared" si="82"/>
        <v>-1.2290000000000001</v>
      </c>
      <c r="Z170" s="887">
        <f t="shared" si="82"/>
        <v>-4.7560000000000002</v>
      </c>
      <c r="AA170" s="888">
        <f t="shared" si="82"/>
        <v>-0.51600000000000001</v>
      </c>
      <c r="AB170" s="888">
        <f t="shared" si="82"/>
        <v>-2.0000000000000018E-2</v>
      </c>
      <c r="AC170" s="888">
        <f t="shared" si="82"/>
        <v>-0.38400000000000001</v>
      </c>
      <c r="AD170" s="888">
        <f t="shared" si="82"/>
        <v>-4.5739999999999998</v>
      </c>
      <c r="AE170" s="887">
        <f t="shared" si="82"/>
        <v>-5.4939999999999998</v>
      </c>
      <c r="AF170" s="888">
        <f t="shared" si="82"/>
        <v>-1.1279999999999999</v>
      </c>
      <c r="AG170" s="888">
        <f t="shared" si="82"/>
        <v>0.61199999999999988</v>
      </c>
      <c r="AH170" s="888">
        <f t="shared" si="82"/>
        <v>-1.02</v>
      </c>
      <c r="AI170" s="888">
        <f t="shared" si="82"/>
        <v>-1.1440000000000001</v>
      </c>
      <c r="AJ170" s="887">
        <f t="shared" si="82"/>
        <v>-2.68</v>
      </c>
      <c r="AK170" s="888">
        <f t="shared" si="82"/>
        <v>-3.3980000000000001</v>
      </c>
      <c r="AL170" s="888">
        <f t="shared" si="82"/>
        <v>2.7000000000000135E-2</v>
      </c>
      <c r="AM170" s="888">
        <f t="shared" si="82"/>
        <v>-0.44899999999999984</v>
      </c>
      <c r="AN170" s="888">
        <f t="shared" si="82"/>
        <v>-10.565</v>
      </c>
      <c r="AO170" s="887">
        <f t="shared" si="82"/>
        <v>-14.385</v>
      </c>
      <c r="AP170" s="888">
        <f t="shared" si="82"/>
        <v>2.0499999999999998</v>
      </c>
      <c r="AQ170" s="889">
        <f t="shared" si="82"/>
        <v>-0.85999999999999988</v>
      </c>
      <c r="AR170" s="888">
        <f>AR183*AR167</f>
        <v>0</v>
      </c>
      <c r="AS170" s="888">
        <f ca="1">AS183*AS167</f>
        <v>-3.3873167373178359E-2</v>
      </c>
      <c r="AT170" s="887">
        <f ca="1">SUM(AP170,AQ170,AR170,AS170)</f>
        <v>1.1561268326268217</v>
      </c>
      <c r="AU170" s="888">
        <f ca="1">AU183*AU167</f>
        <v>0</v>
      </c>
      <c r="AV170" s="888">
        <f ca="1">AV183*AV167</f>
        <v>0</v>
      </c>
      <c r="AW170" s="888">
        <f ca="1">AW183*AW167</f>
        <v>0</v>
      </c>
      <c r="AX170" s="888">
        <f ca="1">AX183*AX167</f>
        <v>0</v>
      </c>
      <c r="AY170" s="887">
        <f ca="1">SUM(AU170,AV170,AW170,AX170)</f>
        <v>0</v>
      </c>
      <c r="AZ170" s="887">
        <f ca="1">AZ183*AZ167</f>
        <v>0</v>
      </c>
      <c r="BA170" s="887">
        <f ca="1">BA183*BA167</f>
        <v>0</v>
      </c>
      <c r="BB170" s="887">
        <f ca="1">BB183*BB167</f>
        <v>0</v>
      </c>
      <c r="BC170" s="362"/>
    </row>
    <row r="171" spans="1:55" s="4" customFormat="1" ht="14.45" customHeight="1">
      <c r="A171" s="402" t="s">
        <v>124</v>
      </c>
      <c r="B171" s="429"/>
      <c r="C171" s="858">
        <f t="shared" ref="C171:AH171" si="83">C167-SUM(C169:C170)</f>
        <v>-3.8019999999999934</v>
      </c>
      <c r="D171" s="858">
        <f t="shared" si="83"/>
        <v>14.947999999999979</v>
      </c>
      <c r="E171" s="858">
        <f t="shared" si="83"/>
        <v>21.591000000000019</v>
      </c>
      <c r="F171" s="858">
        <f t="shared" si="83"/>
        <v>21.874000000000034</v>
      </c>
      <c r="G171" s="402">
        <f t="shared" si="83"/>
        <v>8.5640000000000054</v>
      </c>
      <c r="H171" s="402">
        <f t="shared" si="83"/>
        <v>5.1579999999999995</v>
      </c>
      <c r="I171" s="402">
        <f t="shared" si="83"/>
        <v>7.1549999999999958</v>
      </c>
      <c r="J171" s="402">
        <f t="shared" si="83"/>
        <v>6.3890000000000065</v>
      </c>
      <c r="K171" s="858">
        <f t="shared" si="83"/>
        <v>27.266000000000005</v>
      </c>
      <c r="L171" s="402">
        <f t="shared" si="83"/>
        <v>7.5069999999999872</v>
      </c>
      <c r="M171" s="402">
        <f t="shared" si="83"/>
        <v>13.144</v>
      </c>
      <c r="N171" s="402">
        <f t="shared" si="83"/>
        <v>17.079999999999998</v>
      </c>
      <c r="O171" s="402">
        <f t="shared" si="83"/>
        <v>18.438999999999908</v>
      </c>
      <c r="P171" s="858">
        <f t="shared" si="83"/>
        <v>56.17</v>
      </c>
      <c r="Q171" s="402">
        <f t="shared" si="83"/>
        <v>10.683000000000003</v>
      </c>
      <c r="R171" s="402">
        <f t="shared" si="83"/>
        <v>17.690000000000023</v>
      </c>
      <c r="S171" s="402">
        <f t="shared" si="83"/>
        <v>24.694000000000024</v>
      </c>
      <c r="T171" s="402">
        <f t="shared" si="83"/>
        <v>13.907000000000064</v>
      </c>
      <c r="U171" s="858">
        <f t="shared" si="83"/>
        <v>66.974000000000018</v>
      </c>
      <c r="V171" s="402">
        <f t="shared" si="83"/>
        <v>11.48500000000001</v>
      </c>
      <c r="W171" s="402">
        <f t="shared" si="83"/>
        <v>14.979999999999986</v>
      </c>
      <c r="X171" s="402">
        <f t="shared" si="83"/>
        <v>12.073999999999987</v>
      </c>
      <c r="Y171" s="402">
        <f t="shared" si="83"/>
        <v>9.8849999999999945</v>
      </c>
      <c r="Z171" s="858">
        <f t="shared" si="83"/>
        <v>48.424000000000063</v>
      </c>
      <c r="AA171" s="402">
        <f t="shared" si="83"/>
        <v>11.586999999999994</v>
      </c>
      <c r="AB171" s="402">
        <f t="shared" si="83"/>
        <v>7.6850000000000076</v>
      </c>
      <c r="AC171" s="402">
        <f t="shared" si="83"/>
        <v>6.0599999999999987</v>
      </c>
      <c r="AD171" s="402">
        <f t="shared" si="83"/>
        <v>-5.6529999999998504</v>
      </c>
      <c r="AE171" s="858">
        <f t="shared" si="83"/>
        <v>19.679000000000038</v>
      </c>
      <c r="AF171" s="402">
        <f t="shared" si="83"/>
        <v>3.2940000000000156</v>
      </c>
      <c r="AG171" s="402">
        <f t="shared" si="83"/>
        <v>14.024999999999999</v>
      </c>
      <c r="AH171" s="402">
        <f t="shared" si="83"/>
        <v>16.998999999999992</v>
      </c>
      <c r="AI171" s="402">
        <f t="shared" ref="AI171:BB171" si="84">AI167-SUM(AI169:AI170)</f>
        <v>12.485000000000147</v>
      </c>
      <c r="AJ171" s="858">
        <f t="shared" si="84"/>
        <v>46.803000000000068</v>
      </c>
      <c r="AK171" s="402">
        <f t="shared" si="84"/>
        <v>78.145999999999972</v>
      </c>
      <c r="AL171" s="402">
        <f t="shared" si="84"/>
        <v>6.7259999999999946</v>
      </c>
      <c r="AM171" s="402">
        <f t="shared" si="84"/>
        <v>1.210000000000014</v>
      </c>
      <c r="AN171" s="402">
        <f t="shared" si="84"/>
        <v>-34.065000000000055</v>
      </c>
      <c r="AO171" s="858">
        <f t="shared" si="84"/>
        <v>52.017000000000024</v>
      </c>
      <c r="AP171" s="402">
        <f t="shared" si="84"/>
        <v>-66.962999999999994</v>
      </c>
      <c r="AQ171" s="891">
        <f t="shared" si="84"/>
        <v>-23.579000000000001</v>
      </c>
      <c r="AR171" s="402">
        <f t="shared" si="84"/>
        <v>-3.4459075901639316</v>
      </c>
      <c r="AS171" s="402">
        <f t="shared" ca="1" si="84"/>
        <v>-0.60971701271721046</v>
      </c>
      <c r="AT171" s="858">
        <f t="shared" ca="1" si="84"/>
        <v>-94.59762460288114</v>
      </c>
      <c r="AU171" s="402">
        <f t="shared" ca="1" si="84"/>
        <v>9.6224058408561035</v>
      </c>
      <c r="AV171" s="402">
        <f t="shared" ca="1" si="84"/>
        <v>14.913088527267213</v>
      </c>
      <c r="AW171" s="402">
        <f t="shared" ca="1" si="84"/>
        <v>16.255691544529657</v>
      </c>
      <c r="AX171" s="402">
        <f t="shared" ca="1" si="84"/>
        <v>14.460509227292007</v>
      </c>
      <c r="AY171" s="858">
        <f t="shared" ca="1" si="84"/>
        <v>55.251695139945056</v>
      </c>
      <c r="AZ171" s="858">
        <f t="shared" ca="1" si="84"/>
        <v>46.142950733557086</v>
      </c>
      <c r="BA171" s="858">
        <f t="shared" ca="1" si="84"/>
        <v>82.155841907990407</v>
      </c>
      <c r="BB171" s="858">
        <f t="shared" ca="1" si="84"/>
        <v>27.014261694265308</v>
      </c>
      <c r="BC171" s="363"/>
    </row>
    <row r="172" spans="1:55" s="23" customFormat="1" hidden="1" outlineLevel="1">
      <c r="A172" s="229" t="s">
        <v>122</v>
      </c>
      <c r="B172" s="132"/>
      <c r="C172" s="885"/>
      <c r="D172" s="885"/>
      <c r="E172" s="885"/>
      <c r="F172" s="885"/>
      <c r="G172" s="436"/>
      <c r="H172" s="436"/>
      <c r="I172" s="436"/>
      <c r="J172" s="436"/>
      <c r="K172" s="885"/>
      <c r="L172" s="436"/>
      <c r="M172" s="436"/>
      <c r="N172" s="436"/>
      <c r="O172" s="436"/>
      <c r="P172" s="885"/>
      <c r="Q172" s="436"/>
      <c r="R172" s="436"/>
      <c r="S172" s="436"/>
      <c r="T172" s="436"/>
      <c r="U172" s="885"/>
      <c r="V172" s="436"/>
      <c r="W172" s="436"/>
      <c r="X172" s="436"/>
      <c r="Y172" s="436"/>
      <c r="Z172" s="885"/>
      <c r="AA172" s="436"/>
      <c r="AB172" s="436"/>
      <c r="AC172" s="436"/>
      <c r="AD172" s="436"/>
      <c r="AE172" s="885"/>
      <c r="AF172" s="436"/>
      <c r="AG172" s="436"/>
      <c r="AH172" s="436"/>
      <c r="AI172" s="436"/>
      <c r="AJ172" s="885"/>
      <c r="AK172" s="436"/>
      <c r="AL172" s="436"/>
      <c r="AM172" s="436"/>
      <c r="AN172" s="436"/>
      <c r="AO172" s="885"/>
      <c r="AP172" s="436"/>
      <c r="AQ172" s="886"/>
      <c r="AR172" s="855"/>
      <c r="AS172" s="855"/>
      <c r="AT172" s="885">
        <f>SUM(AP172,AQ172,AR172,AS172)</f>
        <v>0</v>
      </c>
      <c r="AU172" s="855"/>
      <c r="AV172" s="855"/>
      <c r="AW172" s="855"/>
      <c r="AX172" s="855"/>
      <c r="AY172" s="885">
        <f>SUM(AU172,AV172,AW172,AX172)</f>
        <v>0</v>
      </c>
      <c r="AZ172" s="870"/>
      <c r="BA172" s="870"/>
      <c r="BB172" s="870"/>
      <c r="BC172" s="362"/>
    </row>
    <row r="173" spans="1:55" s="23" customFormat="1" hidden="1" outlineLevel="1">
      <c r="A173" s="229" t="s">
        <v>99</v>
      </c>
      <c r="B173" s="132"/>
      <c r="C173" s="885"/>
      <c r="D173" s="885"/>
      <c r="E173" s="885"/>
      <c r="F173" s="885"/>
      <c r="G173" s="436"/>
      <c r="H173" s="436"/>
      <c r="I173" s="436"/>
      <c r="J173" s="436"/>
      <c r="K173" s="885"/>
      <c r="L173" s="436"/>
      <c r="M173" s="436"/>
      <c r="N173" s="436"/>
      <c r="O173" s="436"/>
      <c r="P173" s="885"/>
      <c r="Q173" s="436"/>
      <c r="R173" s="436"/>
      <c r="S173" s="436"/>
      <c r="T173" s="436"/>
      <c r="U173" s="885"/>
      <c r="V173" s="436"/>
      <c r="W173" s="436"/>
      <c r="X173" s="436"/>
      <c r="Y173" s="436"/>
      <c r="Z173" s="885"/>
      <c r="AA173" s="436"/>
      <c r="AB173" s="436"/>
      <c r="AC173" s="436"/>
      <c r="AD173" s="436"/>
      <c r="AE173" s="885"/>
      <c r="AF173" s="436"/>
      <c r="AG173" s="436"/>
      <c r="AH173" s="436"/>
      <c r="AI173" s="436"/>
      <c r="AJ173" s="885"/>
      <c r="AK173" s="436"/>
      <c r="AL173" s="436"/>
      <c r="AM173" s="436"/>
      <c r="AN173" s="436"/>
      <c r="AO173" s="885"/>
      <c r="AP173" s="436"/>
      <c r="AQ173" s="886"/>
      <c r="AR173" s="855"/>
      <c r="AS173" s="855"/>
      <c r="AT173" s="885">
        <f>SUM(AP173,AQ173,AR173,AS173)</f>
        <v>0</v>
      </c>
      <c r="AU173" s="855"/>
      <c r="AV173" s="855"/>
      <c r="AW173" s="855"/>
      <c r="AX173" s="855"/>
      <c r="AY173" s="885">
        <f>SUM(AU173,AV173,AW173,AX173)</f>
        <v>0</v>
      </c>
      <c r="AZ173" s="870"/>
      <c r="BA173" s="870"/>
      <c r="BB173" s="870"/>
      <c r="BC173" s="362"/>
    </row>
    <row r="174" spans="1:55" s="23" customFormat="1" hidden="1" outlineLevel="1">
      <c r="A174" s="229" t="s">
        <v>101</v>
      </c>
      <c r="B174" s="132"/>
      <c r="C174" s="885"/>
      <c r="D174" s="885"/>
      <c r="E174" s="885"/>
      <c r="F174" s="885"/>
      <c r="G174" s="436"/>
      <c r="H174" s="436"/>
      <c r="I174" s="436"/>
      <c r="J174" s="436"/>
      <c r="K174" s="885"/>
      <c r="L174" s="436"/>
      <c r="M174" s="436"/>
      <c r="N174" s="436"/>
      <c r="O174" s="436"/>
      <c r="P174" s="885"/>
      <c r="Q174" s="436"/>
      <c r="R174" s="436"/>
      <c r="S174" s="436"/>
      <c r="T174" s="436"/>
      <c r="U174" s="885"/>
      <c r="V174" s="436"/>
      <c r="W174" s="436"/>
      <c r="X174" s="436"/>
      <c r="Y174" s="436"/>
      <c r="Z174" s="885"/>
      <c r="AA174" s="436"/>
      <c r="AB174" s="436"/>
      <c r="AC174" s="436"/>
      <c r="AD174" s="436"/>
      <c r="AE174" s="885"/>
      <c r="AF174" s="436"/>
      <c r="AG174" s="436"/>
      <c r="AH174" s="436"/>
      <c r="AI174" s="436"/>
      <c r="AJ174" s="885"/>
      <c r="AK174" s="436"/>
      <c r="AL174" s="436"/>
      <c r="AM174" s="436"/>
      <c r="AN174" s="436"/>
      <c r="AO174" s="885"/>
      <c r="AP174" s="436"/>
      <c r="AQ174" s="886"/>
      <c r="AR174" s="855"/>
      <c r="AS174" s="855"/>
      <c r="AT174" s="885">
        <f>SUM(AP174,AQ174,AR174,AS174)</f>
        <v>0</v>
      </c>
      <c r="AU174" s="855"/>
      <c r="AV174" s="855"/>
      <c r="AW174" s="855"/>
      <c r="AX174" s="855"/>
      <c r="AY174" s="885">
        <f>SUM(AU174,AV174,AW174,AX174)</f>
        <v>0</v>
      </c>
      <c r="AZ174" s="870"/>
      <c r="BA174" s="870"/>
      <c r="BB174" s="870"/>
      <c r="BC174" s="362"/>
    </row>
    <row r="175" spans="1:55" s="4" customFormat="1" hidden="1" outlineLevel="1">
      <c r="A175" s="430" t="s">
        <v>125</v>
      </c>
      <c r="B175" s="431"/>
      <c r="C175" s="916">
        <f t="shared" ref="C175:AH175" si="85">C171-SUM(C172:C174)</f>
        <v>-3.8019999999999934</v>
      </c>
      <c r="D175" s="916">
        <f t="shared" si="85"/>
        <v>14.947999999999979</v>
      </c>
      <c r="E175" s="916">
        <f t="shared" si="85"/>
        <v>21.591000000000019</v>
      </c>
      <c r="F175" s="916">
        <f t="shared" si="85"/>
        <v>21.874000000000034</v>
      </c>
      <c r="G175" s="430">
        <f t="shared" si="85"/>
        <v>8.5640000000000054</v>
      </c>
      <c r="H175" s="430">
        <f t="shared" si="85"/>
        <v>5.1579999999999995</v>
      </c>
      <c r="I175" s="430">
        <f t="shared" si="85"/>
        <v>7.1549999999999958</v>
      </c>
      <c r="J175" s="430">
        <f t="shared" si="85"/>
        <v>6.3890000000000065</v>
      </c>
      <c r="K175" s="916">
        <f t="shared" si="85"/>
        <v>27.266000000000005</v>
      </c>
      <c r="L175" s="430">
        <f t="shared" si="85"/>
        <v>7.5069999999999872</v>
      </c>
      <c r="M175" s="430">
        <f t="shared" si="85"/>
        <v>13.144</v>
      </c>
      <c r="N175" s="430">
        <f t="shared" si="85"/>
        <v>17.079999999999998</v>
      </c>
      <c r="O175" s="430">
        <f t="shared" si="85"/>
        <v>18.438999999999908</v>
      </c>
      <c r="P175" s="916">
        <f t="shared" si="85"/>
        <v>56.17</v>
      </c>
      <c r="Q175" s="430">
        <f t="shared" si="85"/>
        <v>10.683000000000003</v>
      </c>
      <c r="R175" s="430">
        <f t="shared" si="85"/>
        <v>17.690000000000023</v>
      </c>
      <c r="S175" s="430">
        <f t="shared" si="85"/>
        <v>24.694000000000024</v>
      </c>
      <c r="T175" s="430">
        <f t="shared" si="85"/>
        <v>13.907000000000064</v>
      </c>
      <c r="U175" s="916">
        <f t="shared" si="85"/>
        <v>66.974000000000018</v>
      </c>
      <c r="V175" s="430">
        <f t="shared" si="85"/>
        <v>11.48500000000001</v>
      </c>
      <c r="W175" s="430">
        <f t="shared" si="85"/>
        <v>14.979999999999986</v>
      </c>
      <c r="X175" s="430">
        <f t="shared" si="85"/>
        <v>12.073999999999987</v>
      </c>
      <c r="Y175" s="430">
        <f t="shared" si="85"/>
        <v>9.8849999999999945</v>
      </c>
      <c r="Z175" s="916">
        <f t="shared" si="85"/>
        <v>48.424000000000063</v>
      </c>
      <c r="AA175" s="430">
        <f t="shared" si="85"/>
        <v>11.586999999999994</v>
      </c>
      <c r="AB175" s="430">
        <f t="shared" si="85"/>
        <v>7.6850000000000076</v>
      </c>
      <c r="AC175" s="430">
        <f t="shared" si="85"/>
        <v>6.0599999999999987</v>
      </c>
      <c r="AD175" s="430">
        <f t="shared" si="85"/>
        <v>-5.6529999999998504</v>
      </c>
      <c r="AE175" s="916">
        <f t="shared" si="85"/>
        <v>19.679000000000038</v>
      </c>
      <c r="AF175" s="430">
        <f t="shared" si="85"/>
        <v>3.2940000000000156</v>
      </c>
      <c r="AG175" s="430">
        <f t="shared" si="85"/>
        <v>14.024999999999999</v>
      </c>
      <c r="AH175" s="430">
        <f t="shared" si="85"/>
        <v>16.998999999999992</v>
      </c>
      <c r="AI175" s="430">
        <f t="shared" ref="AI175:BB175" si="86">AI171-SUM(AI172:AI174)</f>
        <v>12.485000000000147</v>
      </c>
      <c r="AJ175" s="916">
        <f t="shared" si="86"/>
        <v>46.803000000000068</v>
      </c>
      <c r="AK175" s="430">
        <f t="shared" si="86"/>
        <v>78.145999999999972</v>
      </c>
      <c r="AL175" s="430">
        <f t="shared" si="86"/>
        <v>6.7259999999999946</v>
      </c>
      <c r="AM175" s="430">
        <f t="shared" si="86"/>
        <v>1.210000000000014</v>
      </c>
      <c r="AN175" s="430">
        <f t="shared" si="86"/>
        <v>-34.065000000000055</v>
      </c>
      <c r="AO175" s="916">
        <f t="shared" si="86"/>
        <v>52.017000000000024</v>
      </c>
      <c r="AP175" s="430">
        <f t="shared" si="86"/>
        <v>-66.962999999999994</v>
      </c>
      <c r="AQ175" s="917">
        <f t="shared" si="86"/>
        <v>-23.579000000000001</v>
      </c>
      <c r="AR175" s="430">
        <f t="shared" si="86"/>
        <v>-3.4459075901639316</v>
      </c>
      <c r="AS175" s="430">
        <f t="shared" ca="1" si="86"/>
        <v>-0.60971701271721046</v>
      </c>
      <c r="AT175" s="916">
        <f t="shared" ca="1" si="86"/>
        <v>-94.59762460288114</v>
      </c>
      <c r="AU175" s="430">
        <f t="shared" ca="1" si="86"/>
        <v>9.6224058408561035</v>
      </c>
      <c r="AV175" s="430">
        <f t="shared" ca="1" si="86"/>
        <v>14.913088527267213</v>
      </c>
      <c r="AW175" s="430">
        <f t="shared" ca="1" si="86"/>
        <v>16.255691544529657</v>
      </c>
      <c r="AX175" s="430">
        <f t="shared" ca="1" si="86"/>
        <v>14.460509227292007</v>
      </c>
      <c r="AY175" s="916">
        <f t="shared" ca="1" si="86"/>
        <v>55.251695139945056</v>
      </c>
      <c r="AZ175" s="916">
        <f t="shared" ca="1" si="86"/>
        <v>46.142950733557086</v>
      </c>
      <c r="BA175" s="916">
        <f t="shared" ca="1" si="86"/>
        <v>82.155841907990407</v>
      </c>
      <c r="BB175" s="916">
        <f t="shared" ca="1" si="86"/>
        <v>27.014261694265308</v>
      </c>
      <c r="BC175" s="363"/>
    </row>
    <row r="176" spans="1:55" s="23" customFormat="1" hidden="1" outlineLevel="1">
      <c r="A176" s="229" t="s">
        <v>126</v>
      </c>
      <c r="B176" s="132"/>
      <c r="C176" s="885"/>
      <c r="D176" s="885"/>
      <c r="E176" s="885"/>
      <c r="F176" s="885"/>
      <c r="G176" s="436"/>
      <c r="H176" s="436"/>
      <c r="I176" s="436"/>
      <c r="J176" s="436"/>
      <c r="K176" s="885"/>
      <c r="L176" s="436"/>
      <c r="M176" s="436"/>
      <c r="N176" s="436"/>
      <c r="O176" s="436"/>
      <c r="P176" s="885"/>
      <c r="Q176" s="436"/>
      <c r="R176" s="436"/>
      <c r="S176" s="436"/>
      <c r="T176" s="436"/>
      <c r="U176" s="885"/>
      <c r="V176" s="436"/>
      <c r="W176" s="436"/>
      <c r="X176" s="436"/>
      <c r="Y176" s="436"/>
      <c r="Z176" s="885"/>
      <c r="AA176" s="436"/>
      <c r="AB176" s="436"/>
      <c r="AC176" s="436"/>
      <c r="AD176" s="436"/>
      <c r="AE176" s="885"/>
      <c r="AF176" s="436"/>
      <c r="AG176" s="436"/>
      <c r="AH176" s="436"/>
      <c r="AI176" s="436"/>
      <c r="AJ176" s="885"/>
      <c r="AK176" s="436"/>
      <c r="AL176" s="436"/>
      <c r="AM176" s="436"/>
      <c r="AN176" s="436"/>
      <c r="AO176" s="885"/>
      <c r="AP176" s="436"/>
      <c r="AQ176" s="886"/>
      <c r="AR176" s="855"/>
      <c r="AS176" s="855"/>
      <c r="AT176" s="885">
        <f>SUM(AP176,AQ176,AR176,AS176)</f>
        <v>0</v>
      </c>
      <c r="AU176" s="855"/>
      <c r="AV176" s="855"/>
      <c r="AW176" s="855"/>
      <c r="AX176" s="855"/>
      <c r="AY176" s="885">
        <f>SUM(AU176,AV176,AW176,AX176)</f>
        <v>0</v>
      </c>
      <c r="AZ176" s="870"/>
      <c r="BA176" s="870"/>
      <c r="BB176" s="870"/>
      <c r="BC176" s="362"/>
    </row>
    <row r="177" spans="1:55" s="4" customFormat="1" hidden="1" outlineLevel="1">
      <c r="A177" s="430" t="s">
        <v>127</v>
      </c>
      <c r="B177" s="431"/>
      <c r="C177" s="916">
        <f t="shared" ref="C177:AH177" si="87">C175-C176</f>
        <v>-3.8019999999999934</v>
      </c>
      <c r="D177" s="916">
        <f t="shared" si="87"/>
        <v>14.947999999999979</v>
      </c>
      <c r="E177" s="916">
        <f t="shared" si="87"/>
        <v>21.591000000000019</v>
      </c>
      <c r="F177" s="916">
        <f t="shared" si="87"/>
        <v>21.874000000000034</v>
      </c>
      <c r="G177" s="430">
        <f t="shared" si="87"/>
        <v>8.5640000000000054</v>
      </c>
      <c r="H177" s="430">
        <f t="shared" si="87"/>
        <v>5.1579999999999995</v>
      </c>
      <c r="I177" s="430">
        <f t="shared" si="87"/>
        <v>7.1549999999999958</v>
      </c>
      <c r="J177" s="430">
        <f t="shared" si="87"/>
        <v>6.3890000000000065</v>
      </c>
      <c r="K177" s="916">
        <f t="shared" si="87"/>
        <v>27.266000000000005</v>
      </c>
      <c r="L177" s="430">
        <f t="shared" si="87"/>
        <v>7.5069999999999872</v>
      </c>
      <c r="M177" s="430">
        <f t="shared" si="87"/>
        <v>13.144</v>
      </c>
      <c r="N177" s="430">
        <f t="shared" si="87"/>
        <v>17.079999999999998</v>
      </c>
      <c r="O177" s="430">
        <f t="shared" si="87"/>
        <v>18.438999999999908</v>
      </c>
      <c r="P177" s="916">
        <f t="shared" si="87"/>
        <v>56.17</v>
      </c>
      <c r="Q177" s="430">
        <f t="shared" si="87"/>
        <v>10.683000000000003</v>
      </c>
      <c r="R177" s="430">
        <f t="shared" si="87"/>
        <v>17.690000000000023</v>
      </c>
      <c r="S177" s="430">
        <f t="shared" si="87"/>
        <v>24.694000000000024</v>
      </c>
      <c r="T177" s="430">
        <f t="shared" si="87"/>
        <v>13.907000000000064</v>
      </c>
      <c r="U177" s="916">
        <f t="shared" si="87"/>
        <v>66.974000000000018</v>
      </c>
      <c r="V177" s="430">
        <f t="shared" si="87"/>
        <v>11.48500000000001</v>
      </c>
      <c r="W177" s="430">
        <f t="shared" si="87"/>
        <v>14.979999999999986</v>
      </c>
      <c r="X177" s="430">
        <f t="shared" si="87"/>
        <v>12.073999999999987</v>
      </c>
      <c r="Y177" s="430">
        <f t="shared" si="87"/>
        <v>9.8849999999999945</v>
      </c>
      <c r="Z177" s="916">
        <f t="shared" si="87"/>
        <v>48.424000000000063</v>
      </c>
      <c r="AA177" s="430">
        <f t="shared" si="87"/>
        <v>11.586999999999994</v>
      </c>
      <c r="AB177" s="430">
        <f t="shared" si="87"/>
        <v>7.6850000000000076</v>
      </c>
      <c r="AC177" s="430">
        <f t="shared" si="87"/>
        <v>6.0599999999999987</v>
      </c>
      <c r="AD177" s="430">
        <f t="shared" si="87"/>
        <v>-5.6529999999998504</v>
      </c>
      <c r="AE177" s="916">
        <f t="shared" si="87"/>
        <v>19.679000000000038</v>
      </c>
      <c r="AF177" s="430">
        <f t="shared" si="87"/>
        <v>3.2940000000000156</v>
      </c>
      <c r="AG177" s="430">
        <f t="shared" si="87"/>
        <v>14.024999999999999</v>
      </c>
      <c r="AH177" s="430">
        <f t="shared" si="87"/>
        <v>16.998999999999992</v>
      </c>
      <c r="AI177" s="430">
        <f t="shared" ref="AI177:BB177" si="88">AI175-AI176</f>
        <v>12.485000000000147</v>
      </c>
      <c r="AJ177" s="916">
        <f t="shared" si="88"/>
        <v>46.803000000000068</v>
      </c>
      <c r="AK177" s="430">
        <f t="shared" si="88"/>
        <v>78.145999999999972</v>
      </c>
      <c r="AL177" s="430">
        <f t="shared" si="88"/>
        <v>6.7259999999999946</v>
      </c>
      <c r="AM177" s="430">
        <f t="shared" si="88"/>
        <v>1.210000000000014</v>
      </c>
      <c r="AN177" s="430">
        <f t="shared" si="88"/>
        <v>-34.065000000000055</v>
      </c>
      <c r="AO177" s="916">
        <f t="shared" si="88"/>
        <v>52.017000000000024</v>
      </c>
      <c r="AP177" s="430">
        <f t="shared" si="88"/>
        <v>-66.962999999999994</v>
      </c>
      <c r="AQ177" s="917">
        <f t="shared" si="88"/>
        <v>-23.579000000000001</v>
      </c>
      <c r="AR177" s="430">
        <f t="shared" si="88"/>
        <v>-3.4459075901639316</v>
      </c>
      <c r="AS177" s="430">
        <f t="shared" ca="1" si="88"/>
        <v>-0.60971701271721046</v>
      </c>
      <c r="AT177" s="916">
        <f t="shared" ca="1" si="88"/>
        <v>-94.59762460288114</v>
      </c>
      <c r="AU177" s="430">
        <f t="shared" ca="1" si="88"/>
        <v>9.6224058408561035</v>
      </c>
      <c r="AV177" s="430">
        <f t="shared" ca="1" si="88"/>
        <v>14.913088527267213</v>
      </c>
      <c r="AW177" s="430">
        <f t="shared" ca="1" si="88"/>
        <v>16.255691544529657</v>
      </c>
      <c r="AX177" s="430">
        <f t="shared" ca="1" si="88"/>
        <v>14.460509227292007</v>
      </c>
      <c r="AY177" s="916">
        <f t="shared" ca="1" si="88"/>
        <v>55.251695139945056</v>
      </c>
      <c r="AZ177" s="916">
        <f t="shared" ca="1" si="88"/>
        <v>46.142950733557086</v>
      </c>
      <c r="BA177" s="916">
        <f t="shared" ca="1" si="88"/>
        <v>82.155841907990407</v>
      </c>
      <c r="BB177" s="916">
        <f t="shared" ca="1" si="88"/>
        <v>27.014261694265308</v>
      </c>
      <c r="BC177" s="363"/>
    </row>
    <row r="178" spans="1:55" s="23" customFormat="1" ht="14.45" customHeight="1" collapsed="1">
      <c r="A178" s="229" t="s">
        <v>121</v>
      </c>
      <c r="B178" s="132"/>
      <c r="C178" s="885"/>
      <c r="D178" s="885"/>
      <c r="E178" s="885"/>
      <c r="F178" s="885"/>
      <c r="G178" s="436"/>
      <c r="H178" s="436"/>
      <c r="I178" s="436"/>
      <c r="J178" s="436"/>
      <c r="K178" s="885"/>
      <c r="L178" s="436"/>
      <c r="M178" s="436"/>
      <c r="N178" s="436"/>
      <c r="O178" s="436"/>
      <c r="P178" s="885"/>
      <c r="Q178" s="436"/>
      <c r="R178" s="436"/>
      <c r="S178" s="436"/>
      <c r="T178" s="436"/>
      <c r="U178" s="885"/>
      <c r="V178" s="436"/>
      <c r="W178" s="436"/>
      <c r="X178" s="436"/>
      <c r="Y178" s="436"/>
      <c r="Z178" s="885"/>
      <c r="AA178" s="436"/>
      <c r="AB178" s="436"/>
      <c r="AC178" s="436"/>
      <c r="AD178" s="436"/>
      <c r="AE178" s="885"/>
      <c r="AF178" s="436"/>
      <c r="AG178" s="436"/>
      <c r="AH178" s="436"/>
      <c r="AI178" s="436"/>
      <c r="AJ178" s="885"/>
      <c r="AK178" s="436">
        <f t="shared" ref="AK178:AQ178" si="89">-SUM(AK130:AK133)</f>
        <v>62.039000000000001</v>
      </c>
      <c r="AL178" s="436">
        <f t="shared" si="89"/>
        <v>0.38700000000000001</v>
      </c>
      <c r="AM178" s="436">
        <f t="shared" si="89"/>
        <v>1.161</v>
      </c>
      <c r="AN178" s="436">
        <f t="shared" si="89"/>
        <v>-39.843000000000004</v>
      </c>
      <c r="AO178" s="885">
        <f t="shared" si="89"/>
        <v>22.400999999999996</v>
      </c>
      <c r="AP178" s="436">
        <f t="shared" si="89"/>
        <v>0</v>
      </c>
      <c r="AQ178" s="886">
        <f t="shared" si="89"/>
        <v>0</v>
      </c>
      <c r="AR178" s="855">
        <v>0</v>
      </c>
      <c r="AS178" s="855">
        <v>0</v>
      </c>
      <c r="AT178" s="885">
        <f>SUM(AP178,AQ178,AR178,AS178)</f>
        <v>0</v>
      </c>
      <c r="AU178" s="855">
        <v>0</v>
      </c>
      <c r="AV178" s="855">
        <v>0</v>
      </c>
      <c r="AW178" s="855">
        <v>0</v>
      </c>
      <c r="AX178" s="855">
        <v>0</v>
      </c>
      <c r="AY178" s="885">
        <f>SUM(AU178,AV178,AW178,AX178)</f>
        <v>0</v>
      </c>
      <c r="AZ178" s="870">
        <v>0</v>
      </c>
      <c r="BA178" s="870">
        <v>0</v>
      </c>
      <c r="BB178" s="870">
        <v>0</v>
      </c>
      <c r="BC178" s="362"/>
    </row>
    <row r="179" spans="1:55" s="23" customFormat="1" ht="14.45" customHeight="1">
      <c r="A179" s="229" t="s">
        <v>128</v>
      </c>
      <c r="B179" s="132"/>
      <c r="C179" s="887"/>
      <c r="D179" s="887"/>
      <c r="E179" s="887"/>
      <c r="F179" s="887"/>
      <c r="G179" s="888"/>
      <c r="H179" s="888"/>
      <c r="I179" s="888"/>
      <c r="J179" s="888"/>
      <c r="K179" s="887"/>
      <c r="L179" s="888"/>
      <c r="M179" s="888"/>
      <c r="N179" s="888"/>
      <c r="O179" s="888"/>
      <c r="P179" s="887"/>
      <c r="Q179" s="888"/>
      <c r="R179" s="888"/>
      <c r="S179" s="888"/>
      <c r="T179" s="888"/>
      <c r="U179" s="887"/>
      <c r="V179" s="888"/>
      <c r="W179" s="888"/>
      <c r="X179" s="888"/>
      <c r="Y179" s="888"/>
      <c r="Z179" s="887"/>
      <c r="AA179" s="888"/>
      <c r="AB179" s="888"/>
      <c r="AC179" s="888"/>
      <c r="AD179" s="888"/>
      <c r="AE179" s="887"/>
      <c r="AF179" s="888"/>
      <c r="AG179" s="888"/>
      <c r="AH179" s="888"/>
      <c r="AI179" s="888"/>
      <c r="AJ179" s="887"/>
      <c r="AK179" s="888"/>
      <c r="AL179" s="888"/>
      <c r="AM179" s="888"/>
      <c r="AN179" s="888"/>
      <c r="AO179" s="887"/>
      <c r="AP179" s="888"/>
      <c r="AQ179" s="889"/>
      <c r="AR179" s="890"/>
      <c r="AS179" s="890"/>
      <c r="AT179" s="887">
        <f>SUM(AP179,AQ179,AR179,AS179)</f>
        <v>0</v>
      </c>
      <c r="AU179" s="890"/>
      <c r="AV179" s="890"/>
      <c r="AW179" s="890"/>
      <c r="AX179" s="890"/>
      <c r="AY179" s="887">
        <f>SUM(AU179,AV179,AW179,AX179)</f>
        <v>0</v>
      </c>
      <c r="AZ179" s="872"/>
      <c r="BA179" s="872"/>
      <c r="BB179" s="872"/>
      <c r="BC179" s="362"/>
    </row>
    <row r="180" spans="1:55" s="4" customFormat="1" ht="14.45" customHeight="1">
      <c r="A180" s="430" t="s">
        <v>123</v>
      </c>
      <c r="B180" s="431"/>
      <c r="C180" s="916">
        <f t="shared" ref="C180:AH180" si="90">C175-SUM(C178:C179)</f>
        <v>-3.8019999999999934</v>
      </c>
      <c r="D180" s="916">
        <f t="shared" si="90"/>
        <v>14.947999999999979</v>
      </c>
      <c r="E180" s="916">
        <f t="shared" si="90"/>
        <v>21.591000000000019</v>
      </c>
      <c r="F180" s="916">
        <f t="shared" si="90"/>
        <v>21.874000000000034</v>
      </c>
      <c r="G180" s="430">
        <f t="shared" si="90"/>
        <v>8.5640000000000054</v>
      </c>
      <c r="H180" s="430">
        <f t="shared" si="90"/>
        <v>5.1579999999999995</v>
      </c>
      <c r="I180" s="430">
        <f t="shared" si="90"/>
        <v>7.1549999999999958</v>
      </c>
      <c r="J180" s="430">
        <f t="shared" si="90"/>
        <v>6.3890000000000065</v>
      </c>
      <c r="K180" s="916">
        <f t="shared" si="90"/>
        <v>27.266000000000005</v>
      </c>
      <c r="L180" s="430">
        <f t="shared" si="90"/>
        <v>7.5069999999999872</v>
      </c>
      <c r="M180" s="430">
        <f t="shared" si="90"/>
        <v>13.144</v>
      </c>
      <c r="N180" s="430">
        <f t="shared" si="90"/>
        <v>17.079999999999998</v>
      </c>
      <c r="O180" s="430">
        <f t="shared" si="90"/>
        <v>18.438999999999908</v>
      </c>
      <c r="P180" s="916">
        <f t="shared" si="90"/>
        <v>56.17</v>
      </c>
      <c r="Q180" s="430">
        <f t="shared" si="90"/>
        <v>10.683000000000003</v>
      </c>
      <c r="R180" s="430">
        <f t="shared" si="90"/>
        <v>17.690000000000023</v>
      </c>
      <c r="S180" s="430">
        <f t="shared" si="90"/>
        <v>24.694000000000024</v>
      </c>
      <c r="T180" s="430">
        <f t="shared" si="90"/>
        <v>13.907000000000064</v>
      </c>
      <c r="U180" s="916">
        <f t="shared" si="90"/>
        <v>66.974000000000018</v>
      </c>
      <c r="V180" s="430">
        <f t="shared" si="90"/>
        <v>11.48500000000001</v>
      </c>
      <c r="W180" s="430">
        <f t="shared" si="90"/>
        <v>14.979999999999986</v>
      </c>
      <c r="X180" s="430">
        <f t="shared" si="90"/>
        <v>12.073999999999987</v>
      </c>
      <c r="Y180" s="430">
        <f t="shared" si="90"/>
        <v>9.8849999999999945</v>
      </c>
      <c r="Z180" s="916">
        <f t="shared" si="90"/>
        <v>48.424000000000063</v>
      </c>
      <c r="AA180" s="430">
        <f t="shared" si="90"/>
        <v>11.586999999999994</v>
      </c>
      <c r="AB180" s="430">
        <f t="shared" si="90"/>
        <v>7.6850000000000076</v>
      </c>
      <c r="AC180" s="430">
        <f t="shared" si="90"/>
        <v>6.0599999999999987</v>
      </c>
      <c r="AD180" s="430">
        <f t="shared" si="90"/>
        <v>-5.6529999999998504</v>
      </c>
      <c r="AE180" s="916">
        <f t="shared" si="90"/>
        <v>19.679000000000038</v>
      </c>
      <c r="AF180" s="430">
        <f t="shared" si="90"/>
        <v>3.2940000000000156</v>
      </c>
      <c r="AG180" s="430">
        <f t="shared" si="90"/>
        <v>14.024999999999999</v>
      </c>
      <c r="AH180" s="430">
        <f t="shared" si="90"/>
        <v>16.998999999999992</v>
      </c>
      <c r="AI180" s="430">
        <f t="shared" ref="AI180:BB180" si="91">AI175-SUM(AI178:AI179)</f>
        <v>12.485000000000147</v>
      </c>
      <c r="AJ180" s="916">
        <f t="shared" si="91"/>
        <v>46.803000000000068</v>
      </c>
      <c r="AK180" s="430">
        <f t="shared" si="91"/>
        <v>16.106999999999971</v>
      </c>
      <c r="AL180" s="430">
        <f t="shared" si="91"/>
        <v>6.3389999999999951</v>
      </c>
      <c r="AM180" s="430">
        <f t="shared" si="91"/>
        <v>4.9000000000013921E-2</v>
      </c>
      <c r="AN180" s="430">
        <f t="shared" si="91"/>
        <v>5.777999999999949</v>
      </c>
      <c r="AO180" s="916">
        <f t="shared" si="91"/>
        <v>29.616000000000028</v>
      </c>
      <c r="AP180" s="430">
        <f t="shared" si="91"/>
        <v>-66.962999999999994</v>
      </c>
      <c r="AQ180" s="917">
        <f t="shared" si="91"/>
        <v>-23.579000000000001</v>
      </c>
      <c r="AR180" s="430">
        <f t="shared" si="91"/>
        <v>-3.4459075901639316</v>
      </c>
      <c r="AS180" s="430">
        <f t="shared" ca="1" si="91"/>
        <v>-0.60971701271721046</v>
      </c>
      <c r="AT180" s="916">
        <f t="shared" ca="1" si="91"/>
        <v>-94.59762460288114</v>
      </c>
      <c r="AU180" s="430">
        <f t="shared" ca="1" si="91"/>
        <v>9.6224058408561035</v>
      </c>
      <c r="AV180" s="430">
        <f t="shared" ca="1" si="91"/>
        <v>14.913088527267213</v>
      </c>
      <c r="AW180" s="430">
        <f t="shared" ca="1" si="91"/>
        <v>16.255691544529657</v>
      </c>
      <c r="AX180" s="430">
        <f t="shared" ca="1" si="91"/>
        <v>14.460509227292007</v>
      </c>
      <c r="AY180" s="916">
        <f t="shared" ca="1" si="91"/>
        <v>55.251695139945056</v>
      </c>
      <c r="AZ180" s="916">
        <f t="shared" ca="1" si="91"/>
        <v>46.142950733557086</v>
      </c>
      <c r="BA180" s="916">
        <f t="shared" ca="1" si="91"/>
        <v>82.155841907990407</v>
      </c>
      <c r="BB180" s="916">
        <f t="shared" ca="1" si="91"/>
        <v>27.014261694265308</v>
      </c>
      <c r="BC180" s="363"/>
    </row>
    <row r="181" spans="1:55" s="27" customFormat="1" ht="14.45" customHeight="1">
      <c r="A181" s="525"/>
      <c r="B181" s="526"/>
      <c r="C181" s="930"/>
      <c r="D181" s="930"/>
      <c r="E181" s="930"/>
      <c r="F181" s="930"/>
      <c r="G181" s="931"/>
      <c r="H181" s="931"/>
      <c r="I181" s="931"/>
      <c r="J181" s="931"/>
      <c r="K181" s="930"/>
      <c r="L181" s="931"/>
      <c r="M181" s="931"/>
      <c r="N181" s="931"/>
      <c r="O181" s="931"/>
      <c r="P181" s="930"/>
      <c r="Q181" s="931"/>
      <c r="R181" s="931"/>
      <c r="S181" s="931"/>
      <c r="T181" s="931"/>
      <c r="U181" s="930"/>
      <c r="V181" s="931"/>
      <c r="W181" s="931"/>
      <c r="X181" s="931"/>
      <c r="Y181" s="931"/>
      <c r="Z181" s="930"/>
      <c r="AA181" s="931"/>
      <c r="AB181" s="931"/>
      <c r="AC181" s="931"/>
      <c r="AD181" s="931"/>
      <c r="AE181" s="930"/>
      <c r="AF181" s="931"/>
      <c r="AG181" s="931"/>
      <c r="AH181" s="931"/>
      <c r="AI181" s="931"/>
      <c r="AJ181" s="930"/>
      <c r="AK181" s="931"/>
      <c r="AL181" s="931"/>
      <c r="AM181" s="931"/>
      <c r="AN181" s="931"/>
      <c r="AO181" s="930"/>
      <c r="AP181" s="931"/>
      <c r="AQ181" s="932"/>
      <c r="AR181" s="933"/>
      <c r="AS181" s="933"/>
      <c r="AT181" s="934"/>
      <c r="AU181" s="933"/>
      <c r="AV181" s="933"/>
      <c r="AW181" s="933"/>
      <c r="AX181" s="933"/>
      <c r="AY181" s="934"/>
      <c r="AZ181" s="934"/>
      <c r="BA181" s="934"/>
      <c r="BB181" s="934"/>
      <c r="BC181" s="364"/>
    </row>
    <row r="182" spans="1:55" s="25" customFormat="1" ht="14.45" customHeight="1">
      <c r="A182" s="230" t="s">
        <v>15</v>
      </c>
      <c r="B182" s="437"/>
      <c r="C182" s="898">
        <f t="shared" ref="C182:AQ182" si="92">C169/C167</f>
        <v>-0.51252259230570663</v>
      </c>
      <c r="D182" s="898">
        <f t="shared" si="92"/>
        <v>0.2517751614824319</v>
      </c>
      <c r="E182" s="898">
        <f t="shared" si="92"/>
        <v>0.24128898845424765</v>
      </c>
      <c r="F182" s="898">
        <f t="shared" si="92"/>
        <v>0.35629927492638408</v>
      </c>
      <c r="G182" s="935">
        <f t="shared" si="92"/>
        <v>0.11665437108078194</v>
      </c>
      <c r="H182" s="935">
        <f t="shared" si="92"/>
        <v>0.32236330655610262</v>
      </c>
      <c r="I182" s="935">
        <f t="shared" si="92"/>
        <v>0.33218572624918596</v>
      </c>
      <c r="J182" s="935">
        <f t="shared" si="92"/>
        <v>0.48798022916198563</v>
      </c>
      <c r="K182" s="898">
        <f t="shared" si="92"/>
        <v>0.30533092564968201</v>
      </c>
      <c r="L182" s="935">
        <f t="shared" si="92"/>
        <v>0.4080856334041052</v>
      </c>
      <c r="M182" s="935">
        <f t="shared" si="92"/>
        <v>0.43805842786868787</v>
      </c>
      <c r="N182" s="935">
        <f t="shared" si="92"/>
        <v>0.35036216446527479</v>
      </c>
      <c r="O182" s="935">
        <f t="shared" si="92"/>
        <v>0.247880054073984</v>
      </c>
      <c r="P182" s="898">
        <f t="shared" si="92"/>
        <v>0.34907151073861986</v>
      </c>
      <c r="Q182" s="935">
        <f t="shared" si="92"/>
        <v>0.34693501871510085</v>
      </c>
      <c r="R182" s="935">
        <f t="shared" si="92"/>
        <v>0.3657003401863626</v>
      </c>
      <c r="S182" s="935">
        <f t="shared" si="92"/>
        <v>0.30261654638169788</v>
      </c>
      <c r="T182" s="935">
        <f t="shared" si="92"/>
        <v>6.2339765213870947E-2</v>
      </c>
      <c r="U182" s="898">
        <f t="shared" si="92"/>
        <v>0.29056884635831998</v>
      </c>
      <c r="V182" s="935">
        <f t="shared" si="92"/>
        <v>0.33278827519379822</v>
      </c>
      <c r="W182" s="935">
        <f t="shared" si="92"/>
        <v>0.32878682440269102</v>
      </c>
      <c r="X182" s="935">
        <f t="shared" si="92"/>
        <v>0.41986359761295855</v>
      </c>
      <c r="Y182" s="935">
        <f t="shared" si="92"/>
        <v>0.39451594851706795</v>
      </c>
      <c r="Z182" s="898">
        <f t="shared" si="92"/>
        <v>0.36515228610888967</v>
      </c>
      <c r="AA182" s="935">
        <f t="shared" si="92"/>
        <v>0.28532696404363833</v>
      </c>
      <c r="AB182" s="935">
        <f t="shared" si="92"/>
        <v>0.27476582458132254</v>
      </c>
      <c r="AC182" s="935">
        <f t="shared" si="92"/>
        <v>0.34351145038167941</v>
      </c>
      <c r="AD182" s="935">
        <f t="shared" si="92"/>
        <v>-5.2702007205353313E-2</v>
      </c>
      <c r="AE182" s="898">
        <f t="shared" si="92"/>
        <v>0.43239566243847721</v>
      </c>
      <c r="AF182" s="935">
        <f t="shared" si="92"/>
        <v>0.44829342842587688</v>
      </c>
      <c r="AG182" s="935">
        <f t="shared" si="92"/>
        <v>0.14812012571295544</v>
      </c>
      <c r="AH182" s="935">
        <f t="shared" si="92"/>
        <v>-2.5609756097560991E-2</v>
      </c>
      <c r="AI182" s="935">
        <f t="shared" si="92"/>
        <v>0.27273310247530846</v>
      </c>
      <c r="AJ182" s="898">
        <f t="shared" si="92"/>
        <v>0.15605753414176946</v>
      </c>
      <c r="AK182" s="935">
        <f t="shared" si="92"/>
        <v>0.25988415268082582</v>
      </c>
      <c r="AL182" s="935">
        <f t="shared" si="92"/>
        <v>0.23522083805209526</v>
      </c>
      <c r="AM182" s="935">
        <f t="shared" si="92"/>
        <v>0.56761363636363182</v>
      </c>
      <c r="AN182" s="935">
        <f t="shared" si="92"/>
        <v>-3.1144586664202188E-2</v>
      </c>
      <c r="AO182" s="898">
        <f t="shared" si="92"/>
        <v>0.44904323382574685</v>
      </c>
      <c r="AP182" s="935">
        <f t="shared" si="92"/>
        <v>6.2993489902853778E-2</v>
      </c>
      <c r="AQ182" s="936">
        <f t="shared" si="92"/>
        <v>4.9077747331397988E-4</v>
      </c>
      <c r="AR182" s="937">
        <v>0.05</v>
      </c>
      <c r="AS182" s="937">
        <v>0.05</v>
      </c>
      <c r="AT182" s="898">
        <f ca="1">AT169/AT167</f>
        <v>4.6833710682467833E-2</v>
      </c>
      <c r="AU182" s="937">
        <v>0.05</v>
      </c>
      <c r="AV182" s="937">
        <v>0.05</v>
      </c>
      <c r="AW182" s="937">
        <v>0.05</v>
      </c>
      <c r="AX182" s="937">
        <v>0.05</v>
      </c>
      <c r="AY182" s="898">
        <f ca="1">AY169/AY167</f>
        <v>4.9999999999999947E-2</v>
      </c>
      <c r="AZ182" s="938">
        <v>0.1</v>
      </c>
      <c r="BA182" s="938">
        <v>0.1</v>
      </c>
      <c r="BB182" s="938">
        <v>0.1</v>
      </c>
      <c r="BC182" s="45"/>
    </row>
    <row r="183" spans="1:55" s="25" customFormat="1" ht="14.45" customHeight="1">
      <c r="A183" s="230" t="s">
        <v>16</v>
      </c>
      <c r="B183" s="437"/>
      <c r="C183" s="898">
        <f t="shared" ref="C183:AQ183" si="93">C170/C167</f>
        <v>1.0216886134779248</v>
      </c>
      <c r="D183" s="898">
        <f t="shared" si="93"/>
        <v>6.3447707178524049E-2</v>
      </c>
      <c r="E183" s="898">
        <f t="shared" si="93"/>
        <v>1.457866620713423E-2</v>
      </c>
      <c r="F183" s="898">
        <f t="shared" si="93"/>
        <v>-4.8887059494031548E-2</v>
      </c>
      <c r="G183" s="935">
        <f t="shared" si="93"/>
        <v>9.3600147547030568E-2</v>
      </c>
      <c r="H183" s="935">
        <f t="shared" si="93"/>
        <v>9.3288416688261291E-3</v>
      </c>
      <c r="I183" s="935">
        <f t="shared" si="93"/>
        <v>2.0470829068577304E-3</v>
      </c>
      <c r="J183" s="935">
        <f t="shared" si="93"/>
        <v>-0.20568411592900457</v>
      </c>
      <c r="K183" s="898">
        <f t="shared" si="93"/>
        <v>-1.8895082567846951E-2</v>
      </c>
      <c r="L183" s="935">
        <f t="shared" si="93"/>
        <v>-7.2186836518046776E-2</v>
      </c>
      <c r="M183" s="935">
        <f t="shared" si="93"/>
        <v>-9.7831543017769307E-2</v>
      </c>
      <c r="N183" s="935">
        <f t="shared" si="93"/>
        <v>-7.8099701746910943E-2</v>
      </c>
      <c r="O183" s="935">
        <f t="shared" si="93"/>
        <v>-3.2362459546925581E-3</v>
      </c>
      <c r="P183" s="898">
        <f t="shared" si="93"/>
        <v>-5.912245439720884E-2</v>
      </c>
      <c r="Q183" s="935">
        <f t="shared" si="93"/>
        <v>-2.4544394673866351E-3</v>
      </c>
      <c r="R183" s="935">
        <f t="shared" si="93"/>
        <v>-1.9819553320514698E-2</v>
      </c>
      <c r="S183" s="935">
        <f t="shared" si="93"/>
        <v>9.2791261459581401E-3</v>
      </c>
      <c r="T183" s="935">
        <f t="shared" si="93"/>
        <v>-6.0720550532991299E-4</v>
      </c>
      <c r="U183" s="898">
        <f t="shared" si="93"/>
        <v>-2.6794258373205736E-3</v>
      </c>
      <c r="V183" s="935">
        <f t="shared" si="93"/>
        <v>-2.8343023255813934E-2</v>
      </c>
      <c r="W183" s="935">
        <f t="shared" si="93"/>
        <v>-2.3753189515193708E-2</v>
      </c>
      <c r="X183" s="935">
        <f t="shared" si="93"/>
        <v>-0.15509682133723068</v>
      </c>
      <c r="Y183" s="935">
        <f t="shared" si="93"/>
        <v>-8.5968102965864615E-2</v>
      </c>
      <c r="Z183" s="898">
        <f t="shared" si="93"/>
        <v>-6.9142981754742969E-2</v>
      </c>
      <c r="AA183" s="935">
        <f t="shared" si="93"/>
        <v>-3.3309663675682666E-2</v>
      </c>
      <c r="AB183" s="935">
        <f t="shared" si="93"/>
        <v>-1.8923266155738484E-3</v>
      </c>
      <c r="AC183" s="935">
        <f t="shared" si="93"/>
        <v>-4.4413601665510068E-2</v>
      </c>
      <c r="AD183" s="935">
        <f t="shared" si="93"/>
        <v>0.47081832218219971</v>
      </c>
      <c r="AE183" s="898">
        <f t="shared" si="93"/>
        <v>-0.21983914209115246</v>
      </c>
      <c r="AF183" s="935">
        <f t="shared" si="93"/>
        <v>-0.28731533367294837</v>
      </c>
      <c r="AG183" s="935">
        <f t="shared" si="93"/>
        <v>3.561867070189733E-2</v>
      </c>
      <c r="AH183" s="935">
        <f t="shared" si="93"/>
        <v>-6.5468549422336361E-2</v>
      </c>
      <c r="AI183" s="935">
        <f t="shared" si="93"/>
        <v>-7.3361549313837968E-2</v>
      </c>
      <c r="AJ183" s="898">
        <f t="shared" si="93"/>
        <v>-5.1260472055391852E-2</v>
      </c>
      <c r="AK183" s="935">
        <f t="shared" si="93"/>
        <v>-3.3645229961879311E-2</v>
      </c>
      <c r="AL183" s="935">
        <f t="shared" si="93"/>
        <v>3.0577576443941283E-3</v>
      </c>
      <c r="AM183" s="935">
        <f t="shared" si="93"/>
        <v>-0.25511363636363427</v>
      </c>
      <c r="AN183" s="935">
        <f t="shared" si="93"/>
        <v>0.24409685319532337</v>
      </c>
      <c r="AO183" s="898">
        <f t="shared" si="93"/>
        <v>-0.21060568349852854</v>
      </c>
      <c r="AP183" s="935">
        <f t="shared" si="93"/>
        <v>-2.9591350664722783E-2</v>
      </c>
      <c r="AQ183" s="936">
        <f t="shared" si="93"/>
        <v>3.5172385587501527E-2</v>
      </c>
      <c r="AR183" s="937">
        <v>0</v>
      </c>
      <c r="AS183" s="937">
        <v>0.05</v>
      </c>
      <c r="AT183" s="898">
        <f ca="1">AT170/AT167</f>
        <v>-1.179327332428674E-2</v>
      </c>
      <c r="AU183" s="937">
        <v>0</v>
      </c>
      <c r="AV183" s="937">
        <v>0</v>
      </c>
      <c r="AW183" s="937">
        <v>0</v>
      </c>
      <c r="AX183" s="937">
        <v>0</v>
      </c>
      <c r="AY183" s="898">
        <f ca="1">AY170/AY167</f>
        <v>0</v>
      </c>
      <c r="AZ183" s="938">
        <v>0</v>
      </c>
      <c r="BA183" s="938">
        <v>0</v>
      </c>
      <c r="BB183" s="938">
        <v>0</v>
      </c>
      <c r="BC183" s="45"/>
    </row>
    <row r="184" spans="1:55" s="23" customFormat="1" ht="14.45" customHeight="1">
      <c r="A184" s="520"/>
      <c r="B184" s="132"/>
      <c r="C184" s="885"/>
      <c r="D184" s="885"/>
      <c r="E184" s="885"/>
      <c r="F184" s="885"/>
      <c r="G184" s="436"/>
      <c r="H184" s="436"/>
      <c r="I184" s="436"/>
      <c r="J184" s="436"/>
      <c r="K184" s="885"/>
      <c r="L184" s="436"/>
      <c r="M184" s="436"/>
      <c r="N184" s="436"/>
      <c r="O184" s="436"/>
      <c r="P184" s="885"/>
      <c r="Q184" s="436"/>
      <c r="R184" s="436"/>
      <c r="S184" s="436"/>
      <c r="T184" s="436"/>
      <c r="U184" s="885"/>
      <c r="V184" s="436"/>
      <c r="W184" s="436"/>
      <c r="X184" s="436"/>
      <c r="Y184" s="436"/>
      <c r="Z184" s="885"/>
      <c r="AA184" s="436"/>
      <c r="AB184" s="436"/>
      <c r="AC184" s="436"/>
      <c r="AD184" s="436"/>
      <c r="AE184" s="885"/>
      <c r="AF184" s="436"/>
      <c r="AG184" s="436"/>
      <c r="AH184" s="436"/>
      <c r="AI184" s="436"/>
      <c r="AJ184" s="885"/>
      <c r="AK184" s="436"/>
      <c r="AL184" s="436"/>
      <c r="AM184" s="436"/>
      <c r="AN184" s="436"/>
      <c r="AO184" s="885"/>
      <c r="AP184" s="436"/>
      <c r="AQ184" s="886"/>
      <c r="AR184" s="855"/>
      <c r="AS184" s="855"/>
      <c r="AT184" s="870"/>
      <c r="AU184" s="855"/>
      <c r="AV184" s="855"/>
      <c r="AW184" s="855"/>
      <c r="AX184" s="855"/>
      <c r="AY184" s="870"/>
      <c r="AZ184" s="870"/>
      <c r="BA184" s="870"/>
      <c r="BB184" s="870"/>
      <c r="BC184" s="362"/>
    </row>
    <row r="185" spans="1:55" s="28" customFormat="1" ht="14.45" customHeight="1">
      <c r="A185" s="201" t="s">
        <v>17</v>
      </c>
      <c r="B185" s="438"/>
      <c r="C185" s="939">
        <f t="shared" ref="C185:AH185" si="94">C175/C190</f>
        <v>-0.13829527970056613</v>
      </c>
      <c r="D185" s="939">
        <f t="shared" si="94"/>
        <v>0.50355483165711856</v>
      </c>
      <c r="E185" s="939">
        <f t="shared" si="94"/>
        <v>0.72047210594019995</v>
      </c>
      <c r="F185" s="939">
        <f t="shared" si="94"/>
        <v>0.68489376225037535</v>
      </c>
      <c r="G185" s="940">
        <f t="shared" si="94"/>
        <v>0.34975373481773131</v>
      </c>
      <c r="H185" s="940">
        <f t="shared" si="94"/>
        <v>0.21044514574693135</v>
      </c>
      <c r="I185" s="940">
        <f t="shared" si="94"/>
        <v>0.25039194826282918</v>
      </c>
      <c r="J185" s="940">
        <f t="shared" si="94"/>
        <v>0.23755178807450639</v>
      </c>
      <c r="K185" s="939">
        <f t="shared" si="94"/>
        <v>0.8459242620733306</v>
      </c>
      <c r="L185" s="940">
        <f t="shared" si="94"/>
        <v>0.25655659829258415</v>
      </c>
      <c r="M185" s="940">
        <f t="shared" si="94"/>
        <v>0.44674660793430682</v>
      </c>
      <c r="N185" s="940">
        <f t="shared" si="94"/>
        <v>0.51372051859304335</v>
      </c>
      <c r="O185" s="940">
        <f t="shared" si="94"/>
        <v>0.58510156865757235</v>
      </c>
      <c r="P185" s="939">
        <f t="shared" si="94"/>
        <v>1.691841990331471</v>
      </c>
      <c r="Q185" s="940">
        <f t="shared" si="94"/>
        <v>0.31799422234591818</v>
      </c>
      <c r="R185" s="940">
        <f t="shared" si="94"/>
        <v>0.52566752197834099</v>
      </c>
      <c r="S185" s="940">
        <f t="shared" si="94"/>
        <v>0.73147034603695638</v>
      </c>
      <c r="T185" s="940">
        <f t="shared" si="94"/>
        <v>0.41062192829886873</v>
      </c>
      <c r="U185" s="939">
        <f t="shared" si="94"/>
        <v>1.9856208956551396</v>
      </c>
      <c r="V185" s="940">
        <f t="shared" si="94"/>
        <v>0.33898905406262997</v>
      </c>
      <c r="W185" s="940">
        <f t="shared" si="94"/>
        <v>0.44306418219461663</v>
      </c>
      <c r="X185" s="940">
        <f t="shared" si="94"/>
        <v>0.36297771598211226</v>
      </c>
      <c r="Y185" s="940">
        <f t="shared" si="94"/>
        <v>0.29626388315484309</v>
      </c>
      <c r="Z185" s="939">
        <f t="shared" si="94"/>
        <v>1.4438784105529807</v>
      </c>
      <c r="AA185" s="940">
        <f t="shared" si="94"/>
        <v>0.34621854765696652</v>
      </c>
      <c r="AB185" s="940">
        <f t="shared" si="94"/>
        <v>0.23114415605313482</v>
      </c>
      <c r="AC185" s="940">
        <f t="shared" si="94"/>
        <v>0.18605907836280292</v>
      </c>
      <c r="AD185" s="940">
        <f t="shared" si="94"/>
        <v>-0.17550259466289095</v>
      </c>
      <c r="AE185" s="939">
        <f t="shared" si="94"/>
        <v>0.59862079035344262</v>
      </c>
      <c r="AF185" s="940">
        <f t="shared" si="94"/>
        <v>0.10203939389715258</v>
      </c>
      <c r="AG185" s="940">
        <f t="shared" si="94"/>
        <v>0.43424077528620408</v>
      </c>
      <c r="AH185" s="940">
        <f t="shared" si="94"/>
        <v>0.52600798341430177</v>
      </c>
      <c r="AI185" s="940">
        <f t="shared" ref="AI185:BB185" si="95">AI175/AI190</f>
        <v>0.38406403425660934</v>
      </c>
      <c r="AJ185" s="939">
        <f t="shared" si="95"/>
        <v>1.446724985317303</v>
      </c>
      <c r="AK185" s="940">
        <f t="shared" si="95"/>
        <v>2.3957202857230442</v>
      </c>
      <c r="AL185" s="940">
        <f t="shared" si="95"/>
        <v>0.20590846471758747</v>
      </c>
      <c r="AM185" s="940">
        <f t="shared" si="95"/>
        <v>3.7855086972844891E-2</v>
      </c>
      <c r="AN185" s="940">
        <f t="shared" si="95"/>
        <v>-1.1037130637636099</v>
      </c>
      <c r="AO185" s="939">
        <f t="shared" si="95"/>
        <v>1.6241101536155871</v>
      </c>
      <c r="AP185" s="940">
        <f t="shared" si="95"/>
        <v>-2.1732061143024048</v>
      </c>
      <c r="AQ185" s="941">
        <f t="shared" si="95"/>
        <v>-0.76594984407484412</v>
      </c>
      <c r="AR185" s="940">
        <f t="shared" ca="1" si="95"/>
        <v>-0.11193826631249779</v>
      </c>
      <c r="AS185" s="940">
        <f t="shared" ca="1" si="95"/>
        <v>-1.9806295891281526E-2</v>
      </c>
      <c r="AT185" s="939">
        <f t="shared" ca="1" si="95"/>
        <v>-3.0722242391225154</v>
      </c>
      <c r="AU185" s="940">
        <f t="shared" ca="1" si="95"/>
        <v>0.31257815231471231</v>
      </c>
      <c r="AV185" s="940">
        <f t="shared" ca="1" si="95"/>
        <v>0.48444284457079045</v>
      </c>
      <c r="AW185" s="940">
        <f t="shared" ca="1" si="95"/>
        <v>0.5280565080733387</v>
      </c>
      <c r="AX185" s="940">
        <f t="shared" ca="1" si="95"/>
        <v>0.469741074171388</v>
      </c>
      <c r="AY185" s="939">
        <f t="shared" ca="1" si="95"/>
        <v>1.7948185791302318</v>
      </c>
      <c r="AZ185" s="939">
        <f t="shared" ca="1" si="95"/>
        <v>1.4989264141618077</v>
      </c>
      <c r="BA185" s="939">
        <f t="shared" ca="1" si="95"/>
        <v>2.6687838457637216</v>
      </c>
      <c r="BB185" s="939">
        <f t="shared" ca="1" si="95"/>
        <v>0.87754228476693441</v>
      </c>
      <c r="BC185" s="57"/>
    </row>
    <row r="186" spans="1:55" s="28" customFormat="1" ht="14.45" customHeight="1">
      <c r="A186" s="201" t="s">
        <v>120</v>
      </c>
      <c r="B186" s="438"/>
      <c r="C186" s="939">
        <f t="shared" ref="C186:AH186" si="96">C177/C191</f>
        <v>-0.13829527970056613</v>
      </c>
      <c r="D186" s="939">
        <f t="shared" si="96"/>
        <v>0.49284374268465919</v>
      </c>
      <c r="E186" s="939">
        <f t="shared" si="96"/>
        <v>0.69670411936676824</v>
      </c>
      <c r="F186" s="939">
        <f t="shared" si="96"/>
        <v>0.65614093501733139</v>
      </c>
      <c r="G186" s="940">
        <f t="shared" si="96"/>
        <v>0.33679872107725273</v>
      </c>
      <c r="H186" s="940">
        <f t="shared" si="96"/>
        <v>0.20289592831377667</v>
      </c>
      <c r="I186" s="940">
        <f t="shared" si="96"/>
        <v>0.23965714457974577</v>
      </c>
      <c r="J186" s="940">
        <f t="shared" si="96"/>
        <v>0.21160358689442202</v>
      </c>
      <c r="K186" s="939">
        <f t="shared" si="96"/>
        <v>0.81099932332448466</v>
      </c>
      <c r="L186" s="940">
        <f t="shared" si="96"/>
        <v>0.24585063599565046</v>
      </c>
      <c r="M186" s="940">
        <f t="shared" si="96"/>
        <v>0.4306867592656306</v>
      </c>
      <c r="N186" s="940">
        <f t="shared" si="96"/>
        <v>0.49541925724818969</v>
      </c>
      <c r="O186" s="940">
        <f t="shared" si="96"/>
        <v>0.53496306697845264</v>
      </c>
      <c r="P186" s="939">
        <f t="shared" si="96"/>
        <v>1.6302352478511923</v>
      </c>
      <c r="Q186" s="940">
        <f t="shared" si="96"/>
        <v>0.30834683896144016</v>
      </c>
      <c r="R186" s="940">
        <f t="shared" si="96"/>
        <v>0.51032109264679015</v>
      </c>
      <c r="S186" s="940">
        <f t="shared" si="96"/>
        <v>0.71298746482919584</v>
      </c>
      <c r="T186" s="940">
        <f t="shared" si="96"/>
        <v>0.40060434883429707</v>
      </c>
      <c r="U186" s="939">
        <f t="shared" si="96"/>
        <v>1.9320658484412714</v>
      </c>
      <c r="V186" s="940">
        <f t="shared" si="96"/>
        <v>0.32961340380009702</v>
      </c>
      <c r="W186" s="940">
        <f t="shared" si="96"/>
        <v>0.43077108887601201</v>
      </c>
      <c r="X186" s="940">
        <f t="shared" si="96"/>
        <v>0.35222525613199807</v>
      </c>
      <c r="Y186" s="940">
        <f t="shared" si="96"/>
        <v>0.28900720105954675</v>
      </c>
      <c r="Z186" s="939">
        <f t="shared" si="96"/>
        <v>1.4020986310254588</v>
      </c>
      <c r="AA186" s="940">
        <f t="shared" si="96"/>
        <v>0.33382983811255179</v>
      </c>
      <c r="AB186" s="940">
        <f t="shared" si="96"/>
        <v>0.22209474212011637</v>
      </c>
      <c r="AC186" s="940">
        <f t="shared" si="96"/>
        <v>0.18170914542728636</v>
      </c>
      <c r="AD186" s="940">
        <f t="shared" si="96"/>
        <v>-0.17546500710022891</v>
      </c>
      <c r="AE186" s="939">
        <f t="shared" si="96"/>
        <v>0.58363485378729585</v>
      </c>
      <c r="AF186" s="940">
        <f t="shared" si="96"/>
        <v>9.9775248226521202E-2</v>
      </c>
      <c r="AG186" s="940">
        <f t="shared" si="96"/>
        <v>0.42412283686013014</v>
      </c>
      <c r="AH186" s="940">
        <f t="shared" si="96"/>
        <v>0.51560556886772391</v>
      </c>
      <c r="AI186" s="940">
        <f t="shared" ref="AI186:BB186" si="97">AI177/AI191</f>
        <v>0.37443018234165504</v>
      </c>
      <c r="AJ186" s="939">
        <f t="shared" si="97"/>
        <v>1.4124517141477566</v>
      </c>
      <c r="AK186" s="940">
        <f t="shared" si="97"/>
        <v>2.3528030348648152</v>
      </c>
      <c r="AL186" s="940">
        <f t="shared" si="97"/>
        <v>0.20274302938960045</v>
      </c>
      <c r="AM186" s="940">
        <f t="shared" si="97"/>
        <v>3.7135929779333214E-2</v>
      </c>
      <c r="AN186" s="940">
        <f t="shared" si="97"/>
        <v>-1.1017497331737784</v>
      </c>
      <c r="AO186" s="939">
        <f t="shared" si="97"/>
        <v>1.6025447487599747</v>
      </c>
      <c r="AP186" s="940">
        <f t="shared" si="97"/>
        <v>-2.1731355877198673</v>
      </c>
      <c r="AQ186" s="941">
        <f t="shared" si="97"/>
        <v>-0.76664715827805963</v>
      </c>
      <c r="AR186" s="940">
        <f t="shared" ca="1" si="97"/>
        <v>-0.11204017395512848</v>
      </c>
      <c r="AS186" s="940">
        <f t="shared" ca="1" si="97"/>
        <v>-1.9824327374080193E-2</v>
      </c>
      <c r="AT186" s="939">
        <f t="shared" ca="1" si="97"/>
        <v>-3.0742959848842606</v>
      </c>
      <c r="AU186" s="940">
        <f t="shared" ca="1" si="97"/>
        <v>0.31286272079776639</v>
      </c>
      <c r="AV186" s="940">
        <f t="shared" ca="1" si="97"/>
        <v>0.48488387720338189</v>
      </c>
      <c r="AW186" s="940">
        <f t="shared" ca="1" si="97"/>
        <v>0.52853724621308551</v>
      </c>
      <c r="AX186" s="940">
        <f t="shared" ca="1" si="97"/>
        <v>0.47016872243763841</v>
      </c>
      <c r="AY186" s="939">
        <f t="shared" ca="1" si="97"/>
        <v>1.7964525666518747</v>
      </c>
      <c r="AZ186" s="939">
        <f t="shared" ca="1" si="97"/>
        <v>1.5002910239809171</v>
      </c>
      <c r="BA186" s="939">
        <f t="shared" ca="1" si="97"/>
        <v>2.6712134838077257</v>
      </c>
      <c r="BB186" s="939">
        <f t="shared" ca="1" si="97"/>
        <v>0.87834119177608616</v>
      </c>
      <c r="BC186" s="57"/>
    </row>
    <row r="187" spans="1:55" s="28" customFormat="1" ht="14.45" customHeight="1">
      <c r="A187" s="201" t="s">
        <v>411</v>
      </c>
      <c r="B187" s="438"/>
      <c r="C187" s="939">
        <f t="shared" ref="C187:AH187" si="98">C180/C192</f>
        <v>-0.13829527970056613</v>
      </c>
      <c r="D187" s="939">
        <f t="shared" si="98"/>
        <v>0.49284374268465919</v>
      </c>
      <c r="E187" s="939">
        <f t="shared" si="98"/>
        <v>0.69670411936676824</v>
      </c>
      <c r="F187" s="939">
        <f t="shared" si="98"/>
        <v>0.65614093501733139</v>
      </c>
      <c r="G187" s="940">
        <f t="shared" si="98"/>
        <v>0.33679872107725273</v>
      </c>
      <c r="H187" s="940">
        <f t="shared" si="98"/>
        <v>0.20289592831377667</v>
      </c>
      <c r="I187" s="940">
        <f t="shared" si="98"/>
        <v>0.23965714457974577</v>
      </c>
      <c r="J187" s="940">
        <f t="shared" si="98"/>
        <v>0.21160358689442202</v>
      </c>
      <c r="K187" s="939">
        <f t="shared" si="98"/>
        <v>0.81099932332448466</v>
      </c>
      <c r="L187" s="940">
        <f t="shared" si="98"/>
        <v>0.24585063599565046</v>
      </c>
      <c r="M187" s="940">
        <f t="shared" si="98"/>
        <v>0.4306867592656306</v>
      </c>
      <c r="N187" s="940">
        <f t="shared" si="98"/>
        <v>0.49541925724818969</v>
      </c>
      <c r="O187" s="940">
        <f t="shared" si="98"/>
        <v>0.53496306697845264</v>
      </c>
      <c r="P187" s="939">
        <f t="shared" si="98"/>
        <v>1.6302352478511923</v>
      </c>
      <c r="Q187" s="940">
        <f t="shared" si="98"/>
        <v>0.30834683896144016</v>
      </c>
      <c r="R187" s="940">
        <f t="shared" si="98"/>
        <v>0.51032109264679015</v>
      </c>
      <c r="S187" s="940">
        <f t="shared" si="98"/>
        <v>0.71298746482919584</v>
      </c>
      <c r="T187" s="940">
        <f t="shared" si="98"/>
        <v>0.40060434883429707</v>
      </c>
      <c r="U187" s="939">
        <f t="shared" si="98"/>
        <v>1.9320658484412714</v>
      </c>
      <c r="V187" s="940">
        <f t="shared" si="98"/>
        <v>0.32961340380009702</v>
      </c>
      <c r="W187" s="940">
        <f t="shared" si="98"/>
        <v>0.43077108887601201</v>
      </c>
      <c r="X187" s="940">
        <f t="shared" si="98"/>
        <v>0.35222525613199807</v>
      </c>
      <c r="Y187" s="940">
        <f t="shared" si="98"/>
        <v>0.28900720105954675</v>
      </c>
      <c r="Z187" s="939">
        <f t="shared" si="98"/>
        <v>1.4020986310254588</v>
      </c>
      <c r="AA187" s="940">
        <f t="shared" si="98"/>
        <v>0.33382983811255179</v>
      </c>
      <c r="AB187" s="940">
        <f t="shared" si="98"/>
        <v>0.22209474212011637</v>
      </c>
      <c r="AC187" s="940">
        <f t="shared" si="98"/>
        <v>0.18170914542728636</v>
      </c>
      <c r="AD187" s="940">
        <f t="shared" si="98"/>
        <v>-0.17546500710022891</v>
      </c>
      <c r="AE187" s="939">
        <f t="shared" si="98"/>
        <v>0.58363485378729585</v>
      </c>
      <c r="AF187" s="940">
        <f t="shared" si="98"/>
        <v>9.9775248226521202E-2</v>
      </c>
      <c r="AG187" s="940">
        <f t="shared" si="98"/>
        <v>0.42412283686013014</v>
      </c>
      <c r="AH187" s="940">
        <f t="shared" si="98"/>
        <v>0.51560556886772391</v>
      </c>
      <c r="AI187" s="940">
        <f t="shared" ref="AI187:BB187" si="99">AI180/AI192</f>
        <v>0.37443018234165504</v>
      </c>
      <c r="AJ187" s="939">
        <f t="shared" si="99"/>
        <v>1.4124517141477566</v>
      </c>
      <c r="AK187" s="940">
        <f t="shared" si="99"/>
        <v>0.48494610706328573</v>
      </c>
      <c r="AL187" s="940">
        <f t="shared" si="99"/>
        <v>0.19107761868877154</v>
      </c>
      <c r="AM187" s="940">
        <f t="shared" si="99"/>
        <v>1.5038517018081184E-3</v>
      </c>
      <c r="AN187" s="940">
        <f t="shared" si="99"/>
        <v>0.18687538406804713</v>
      </c>
      <c r="AO187" s="939">
        <f t="shared" si="99"/>
        <v>0.91241258202655739</v>
      </c>
      <c r="AP187" s="940">
        <f t="shared" si="99"/>
        <v>-2.1731355877198673</v>
      </c>
      <c r="AQ187" s="941">
        <f t="shared" si="99"/>
        <v>-0.76664715827805963</v>
      </c>
      <c r="AR187" s="940">
        <f t="shared" ca="1" si="99"/>
        <v>-0.11204017395512848</v>
      </c>
      <c r="AS187" s="940">
        <f t="shared" ca="1" si="99"/>
        <v>-1.9824327374080193E-2</v>
      </c>
      <c r="AT187" s="939">
        <f t="shared" ca="1" si="99"/>
        <v>-3.0742959848842606</v>
      </c>
      <c r="AU187" s="940">
        <f t="shared" ca="1" si="99"/>
        <v>0.31286272079776639</v>
      </c>
      <c r="AV187" s="940">
        <f t="shared" ca="1" si="99"/>
        <v>0.48488387720338189</v>
      </c>
      <c r="AW187" s="940">
        <f t="shared" ca="1" si="99"/>
        <v>0.52853724621308551</v>
      </c>
      <c r="AX187" s="940">
        <f t="shared" ca="1" si="99"/>
        <v>0.47016872243763841</v>
      </c>
      <c r="AY187" s="939">
        <f t="shared" ca="1" si="99"/>
        <v>1.7964525666518747</v>
      </c>
      <c r="AZ187" s="939">
        <f t="shared" ca="1" si="99"/>
        <v>1.5002910239809171</v>
      </c>
      <c r="BA187" s="939">
        <f t="shared" ca="1" si="99"/>
        <v>2.6712134838077257</v>
      </c>
      <c r="BB187" s="939">
        <f t="shared" ca="1" si="99"/>
        <v>0.87834119177608616</v>
      </c>
      <c r="BC187" s="57"/>
    </row>
    <row r="188" spans="1:55" s="83" customFormat="1" ht="14.45" customHeight="1">
      <c r="A188" s="81" t="str">
        <f>"Consensus Estimates - "&amp;$A$187</f>
        <v>Consensus Estimates - Adjusted Earnings Per Share - WAD</v>
      </c>
      <c r="B188" s="124"/>
      <c r="C188" s="922"/>
      <c r="D188" s="922"/>
      <c r="E188" s="922"/>
      <c r="F188" s="922"/>
      <c r="G188" s="923"/>
      <c r="H188" s="923"/>
      <c r="I188" s="923"/>
      <c r="J188" s="923"/>
      <c r="K188" s="922"/>
      <c r="L188" s="923"/>
      <c r="M188" s="923"/>
      <c r="N188" s="923"/>
      <c r="O188" s="923"/>
      <c r="P188" s="922"/>
      <c r="Q188" s="923"/>
      <c r="R188" s="923"/>
      <c r="S188" s="923"/>
      <c r="T188" s="923"/>
      <c r="U188" s="922"/>
      <c r="V188" s="923"/>
      <c r="W188" s="942"/>
      <c r="X188" s="942"/>
      <c r="Y188" s="923"/>
      <c r="Z188" s="922"/>
      <c r="AA188" s="923"/>
      <c r="AB188" s="942"/>
      <c r="AC188" s="942"/>
      <c r="AD188" s="923"/>
      <c r="AE188" s="922"/>
      <c r="AF188" s="923"/>
      <c r="AG188" s="942"/>
      <c r="AH188" s="942"/>
      <c r="AI188" s="923"/>
      <c r="AJ188" s="922"/>
      <c r="AK188" s="923"/>
      <c r="AL188" s="942"/>
      <c r="AM188" s="942"/>
      <c r="AN188" s="923"/>
      <c r="AO188" s="922"/>
      <c r="AP188" s="923"/>
      <c r="AQ188" s="943"/>
      <c r="AR188" s="923" t="str">
        <f ca="1">IFERROR(VLOOKUP(A188,tb_ConsensusEstimate,MATCH(AR5,OFFSET(tb_ConsensusEstimate,0,0,1,COLUMNS(tb_ConsensusEstimate)),0),FALSE),"-")</f>
        <v>N/A</v>
      </c>
      <c r="AS188" s="923" t="str">
        <f ca="1">IFERROR(VLOOKUP(A188,tb_ConsensusEstimate,MATCH(AS5,OFFSET(tb_ConsensusEstimate,0,0,1,COLUMNS(tb_ConsensusEstimate)),0),FALSE),"-")</f>
        <v>N/A</v>
      </c>
      <c r="AT188" s="944" t="str">
        <f ca="1">IFERROR(VLOOKUP(A188,tb_ConsensusEstimate,MATCH(AT5,OFFSET(tb_ConsensusEstimate,0,0,1,COLUMNS(tb_ConsensusEstimate)),0),FALSE),"-")</f>
        <v>N/A</v>
      </c>
      <c r="AU188" s="923" t="str">
        <f ca="1">IFERROR(VLOOKUP(A188,tb_ConsensusEstimate,MATCH(AU5,OFFSET(tb_ConsensusEstimate,0,0,1,COLUMNS(tb_ConsensusEstimate)),0),FALSE),"-")</f>
        <v>N/A</v>
      </c>
      <c r="AV188" s="923" t="str">
        <f ca="1">IFERROR(VLOOKUP(A188,tb_ConsensusEstimate,MATCH(AV5,OFFSET(tb_ConsensusEstimate,0,0,1,COLUMNS(tb_ConsensusEstimate)),0),FALSE),"-")</f>
        <v>N/A</v>
      </c>
      <c r="AW188" s="923" t="str">
        <f ca="1">IFERROR(VLOOKUP(A188,tb_ConsensusEstimate,MATCH(AW5,OFFSET(tb_ConsensusEstimate,0,0,1,COLUMNS(tb_ConsensusEstimate)),0),FALSE),"-")</f>
        <v>N/A</v>
      </c>
      <c r="AX188" s="923" t="str">
        <f ca="1">IFERROR(VLOOKUP(A188,tb_ConsensusEstimate,MATCH(AX5,OFFSET(tb_ConsensusEstimate,0,0,1,COLUMNS(tb_ConsensusEstimate)),0),FALSE),"-")</f>
        <v>N/A</v>
      </c>
      <c r="AY188" s="944" t="str">
        <f ca="1">IFERROR(VLOOKUP(A188,tb_ConsensusEstimate,MATCH(AY5,OFFSET(tb_ConsensusEstimate,0,0,1,COLUMNS(tb_ConsensusEstimate)),0),FALSE),"-")</f>
        <v>N/A</v>
      </c>
      <c r="AZ188" s="944" t="str">
        <f ca="1">IFERROR(VLOOKUP(A188,tb_ConsensusEstimate,MATCH(AZ5,OFFSET(tb_ConsensusEstimate,0,0,1,COLUMNS(tb_ConsensusEstimate)),0),FALSE),"-")</f>
        <v>N/A</v>
      </c>
      <c r="BA188" s="944" t="str">
        <f ca="1">IFERROR(VLOOKUP(A188,tb_ConsensusEstimate,MATCH(BA5,OFFSET(tb_ConsensusEstimate,0,0,1,COLUMNS(tb_ConsensusEstimate)),0),FALSE),"-")</f>
        <v>N/A</v>
      </c>
      <c r="BB188" s="944" t="str">
        <f ca="1">IFERROR(VLOOKUP(A188,tb_ConsensusEstimate,MATCH(BB5,OFFSET(tb_ConsensusEstimate,0,0,1,COLUMNS(tb_ConsensusEstimate)),0),FALSE),"-")</f>
        <v>N/A</v>
      </c>
      <c r="BC188" s="82"/>
    </row>
    <row r="189" spans="1:55" s="23" customFormat="1" ht="14.45" customHeight="1">
      <c r="A189" s="520"/>
      <c r="B189" s="132"/>
      <c r="C189" s="885"/>
      <c r="D189" s="885"/>
      <c r="E189" s="885"/>
      <c r="F189" s="885"/>
      <c r="G189" s="436"/>
      <c r="H189" s="436"/>
      <c r="I189" s="436"/>
      <c r="J189" s="436"/>
      <c r="K189" s="885"/>
      <c r="L189" s="436"/>
      <c r="M189" s="436"/>
      <c r="N189" s="436"/>
      <c r="O189" s="436"/>
      <c r="P189" s="885"/>
      <c r="Q189" s="436"/>
      <c r="R189" s="436"/>
      <c r="S189" s="436"/>
      <c r="T189" s="436"/>
      <c r="U189" s="885"/>
      <c r="V189" s="436"/>
      <c r="W189" s="436"/>
      <c r="X189" s="436"/>
      <c r="Y189" s="436"/>
      <c r="Z189" s="885"/>
      <c r="AA189" s="436"/>
      <c r="AB189" s="436"/>
      <c r="AC189" s="436"/>
      <c r="AD189" s="436"/>
      <c r="AE189" s="885"/>
      <c r="AF189" s="436"/>
      <c r="AG189" s="436"/>
      <c r="AH189" s="436"/>
      <c r="AI189" s="436"/>
      <c r="AJ189" s="885"/>
      <c r="AK189" s="436"/>
      <c r="AL189" s="436"/>
      <c r="AM189" s="436"/>
      <c r="AN189" s="436"/>
      <c r="AO189" s="885"/>
      <c r="AP189" s="436"/>
      <c r="AQ189" s="886"/>
      <c r="AR189" s="855"/>
      <c r="AS189" s="855"/>
      <c r="AT189" s="870"/>
      <c r="AU189" s="855"/>
      <c r="AV189" s="855"/>
      <c r="AW189" s="855"/>
      <c r="AX189" s="855"/>
      <c r="AY189" s="870"/>
      <c r="AZ189" s="870"/>
      <c r="BA189" s="870"/>
      <c r="BB189" s="870"/>
      <c r="BC189" s="362"/>
    </row>
    <row r="190" spans="1:55" s="133" customFormat="1" ht="14.45" customHeight="1">
      <c r="A190" s="520" t="s">
        <v>18</v>
      </c>
      <c r="B190" s="132"/>
      <c r="C190" s="885">
        <f>23.906*(1+3/20)</f>
        <v>27.491899999999998</v>
      </c>
      <c r="D190" s="885">
        <f>25.813*(1+3/20)</f>
        <v>29.684949999999997</v>
      </c>
      <c r="E190" s="885">
        <f>26.059*(1+3/20)</f>
        <v>29.967849999999999</v>
      </c>
      <c r="F190" s="885">
        <f>27.772*(1+3/20)</f>
        <v>31.937799999999996</v>
      </c>
      <c r="G190" s="436">
        <f>21.292*(1+3/20)</f>
        <v>24.485800000000001</v>
      </c>
      <c r="H190" s="436">
        <f>21.313*(1+3/20)</f>
        <v>24.509949999999996</v>
      </c>
      <c r="I190" s="436">
        <f>24.848*(1+3/20)</f>
        <v>28.575199999999995</v>
      </c>
      <c r="J190" s="436">
        <f>23.38712*(1+3/20)</f>
        <v>26.895187999999997</v>
      </c>
      <c r="K190" s="885">
        <f>28.028*(1+3/20)</f>
        <v>32.232199999999999</v>
      </c>
      <c r="L190" s="436">
        <f>25.444*(1+3/20)</f>
        <v>29.260599999999997</v>
      </c>
      <c r="M190" s="436">
        <f>25.584*(1+3/20)</f>
        <v>29.421599999999998</v>
      </c>
      <c r="N190" s="436">
        <f>28.911*(1+3/20)</f>
        <v>33.24765</v>
      </c>
      <c r="O190" s="436">
        <f>27.4036405*(1+3/20)</f>
        <v>31.514186575</v>
      </c>
      <c r="P190" s="885">
        <f>28.87*(1+3/20)</f>
        <v>33.200499999999998</v>
      </c>
      <c r="Q190" s="436">
        <f>29.213*(1+3/20)</f>
        <v>33.594949999999997</v>
      </c>
      <c r="R190" s="436">
        <f>29.263*(1+3/20)</f>
        <v>33.652450000000002</v>
      </c>
      <c r="S190" s="436">
        <f>29.356*(1+3/20)</f>
        <v>33.759399999999999</v>
      </c>
      <c r="T190" s="436">
        <f>29.4505545*(1+3/20)</f>
        <v>33.868137675</v>
      </c>
      <c r="U190" s="885">
        <f>29.33*(1+3/20)</f>
        <v>33.729499999999994</v>
      </c>
      <c r="V190" s="436">
        <f>29.461*(1+3/20)</f>
        <v>33.880149999999993</v>
      </c>
      <c r="W190" s="436">
        <f>29.4*(1+3/20)</f>
        <v>33.809999999999995</v>
      </c>
      <c r="X190" s="436">
        <f>28.925*(1+3/20)</f>
        <v>33.263750000000002</v>
      </c>
      <c r="Y190" s="436">
        <f>(AVERAGE(X190,AA190))</f>
        <v>33.365524999999998</v>
      </c>
      <c r="Z190" s="885">
        <f>29.163*(1+3/20)</f>
        <v>33.53745</v>
      </c>
      <c r="AA190" s="436">
        <f>29.102*(1+3/20)</f>
        <v>33.467299999999994</v>
      </c>
      <c r="AB190" s="436">
        <f>28.911*(1+3/20)</f>
        <v>33.24765</v>
      </c>
      <c r="AC190" s="436">
        <f>(28.322)*(1+3/20)</f>
        <v>32.570299999999996</v>
      </c>
      <c r="AD190" s="436">
        <f>(4*AE190)-AC190-AB190-AA190</f>
        <v>32.210350000000005</v>
      </c>
      <c r="AE190" s="885">
        <f>28.586*(1+3/20)</f>
        <v>32.873899999999999</v>
      </c>
      <c r="AF190" s="436">
        <f>28.071*(1+3/20)</f>
        <v>32.281649999999999</v>
      </c>
      <c r="AG190" s="436">
        <f>28.085*(1+3/20)</f>
        <v>32.297750000000001</v>
      </c>
      <c r="AH190" s="436">
        <v>32.317</v>
      </c>
      <c r="AI190" s="436">
        <f>(4*AJ190)-AH190-AG190-AF190</f>
        <v>32.507599999999982</v>
      </c>
      <c r="AJ190" s="885">
        <v>32.350999999999999</v>
      </c>
      <c r="AK190" s="436">
        <v>32.619</v>
      </c>
      <c r="AL190" s="436">
        <v>32.664999999999999</v>
      </c>
      <c r="AM190" s="436">
        <v>31.963999999999999</v>
      </c>
      <c r="AN190" s="436">
        <f>(4*AO190)-AM190-AL190-AK190</f>
        <v>30.863999999999997</v>
      </c>
      <c r="AO190" s="885">
        <v>32.027999999999999</v>
      </c>
      <c r="AP190" s="436">
        <v>30.812999999999999</v>
      </c>
      <c r="AQ190" s="886">
        <v>30.783999999999999</v>
      </c>
      <c r="AR190" s="436">
        <f ca="1">AQ190+AR206/(AR207/AR247)</f>
        <v>30.783999999999999</v>
      </c>
      <c r="AS190" s="436">
        <f ca="1">AR190+AS206/(AS207/AS247)</f>
        <v>30.783999999999999</v>
      </c>
      <c r="AT190" s="885">
        <f ca="1">AVERAGE(AP190,AQ190,AR190,AS190)</f>
        <v>30.791249999999998</v>
      </c>
      <c r="AU190" s="436">
        <f ca="1">AS190+AU206/(AU207/AU247)</f>
        <v>30.783999999999999</v>
      </c>
      <c r="AV190" s="436">
        <f ca="1">AU190+AV206/(AV207/AV247)</f>
        <v>30.783999999999999</v>
      </c>
      <c r="AW190" s="436">
        <f ca="1">AV190+AW206/(AW207/AW247)</f>
        <v>30.783999999999999</v>
      </c>
      <c r="AX190" s="436">
        <f ca="1">AW190+AX206/(AX207/AX247)</f>
        <v>30.783999999999999</v>
      </c>
      <c r="AY190" s="885">
        <f ca="1">AVERAGE(AU190,AV190,AW190,AX190)</f>
        <v>30.783999999999999</v>
      </c>
      <c r="AZ190" s="885">
        <f ca="1">AX190+AZ206/(AZ207/AZ247)</f>
        <v>30.783999999999999</v>
      </c>
      <c r="BA190" s="885">
        <f ca="1">AZ190+BA206/(BA207/BA247)</f>
        <v>30.783999999999999</v>
      </c>
      <c r="BB190" s="885">
        <f ca="1">BA190+BB206/(BB207/BB247)</f>
        <v>30.783999999999999</v>
      </c>
      <c r="BC190" s="520"/>
    </row>
    <row r="191" spans="1:55" s="133" customFormat="1" ht="14.45" customHeight="1">
      <c r="A191" s="520" t="s">
        <v>45</v>
      </c>
      <c r="B191" s="132"/>
      <c r="C191" s="885">
        <f>23.906*(1+3/20)</f>
        <v>27.491899999999998</v>
      </c>
      <c r="D191" s="885">
        <f>26.374*(1+3/20)</f>
        <v>30.330099999999995</v>
      </c>
      <c r="E191" s="885">
        <f>26.948*(1+3/20)</f>
        <v>30.990199999999998</v>
      </c>
      <c r="F191" s="885">
        <f>28.989*(1+3/20)</f>
        <v>33.337350000000001</v>
      </c>
      <c r="G191" s="436">
        <f>22.111*(1+3/20)</f>
        <v>25.42765</v>
      </c>
      <c r="H191" s="436">
        <f>22.106*(1+3/20)</f>
        <v>25.421900000000001</v>
      </c>
      <c r="I191" s="436">
        <f>25.961*(1+3/20)</f>
        <v>29.855149999999995</v>
      </c>
      <c r="J191" s="436">
        <f>26.255*(1+3/20)</f>
        <v>30.193249999999995</v>
      </c>
      <c r="K191" s="885">
        <f>29.235*(1+3/20)</f>
        <v>33.620249999999999</v>
      </c>
      <c r="L191" s="436">
        <f>26.552*(1+3/20)</f>
        <v>30.534799999999997</v>
      </c>
      <c r="M191" s="436">
        <f>26.538*(1+3/20)</f>
        <v>30.518699999999999</v>
      </c>
      <c r="N191" s="436">
        <f>29.979*(1+3/20)</f>
        <v>34.475849999999994</v>
      </c>
      <c r="O191" s="436">
        <f>29.972*(1+3/20)</f>
        <v>34.467799999999997</v>
      </c>
      <c r="P191" s="885">
        <f>29.961*(1+3/20)</f>
        <v>34.455149999999996</v>
      </c>
      <c r="Q191" s="436">
        <f>30.127*(1+3/20)</f>
        <v>34.646049999999995</v>
      </c>
      <c r="R191" s="436">
        <f>30.143*(1+3/20)</f>
        <v>34.664449999999995</v>
      </c>
      <c r="S191" s="436">
        <f>30.117*(1+3/20)</f>
        <v>34.634549999999997</v>
      </c>
      <c r="T191" s="436">
        <f>30.187*(1+3/20)</f>
        <v>34.715049999999998</v>
      </c>
      <c r="U191" s="885">
        <f>30.143*(1+3/20)</f>
        <v>34.664449999999995</v>
      </c>
      <c r="V191" s="436">
        <f>30.299*(1+3/20)</f>
        <v>34.843849999999996</v>
      </c>
      <c r="W191" s="436">
        <f>30.239*(1+3/20)</f>
        <v>34.774850000000001</v>
      </c>
      <c r="X191" s="436">
        <f>29.808*(1+3/20)</f>
        <v>34.279199999999996</v>
      </c>
      <c r="Y191" s="436">
        <f>29.742*(1+3/20)</f>
        <v>34.203299999999999</v>
      </c>
      <c r="Z191" s="885">
        <f>30.032*(1+3/20)</f>
        <v>34.536799999999999</v>
      </c>
      <c r="AA191" s="436">
        <f>30.182*(1+3/20)</f>
        <v>34.709299999999999</v>
      </c>
      <c r="AB191" s="436">
        <f>30.089*(1+3/20)</f>
        <v>34.602349999999994</v>
      </c>
      <c r="AC191" s="436">
        <f>29*(1+3/20)</f>
        <v>33.349999999999994</v>
      </c>
      <c r="AD191" s="436">
        <f>28.015*(1+3/20)</f>
        <v>32.21725</v>
      </c>
      <c r="AE191" s="885">
        <f>29.32*(1+3/20)</f>
        <v>33.717999999999996</v>
      </c>
      <c r="AF191" s="436">
        <f>28.708*(1+3/20)</f>
        <v>33.014199999999995</v>
      </c>
      <c r="AG191" s="436">
        <f>28.755*(1+3/20)</f>
        <v>33.068249999999999</v>
      </c>
      <c r="AH191" s="436">
        <v>32.969000000000001</v>
      </c>
      <c r="AI191" s="436">
        <v>33.344000000000001</v>
      </c>
      <c r="AJ191" s="885">
        <v>33.136000000000003</v>
      </c>
      <c r="AK191" s="436">
        <v>33.213999999999999</v>
      </c>
      <c r="AL191" s="436">
        <v>33.174999999999997</v>
      </c>
      <c r="AM191" s="436">
        <v>32.582999999999998</v>
      </c>
      <c r="AN191" s="436">
        <v>30.919</v>
      </c>
      <c r="AO191" s="885">
        <v>32.459000000000003</v>
      </c>
      <c r="AP191" s="436">
        <v>30.814</v>
      </c>
      <c r="AQ191" s="886">
        <v>30.756</v>
      </c>
      <c r="AR191" s="436">
        <f ca="1">AQ191+AR206/(AR207/AR247)</f>
        <v>30.756</v>
      </c>
      <c r="AS191" s="436">
        <f ca="1">AR191+AS206/(AS207/AS247)</f>
        <v>30.756</v>
      </c>
      <c r="AT191" s="885">
        <f ca="1">AVERAGE(AP191,AQ191,AR191,AS191)</f>
        <v>30.770499999999998</v>
      </c>
      <c r="AU191" s="436">
        <f ca="1">AS191+AU206/(AU207/AU247)</f>
        <v>30.756</v>
      </c>
      <c r="AV191" s="436">
        <f ca="1">AU191+AV206/(AV207/AV247)</f>
        <v>30.756</v>
      </c>
      <c r="AW191" s="436">
        <f ca="1">AV191+AW206/(AW207/AW247)</f>
        <v>30.756</v>
      </c>
      <c r="AX191" s="436">
        <f ca="1">AW191+AX206/(AX207/AX247)</f>
        <v>30.756</v>
      </c>
      <c r="AY191" s="885">
        <f ca="1">AVERAGE(AU191,AV191,AW191,AX191)</f>
        <v>30.756</v>
      </c>
      <c r="AZ191" s="885">
        <f ca="1">AX191+AZ206/(AZ207/AZ247)</f>
        <v>30.756</v>
      </c>
      <c r="BA191" s="885">
        <f ca="1">AZ191+BA206/(BA207/BA247)</f>
        <v>30.756</v>
      </c>
      <c r="BB191" s="885">
        <f ca="1">BA191+BB206/(BB207/BB247)</f>
        <v>30.756</v>
      </c>
      <c r="BC191" s="520"/>
    </row>
    <row r="192" spans="1:55" s="133" customFormat="1" ht="14.45" customHeight="1">
      <c r="A192" s="520" t="s">
        <v>119</v>
      </c>
      <c r="B192" s="132"/>
      <c r="C192" s="885">
        <f t="shared" ref="C192:AQ192" si="100">C191</f>
        <v>27.491899999999998</v>
      </c>
      <c r="D192" s="885">
        <f t="shared" si="100"/>
        <v>30.330099999999995</v>
      </c>
      <c r="E192" s="885">
        <f t="shared" si="100"/>
        <v>30.990199999999998</v>
      </c>
      <c r="F192" s="885">
        <f t="shared" si="100"/>
        <v>33.337350000000001</v>
      </c>
      <c r="G192" s="436">
        <f t="shared" si="100"/>
        <v>25.42765</v>
      </c>
      <c r="H192" s="436">
        <f t="shared" si="100"/>
        <v>25.421900000000001</v>
      </c>
      <c r="I192" s="436">
        <f t="shared" si="100"/>
        <v>29.855149999999995</v>
      </c>
      <c r="J192" s="436">
        <f t="shared" si="100"/>
        <v>30.193249999999995</v>
      </c>
      <c r="K192" s="885">
        <f t="shared" si="100"/>
        <v>33.620249999999999</v>
      </c>
      <c r="L192" s="436">
        <f t="shared" si="100"/>
        <v>30.534799999999997</v>
      </c>
      <c r="M192" s="436">
        <f t="shared" si="100"/>
        <v>30.518699999999999</v>
      </c>
      <c r="N192" s="436">
        <f t="shared" si="100"/>
        <v>34.475849999999994</v>
      </c>
      <c r="O192" s="436">
        <f t="shared" si="100"/>
        <v>34.467799999999997</v>
      </c>
      <c r="P192" s="885">
        <f t="shared" si="100"/>
        <v>34.455149999999996</v>
      </c>
      <c r="Q192" s="436">
        <f t="shared" si="100"/>
        <v>34.646049999999995</v>
      </c>
      <c r="R192" s="436">
        <f t="shared" si="100"/>
        <v>34.664449999999995</v>
      </c>
      <c r="S192" s="436">
        <f t="shared" si="100"/>
        <v>34.634549999999997</v>
      </c>
      <c r="T192" s="436">
        <f t="shared" si="100"/>
        <v>34.715049999999998</v>
      </c>
      <c r="U192" s="885">
        <f t="shared" si="100"/>
        <v>34.664449999999995</v>
      </c>
      <c r="V192" s="436">
        <f t="shared" si="100"/>
        <v>34.843849999999996</v>
      </c>
      <c r="W192" s="436">
        <f t="shared" si="100"/>
        <v>34.774850000000001</v>
      </c>
      <c r="X192" s="436">
        <f t="shared" si="100"/>
        <v>34.279199999999996</v>
      </c>
      <c r="Y192" s="436">
        <f t="shared" si="100"/>
        <v>34.203299999999999</v>
      </c>
      <c r="Z192" s="885">
        <f t="shared" si="100"/>
        <v>34.536799999999999</v>
      </c>
      <c r="AA192" s="436">
        <f t="shared" si="100"/>
        <v>34.709299999999999</v>
      </c>
      <c r="AB192" s="436">
        <f t="shared" si="100"/>
        <v>34.602349999999994</v>
      </c>
      <c r="AC192" s="436">
        <f t="shared" si="100"/>
        <v>33.349999999999994</v>
      </c>
      <c r="AD192" s="436">
        <f t="shared" si="100"/>
        <v>32.21725</v>
      </c>
      <c r="AE192" s="885">
        <f t="shared" si="100"/>
        <v>33.717999999999996</v>
      </c>
      <c r="AF192" s="436">
        <f t="shared" si="100"/>
        <v>33.014199999999995</v>
      </c>
      <c r="AG192" s="436">
        <f t="shared" si="100"/>
        <v>33.068249999999999</v>
      </c>
      <c r="AH192" s="436">
        <f t="shared" si="100"/>
        <v>32.969000000000001</v>
      </c>
      <c r="AI192" s="436">
        <f t="shared" si="100"/>
        <v>33.344000000000001</v>
      </c>
      <c r="AJ192" s="885">
        <f t="shared" si="100"/>
        <v>33.136000000000003</v>
      </c>
      <c r="AK192" s="436">
        <f t="shared" si="100"/>
        <v>33.213999999999999</v>
      </c>
      <c r="AL192" s="436">
        <f t="shared" si="100"/>
        <v>33.174999999999997</v>
      </c>
      <c r="AM192" s="436">
        <f t="shared" si="100"/>
        <v>32.582999999999998</v>
      </c>
      <c r="AN192" s="436">
        <f t="shared" si="100"/>
        <v>30.919</v>
      </c>
      <c r="AO192" s="885">
        <f t="shared" si="100"/>
        <v>32.459000000000003</v>
      </c>
      <c r="AP192" s="436">
        <f t="shared" si="100"/>
        <v>30.814</v>
      </c>
      <c r="AQ192" s="886">
        <f t="shared" si="100"/>
        <v>30.756</v>
      </c>
      <c r="AR192" s="436">
        <f ca="1">AQ192+AR206/(AR207/AR247)</f>
        <v>30.756</v>
      </c>
      <c r="AS192" s="436">
        <f ca="1">AR192+AS206/(AS207/AS247)</f>
        <v>30.756</v>
      </c>
      <c r="AT192" s="885">
        <f ca="1">AVERAGE(AP192,AQ192,AR192,AS192)</f>
        <v>30.770499999999998</v>
      </c>
      <c r="AU192" s="436">
        <f ca="1">AS192+AU206/(AU207/AU247)</f>
        <v>30.756</v>
      </c>
      <c r="AV192" s="436">
        <f ca="1">AU192+AV206/(AV207/AV247)</f>
        <v>30.756</v>
      </c>
      <c r="AW192" s="436">
        <f ca="1">AV192+AW206/(AW207/AW247)</f>
        <v>30.756</v>
      </c>
      <c r="AX192" s="436">
        <f ca="1">AW192+AX206/(AX207/AX247)</f>
        <v>30.756</v>
      </c>
      <c r="AY192" s="885">
        <f ca="1">AVERAGE(AU192,AV192,AW192,AX192)</f>
        <v>30.756</v>
      </c>
      <c r="AZ192" s="885">
        <f ca="1">AX192+AZ206/(AZ207/AZ247)</f>
        <v>30.756</v>
      </c>
      <c r="BA192" s="885">
        <f ca="1">AZ192+BA206/(BA207/BA247)</f>
        <v>30.756</v>
      </c>
      <c r="BB192" s="885">
        <f ca="1">BA192+BB206/(BB207/BB247)</f>
        <v>30.756</v>
      </c>
      <c r="BC192" s="520"/>
    </row>
    <row r="193" spans="1:55" s="23" customFormat="1" ht="14.45" customHeight="1">
      <c r="A193" s="520"/>
      <c r="B193" s="132"/>
      <c r="C193" s="885"/>
      <c r="D193" s="885"/>
      <c r="E193" s="885"/>
      <c r="F193" s="885"/>
      <c r="G193" s="436"/>
      <c r="H193" s="436"/>
      <c r="I193" s="436"/>
      <c r="J193" s="436"/>
      <c r="K193" s="885"/>
      <c r="L193" s="436"/>
      <c r="M193" s="436"/>
      <c r="N193" s="436"/>
      <c r="O193" s="436"/>
      <c r="P193" s="885"/>
      <c r="Q193" s="436"/>
      <c r="R193" s="436"/>
      <c r="S193" s="436"/>
      <c r="T193" s="436"/>
      <c r="U193" s="885"/>
      <c r="V193" s="436"/>
      <c r="W193" s="436"/>
      <c r="X193" s="436"/>
      <c r="Y193" s="436"/>
      <c r="Z193" s="885"/>
      <c r="AA193" s="436"/>
      <c r="AB193" s="436"/>
      <c r="AC193" s="436"/>
      <c r="AD193" s="436"/>
      <c r="AE193" s="885"/>
      <c r="AF193" s="436"/>
      <c r="AG193" s="436"/>
      <c r="AH193" s="436"/>
      <c r="AI193" s="436"/>
      <c r="AJ193" s="885"/>
      <c r="AK193" s="436"/>
      <c r="AL193" s="436"/>
      <c r="AM193" s="436"/>
      <c r="AN193" s="436"/>
      <c r="AO193" s="885"/>
      <c r="AP193" s="436"/>
      <c r="AQ193" s="886"/>
      <c r="AR193" s="855"/>
      <c r="AS193" s="855"/>
      <c r="AT193" s="870"/>
      <c r="AU193" s="855"/>
      <c r="AV193" s="855"/>
      <c r="AW193" s="855"/>
      <c r="AX193" s="855"/>
      <c r="AY193" s="870"/>
      <c r="AZ193" s="870"/>
      <c r="BA193" s="870"/>
      <c r="BB193" s="870"/>
      <c r="BC193" s="362"/>
    </row>
    <row r="194" spans="1:55" s="4" customFormat="1" ht="14.45" customHeight="1">
      <c r="A194" s="514" t="s">
        <v>20</v>
      </c>
      <c r="B194" s="514"/>
      <c r="C194" s="883"/>
      <c r="D194" s="883"/>
      <c r="E194" s="883"/>
      <c r="F194" s="883"/>
      <c r="G194" s="883"/>
      <c r="H194" s="883"/>
      <c r="I194" s="883"/>
      <c r="J194" s="883"/>
      <c r="K194" s="883"/>
      <c r="L194" s="883"/>
      <c r="M194" s="883"/>
      <c r="N194" s="883"/>
      <c r="O194" s="883"/>
      <c r="P194" s="883"/>
      <c r="Q194" s="883"/>
      <c r="R194" s="883"/>
      <c r="S194" s="883"/>
      <c r="T194" s="883"/>
      <c r="U194" s="883"/>
      <c r="V194" s="883"/>
      <c r="W194" s="883"/>
      <c r="X194" s="883"/>
      <c r="Y194" s="883"/>
      <c r="Z194" s="883"/>
      <c r="AA194" s="883"/>
      <c r="AB194" s="883"/>
      <c r="AC194" s="883"/>
      <c r="AD194" s="883"/>
      <c r="AE194" s="883"/>
      <c r="AF194" s="883"/>
      <c r="AG194" s="883"/>
      <c r="AH194" s="883"/>
      <c r="AI194" s="883"/>
      <c r="AJ194" s="883"/>
      <c r="AK194" s="883"/>
      <c r="AL194" s="883"/>
      <c r="AM194" s="883"/>
      <c r="AN194" s="883"/>
      <c r="AO194" s="883"/>
      <c r="AP194" s="883"/>
      <c r="AQ194" s="884"/>
      <c r="AR194" s="883"/>
      <c r="AS194" s="883"/>
      <c r="AT194" s="883"/>
      <c r="AU194" s="883"/>
      <c r="AV194" s="883"/>
      <c r="AW194" s="883"/>
      <c r="AX194" s="883"/>
      <c r="AY194" s="883"/>
      <c r="AZ194" s="883"/>
      <c r="BA194" s="883"/>
      <c r="BB194" s="883"/>
      <c r="BC194" s="363"/>
    </row>
    <row r="195" spans="1:55" s="23" customFormat="1" ht="14.45" customHeight="1">
      <c r="A195" s="520" t="s">
        <v>21</v>
      </c>
      <c r="B195" s="132"/>
      <c r="C195" s="885">
        <f t="shared" ref="C195:AH195" si="101">C330</f>
        <v>15.685</v>
      </c>
      <c r="D195" s="885">
        <f t="shared" si="101"/>
        <v>23.299000000000003</v>
      </c>
      <c r="E195" s="885">
        <f t="shared" si="101"/>
        <v>31.099999999999998</v>
      </c>
      <c r="F195" s="885">
        <f t="shared" si="101"/>
        <v>30.372</v>
      </c>
      <c r="G195" s="436">
        <f t="shared" si="101"/>
        <v>11.493000000000002</v>
      </c>
      <c r="H195" s="436">
        <f t="shared" si="101"/>
        <v>7.6339999999999995</v>
      </c>
      <c r="I195" s="436">
        <f t="shared" si="101"/>
        <v>9.9719999999999995</v>
      </c>
      <c r="J195" s="436">
        <f t="shared" si="101"/>
        <v>9.4870000000000019</v>
      </c>
      <c r="K195" s="885">
        <f t="shared" si="101"/>
        <v>38.585999999999991</v>
      </c>
      <c r="L195" s="436">
        <f t="shared" si="101"/>
        <v>11.355999999999998</v>
      </c>
      <c r="M195" s="436">
        <f t="shared" si="101"/>
        <v>17.567</v>
      </c>
      <c r="N195" s="436">
        <f t="shared" si="101"/>
        <v>26.32</v>
      </c>
      <c r="O195" s="436">
        <f t="shared" si="101"/>
        <v>22.49</v>
      </c>
      <c r="P195" s="885">
        <f t="shared" si="101"/>
        <v>77.733000000000004</v>
      </c>
      <c r="Q195" s="436">
        <f t="shared" si="101"/>
        <v>17.311999999999998</v>
      </c>
      <c r="R195" s="436">
        <f t="shared" si="101"/>
        <v>24.019999999999996</v>
      </c>
      <c r="S195" s="436">
        <f t="shared" si="101"/>
        <v>32.020999999999994</v>
      </c>
      <c r="T195" s="436">
        <f t="shared" si="101"/>
        <v>22.094000000000001</v>
      </c>
      <c r="U195" s="885">
        <f t="shared" si="101"/>
        <v>95.447000000000003</v>
      </c>
      <c r="V195" s="436">
        <f t="shared" si="101"/>
        <v>18.841999999999999</v>
      </c>
      <c r="W195" s="436">
        <f t="shared" si="101"/>
        <v>22.292999999999999</v>
      </c>
      <c r="X195" s="436">
        <f t="shared" si="101"/>
        <v>17.165000000000003</v>
      </c>
      <c r="Y195" s="436">
        <f t="shared" si="101"/>
        <v>16.007999999999999</v>
      </c>
      <c r="Z195" s="885">
        <f t="shared" si="101"/>
        <v>74.308000000000007</v>
      </c>
      <c r="AA195" s="436">
        <f t="shared" si="101"/>
        <v>18.268999999999995</v>
      </c>
      <c r="AB195" s="436">
        <f t="shared" si="101"/>
        <v>14.624000000000001</v>
      </c>
      <c r="AC195" s="436">
        <f t="shared" si="101"/>
        <v>13.277000000000001</v>
      </c>
      <c r="AD195" s="436">
        <f t="shared" si="101"/>
        <v>15.948999999999996</v>
      </c>
      <c r="AE195" s="885">
        <f t="shared" si="101"/>
        <v>62.119</v>
      </c>
      <c r="AF195" s="436">
        <f t="shared" si="101"/>
        <v>13.034999999999998</v>
      </c>
      <c r="AG195" s="436">
        <f t="shared" si="101"/>
        <v>25.376999999999999</v>
      </c>
      <c r="AH195" s="436">
        <f t="shared" si="101"/>
        <v>25.4</v>
      </c>
      <c r="AI195" s="436">
        <f t="shared" ref="AI195:BB195" si="102">AI330</f>
        <v>21.04399999999999</v>
      </c>
      <c r="AJ195" s="885">
        <f t="shared" si="102"/>
        <v>84.85599999999998</v>
      </c>
      <c r="AK195" s="436">
        <f t="shared" si="102"/>
        <v>6.634000000000019</v>
      </c>
      <c r="AL195" s="436">
        <f t="shared" si="102"/>
        <v>17.550999999999998</v>
      </c>
      <c r="AM195" s="436">
        <f t="shared" si="102"/>
        <v>10.222999999999988</v>
      </c>
      <c r="AN195" s="436">
        <f t="shared" si="102"/>
        <v>26.321000000000009</v>
      </c>
      <c r="AO195" s="885">
        <f t="shared" si="102"/>
        <v>60.728999999999999</v>
      </c>
      <c r="AP195" s="436">
        <f t="shared" si="102"/>
        <v>22.219000000000012</v>
      </c>
      <c r="AQ195" s="886">
        <f t="shared" si="102"/>
        <v>13.906999999999996</v>
      </c>
      <c r="AR195" s="436">
        <f t="shared" si="102"/>
        <v>6.2540924098360682</v>
      </c>
      <c r="AS195" s="436">
        <f t="shared" ca="1" si="102"/>
        <v>9.0564098199096108</v>
      </c>
      <c r="AT195" s="885">
        <f t="shared" ca="1" si="102"/>
        <v>51.436502229745685</v>
      </c>
      <c r="AU195" s="436">
        <f t="shared" ca="1" si="102"/>
        <v>19.322405840856103</v>
      </c>
      <c r="AV195" s="436">
        <f t="shared" ca="1" si="102"/>
        <v>24.613088527267212</v>
      </c>
      <c r="AW195" s="436">
        <f t="shared" ca="1" si="102"/>
        <v>25.955691544529657</v>
      </c>
      <c r="AX195" s="436">
        <f t="shared" ca="1" si="102"/>
        <v>24.160509227292007</v>
      </c>
      <c r="AY195" s="885">
        <f t="shared" ca="1" si="102"/>
        <v>94.051695139944982</v>
      </c>
      <c r="AZ195" s="885">
        <f t="shared" ca="1" si="102"/>
        <v>84.942950733557083</v>
      </c>
      <c r="BA195" s="885">
        <f t="shared" ca="1" si="102"/>
        <v>120.9558419079904</v>
      </c>
      <c r="BB195" s="885">
        <f t="shared" ca="1" si="102"/>
        <v>65.814261694265312</v>
      </c>
      <c r="BC195" s="362"/>
    </row>
    <row r="196" spans="1:55" s="28" customFormat="1" ht="14.45" customHeight="1">
      <c r="A196" s="439" t="s">
        <v>92</v>
      </c>
      <c r="B196" s="438"/>
      <c r="C196" s="440">
        <f t="shared" ref="C196:AH196" si="103">C195/C191</f>
        <v>0.57053168387779685</v>
      </c>
      <c r="D196" s="440">
        <f t="shared" si="103"/>
        <v>0.76818078410555879</v>
      </c>
      <c r="E196" s="945">
        <f t="shared" si="103"/>
        <v>1.0035430555465921</v>
      </c>
      <c r="F196" s="945">
        <f t="shared" si="103"/>
        <v>0.91105021844867695</v>
      </c>
      <c r="G196" s="946">
        <f t="shared" si="103"/>
        <v>0.45198828833966181</v>
      </c>
      <c r="H196" s="946">
        <f t="shared" si="103"/>
        <v>0.30029226769045586</v>
      </c>
      <c r="I196" s="946">
        <f t="shared" si="103"/>
        <v>0.33401272477277794</v>
      </c>
      <c r="J196" s="946">
        <f t="shared" si="103"/>
        <v>0.31420930174790734</v>
      </c>
      <c r="K196" s="945">
        <f t="shared" si="103"/>
        <v>1.1477011622459676</v>
      </c>
      <c r="L196" s="946">
        <f t="shared" si="103"/>
        <v>0.37190353301806461</v>
      </c>
      <c r="M196" s="946">
        <f t="shared" si="103"/>
        <v>0.57561429549751464</v>
      </c>
      <c r="N196" s="946">
        <f t="shared" si="103"/>
        <v>0.76343295379229248</v>
      </c>
      <c r="O196" s="946">
        <f t="shared" si="103"/>
        <v>0.65249305148573455</v>
      </c>
      <c r="P196" s="945">
        <f t="shared" si="103"/>
        <v>2.2560633170948323</v>
      </c>
      <c r="Q196" s="946">
        <f t="shared" si="103"/>
        <v>0.49968178190587381</v>
      </c>
      <c r="R196" s="946">
        <f t="shared" si="103"/>
        <v>0.69292892285900975</v>
      </c>
      <c r="S196" s="946">
        <f t="shared" si="103"/>
        <v>0.92453922456044602</v>
      </c>
      <c r="T196" s="946">
        <f t="shared" si="103"/>
        <v>0.63643866277018191</v>
      </c>
      <c r="U196" s="945">
        <f t="shared" si="103"/>
        <v>2.7534549084148172</v>
      </c>
      <c r="V196" s="946">
        <f t="shared" si="103"/>
        <v>0.54075539872890055</v>
      </c>
      <c r="W196" s="946">
        <f t="shared" si="103"/>
        <v>0.6410667479514649</v>
      </c>
      <c r="X196" s="946">
        <f t="shared" si="103"/>
        <v>0.500740974118416</v>
      </c>
      <c r="Y196" s="946">
        <f t="shared" si="103"/>
        <v>0.46802501513011902</v>
      </c>
      <c r="Z196" s="945">
        <f t="shared" si="103"/>
        <v>2.1515600750503814</v>
      </c>
      <c r="AA196" s="946">
        <f t="shared" si="103"/>
        <v>0.5263430838420825</v>
      </c>
      <c r="AB196" s="946">
        <f t="shared" si="103"/>
        <v>0.42263025488153272</v>
      </c>
      <c r="AC196" s="946">
        <f t="shared" si="103"/>
        <v>0.39811094452773621</v>
      </c>
      <c r="AD196" s="946">
        <f t="shared" si="103"/>
        <v>0.49504535613685202</v>
      </c>
      <c r="AE196" s="945">
        <f t="shared" si="103"/>
        <v>1.8423097455365089</v>
      </c>
      <c r="AF196" s="946">
        <f t="shared" si="103"/>
        <v>0.39483010341004782</v>
      </c>
      <c r="AG196" s="946">
        <f t="shared" si="103"/>
        <v>0.76741285069515319</v>
      </c>
      <c r="AH196" s="946">
        <f t="shared" si="103"/>
        <v>0.77042069823167214</v>
      </c>
      <c r="AI196" s="946">
        <f t="shared" ref="AI196:BB196" si="104">AI195/AI191</f>
        <v>0.63111804222648715</v>
      </c>
      <c r="AJ196" s="945">
        <f t="shared" si="104"/>
        <v>2.5608401738290674</v>
      </c>
      <c r="AK196" s="946">
        <f t="shared" si="104"/>
        <v>0.19973505148431442</v>
      </c>
      <c r="AL196" s="946">
        <f t="shared" si="104"/>
        <v>0.52904295403165036</v>
      </c>
      <c r="AM196" s="946">
        <f t="shared" si="104"/>
        <v>0.31375257035877568</v>
      </c>
      <c r="AN196" s="946">
        <f t="shared" si="104"/>
        <v>0.8512888515152498</v>
      </c>
      <c r="AO196" s="945">
        <f t="shared" si="104"/>
        <v>1.870944884315598</v>
      </c>
      <c r="AP196" s="946">
        <f t="shared" si="104"/>
        <v>0.72106834555721466</v>
      </c>
      <c r="AQ196" s="947">
        <f t="shared" si="104"/>
        <v>0.45217193393159044</v>
      </c>
      <c r="AR196" s="946">
        <f t="shared" ca="1" si="104"/>
        <v>0.20334544185967188</v>
      </c>
      <c r="AS196" s="946">
        <f t="shared" ca="1" si="104"/>
        <v>0.29445993691993794</v>
      </c>
      <c r="AT196" s="945">
        <f t="shared" ca="1" si="104"/>
        <v>1.6716173682502946</v>
      </c>
      <c r="AU196" s="946">
        <f t="shared" ca="1" si="104"/>
        <v>0.62824833661256674</v>
      </c>
      <c r="AV196" s="946">
        <f t="shared" ca="1" si="104"/>
        <v>0.80026949301818218</v>
      </c>
      <c r="AW196" s="946">
        <f t="shared" ca="1" si="104"/>
        <v>0.8439228620278858</v>
      </c>
      <c r="AX196" s="946">
        <f t="shared" ca="1" si="104"/>
        <v>0.78555433825243881</v>
      </c>
      <c r="AY196" s="945">
        <f t="shared" ca="1" si="104"/>
        <v>3.0579950299110736</v>
      </c>
      <c r="AZ196" s="945">
        <f t="shared" ca="1" si="104"/>
        <v>2.7618334872401182</v>
      </c>
      <c r="BA196" s="945">
        <f t="shared" ca="1" si="104"/>
        <v>3.9327559470669269</v>
      </c>
      <c r="BB196" s="945">
        <f t="shared" ca="1" si="104"/>
        <v>2.139883655035288</v>
      </c>
      <c r="BC196" s="57"/>
    </row>
    <row r="197" spans="1:55" s="83" customFormat="1" ht="14.45" customHeight="1">
      <c r="A197" s="81" t="str">
        <f>CONCATENATE("Consensus Estimates - ",IFERROR(LEFT(A196,FIND("(",A196)-1),A196))</f>
        <v>Consensus Estimates - Cash Flow Per Diluted Share</v>
      </c>
      <c r="B197" s="124"/>
      <c r="C197" s="922"/>
      <c r="D197" s="922"/>
      <c r="E197" s="922"/>
      <c r="F197" s="922"/>
      <c r="G197" s="923"/>
      <c r="H197" s="923"/>
      <c r="I197" s="923"/>
      <c r="J197" s="923"/>
      <c r="K197" s="922"/>
      <c r="L197" s="923"/>
      <c r="M197" s="923"/>
      <c r="N197" s="923"/>
      <c r="O197" s="923"/>
      <c r="P197" s="922"/>
      <c r="Q197" s="923"/>
      <c r="R197" s="923"/>
      <c r="S197" s="923"/>
      <c r="T197" s="923"/>
      <c r="U197" s="922"/>
      <c r="V197" s="923"/>
      <c r="W197" s="923"/>
      <c r="X197" s="923"/>
      <c r="Y197" s="923"/>
      <c r="Z197" s="922"/>
      <c r="AA197" s="923"/>
      <c r="AB197" s="923"/>
      <c r="AC197" s="923"/>
      <c r="AD197" s="923"/>
      <c r="AE197" s="922"/>
      <c r="AF197" s="923"/>
      <c r="AG197" s="923"/>
      <c r="AH197" s="923"/>
      <c r="AI197" s="923"/>
      <c r="AJ197" s="922"/>
      <c r="AK197" s="923"/>
      <c r="AL197" s="923"/>
      <c r="AM197" s="923"/>
      <c r="AN197" s="923"/>
      <c r="AO197" s="922"/>
      <c r="AP197" s="923"/>
      <c r="AQ197" s="924"/>
      <c r="AR197" s="923" t="str">
        <f ca="1">IFERROR(VLOOKUP(A197,tb_ConsensusEstimate,MATCH(AR5,OFFSET(tb_ConsensusEstimate,0,0,1,COLUMNS(tb_ConsensusEstimate)),0),FALSE),"-")</f>
        <v>N/A</v>
      </c>
      <c r="AS197" s="923" t="str">
        <f ca="1">IFERROR(VLOOKUP(A197,tb_ConsensusEstimate,MATCH(AS5,OFFSET(tb_ConsensusEstimate,0,0,1,COLUMNS(tb_ConsensusEstimate)),0),FALSE),"-")</f>
        <v>N/A</v>
      </c>
      <c r="AT197" s="944" t="str">
        <f ca="1">IFERROR(VLOOKUP(A197,tb_ConsensusEstimate,MATCH(AT5,OFFSET(tb_ConsensusEstimate,0,0,1,COLUMNS(tb_ConsensusEstimate)),0),FALSE),"-")</f>
        <v>N/A</v>
      </c>
      <c r="AU197" s="923" t="str">
        <f ca="1">IFERROR(VLOOKUP(A197,tb_ConsensusEstimate,MATCH(AU5,OFFSET(tb_ConsensusEstimate,0,0,1,COLUMNS(tb_ConsensusEstimate)),0),FALSE),"-")</f>
        <v>N/A</v>
      </c>
      <c r="AV197" s="923" t="str">
        <f ca="1">IFERROR(VLOOKUP(A197,tb_ConsensusEstimate,MATCH(AV5,OFFSET(tb_ConsensusEstimate,0,0,1,COLUMNS(tb_ConsensusEstimate)),0),FALSE),"-")</f>
        <v>N/A</v>
      </c>
      <c r="AW197" s="923" t="str">
        <f ca="1">IFERROR(VLOOKUP(A197,tb_ConsensusEstimate,MATCH(AW5,OFFSET(tb_ConsensusEstimate,0,0,1,COLUMNS(tb_ConsensusEstimate)),0),FALSE),"-")</f>
        <v>N/A</v>
      </c>
      <c r="AX197" s="923" t="str">
        <f ca="1">IFERROR(VLOOKUP(A197,tb_ConsensusEstimate,MATCH(AX5,OFFSET(tb_ConsensusEstimate,0,0,1,COLUMNS(tb_ConsensusEstimate)),0),FALSE),"-")</f>
        <v>N/A</v>
      </c>
      <c r="AY197" s="944" t="str">
        <f ca="1">IFERROR(VLOOKUP(A197,tb_ConsensusEstimate,MATCH(AY5,OFFSET(tb_ConsensusEstimate,0,0,1,COLUMNS(tb_ConsensusEstimate)),0),FALSE),"-")</f>
        <v>N/A</v>
      </c>
      <c r="AZ197" s="944" t="str">
        <f ca="1">IFERROR(VLOOKUP(A197,tb_ConsensusEstimate,MATCH(AZ5,OFFSET(tb_ConsensusEstimate,0,0,1,COLUMNS(tb_ConsensusEstimate)),0),FALSE),"-")</f>
        <v>N/A</v>
      </c>
      <c r="BA197" s="944" t="str">
        <f ca="1">IFERROR(VLOOKUP(A197,tb_ConsensusEstimate,MATCH(BA5,OFFSET(tb_ConsensusEstimate,0,0,1,COLUMNS(tb_ConsensusEstimate)),0),FALSE),"-")</f>
        <v>N/A</v>
      </c>
      <c r="BB197" s="944" t="str">
        <f ca="1">IFERROR(VLOOKUP(A197,tb_ConsensusEstimate,MATCH(BB5,OFFSET(tb_ConsensusEstimate,0,0,1,COLUMNS(tb_ConsensusEstimate)),0),FALSE),"-")</f>
        <v>N/A</v>
      </c>
      <c r="BC197" s="82"/>
    </row>
    <row r="198" spans="1:55" s="4" customFormat="1" ht="14.45" customHeight="1">
      <c r="A198" s="441" t="s">
        <v>22</v>
      </c>
      <c r="B198" s="345"/>
      <c r="C198" s="852">
        <f t="shared" ref="C198:AQ198" si="105">C346</f>
        <v>-2.4660000000000002</v>
      </c>
      <c r="D198" s="852">
        <f t="shared" si="105"/>
        <v>-3.5680000000000001</v>
      </c>
      <c r="E198" s="852">
        <f t="shared" si="105"/>
        <v>-14.281000000000001</v>
      </c>
      <c r="F198" s="852">
        <f t="shared" si="105"/>
        <v>-16.72</v>
      </c>
      <c r="G198" s="418">
        <f t="shared" si="105"/>
        <v>-1.8280000000000001</v>
      </c>
      <c r="H198" s="418">
        <f t="shared" si="105"/>
        <v>-1.8429999999999997</v>
      </c>
      <c r="I198" s="418">
        <f t="shared" si="105"/>
        <v>-1.1620000000000004</v>
      </c>
      <c r="J198" s="418">
        <f t="shared" si="105"/>
        <v>-2.0350000000000001</v>
      </c>
      <c r="K198" s="852">
        <f t="shared" si="105"/>
        <v>-6.8680000000000003</v>
      </c>
      <c r="L198" s="418">
        <f t="shared" si="105"/>
        <v>-16.905999999999999</v>
      </c>
      <c r="M198" s="418">
        <f t="shared" si="105"/>
        <v>-6.1850000000000023</v>
      </c>
      <c r="N198" s="418">
        <f t="shared" si="105"/>
        <v>-6.879999999999999</v>
      </c>
      <c r="O198" s="418">
        <f t="shared" si="105"/>
        <v>-10.910999999999998</v>
      </c>
      <c r="P198" s="852">
        <f t="shared" si="105"/>
        <v>-40.881999999999998</v>
      </c>
      <c r="Q198" s="418">
        <f t="shared" si="105"/>
        <v>-7.0590000000000002</v>
      </c>
      <c r="R198" s="418">
        <f t="shared" si="105"/>
        <v>-5.2179999999999991</v>
      </c>
      <c r="S198" s="418">
        <f t="shared" si="105"/>
        <v>-3.58</v>
      </c>
      <c r="T198" s="418">
        <f t="shared" si="105"/>
        <v>-2.7839999999999989</v>
      </c>
      <c r="U198" s="852">
        <f t="shared" si="105"/>
        <v>-18.640999999999998</v>
      </c>
      <c r="V198" s="418">
        <f t="shared" si="105"/>
        <v>-2.4500000000000002</v>
      </c>
      <c r="W198" s="418">
        <f t="shared" si="105"/>
        <v>-3.726</v>
      </c>
      <c r="X198" s="418">
        <f t="shared" si="105"/>
        <v>-3.6929999999999996</v>
      </c>
      <c r="Y198" s="418">
        <f t="shared" si="105"/>
        <v>-3.168000000000001</v>
      </c>
      <c r="Z198" s="852">
        <f t="shared" si="105"/>
        <v>-13.037000000000001</v>
      </c>
      <c r="AA198" s="418">
        <f t="shared" si="105"/>
        <v>-2.7669999999999999</v>
      </c>
      <c r="AB198" s="418">
        <f t="shared" si="105"/>
        <v>-2.9830000000000001</v>
      </c>
      <c r="AC198" s="418">
        <f t="shared" si="105"/>
        <v>-3.9649999999999999</v>
      </c>
      <c r="AD198" s="418">
        <f t="shared" si="105"/>
        <v>-3.7629999999999999</v>
      </c>
      <c r="AE198" s="852">
        <f t="shared" si="105"/>
        <v>-13.478</v>
      </c>
      <c r="AF198" s="418">
        <f t="shared" si="105"/>
        <v>-4.3460000000000001</v>
      </c>
      <c r="AG198" s="418">
        <f t="shared" si="105"/>
        <v>-4.1489999999999991</v>
      </c>
      <c r="AH198" s="418">
        <f t="shared" si="105"/>
        <v>-3.9210000000000012</v>
      </c>
      <c r="AI198" s="418">
        <f t="shared" si="105"/>
        <v>-3.9009999999999998</v>
      </c>
      <c r="AJ198" s="852">
        <f t="shared" si="105"/>
        <v>-16.317</v>
      </c>
      <c r="AK198" s="418">
        <f t="shared" si="105"/>
        <v>-3.4740000000000002</v>
      </c>
      <c r="AL198" s="418">
        <f t="shared" si="105"/>
        <v>-3.4429999999999996</v>
      </c>
      <c r="AM198" s="418">
        <f t="shared" si="105"/>
        <v>-1.9329999999999998</v>
      </c>
      <c r="AN198" s="418">
        <f t="shared" si="105"/>
        <v>-3.2330000000000005</v>
      </c>
      <c r="AO198" s="852">
        <f t="shared" si="105"/>
        <v>-12.083</v>
      </c>
      <c r="AP198" s="418">
        <f t="shared" si="105"/>
        <v>-2.7930000000000001</v>
      </c>
      <c r="AQ198" s="895">
        <f t="shared" si="105"/>
        <v>-1.1119999999999997</v>
      </c>
      <c r="AR198" s="896">
        <v>-2.2999999999999998</v>
      </c>
      <c r="AS198" s="896">
        <v>-1.8</v>
      </c>
      <c r="AT198" s="852">
        <f>AT346</f>
        <v>-8.0050000000000008</v>
      </c>
      <c r="AU198" s="896">
        <v>-8</v>
      </c>
      <c r="AV198" s="896">
        <v>-8</v>
      </c>
      <c r="AW198" s="896">
        <v>-8</v>
      </c>
      <c r="AX198" s="896">
        <v>-8</v>
      </c>
      <c r="AY198" s="852">
        <f>AY346</f>
        <v>-32</v>
      </c>
      <c r="AZ198" s="897">
        <v>-32</v>
      </c>
      <c r="BA198" s="897">
        <v>-32</v>
      </c>
      <c r="BB198" s="897">
        <v>-32</v>
      </c>
      <c r="BC198" s="363"/>
    </row>
    <row r="199" spans="1:55" s="80" customFormat="1" ht="14.45" customHeight="1">
      <c r="A199" s="560" t="str">
        <f>CONCATENATE("Consensus Estimates - ",IFERROR(LEFT(A198,FIND("(",A198)-1),A198))</f>
        <v>Consensus Estimates - Capex</v>
      </c>
      <c r="B199" s="561"/>
      <c r="C199" s="918"/>
      <c r="D199" s="918"/>
      <c r="E199" s="918"/>
      <c r="F199" s="918"/>
      <c r="G199" s="919"/>
      <c r="H199" s="919"/>
      <c r="I199" s="919"/>
      <c r="J199" s="919"/>
      <c r="K199" s="918"/>
      <c r="L199" s="919"/>
      <c r="M199" s="919"/>
      <c r="N199" s="919"/>
      <c r="O199" s="919"/>
      <c r="P199" s="918"/>
      <c r="Q199" s="919"/>
      <c r="R199" s="919"/>
      <c r="S199" s="919"/>
      <c r="T199" s="919"/>
      <c r="U199" s="918"/>
      <c r="V199" s="919"/>
      <c r="W199" s="919"/>
      <c r="X199" s="919"/>
      <c r="Y199" s="919"/>
      <c r="Z199" s="918"/>
      <c r="AA199" s="919"/>
      <c r="AB199" s="919"/>
      <c r="AC199" s="919"/>
      <c r="AD199" s="919"/>
      <c r="AE199" s="918"/>
      <c r="AF199" s="919"/>
      <c r="AG199" s="919"/>
      <c r="AH199" s="919"/>
      <c r="AI199" s="919"/>
      <c r="AJ199" s="918"/>
      <c r="AK199" s="919"/>
      <c r="AL199" s="919"/>
      <c r="AM199" s="919"/>
      <c r="AN199" s="919"/>
      <c r="AO199" s="918"/>
      <c r="AP199" s="919"/>
      <c r="AQ199" s="920"/>
      <c r="AR199" s="919" t="str">
        <f ca="1">IFERROR(VLOOKUP(A199,tb_ConsensusEstimate,MATCH(AR5,OFFSET(tb_ConsensusEstimate,0,0,1,COLUMNS(tb_ConsensusEstimate)),0),FALSE),"-")</f>
        <v>N/A</v>
      </c>
      <c r="AS199" s="919" t="str">
        <f ca="1">IFERROR(VLOOKUP(A199,tb_ConsensusEstimate,MATCH(AS5,OFFSET(tb_ConsensusEstimate,0,0,1,COLUMNS(tb_ConsensusEstimate)),0),FALSE),"-")</f>
        <v>N/A</v>
      </c>
      <c r="AT199" s="921" t="str">
        <f ca="1">IFERROR(VLOOKUP(A199,tb_ConsensusEstimate,MATCH(AT5,OFFSET(tb_ConsensusEstimate,0,0,1,COLUMNS(tb_ConsensusEstimate)),0),FALSE),"-")</f>
        <v>N/A</v>
      </c>
      <c r="AU199" s="919" t="str">
        <f ca="1">IFERROR(VLOOKUP(A199,tb_ConsensusEstimate,MATCH(AU5,OFFSET(tb_ConsensusEstimate,0,0,1,COLUMNS(tb_ConsensusEstimate)),0),FALSE),"-")</f>
        <v>N/A</v>
      </c>
      <c r="AV199" s="919" t="str">
        <f ca="1">IFERROR(VLOOKUP(A199,tb_ConsensusEstimate,MATCH(AV5,OFFSET(tb_ConsensusEstimate,0,0,1,COLUMNS(tb_ConsensusEstimate)),0),FALSE),"-")</f>
        <v>N/A</v>
      </c>
      <c r="AW199" s="919" t="str">
        <f ca="1">IFERROR(VLOOKUP(A199,tb_ConsensusEstimate,MATCH(AW5,OFFSET(tb_ConsensusEstimate,0,0,1,COLUMNS(tb_ConsensusEstimate)),0),FALSE),"-")</f>
        <v>N/A</v>
      </c>
      <c r="AX199" s="919" t="str">
        <f ca="1">IFERROR(VLOOKUP(A199,tb_ConsensusEstimate,MATCH(AX5,OFFSET(tb_ConsensusEstimate,0,0,1,COLUMNS(tb_ConsensusEstimate)),0),FALSE),"-")</f>
        <v>N/A</v>
      </c>
      <c r="AY199" s="921" t="str">
        <f ca="1">IFERROR(VLOOKUP(A199,tb_ConsensusEstimate,MATCH(AY5,OFFSET(tb_ConsensusEstimate,0,0,1,COLUMNS(tb_ConsensusEstimate)),0),FALSE),"-")</f>
        <v>N/A</v>
      </c>
      <c r="AZ199" s="921" t="str">
        <f ca="1">IFERROR(VLOOKUP(A199,tb_ConsensusEstimate,MATCH(AZ5,OFFSET(tb_ConsensusEstimate,0,0,1,COLUMNS(tb_ConsensusEstimate)),0),FALSE),"-")</f>
        <v>N/A</v>
      </c>
      <c r="BA199" s="921" t="str">
        <f ca="1">IFERROR(VLOOKUP(A199,tb_ConsensusEstimate,MATCH(BA5,OFFSET(tb_ConsensusEstimate,0,0,1,COLUMNS(tb_ConsensusEstimate)),0),FALSE),"-")</f>
        <v>N/A</v>
      </c>
      <c r="BB199" s="921" t="str">
        <f ca="1">IFERROR(VLOOKUP(A199,tb_ConsensusEstimate,MATCH(BB5,OFFSET(tb_ConsensusEstimate,0,0,1,COLUMNS(tb_ConsensusEstimate)),0),FALSE),"-")</f>
        <v>N/A</v>
      </c>
      <c r="BC199" s="519"/>
    </row>
    <row r="200" spans="1:55" s="23" customFormat="1" ht="14.45" customHeight="1">
      <c r="A200" s="520" t="s">
        <v>23</v>
      </c>
      <c r="B200" s="132"/>
      <c r="C200" s="885">
        <f t="shared" ref="C200:AQ200" si="106">C344</f>
        <v>-40.655000000000001</v>
      </c>
      <c r="D200" s="885">
        <f t="shared" si="106"/>
        <v>0</v>
      </c>
      <c r="E200" s="885">
        <f t="shared" si="106"/>
        <v>-23.925999999999998</v>
      </c>
      <c r="F200" s="885">
        <f t="shared" si="106"/>
        <v>-10.659000000000001</v>
      </c>
      <c r="G200" s="436">
        <f t="shared" si="106"/>
        <v>0</v>
      </c>
      <c r="H200" s="436">
        <f t="shared" si="106"/>
        <v>0</v>
      </c>
      <c r="I200" s="436">
        <f t="shared" si="106"/>
        <v>-135.898</v>
      </c>
      <c r="J200" s="436">
        <f t="shared" si="106"/>
        <v>-23.863</v>
      </c>
      <c r="K200" s="885">
        <f t="shared" si="106"/>
        <v>-159.761</v>
      </c>
      <c r="L200" s="436">
        <f t="shared" si="106"/>
        <v>-70.275000000000006</v>
      </c>
      <c r="M200" s="436">
        <f t="shared" si="106"/>
        <v>2.4240000000000066</v>
      </c>
      <c r="N200" s="436">
        <f t="shared" si="106"/>
        <v>-2.1770000000000067</v>
      </c>
      <c r="O200" s="436">
        <f t="shared" si="106"/>
        <v>1.8270000000000124</v>
      </c>
      <c r="P200" s="885">
        <f t="shared" si="106"/>
        <v>-68.200999999999993</v>
      </c>
      <c r="Q200" s="436">
        <f t="shared" si="106"/>
        <v>-52.615000000000002</v>
      </c>
      <c r="R200" s="436">
        <f t="shared" si="106"/>
        <v>0</v>
      </c>
      <c r="S200" s="436">
        <f t="shared" si="106"/>
        <v>9.0000000000003411E-3</v>
      </c>
      <c r="T200" s="436">
        <f t="shared" si="106"/>
        <v>0.32999999999999829</v>
      </c>
      <c r="U200" s="885">
        <f t="shared" si="106"/>
        <v>-52.276000000000003</v>
      </c>
      <c r="V200" s="436">
        <f t="shared" si="106"/>
        <v>0</v>
      </c>
      <c r="W200" s="436">
        <f t="shared" si="106"/>
        <v>0</v>
      </c>
      <c r="X200" s="436">
        <f t="shared" si="106"/>
        <v>0</v>
      </c>
      <c r="Y200" s="436">
        <f t="shared" si="106"/>
        <v>0</v>
      </c>
      <c r="Z200" s="885">
        <f t="shared" si="106"/>
        <v>0</v>
      </c>
      <c r="AA200" s="436">
        <f t="shared" si="106"/>
        <v>0</v>
      </c>
      <c r="AB200" s="436">
        <f t="shared" si="106"/>
        <v>-10.223000000000001</v>
      </c>
      <c r="AC200" s="436">
        <f t="shared" si="106"/>
        <v>2.4000000000000909E-2</v>
      </c>
      <c r="AD200" s="436">
        <f t="shared" si="106"/>
        <v>-103.84</v>
      </c>
      <c r="AE200" s="885">
        <f t="shared" si="106"/>
        <v>-114.039</v>
      </c>
      <c r="AF200" s="436">
        <f t="shared" si="106"/>
        <v>0</v>
      </c>
      <c r="AG200" s="436">
        <f t="shared" si="106"/>
        <v>0</v>
      </c>
      <c r="AH200" s="436">
        <f t="shared" si="106"/>
        <v>0</v>
      </c>
      <c r="AI200" s="436">
        <f t="shared" si="106"/>
        <v>0</v>
      </c>
      <c r="AJ200" s="885">
        <f t="shared" si="106"/>
        <v>0</v>
      </c>
      <c r="AK200" s="436">
        <f t="shared" si="106"/>
        <v>0</v>
      </c>
      <c r="AL200" s="436">
        <f t="shared" si="106"/>
        <v>0</v>
      </c>
      <c r="AM200" s="436">
        <f t="shared" si="106"/>
        <v>-21.785</v>
      </c>
      <c r="AN200" s="436">
        <f t="shared" si="106"/>
        <v>-7.1219999999999999</v>
      </c>
      <c r="AO200" s="885">
        <f t="shared" si="106"/>
        <v>-28.907</v>
      </c>
      <c r="AP200" s="436">
        <f t="shared" si="106"/>
        <v>0</v>
      </c>
      <c r="AQ200" s="886">
        <f t="shared" si="106"/>
        <v>0</v>
      </c>
      <c r="AR200" s="855">
        <v>0</v>
      </c>
      <c r="AS200" s="855">
        <v>0</v>
      </c>
      <c r="AT200" s="885">
        <f>AT344</f>
        <v>0</v>
      </c>
      <c r="AU200" s="855">
        <v>0</v>
      </c>
      <c r="AV200" s="855">
        <v>0</v>
      </c>
      <c r="AW200" s="855">
        <v>0</v>
      </c>
      <c r="AX200" s="855">
        <v>0</v>
      </c>
      <c r="AY200" s="885">
        <f>AY344</f>
        <v>0</v>
      </c>
      <c r="AZ200" s="870">
        <v>0</v>
      </c>
      <c r="BA200" s="870">
        <v>0</v>
      </c>
      <c r="BB200" s="870">
        <v>0</v>
      </c>
      <c r="BC200" s="362"/>
    </row>
    <row r="201" spans="1:55" s="23" customFormat="1" ht="14.45" customHeight="1">
      <c r="A201" s="520" t="s">
        <v>98</v>
      </c>
      <c r="B201" s="132"/>
      <c r="C201" s="885">
        <f t="shared" ref="C201:AQ201" si="107">C347+C345</f>
        <v>0.42499999999999999</v>
      </c>
      <c r="D201" s="885">
        <f t="shared" si="107"/>
        <v>0</v>
      </c>
      <c r="E201" s="885">
        <f t="shared" si="107"/>
        <v>0</v>
      </c>
      <c r="F201" s="885">
        <f t="shared" si="107"/>
        <v>0</v>
      </c>
      <c r="G201" s="436">
        <f t="shared" si="107"/>
        <v>0</v>
      </c>
      <c r="H201" s="436">
        <f t="shared" si="107"/>
        <v>0</v>
      </c>
      <c r="I201" s="436">
        <f t="shared" si="107"/>
        <v>0</v>
      </c>
      <c r="J201" s="436">
        <f t="shared" si="107"/>
        <v>0</v>
      </c>
      <c r="K201" s="885">
        <f t="shared" si="107"/>
        <v>0</v>
      </c>
      <c r="L201" s="436">
        <f t="shared" si="107"/>
        <v>0</v>
      </c>
      <c r="M201" s="436">
        <f t="shared" si="107"/>
        <v>0</v>
      </c>
      <c r="N201" s="436">
        <f t="shared" si="107"/>
        <v>0</v>
      </c>
      <c r="O201" s="436">
        <f t="shared" si="107"/>
        <v>0</v>
      </c>
      <c r="P201" s="885">
        <f t="shared" si="107"/>
        <v>0</v>
      </c>
      <c r="Q201" s="436">
        <f t="shared" si="107"/>
        <v>0</v>
      </c>
      <c r="R201" s="436">
        <f t="shared" si="107"/>
        <v>0</v>
      </c>
      <c r="S201" s="436">
        <f t="shared" si="107"/>
        <v>0</v>
      </c>
      <c r="T201" s="436">
        <f t="shared" si="107"/>
        <v>0</v>
      </c>
      <c r="U201" s="885">
        <f t="shared" si="107"/>
        <v>0</v>
      </c>
      <c r="V201" s="436">
        <f t="shared" si="107"/>
        <v>0</v>
      </c>
      <c r="W201" s="436">
        <f t="shared" si="107"/>
        <v>0</v>
      </c>
      <c r="X201" s="436">
        <f t="shared" si="107"/>
        <v>0</v>
      </c>
      <c r="Y201" s="436">
        <f t="shared" si="107"/>
        <v>0</v>
      </c>
      <c r="Z201" s="885">
        <f t="shared" si="107"/>
        <v>0</v>
      </c>
      <c r="AA201" s="436">
        <f t="shared" si="107"/>
        <v>0</v>
      </c>
      <c r="AB201" s="436">
        <f t="shared" si="107"/>
        <v>0</v>
      </c>
      <c r="AC201" s="436">
        <f t="shared" si="107"/>
        <v>0</v>
      </c>
      <c r="AD201" s="436">
        <f t="shared" si="107"/>
        <v>0</v>
      </c>
      <c r="AE201" s="885">
        <f t="shared" si="107"/>
        <v>0</v>
      </c>
      <c r="AF201" s="436">
        <f t="shared" si="107"/>
        <v>0</v>
      </c>
      <c r="AG201" s="436">
        <f t="shared" si="107"/>
        <v>0</v>
      </c>
      <c r="AH201" s="436">
        <f t="shared" si="107"/>
        <v>0</v>
      </c>
      <c r="AI201" s="436">
        <f t="shared" si="107"/>
        <v>0</v>
      </c>
      <c r="AJ201" s="885">
        <f t="shared" si="107"/>
        <v>0</v>
      </c>
      <c r="AK201" s="436">
        <f t="shared" si="107"/>
        <v>103.79300000000001</v>
      </c>
      <c r="AL201" s="436">
        <f t="shared" si="107"/>
        <v>0</v>
      </c>
      <c r="AM201" s="436">
        <f t="shared" si="107"/>
        <v>0.99899999999999523</v>
      </c>
      <c r="AN201" s="436">
        <f t="shared" si="107"/>
        <v>8.4999999999993747E-2</v>
      </c>
      <c r="AO201" s="885">
        <f t="shared" si="107"/>
        <v>104.877</v>
      </c>
      <c r="AP201" s="436">
        <f t="shared" si="107"/>
        <v>0</v>
      </c>
      <c r="AQ201" s="886">
        <f t="shared" si="107"/>
        <v>1.6</v>
      </c>
      <c r="AR201" s="855">
        <v>0</v>
      </c>
      <c r="AS201" s="855">
        <v>0</v>
      </c>
      <c r="AT201" s="885">
        <f>AT347+AT345</f>
        <v>1.6</v>
      </c>
      <c r="AU201" s="855">
        <v>0</v>
      </c>
      <c r="AV201" s="855">
        <v>0</v>
      </c>
      <c r="AW201" s="855">
        <v>0</v>
      </c>
      <c r="AX201" s="855">
        <v>0</v>
      </c>
      <c r="AY201" s="885">
        <f>AY347+AY345</f>
        <v>0</v>
      </c>
      <c r="AZ201" s="870">
        <v>0</v>
      </c>
      <c r="BA201" s="870">
        <v>0</v>
      </c>
      <c r="BB201" s="870">
        <v>0</v>
      </c>
      <c r="BC201" s="362"/>
    </row>
    <row r="202" spans="1:55" s="23" customFormat="1" ht="14.45" customHeight="1">
      <c r="A202" s="520" t="s">
        <v>58</v>
      </c>
      <c r="B202" s="132"/>
      <c r="C202" s="885">
        <f t="shared" ref="C202:AQ202" si="108">C361</f>
        <v>0</v>
      </c>
      <c r="D202" s="885">
        <f t="shared" si="108"/>
        <v>0</v>
      </c>
      <c r="E202" s="885">
        <f t="shared" si="108"/>
        <v>0</v>
      </c>
      <c r="F202" s="885">
        <f t="shared" si="108"/>
        <v>0</v>
      </c>
      <c r="G202" s="436">
        <f t="shared" si="108"/>
        <v>0</v>
      </c>
      <c r="H202" s="436">
        <f t="shared" si="108"/>
        <v>0</v>
      </c>
      <c r="I202" s="436">
        <f t="shared" si="108"/>
        <v>0</v>
      </c>
      <c r="J202" s="436">
        <f t="shared" si="108"/>
        <v>0</v>
      </c>
      <c r="K202" s="885">
        <f t="shared" si="108"/>
        <v>0</v>
      </c>
      <c r="L202" s="436">
        <f t="shared" si="108"/>
        <v>0</v>
      </c>
      <c r="M202" s="436">
        <f t="shared" si="108"/>
        <v>0</v>
      </c>
      <c r="N202" s="436">
        <f t="shared" si="108"/>
        <v>0</v>
      </c>
      <c r="O202" s="436">
        <f t="shared" si="108"/>
        <v>0</v>
      </c>
      <c r="P202" s="885">
        <f t="shared" si="108"/>
        <v>0</v>
      </c>
      <c r="Q202" s="436">
        <f t="shared" si="108"/>
        <v>0</v>
      </c>
      <c r="R202" s="436">
        <f t="shared" si="108"/>
        <v>0</v>
      </c>
      <c r="S202" s="436">
        <f t="shared" si="108"/>
        <v>0</v>
      </c>
      <c r="T202" s="436">
        <f t="shared" si="108"/>
        <v>0</v>
      </c>
      <c r="U202" s="885">
        <f t="shared" si="108"/>
        <v>0</v>
      </c>
      <c r="V202" s="436">
        <f t="shared" si="108"/>
        <v>0</v>
      </c>
      <c r="W202" s="436">
        <f t="shared" si="108"/>
        <v>0</v>
      </c>
      <c r="X202" s="436">
        <f t="shared" si="108"/>
        <v>0</v>
      </c>
      <c r="Y202" s="436">
        <f t="shared" si="108"/>
        <v>0</v>
      </c>
      <c r="Z202" s="885">
        <f t="shared" si="108"/>
        <v>0</v>
      </c>
      <c r="AA202" s="436">
        <f t="shared" si="108"/>
        <v>0</v>
      </c>
      <c r="AB202" s="436">
        <f t="shared" si="108"/>
        <v>0</v>
      </c>
      <c r="AC202" s="436">
        <f t="shared" si="108"/>
        <v>0</v>
      </c>
      <c r="AD202" s="436">
        <f t="shared" si="108"/>
        <v>0</v>
      </c>
      <c r="AE202" s="885">
        <f t="shared" si="108"/>
        <v>0</v>
      </c>
      <c r="AF202" s="436">
        <f t="shared" si="108"/>
        <v>0</v>
      </c>
      <c r="AG202" s="436">
        <f t="shared" si="108"/>
        <v>0</v>
      </c>
      <c r="AH202" s="436">
        <f t="shared" si="108"/>
        <v>0</v>
      </c>
      <c r="AI202" s="436">
        <f t="shared" si="108"/>
        <v>0</v>
      </c>
      <c r="AJ202" s="885">
        <f t="shared" si="108"/>
        <v>0</v>
      </c>
      <c r="AK202" s="436">
        <f t="shared" si="108"/>
        <v>0</v>
      </c>
      <c r="AL202" s="436">
        <f t="shared" si="108"/>
        <v>0</v>
      </c>
      <c r="AM202" s="436">
        <f t="shared" si="108"/>
        <v>0</v>
      </c>
      <c r="AN202" s="436">
        <f t="shared" si="108"/>
        <v>0</v>
      </c>
      <c r="AO202" s="885">
        <f t="shared" si="108"/>
        <v>0</v>
      </c>
      <c r="AP202" s="436">
        <f t="shared" si="108"/>
        <v>0</v>
      </c>
      <c r="AQ202" s="886">
        <f t="shared" si="108"/>
        <v>0</v>
      </c>
      <c r="AR202" s="436">
        <f ca="1">AR203*-AR190</f>
        <v>0</v>
      </c>
      <c r="AS202" s="436">
        <f ca="1">AS203*-AS190</f>
        <v>0</v>
      </c>
      <c r="AT202" s="885">
        <f ca="1">AT361</f>
        <v>0</v>
      </c>
      <c r="AU202" s="436">
        <f ca="1">AU203*-AU190</f>
        <v>0</v>
      </c>
      <c r="AV202" s="436">
        <f ca="1">AV203*-AV190</f>
        <v>0</v>
      </c>
      <c r="AW202" s="436">
        <f ca="1">AW203*-AW190</f>
        <v>0</v>
      </c>
      <c r="AX202" s="436">
        <f ca="1">AX203*-AX190</f>
        <v>0</v>
      </c>
      <c r="AY202" s="885">
        <f ca="1">AY361</f>
        <v>0</v>
      </c>
      <c r="AZ202" s="885">
        <f ca="1">AZ203*-AZ190</f>
        <v>0</v>
      </c>
      <c r="BA202" s="885">
        <f ca="1">BA203*-BA190</f>
        <v>0</v>
      </c>
      <c r="BB202" s="885">
        <f ca="1">BB203*-BB190</f>
        <v>0</v>
      </c>
      <c r="BC202" s="362"/>
    </row>
    <row r="203" spans="1:55" s="30" customFormat="1" ht="14.45" customHeight="1">
      <c r="A203" s="442" t="s">
        <v>46</v>
      </c>
      <c r="B203" s="443"/>
      <c r="C203" s="948">
        <v>0</v>
      </c>
      <c r="D203" s="948">
        <v>0</v>
      </c>
      <c r="E203" s="948">
        <v>0</v>
      </c>
      <c r="F203" s="948">
        <v>0</v>
      </c>
      <c r="G203" s="949">
        <v>0</v>
      </c>
      <c r="H203" s="949">
        <v>0</v>
      </c>
      <c r="I203" s="949">
        <v>0</v>
      </c>
      <c r="J203" s="949">
        <v>0</v>
      </c>
      <c r="K203" s="948">
        <f>SUM(G203,H203,I203,J203)</f>
        <v>0</v>
      </c>
      <c r="L203" s="949">
        <v>0</v>
      </c>
      <c r="M203" s="949">
        <v>0</v>
      </c>
      <c r="N203" s="949">
        <v>0</v>
      </c>
      <c r="O203" s="949">
        <v>0</v>
      </c>
      <c r="P203" s="948">
        <f>SUM(L203,M203,N203,O203)</f>
        <v>0</v>
      </c>
      <c r="Q203" s="949">
        <v>0</v>
      </c>
      <c r="R203" s="949">
        <v>0</v>
      </c>
      <c r="S203" s="949">
        <v>0</v>
      </c>
      <c r="T203" s="949">
        <v>0</v>
      </c>
      <c r="U203" s="948">
        <f>SUM(Q203,R203,S203,T203)</f>
        <v>0</v>
      </c>
      <c r="V203" s="949">
        <v>0</v>
      </c>
      <c r="W203" s="949">
        <v>0</v>
      </c>
      <c r="X203" s="949">
        <v>0</v>
      </c>
      <c r="Y203" s="949">
        <v>0</v>
      </c>
      <c r="Z203" s="948">
        <f>SUM(V203,W203,X203,Y203)</f>
        <v>0</v>
      </c>
      <c r="AA203" s="949">
        <v>0</v>
      </c>
      <c r="AB203" s="949">
        <v>0</v>
      </c>
      <c r="AC203" s="949">
        <v>0</v>
      </c>
      <c r="AD203" s="949">
        <v>0</v>
      </c>
      <c r="AE203" s="948">
        <f>SUM(AA203,AB203,AC203,AD203)</f>
        <v>0</v>
      </c>
      <c r="AF203" s="949">
        <v>0</v>
      </c>
      <c r="AG203" s="949">
        <v>0</v>
      </c>
      <c r="AH203" s="949">
        <v>0</v>
      </c>
      <c r="AI203" s="949">
        <v>0</v>
      </c>
      <c r="AJ203" s="948">
        <f>SUM(AF203,AG203,AH203,AI203)</f>
        <v>0</v>
      </c>
      <c r="AK203" s="949">
        <v>0</v>
      </c>
      <c r="AL203" s="949">
        <v>0</v>
      </c>
      <c r="AM203" s="949">
        <v>0</v>
      </c>
      <c r="AN203" s="949">
        <v>0</v>
      </c>
      <c r="AO203" s="948">
        <f>SUM(AK203,AL203,AM203,AN203)</f>
        <v>0</v>
      </c>
      <c r="AP203" s="949">
        <v>0</v>
      </c>
      <c r="AQ203" s="950">
        <v>0</v>
      </c>
      <c r="AR203" s="951">
        <v>0</v>
      </c>
      <c r="AS203" s="951">
        <v>0</v>
      </c>
      <c r="AT203" s="948">
        <f>SUM(AP203,AQ203,AR203,AS203)</f>
        <v>0</v>
      </c>
      <c r="AU203" s="951">
        <v>0</v>
      </c>
      <c r="AV203" s="951">
        <v>0</v>
      </c>
      <c r="AW203" s="951">
        <v>0</v>
      </c>
      <c r="AX203" s="951">
        <v>0</v>
      </c>
      <c r="AY203" s="948">
        <f>SUM(AU203,AV203,AW203,AX203)</f>
        <v>0</v>
      </c>
      <c r="AZ203" s="952">
        <v>0</v>
      </c>
      <c r="BA203" s="952">
        <v>0</v>
      </c>
      <c r="BB203" s="952">
        <v>0</v>
      </c>
      <c r="BC203" s="58"/>
    </row>
    <row r="204" spans="1:55" s="30" customFormat="1" ht="14.45" customHeight="1">
      <c r="A204" s="442"/>
      <c r="B204" s="443"/>
      <c r="C204" s="948"/>
      <c r="D204" s="948"/>
      <c r="E204" s="948"/>
      <c r="F204" s="948"/>
      <c r="G204" s="949"/>
      <c r="H204" s="949"/>
      <c r="I204" s="949"/>
      <c r="J204" s="949"/>
      <c r="K204" s="948"/>
      <c r="L204" s="949"/>
      <c r="M204" s="949"/>
      <c r="N204" s="949"/>
      <c r="O204" s="949"/>
      <c r="P204" s="948"/>
      <c r="Q204" s="949"/>
      <c r="R204" s="949"/>
      <c r="S204" s="949"/>
      <c r="T204" s="949"/>
      <c r="U204" s="948"/>
      <c r="V204" s="949"/>
      <c r="W204" s="949"/>
      <c r="X204" s="949"/>
      <c r="Y204" s="949"/>
      <c r="Z204" s="948"/>
      <c r="AA204" s="949"/>
      <c r="AB204" s="949"/>
      <c r="AC204" s="949"/>
      <c r="AD204" s="949"/>
      <c r="AE204" s="948"/>
      <c r="AF204" s="949"/>
      <c r="AG204" s="949"/>
      <c r="AH204" s="949"/>
      <c r="AI204" s="949"/>
      <c r="AJ204" s="948"/>
      <c r="AK204" s="949"/>
      <c r="AL204" s="949"/>
      <c r="AM204" s="949"/>
      <c r="AN204" s="949"/>
      <c r="AO204" s="948"/>
      <c r="AP204" s="949"/>
      <c r="AQ204" s="950"/>
      <c r="AR204" s="951"/>
      <c r="AS204" s="951"/>
      <c r="AT204" s="952"/>
      <c r="AU204" s="951"/>
      <c r="AV204" s="951"/>
      <c r="AW204" s="951"/>
      <c r="AX204" s="951"/>
      <c r="AY204" s="952"/>
      <c r="AZ204" s="952"/>
      <c r="BA204" s="952"/>
      <c r="BB204" s="952"/>
      <c r="BC204" s="58"/>
    </row>
    <row r="205" spans="1:55" s="30" customFormat="1" ht="14.45" customHeight="1">
      <c r="A205" s="442" t="s">
        <v>478</v>
      </c>
      <c r="B205" s="443"/>
      <c r="C205" s="885">
        <f t="shared" ref="C205:AQ205" si="109">C352+C353+C354+C355+C357+C359</f>
        <v>23.488999999999997</v>
      </c>
      <c r="D205" s="885">
        <f t="shared" si="109"/>
        <v>-6.2450000000000001</v>
      </c>
      <c r="E205" s="885">
        <f t="shared" si="109"/>
        <v>-5.4449999999999994</v>
      </c>
      <c r="F205" s="885">
        <f t="shared" si="109"/>
        <v>-3.3070000000000004</v>
      </c>
      <c r="G205" s="436">
        <f t="shared" si="109"/>
        <v>-2.1950000000000003</v>
      </c>
      <c r="H205" s="436">
        <f t="shared" si="109"/>
        <v>-2.4429999999999996</v>
      </c>
      <c r="I205" s="436">
        <f t="shared" si="109"/>
        <v>171.05600000000001</v>
      </c>
      <c r="J205" s="436">
        <f t="shared" si="109"/>
        <v>-5.2040000000000006</v>
      </c>
      <c r="K205" s="885">
        <f t="shared" si="109"/>
        <v>161.214</v>
      </c>
      <c r="L205" s="436">
        <f t="shared" si="109"/>
        <v>57.314999999999998</v>
      </c>
      <c r="M205" s="436">
        <f t="shared" si="109"/>
        <v>-25.327999999999999</v>
      </c>
      <c r="N205" s="436">
        <f t="shared" si="109"/>
        <v>-32.907000000000004</v>
      </c>
      <c r="O205" s="436">
        <f t="shared" si="109"/>
        <v>-29.302999999999969</v>
      </c>
      <c r="P205" s="885">
        <f t="shared" si="109"/>
        <v>-30.222999999999978</v>
      </c>
      <c r="Q205" s="436">
        <f t="shared" si="109"/>
        <v>34.337000000000003</v>
      </c>
      <c r="R205" s="436">
        <f t="shared" si="109"/>
        <v>14.332000000000001</v>
      </c>
      <c r="S205" s="436">
        <f t="shared" si="109"/>
        <v>-22.677</v>
      </c>
      <c r="T205" s="436">
        <f t="shared" si="109"/>
        <v>-38.686000000000007</v>
      </c>
      <c r="U205" s="885">
        <f t="shared" si="109"/>
        <v>-12.694000000000003</v>
      </c>
      <c r="V205" s="436">
        <f t="shared" si="109"/>
        <v>2.2319999999999998</v>
      </c>
      <c r="W205" s="436">
        <f t="shared" si="109"/>
        <v>-5.6750000000000007</v>
      </c>
      <c r="X205" s="436">
        <f t="shared" si="109"/>
        <v>-2.629999999999999</v>
      </c>
      <c r="Y205" s="436">
        <f t="shared" si="109"/>
        <v>-15.762000000000002</v>
      </c>
      <c r="Z205" s="885">
        <f t="shared" si="109"/>
        <v>-21.835000000000001</v>
      </c>
      <c r="AA205" s="436">
        <f t="shared" si="109"/>
        <v>-6.657</v>
      </c>
      <c r="AB205" s="436">
        <f t="shared" si="109"/>
        <v>21.315999999999999</v>
      </c>
      <c r="AC205" s="436">
        <f t="shared" si="109"/>
        <v>14.309999999999999</v>
      </c>
      <c r="AD205" s="436">
        <f t="shared" si="109"/>
        <v>94.39700000000002</v>
      </c>
      <c r="AE205" s="885">
        <f t="shared" si="109"/>
        <v>123.36600000000001</v>
      </c>
      <c r="AF205" s="436">
        <f t="shared" si="109"/>
        <v>3.7789999999999999</v>
      </c>
      <c r="AG205" s="436">
        <f t="shared" si="109"/>
        <v>-10.695999999999998</v>
      </c>
      <c r="AH205" s="436">
        <f t="shared" si="109"/>
        <v>-5.7000000000000028</v>
      </c>
      <c r="AI205" s="436">
        <f t="shared" si="109"/>
        <v>-25.718000000000004</v>
      </c>
      <c r="AJ205" s="885">
        <f t="shared" si="109"/>
        <v>-38.335000000000001</v>
      </c>
      <c r="AK205" s="436">
        <f t="shared" si="109"/>
        <v>-112.026</v>
      </c>
      <c r="AL205" s="436">
        <f t="shared" si="109"/>
        <v>6.972999999999999</v>
      </c>
      <c r="AM205" s="436">
        <f t="shared" si="109"/>
        <v>57.972999999999985</v>
      </c>
      <c r="AN205" s="436">
        <f t="shared" si="109"/>
        <v>7.9730000000000132</v>
      </c>
      <c r="AO205" s="885">
        <f t="shared" si="109"/>
        <v>-39.106999999999999</v>
      </c>
      <c r="AP205" s="436">
        <f t="shared" si="109"/>
        <v>145</v>
      </c>
      <c r="AQ205" s="886">
        <f t="shared" si="109"/>
        <v>-160</v>
      </c>
      <c r="AR205" s="855">
        <v>0</v>
      </c>
      <c r="AS205" s="855">
        <v>0</v>
      </c>
      <c r="AT205" s="885">
        <f>AT352+AT353+AT354+AT355+AT357+AT359</f>
        <v>-15</v>
      </c>
      <c r="AU205" s="855">
        <v>0</v>
      </c>
      <c r="AV205" s="855">
        <v>0</v>
      </c>
      <c r="AW205" s="855">
        <v>0</v>
      </c>
      <c r="AX205" s="855">
        <v>0</v>
      </c>
      <c r="AY205" s="885">
        <f>AY352+AY353+AY354+AY355+AY357+AY359</f>
        <v>0</v>
      </c>
      <c r="AZ205" s="870">
        <v>0</v>
      </c>
      <c r="BA205" s="870">
        <v>0</v>
      </c>
      <c r="BB205" s="870">
        <v>0</v>
      </c>
      <c r="BC205" s="58"/>
    </row>
    <row r="206" spans="1:55" s="30" customFormat="1" ht="14.45" customHeight="1">
      <c r="A206" s="442" t="s">
        <v>481</v>
      </c>
      <c r="B206" s="443"/>
      <c r="C206" s="885">
        <f t="shared" ref="C206:AQ206" si="110">C356+C360+C363</f>
        <v>3.1E-2</v>
      </c>
      <c r="D206" s="885">
        <f t="shared" si="110"/>
        <v>1.1140000000000001</v>
      </c>
      <c r="E206" s="885">
        <f t="shared" si="110"/>
        <v>3.88</v>
      </c>
      <c r="F206" s="885">
        <f t="shared" si="110"/>
        <v>2.9660000000000002</v>
      </c>
      <c r="G206" s="436">
        <f t="shared" si="110"/>
        <v>0.19400000000000001</v>
      </c>
      <c r="H206" s="436">
        <f t="shared" si="110"/>
        <v>3.7999999999999978E-2</v>
      </c>
      <c r="I206" s="436">
        <f t="shared" si="110"/>
        <v>0.82499999999999996</v>
      </c>
      <c r="J206" s="436">
        <f t="shared" si="110"/>
        <v>2.0629999999999997</v>
      </c>
      <c r="K206" s="885">
        <f t="shared" si="110"/>
        <v>3.12</v>
      </c>
      <c r="L206" s="436">
        <f t="shared" si="110"/>
        <v>1.8489999999999998</v>
      </c>
      <c r="M206" s="436">
        <f t="shared" si="110"/>
        <v>0.21600000000000008</v>
      </c>
      <c r="N206" s="436">
        <f t="shared" si="110"/>
        <v>1.266</v>
      </c>
      <c r="O206" s="436">
        <f t="shared" si="110"/>
        <v>3.7789999999999999</v>
      </c>
      <c r="P206" s="885">
        <f t="shared" si="110"/>
        <v>7.1099999999999994</v>
      </c>
      <c r="Q206" s="436">
        <f t="shared" si="110"/>
        <v>1.1099999999999999</v>
      </c>
      <c r="R206" s="436">
        <f t="shared" si="110"/>
        <v>0.23599999999999999</v>
      </c>
      <c r="S206" s="436">
        <f t="shared" si="110"/>
        <v>2.581</v>
      </c>
      <c r="T206" s="436">
        <f t="shared" si="110"/>
        <v>2.0420000000000003</v>
      </c>
      <c r="U206" s="885">
        <f t="shared" si="110"/>
        <v>5.9689999999999994</v>
      </c>
      <c r="V206" s="436">
        <f t="shared" si="110"/>
        <v>-3.2810000000000001</v>
      </c>
      <c r="W206" s="436">
        <f t="shared" si="110"/>
        <v>-7.7869999999999999</v>
      </c>
      <c r="X206" s="436">
        <f t="shared" si="110"/>
        <v>-1.9470000000000014</v>
      </c>
      <c r="Y206" s="436">
        <f t="shared" si="110"/>
        <v>4.4000000000002926E-2</v>
      </c>
      <c r="Z206" s="885">
        <f t="shared" si="110"/>
        <v>-12.970999999999998</v>
      </c>
      <c r="AA206" s="436">
        <f t="shared" si="110"/>
        <v>-4.1180000000000003</v>
      </c>
      <c r="AB206" s="436">
        <f t="shared" si="110"/>
        <v>-9.0889999999999986</v>
      </c>
      <c r="AC206" s="436">
        <f t="shared" si="110"/>
        <v>-18.825999999999997</v>
      </c>
      <c r="AD206" s="436">
        <f t="shared" si="110"/>
        <v>9.2000000000000026E-2</v>
      </c>
      <c r="AE206" s="885">
        <f t="shared" si="110"/>
        <v>-31.940999999999999</v>
      </c>
      <c r="AF206" s="436">
        <f t="shared" si="110"/>
        <v>0.16</v>
      </c>
      <c r="AG206" s="436">
        <f t="shared" si="110"/>
        <v>0.12100000000000002</v>
      </c>
      <c r="AH206" s="436">
        <f t="shared" si="110"/>
        <v>1.9999999999999463E-3</v>
      </c>
      <c r="AI206" s="436">
        <f t="shared" si="110"/>
        <v>1.9180000000000001</v>
      </c>
      <c r="AJ206" s="885">
        <f t="shared" si="110"/>
        <v>2.2010000000000001</v>
      </c>
      <c r="AK206" s="436">
        <f t="shared" si="110"/>
        <v>0.159</v>
      </c>
      <c r="AL206" s="436">
        <f t="shared" si="110"/>
        <v>0.25700000000000001</v>
      </c>
      <c r="AM206" s="436">
        <f t="shared" si="110"/>
        <v>-49.993000000000002</v>
      </c>
      <c r="AN206" s="436">
        <f t="shared" si="110"/>
        <v>-1.7519999999999989</v>
      </c>
      <c r="AO206" s="885">
        <f t="shared" si="110"/>
        <v>-51.329000000000001</v>
      </c>
      <c r="AP206" s="436">
        <f t="shared" si="110"/>
        <v>-7.6989999999999998</v>
      </c>
      <c r="AQ206" s="886">
        <f t="shared" si="110"/>
        <v>1.0000000000000009E-3</v>
      </c>
      <c r="AR206" s="855">
        <v>0</v>
      </c>
      <c r="AS206" s="855">
        <v>0</v>
      </c>
      <c r="AT206" s="885">
        <f>AT356+AT360+AT363</f>
        <v>-7.6980000000000004</v>
      </c>
      <c r="AU206" s="855">
        <v>0</v>
      </c>
      <c r="AV206" s="855">
        <v>0</v>
      </c>
      <c r="AW206" s="855">
        <v>0</v>
      </c>
      <c r="AX206" s="855">
        <v>0</v>
      </c>
      <c r="AY206" s="885">
        <f>AY356+AY360+AY363</f>
        <v>0</v>
      </c>
      <c r="AZ206" s="870">
        <v>0</v>
      </c>
      <c r="BA206" s="870">
        <v>0</v>
      </c>
      <c r="BB206" s="870">
        <v>0</v>
      </c>
      <c r="BC206" s="58"/>
    </row>
    <row r="207" spans="1:55" s="30" customFormat="1" ht="14.45" customHeight="1">
      <c r="A207" s="444" t="s">
        <v>482</v>
      </c>
      <c r="B207" s="445"/>
      <c r="C207" s="953"/>
      <c r="D207" s="953"/>
      <c r="E207" s="953"/>
      <c r="F207" s="953"/>
      <c r="G207" s="954"/>
      <c r="H207" s="954"/>
      <c r="I207" s="954"/>
      <c r="J207" s="954"/>
      <c r="K207" s="953"/>
      <c r="L207" s="954"/>
      <c r="M207" s="954"/>
      <c r="N207" s="954"/>
      <c r="O207" s="954"/>
      <c r="P207" s="953"/>
      <c r="Q207" s="954"/>
      <c r="R207" s="954"/>
      <c r="S207" s="954"/>
      <c r="T207" s="954"/>
      <c r="U207" s="953"/>
      <c r="V207" s="954"/>
      <c r="W207" s="954"/>
      <c r="X207" s="954"/>
      <c r="Y207" s="954"/>
      <c r="Z207" s="953"/>
      <c r="AA207" s="954"/>
      <c r="AB207" s="954"/>
      <c r="AC207" s="954"/>
      <c r="AD207" s="954"/>
      <c r="AE207" s="953"/>
      <c r="AF207" s="954"/>
      <c r="AG207" s="954"/>
      <c r="AH207" s="954"/>
      <c r="AI207" s="954"/>
      <c r="AJ207" s="953"/>
      <c r="AK207" s="954"/>
      <c r="AL207" s="954"/>
      <c r="AM207" s="954"/>
      <c r="AN207" s="954"/>
      <c r="AO207" s="953"/>
      <c r="AP207" s="954"/>
      <c r="AQ207" s="955"/>
      <c r="AR207" s="956">
        <v>9</v>
      </c>
      <c r="AS207" s="956">
        <v>9</v>
      </c>
      <c r="AT207" s="953">
        <f>AVERAGE(AP207,AQ207,AR207,AS207)</f>
        <v>9</v>
      </c>
      <c r="AU207" s="956">
        <v>10</v>
      </c>
      <c r="AV207" s="956">
        <v>10</v>
      </c>
      <c r="AW207" s="956">
        <v>10</v>
      </c>
      <c r="AX207" s="956">
        <v>10</v>
      </c>
      <c r="AY207" s="953">
        <f>AVERAGE(AU207,AV207,AW207,AX207)</f>
        <v>10</v>
      </c>
      <c r="AZ207" s="957">
        <v>11</v>
      </c>
      <c r="BA207" s="957">
        <v>12</v>
      </c>
      <c r="BB207" s="957">
        <v>13</v>
      </c>
      <c r="BC207" s="58"/>
    </row>
    <row r="208" spans="1:55" s="27" customFormat="1" ht="14.45" customHeight="1">
      <c r="A208" s="525"/>
      <c r="B208" s="526"/>
      <c r="C208" s="918"/>
      <c r="D208" s="918"/>
      <c r="E208" s="918"/>
      <c r="F208" s="918"/>
      <c r="G208" s="919"/>
      <c r="H208" s="919"/>
      <c r="I208" s="919"/>
      <c r="J208" s="919"/>
      <c r="K208" s="918"/>
      <c r="L208" s="919"/>
      <c r="M208" s="919"/>
      <c r="N208" s="919"/>
      <c r="O208" s="919"/>
      <c r="P208" s="918"/>
      <c r="Q208" s="919"/>
      <c r="R208" s="919"/>
      <c r="S208" s="919"/>
      <c r="T208" s="919"/>
      <c r="U208" s="918"/>
      <c r="V208" s="919"/>
      <c r="W208" s="919"/>
      <c r="X208" s="919"/>
      <c r="Y208" s="919"/>
      <c r="Z208" s="918"/>
      <c r="AA208" s="919"/>
      <c r="AB208" s="919"/>
      <c r="AC208" s="919"/>
      <c r="AD208" s="919"/>
      <c r="AE208" s="918"/>
      <c r="AF208" s="919"/>
      <c r="AG208" s="919"/>
      <c r="AH208" s="919"/>
      <c r="AI208" s="919"/>
      <c r="AJ208" s="918"/>
      <c r="AK208" s="919"/>
      <c r="AL208" s="919"/>
      <c r="AM208" s="919"/>
      <c r="AN208" s="919"/>
      <c r="AO208" s="918"/>
      <c r="AP208" s="919"/>
      <c r="AQ208" s="920"/>
      <c r="AR208" s="928"/>
      <c r="AS208" s="928"/>
      <c r="AT208" s="929"/>
      <c r="AU208" s="928"/>
      <c r="AV208" s="928"/>
      <c r="AW208" s="928"/>
      <c r="AX208" s="928"/>
      <c r="AY208" s="929"/>
      <c r="AZ208" s="929"/>
      <c r="BA208" s="929"/>
      <c r="BB208" s="929"/>
      <c r="BC208" s="364"/>
    </row>
    <row r="209" spans="1:55" s="23" customFormat="1" ht="14.45" customHeight="1">
      <c r="A209" s="520" t="s">
        <v>24</v>
      </c>
      <c r="B209" s="132"/>
      <c r="C209" s="885">
        <f t="shared" ref="C209:AH209" si="111">C195+C198</f>
        <v>13.219000000000001</v>
      </c>
      <c r="D209" s="885">
        <f t="shared" si="111"/>
        <v>19.731000000000002</v>
      </c>
      <c r="E209" s="885">
        <f t="shared" si="111"/>
        <v>16.818999999999996</v>
      </c>
      <c r="F209" s="885">
        <f t="shared" si="111"/>
        <v>13.652000000000001</v>
      </c>
      <c r="G209" s="436">
        <f t="shared" si="111"/>
        <v>9.6650000000000027</v>
      </c>
      <c r="H209" s="436">
        <f t="shared" si="111"/>
        <v>5.7909999999999995</v>
      </c>
      <c r="I209" s="436">
        <f t="shared" si="111"/>
        <v>8.8099999999999987</v>
      </c>
      <c r="J209" s="436">
        <f t="shared" si="111"/>
        <v>7.4520000000000017</v>
      </c>
      <c r="K209" s="885">
        <f t="shared" si="111"/>
        <v>31.717999999999989</v>
      </c>
      <c r="L209" s="436">
        <f t="shared" si="111"/>
        <v>-5.5500000000000007</v>
      </c>
      <c r="M209" s="436">
        <f t="shared" si="111"/>
        <v>11.381999999999998</v>
      </c>
      <c r="N209" s="436">
        <f t="shared" si="111"/>
        <v>19.440000000000001</v>
      </c>
      <c r="O209" s="436">
        <f t="shared" si="111"/>
        <v>11.579000000000001</v>
      </c>
      <c r="P209" s="885">
        <f t="shared" si="111"/>
        <v>36.851000000000006</v>
      </c>
      <c r="Q209" s="436">
        <f t="shared" si="111"/>
        <v>10.252999999999997</v>
      </c>
      <c r="R209" s="436">
        <f t="shared" si="111"/>
        <v>18.801999999999996</v>
      </c>
      <c r="S209" s="436">
        <f t="shared" si="111"/>
        <v>28.440999999999995</v>
      </c>
      <c r="T209" s="436">
        <f t="shared" si="111"/>
        <v>19.310000000000002</v>
      </c>
      <c r="U209" s="885">
        <f t="shared" si="111"/>
        <v>76.806000000000012</v>
      </c>
      <c r="V209" s="436">
        <f t="shared" si="111"/>
        <v>16.391999999999999</v>
      </c>
      <c r="W209" s="436">
        <f t="shared" si="111"/>
        <v>18.567</v>
      </c>
      <c r="X209" s="436">
        <f t="shared" si="111"/>
        <v>13.472000000000003</v>
      </c>
      <c r="Y209" s="436">
        <f t="shared" si="111"/>
        <v>12.839999999999998</v>
      </c>
      <c r="Z209" s="885">
        <f t="shared" si="111"/>
        <v>61.271000000000008</v>
      </c>
      <c r="AA209" s="436">
        <f t="shared" si="111"/>
        <v>15.501999999999995</v>
      </c>
      <c r="AB209" s="436">
        <f t="shared" si="111"/>
        <v>11.641</v>
      </c>
      <c r="AC209" s="436">
        <f t="shared" si="111"/>
        <v>9.3120000000000012</v>
      </c>
      <c r="AD209" s="436">
        <f t="shared" si="111"/>
        <v>12.185999999999996</v>
      </c>
      <c r="AE209" s="885">
        <f t="shared" si="111"/>
        <v>48.640999999999998</v>
      </c>
      <c r="AF209" s="436">
        <f t="shared" si="111"/>
        <v>8.6889999999999983</v>
      </c>
      <c r="AG209" s="436">
        <f t="shared" si="111"/>
        <v>21.228000000000002</v>
      </c>
      <c r="AH209" s="436">
        <f t="shared" si="111"/>
        <v>21.478999999999999</v>
      </c>
      <c r="AI209" s="436">
        <f t="shared" ref="AI209:BB209" si="112">AI195+AI198</f>
        <v>17.14299999999999</v>
      </c>
      <c r="AJ209" s="885">
        <f t="shared" si="112"/>
        <v>68.538999999999987</v>
      </c>
      <c r="AK209" s="436">
        <f t="shared" si="112"/>
        <v>3.1600000000000188</v>
      </c>
      <c r="AL209" s="436">
        <f t="shared" si="112"/>
        <v>14.107999999999999</v>
      </c>
      <c r="AM209" s="436">
        <f t="shared" si="112"/>
        <v>8.2899999999999885</v>
      </c>
      <c r="AN209" s="436">
        <f t="shared" si="112"/>
        <v>23.088000000000008</v>
      </c>
      <c r="AO209" s="885">
        <f t="shared" si="112"/>
        <v>48.646000000000001</v>
      </c>
      <c r="AP209" s="436">
        <f t="shared" si="112"/>
        <v>19.426000000000013</v>
      </c>
      <c r="AQ209" s="886">
        <f t="shared" si="112"/>
        <v>12.794999999999996</v>
      </c>
      <c r="AR209" s="436">
        <f t="shared" si="112"/>
        <v>3.9540924098360684</v>
      </c>
      <c r="AS209" s="436">
        <f t="shared" ca="1" si="112"/>
        <v>7.256409819909611</v>
      </c>
      <c r="AT209" s="885">
        <f t="shared" ca="1" si="112"/>
        <v>43.431502229745682</v>
      </c>
      <c r="AU209" s="436">
        <f t="shared" ca="1" si="112"/>
        <v>11.322405840856103</v>
      </c>
      <c r="AV209" s="436">
        <f t="shared" ca="1" si="112"/>
        <v>16.613088527267212</v>
      </c>
      <c r="AW209" s="436">
        <f t="shared" ca="1" si="112"/>
        <v>17.955691544529657</v>
      </c>
      <c r="AX209" s="436">
        <f t="shared" ca="1" si="112"/>
        <v>16.160509227292007</v>
      </c>
      <c r="AY209" s="885">
        <f t="shared" ca="1" si="112"/>
        <v>62.051695139944982</v>
      </c>
      <c r="AZ209" s="885">
        <f t="shared" ca="1" si="112"/>
        <v>52.942950733557083</v>
      </c>
      <c r="BA209" s="885">
        <f t="shared" ca="1" si="112"/>
        <v>88.955841907990404</v>
      </c>
      <c r="BB209" s="885">
        <f t="shared" ca="1" si="112"/>
        <v>33.814261694265312</v>
      </c>
      <c r="BC209" s="362"/>
    </row>
    <row r="210" spans="1:55" s="23" customFormat="1" ht="14.45" customHeight="1">
      <c r="A210" s="520" t="s">
        <v>57</v>
      </c>
      <c r="B210" s="132"/>
      <c r="C210" s="885">
        <f t="shared" ref="C210:AH210" si="113">C209+C202</f>
        <v>13.219000000000001</v>
      </c>
      <c r="D210" s="885">
        <f t="shared" si="113"/>
        <v>19.731000000000002</v>
      </c>
      <c r="E210" s="885">
        <f t="shared" si="113"/>
        <v>16.818999999999996</v>
      </c>
      <c r="F210" s="885">
        <f t="shared" si="113"/>
        <v>13.652000000000001</v>
      </c>
      <c r="G210" s="436">
        <f t="shared" si="113"/>
        <v>9.6650000000000027</v>
      </c>
      <c r="H210" s="436">
        <f t="shared" si="113"/>
        <v>5.7909999999999995</v>
      </c>
      <c r="I210" s="436">
        <f t="shared" si="113"/>
        <v>8.8099999999999987</v>
      </c>
      <c r="J210" s="436">
        <f t="shared" si="113"/>
        <v>7.4520000000000017</v>
      </c>
      <c r="K210" s="885">
        <f t="shared" si="113"/>
        <v>31.717999999999989</v>
      </c>
      <c r="L210" s="436">
        <f t="shared" si="113"/>
        <v>-5.5500000000000007</v>
      </c>
      <c r="M210" s="436">
        <f t="shared" si="113"/>
        <v>11.381999999999998</v>
      </c>
      <c r="N210" s="436">
        <f t="shared" si="113"/>
        <v>19.440000000000001</v>
      </c>
      <c r="O210" s="436">
        <f t="shared" si="113"/>
        <v>11.579000000000001</v>
      </c>
      <c r="P210" s="885">
        <f t="shared" si="113"/>
        <v>36.851000000000006</v>
      </c>
      <c r="Q210" s="436">
        <f t="shared" si="113"/>
        <v>10.252999999999997</v>
      </c>
      <c r="R210" s="436">
        <f t="shared" si="113"/>
        <v>18.801999999999996</v>
      </c>
      <c r="S210" s="436">
        <f t="shared" si="113"/>
        <v>28.440999999999995</v>
      </c>
      <c r="T210" s="436">
        <f t="shared" si="113"/>
        <v>19.310000000000002</v>
      </c>
      <c r="U210" s="885">
        <f t="shared" si="113"/>
        <v>76.806000000000012</v>
      </c>
      <c r="V210" s="436">
        <f t="shared" si="113"/>
        <v>16.391999999999999</v>
      </c>
      <c r="W210" s="436">
        <f t="shared" si="113"/>
        <v>18.567</v>
      </c>
      <c r="X210" s="436">
        <f t="shared" si="113"/>
        <v>13.472000000000003</v>
      </c>
      <c r="Y210" s="436">
        <f t="shared" si="113"/>
        <v>12.839999999999998</v>
      </c>
      <c r="Z210" s="885">
        <f t="shared" si="113"/>
        <v>61.271000000000008</v>
      </c>
      <c r="AA210" s="436">
        <f t="shared" si="113"/>
        <v>15.501999999999995</v>
      </c>
      <c r="AB210" s="436">
        <f t="shared" si="113"/>
        <v>11.641</v>
      </c>
      <c r="AC210" s="436">
        <f t="shared" si="113"/>
        <v>9.3120000000000012</v>
      </c>
      <c r="AD210" s="436">
        <f t="shared" si="113"/>
        <v>12.185999999999996</v>
      </c>
      <c r="AE210" s="885">
        <f t="shared" si="113"/>
        <v>48.640999999999998</v>
      </c>
      <c r="AF210" s="436">
        <f t="shared" si="113"/>
        <v>8.6889999999999983</v>
      </c>
      <c r="AG210" s="436">
        <f t="shared" si="113"/>
        <v>21.228000000000002</v>
      </c>
      <c r="AH210" s="436">
        <f t="shared" si="113"/>
        <v>21.478999999999999</v>
      </c>
      <c r="AI210" s="436">
        <f t="shared" ref="AI210:BB210" si="114">AI209+AI202</f>
        <v>17.14299999999999</v>
      </c>
      <c r="AJ210" s="885">
        <f t="shared" si="114"/>
        <v>68.538999999999987</v>
      </c>
      <c r="AK210" s="436">
        <f t="shared" si="114"/>
        <v>3.1600000000000188</v>
      </c>
      <c r="AL210" s="436">
        <f t="shared" si="114"/>
        <v>14.107999999999999</v>
      </c>
      <c r="AM210" s="436">
        <f t="shared" si="114"/>
        <v>8.2899999999999885</v>
      </c>
      <c r="AN210" s="436">
        <f t="shared" si="114"/>
        <v>23.088000000000008</v>
      </c>
      <c r="AO210" s="885">
        <f t="shared" si="114"/>
        <v>48.646000000000001</v>
      </c>
      <c r="AP210" s="436">
        <f t="shared" si="114"/>
        <v>19.426000000000013</v>
      </c>
      <c r="AQ210" s="886">
        <f t="shared" si="114"/>
        <v>12.794999999999996</v>
      </c>
      <c r="AR210" s="436">
        <f t="shared" ca="1" si="114"/>
        <v>3.9540924098360684</v>
      </c>
      <c r="AS210" s="436">
        <f t="shared" ca="1" si="114"/>
        <v>7.256409819909611</v>
      </c>
      <c r="AT210" s="885">
        <f t="shared" ca="1" si="114"/>
        <v>43.431502229745682</v>
      </c>
      <c r="AU210" s="436">
        <f t="shared" ca="1" si="114"/>
        <v>11.322405840856103</v>
      </c>
      <c r="AV210" s="436">
        <f t="shared" ca="1" si="114"/>
        <v>16.613088527267212</v>
      </c>
      <c r="AW210" s="436">
        <f t="shared" ca="1" si="114"/>
        <v>17.955691544529657</v>
      </c>
      <c r="AX210" s="436">
        <f t="shared" ca="1" si="114"/>
        <v>16.160509227292007</v>
      </c>
      <c r="AY210" s="885">
        <f t="shared" ca="1" si="114"/>
        <v>62.051695139944982</v>
      </c>
      <c r="AZ210" s="885">
        <f t="shared" ca="1" si="114"/>
        <v>52.942950733557083</v>
      </c>
      <c r="BA210" s="885">
        <f t="shared" ca="1" si="114"/>
        <v>88.955841907990404</v>
      </c>
      <c r="BB210" s="885">
        <f t="shared" ca="1" si="114"/>
        <v>33.814261694265312</v>
      </c>
      <c r="BC210" s="362"/>
    </row>
    <row r="211" spans="1:55" s="23" customFormat="1" ht="14.45" customHeight="1">
      <c r="A211" s="520" t="s">
        <v>25</v>
      </c>
      <c r="B211" s="132"/>
      <c r="C211" s="885">
        <f t="shared" ref="C211:AH211" si="115">C210+C200+C201</f>
        <v>-27.010999999999999</v>
      </c>
      <c r="D211" s="885">
        <f t="shared" si="115"/>
        <v>19.731000000000002</v>
      </c>
      <c r="E211" s="885">
        <f t="shared" si="115"/>
        <v>-7.1070000000000029</v>
      </c>
      <c r="F211" s="885">
        <f t="shared" si="115"/>
        <v>2.9930000000000003</v>
      </c>
      <c r="G211" s="436">
        <f t="shared" si="115"/>
        <v>9.6650000000000027</v>
      </c>
      <c r="H211" s="436">
        <f t="shared" si="115"/>
        <v>5.7909999999999995</v>
      </c>
      <c r="I211" s="436">
        <f t="shared" si="115"/>
        <v>-127.08799999999999</v>
      </c>
      <c r="J211" s="436">
        <f t="shared" si="115"/>
        <v>-16.410999999999998</v>
      </c>
      <c r="K211" s="885">
        <f t="shared" si="115"/>
        <v>-128.04300000000001</v>
      </c>
      <c r="L211" s="436">
        <f t="shared" si="115"/>
        <v>-75.825000000000003</v>
      </c>
      <c r="M211" s="436">
        <f t="shared" si="115"/>
        <v>13.806000000000004</v>
      </c>
      <c r="N211" s="436">
        <f t="shared" si="115"/>
        <v>17.262999999999995</v>
      </c>
      <c r="O211" s="436">
        <f t="shared" si="115"/>
        <v>13.406000000000013</v>
      </c>
      <c r="P211" s="885">
        <f t="shared" si="115"/>
        <v>-31.349999999999987</v>
      </c>
      <c r="Q211" s="436">
        <f t="shared" si="115"/>
        <v>-42.362000000000009</v>
      </c>
      <c r="R211" s="436">
        <f t="shared" si="115"/>
        <v>18.801999999999996</v>
      </c>
      <c r="S211" s="436">
        <f t="shared" si="115"/>
        <v>28.449999999999996</v>
      </c>
      <c r="T211" s="436">
        <f t="shared" si="115"/>
        <v>19.64</v>
      </c>
      <c r="U211" s="885">
        <f t="shared" si="115"/>
        <v>24.530000000000008</v>
      </c>
      <c r="V211" s="436">
        <f t="shared" si="115"/>
        <v>16.391999999999999</v>
      </c>
      <c r="W211" s="436">
        <f t="shared" si="115"/>
        <v>18.567</v>
      </c>
      <c r="X211" s="436">
        <f t="shared" si="115"/>
        <v>13.472000000000003</v>
      </c>
      <c r="Y211" s="436">
        <f t="shared" si="115"/>
        <v>12.839999999999998</v>
      </c>
      <c r="Z211" s="885">
        <f t="shared" si="115"/>
        <v>61.271000000000008</v>
      </c>
      <c r="AA211" s="436">
        <f t="shared" si="115"/>
        <v>15.501999999999995</v>
      </c>
      <c r="AB211" s="436">
        <f t="shared" si="115"/>
        <v>1.4179999999999993</v>
      </c>
      <c r="AC211" s="436">
        <f t="shared" si="115"/>
        <v>9.3360000000000021</v>
      </c>
      <c r="AD211" s="436">
        <f t="shared" si="115"/>
        <v>-91.654000000000011</v>
      </c>
      <c r="AE211" s="885">
        <f t="shared" si="115"/>
        <v>-65.397999999999996</v>
      </c>
      <c r="AF211" s="436">
        <f t="shared" si="115"/>
        <v>8.6889999999999983</v>
      </c>
      <c r="AG211" s="436">
        <f t="shared" si="115"/>
        <v>21.228000000000002</v>
      </c>
      <c r="AH211" s="436">
        <f t="shared" si="115"/>
        <v>21.478999999999999</v>
      </c>
      <c r="AI211" s="436">
        <f t="shared" ref="AI211:BB211" si="116">AI210+AI200+AI201</f>
        <v>17.14299999999999</v>
      </c>
      <c r="AJ211" s="885">
        <f t="shared" si="116"/>
        <v>68.538999999999987</v>
      </c>
      <c r="AK211" s="436">
        <f t="shared" si="116"/>
        <v>106.95300000000003</v>
      </c>
      <c r="AL211" s="436">
        <f t="shared" si="116"/>
        <v>14.107999999999999</v>
      </c>
      <c r="AM211" s="436">
        <f t="shared" si="116"/>
        <v>-12.496000000000016</v>
      </c>
      <c r="AN211" s="436">
        <f t="shared" si="116"/>
        <v>16.051000000000002</v>
      </c>
      <c r="AO211" s="885">
        <f t="shared" si="116"/>
        <v>124.616</v>
      </c>
      <c r="AP211" s="436">
        <f t="shared" si="116"/>
        <v>19.426000000000013</v>
      </c>
      <c r="AQ211" s="886">
        <f t="shared" si="116"/>
        <v>14.394999999999996</v>
      </c>
      <c r="AR211" s="436">
        <f t="shared" ca="1" si="116"/>
        <v>3.9540924098360684</v>
      </c>
      <c r="AS211" s="436">
        <f t="shared" ca="1" si="116"/>
        <v>7.256409819909611</v>
      </c>
      <c r="AT211" s="885">
        <f t="shared" ca="1" si="116"/>
        <v>45.031502229745684</v>
      </c>
      <c r="AU211" s="436">
        <f t="shared" ca="1" si="116"/>
        <v>11.322405840856103</v>
      </c>
      <c r="AV211" s="436">
        <f t="shared" ca="1" si="116"/>
        <v>16.613088527267212</v>
      </c>
      <c r="AW211" s="436">
        <f t="shared" ca="1" si="116"/>
        <v>17.955691544529657</v>
      </c>
      <c r="AX211" s="436">
        <f t="shared" ca="1" si="116"/>
        <v>16.160509227292007</v>
      </c>
      <c r="AY211" s="885">
        <f t="shared" ca="1" si="116"/>
        <v>62.051695139944982</v>
      </c>
      <c r="AZ211" s="885">
        <f t="shared" ca="1" si="116"/>
        <v>52.942950733557083</v>
      </c>
      <c r="BA211" s="885">
        <f t="shared" ca="1" si="116"/>
        <v>88.955841907990404</v>
      </c>
      <c r="BB211" s="885">
        <f t="shared" ca="1" si="116"/>
        <v>33.814261694265312</v>
      </c>
      <c r="BC211" s="362"/>
    </row>
    <row r="212" spans="1:55" s="23" customFormat="1" ht="14.45" customHeight="1">
      <c r="A212" s="518" t="s">
        <v>483</v>
      </c>
      <c r="B212" s="345"/>
      <c r="C212" s="852">
        <f t="shared" ref="C212:AH212" si="117">C211+C205+C206</f>
        <v>-3.4910000000000019</v>
      </c>
      <c r="D212" s="852">
        <f t="shared" si="117"/>
        <v>14.600000000000001</v>
      </c>
      <c r="E212" s="852">
        <f t="shared" si="117"/>
        <v>-8.6720000000000041</v>
      </c>
      <c r="F212" s="852">
        <f t="shared" si="117"/>
        <v>2.6520000000000001</v>
      </c>
      <c r="G212" s="418">
        <f t="shared" si="117"/>
        <v>7.6640000000000024</v>
      </c>
      <c r="H212" s="418">
        <f t="shared" si="117"/>
        <v>3.3859999999999997</v>
      </c>
      <c r="I212" s="418">
        <f t="shared" si="117"/>
        <v>44.793000000000021</v>
      </c>
      <c r="J212" s="418">
        <f t="shared" si="117"/>
        <v>-19.552</v>
      </c>
      <c r="K212" s="852">
        <f t="shared" si="117"/>
        <v>36.29099999999999</v>
      </c>
      <c r="L212" s="418">
        <f t="shared" si="117"/>
        <v>-16.661000000000005</v>
      </c>
      <c r="M212" s="418">
        <f t="shared" si="117"/>
        <v>-11.305999999999996</v>
      </c>
      <c r="N212" s="418">
        <f t="shared" si="117"/>
        <v>-14.378000000000009</v>
      </c>
      <c r="O212" s="418">
        <f t="shared" si="117"/>
        <v>-12.117999999999956</v>
      </c>
      <c r="P212" s="852">
        <f t="shared" si="117"/>
        <v>-54.462999999999965</v>
      </c>
      <c r="Q212" s="418">
        <f t="shared" si="117"/>
        <v>-6.9150000000000063</v>
      </c>
      <c r="R212" s="418">
        <f t="shared" si="117"/>
        <v>33.369999999999997</v>
      </c>
      <c r="S212" s="418">
        <f t="shared" si="117"/>
        <v>8.3539999999999957</v>
      </c>
      <c r="T212" s="418">
        <f t="shared" si="117"/>
        <v>-17.004000000000005</v>
      </c>
      <c r="U212" s="852">
        <f t="shared" si="117"/>
        <v>17.805000000000007</v>
      </c>
      <c r="V212" s="418">
        <f t="shared" si="117"/>
        <v>15.342999999999998</v>
      </c>
      <c r="W212" s="418">
        <f t="shared" si="117"/>
        <v>5.1049999999999995</v>
      </c>
      <c r="X212" s="418">
        <f t="shared" si="117"/>
        <v>8.8950000000000031</v>
      </c>
      <c r="Y212" s="418">
        <f t="shared" si="117"/>
        <v>-2.878000000000001</v>
      </c>
      <c r="Z212" s="852">
        <f t="shared" si="117"/>
        <v>26.465000000000011</v>
      </c>
      <c r="AA212" s="418">
        <f t="shared" si="117"/>
        <v>4.726999999999995</v>
      </c>
      <c r="AB212" s="418">
        <f t="shared" si="117"/>
        <v>13.645</v>
      </c>
      <c r="AC212" s="418">
        <f t="shared" si="117"/>
        <v>4.8200000000000038</v>
      </c>
      <c r="AD212" s="418">
        <f t="shared" si="117"/>
        <v>2.8350000000000093</v>
      </c>
      <c r="AE212" s="852">
        <f t="shared" si="117"/>
        <v>26.027000000000019</v>
      </c>
      <c r="AF212" s="418">
        <f t="shared" si="117"/>
        <v>12.627999999999998</v>
      </c>
      <c r="AG212" s="418">
        <f t="shared" si="117"/>
        <v>10.653000000000004</v>
      </c>
      <c r="AH212" s="418">
        <f t="shared" si="117"/>
        <v>15.780999999999997</v>
      </c>
      <c r="AI212" s="418">
        <f t="shared" ref="AI212:BB212" si="118">AI211+AI205+AI206</f>
        <v>-6.6570000000000134</v>
      </c>
      <c r="AJ212" s="852">
        <f t="shared" si="118"/>
        <v>32.404999999999987</v>
      </c>
      <c r="AK212" s="418">
        <f t="shared" si="118"/>
        <v>-4.9139999999999651</v>
      </c>
      <c r="AL212" s="418">
        <f t="shared" si="118"/>
        <v>21.337999999999997</v>
      </c>
      <c r="AM212" s="418">
        <f t="shared" si="118"/>
        <v>-4.5160000000000338</v>
      </c>
      <c r="AN212" s="418">
        <f t="shared" si="118"/>
        <v>22.272000000000016</v>
      </c>
      <c r="AO212" s="852">
        <f t="shared" si="118"/>
        <v>34.18</v>
      </c>
      <c r="AP212" s="418">
        <f t="shared" si="118"/>
        <v>156.727</v>
      </c>
      <c r="AQ212" s="895">
        <f t="shared" si="118"/>
        <v>-145.60400000000001</v>
      </c>
      <c r="AR212" s="418">
        <f t="shared" ca="1" si="118"/>
        <v>3.9540924098360684</v>
      </c>
      <c r="AS212" s="418">
        <f t="shared" ca="1" si="118"/>
        <v>7.256409819909611</v>
      </c>
      <c r="AT212" s="852">
        <f t="shared" ca="1" si="118"/>
        <v>22.333502229745683</v>
      </c>
      <c r="AU212" s="418">
        <f t="shared" ca="1" si="118"/>
        <v>11.322405840856103</v>
      </c>
      <c r="AV212" s="418">
        <f t="shared" ca="1" si="118"/>
        <v>16.613088527267212</v>
      </c>
      <c r="AW212" s="418">
        <f t="shared" ca="1" si="118"/>
        <v>17.955691544529657</v>
      </c>
      <c r="AX212" s="418">
        <f t="shared" ca="1" si="118"/>
        <v>16.160509227292007</v>
      </c>
      <c r="AY212" s="852">
        <f t="shared" ca="1" si="118"/>
        <v>62.051695139944982</v>
      </c>
      <c r="AZ212" s="852">
        <f t="shared" ca="1" si="118"/>
        <v>52.942950733557083</v>
      </c>
      <c r="BA212" s="852">
        <f t="shared" ca="1" si="118"/>
        <v>88.955841907990404</v>
      </c>
      <c r="BB212" s="852">
        <f t="shared" ca="1" si="118"/>
        <v>33.814261694265312</v>
      </c>
      <c r="BC212" s="362"/>
    </row>
    <row r="213" spans="1:55" s="23" customFormat="1" ht="14.45" customHeight="1">
      <c r="A213" s="520"/>
      <c r="B213" s="132"/>
      <c r="C213" s="885"/>
      <c r="D213" s="885"/>
      <c r="E213" s="885"/>
      <c r="F213" s="885"/>
      <c r="G213" s="436"/>
      <c r="H213" s="436"/>
      <c r="I213" s="436"/>
      <c r="J213" s="436"/>
      <c r="K213" s="885"/>
      <c r="L213" s="436"/>
      <c r="M213" s="436"/>
      <c r="N213" s="436"/>
      <c r="O213" s="436"/>
      <c r="P213" s="885"/>
      <c r="Q213" s="436"/>
      <c r="R213" s="436"/>
      <c r="S213" s="436"/>
      <c r="T213" s="436"/>
      <c r="U213" s="885"/>
      <c r="V213" s="436"/>
      <c r="W213" s="436"/>
      <c r="X213" s="436"/>
      <c r="Y213" s="436"/>
      <c r="Z213" s="885"/>
      <c r="AA213" s="436"/>
      <c r="AB213" s="436"/>
      <c r="AC213" s="436"/>
      <c r="AD213" s="436"/>
      <c r="AE213" s="885"/>
      <c r="AF213" s="436"/>
      <c r="AG213" s="436"/>
      <c r="AH213" s="436"/>
      <c r="AI213" s="436"/>
      <c r="AJ213" s="885"/>
      <c r="AK213" s="436"/>
      <c r="AL213" s="436"/>
      <c r="AM213" s="436"/>
      <c r="AN213" s="436"/>
      <c r="AO213" s="885"/>
      <c r="AP213" s="436"/>
      <c r="AQ213" s="886"/>
      <c r="AR213" s="855"/>
      <c r="AS213" s="855"/>
      <c r="AT213" s="870"/>
      <c r="AU213" s="855"/>
      <c r="AV213" s="855"/>
      <c r="AW213" s="855"/>
      <c r="AX213" s="855"/>
      <c r="AY213" s="870"/>
      <c r="AZ213" s="870"/>
      <c r="BA213" s="870"/>
      <c r="BB213" s="870"/>
      <c r="BC213" s="362"/>
    </row>
    <row r="214" spans="1:55" s="4" customFormat="1" ht="14.45" customHeight="1">
      <c r="A214" s="514" t="s">
        <v>26</v>
      </c>
      <c r="B214" s="514"/>
      <c r="C214" s="883"/>
      <c r="D214" s="883"/>
      <c r="E214" s="883"/>
      <c r="F214" s="883"/>
      <c r="G214" s="883"/>
      <c r="H214" s="883"/>
      <c r="I214" s="883"/>
      <c r="J214" s="883"/>
      <c r="K214" s="883"/>
      <c r="L214" s="883"/>
      <c r="M214" s="883"/>
      <c r="N214" s="883"/>
      <c r="O214" s="883"/>
      <c r="P214" s="883"/>
      <c r="Q214" s="883"/>
      <c r="R214" s="883"/>
      <c r="S214" s="883"/>
      <c r="T214" s="883"/>
      <c r="U214" s="883"/>
      <c r="V214" s="883"/>
      <c r="W214" s="883"/>
      <c r="X214" s="883"/>
      <c r="Y214" s="883"/>
      <c r="Z214" s="883"/>
      <c r="AA214" s="883"/>
      <c r="AB214" s="883"/>
      <c r="AC214" s="883"/>
      <c r="AD214" s="883"/>
      <c r="AE214" s="883"/>
      <c r="AF214" s="883"/>
      <c r="AG214" s="883"/>
      <c r="AH214" s="883"/>
      <c r="AI214" s="883"/>
      <c r="AJ214" s="883"/>
      <c r="AK214" s="883"/>
      <c r="AL214" s="883"/>
      <c r="AM214" s="883"/>
      <c r="AN214" s="883"/>
      <c r="AO214" s="883"/>
      <c r="AP214" s="883"/>
      <c r="AQ214" s="884"/>
      <c r="AR214" s="883"/>
      <c r="AS214" s="883"/>
      <c r="AT214" s="883"/>
      <c r="AU214" s="883"/>
      <c r="AV214" s="883"/>
      <c r="AW214" s="883"/>
      <c r="AX214" s="883"/>
      <c r="AY214" s="883"/>
      <c r="AZ214" s="883"/>
      <c r="BA214" s="883"/>
      <c r="BB214" s="883"/>
      <c r="BC214" s="363"/>
    </row>
    <row r="215" spans="1:55" s="23" customFormat="1" ht="14.45" customHeight="1">
      <c r="A215" s="520" t="s">
        <v>27</v>
      </c>
      <c r="B215" s="132"/>
      <c r="C215" s="885">
        <f t="shared" ref="C215:AH215" si="119">C386</f>
        <v>14.949</v>
      </c>
      <c r="D215" s="885">
        <f t="shared" si="119"/>
        <v>22.709</v>
      </c>
      <c r="E215" s="885">
        <f t="shared" si="119"/>
        <v>10.919</v>
      </c>
      <c r="F215" s="885">
        <f t="shared" si="119"/>
        <v>7.38</v>
      </c>
      <c r="G215" s="436">
        <f t="shared" si="119"/>
        <v>17.797999999999998</v>
      </c>
      <c r="H215" s="436">
        <f t="shared" si="119"/>
        <v>16.535</v>
      </c>
      <c r="I215" s="436">
        <f t="shared" si="119"/>
        <v>68.186000000000007</v>
      </c>
      <c r="J215" s="436">
        <f t="shared" si="119"/>
        <v>54.634999999999998</v>
      </c>
      <c r="K215" s="885">
        <f t="shared" si="119"/>
        <v>54.634999999999998</v>
      </c>
      <c r="L215" s="436">
        <f t="shared" si="119"/>
        <v>29.117000000000001</v>
      </c>
      <c r="M215" s="436">
        <f t="shared" si="119"/>
        <v>20.824999999999999</v>
      </c>
      <c r="N215" s="436">
        <f t="shared" si="119"/>
        <v>24.928000000000001</v>
      </c>
      <c r="O215" s="436">
        <f t="shared" si="119"/>
        <v>21.196999999999999</v>
      </c>
      <c r="P215" s="885">
        <f t="shared" si="119"/>
        <v>21.196999999999999</v>
      </c>
      <c r="Q215" s="436">
        <f t="shared" si="119"/>
        <v>22.562999999999999</v>
      </c>
      <c r="R215" s="436">
        <f t="shared" si="119"/>
        <v>23.766999999999999</v>
      </c>
      <c r="S215" s="436">
        <f t="shared" si="119"/>
        <v>22.433</v>
      </c>
      <c r="T215" s="436">
        <f t="shared" si="119"/>
        <v>18.561</v>
      </c>
      <c r="U215" s="885">
        <f t="shared" si="119"/>
        <v>18.561</v>
      </c>
      <c r="V215" s="436">
        <f t="shared" si="119"/>
        <v>15.791</v>
      </c>
      <c r="W215" s="436">
        <f t="shared" si="119"/>
        <v>20.411000000000001</v>
      </c>
      <c r="X215" s="436">
        <f t="shared" si="119"/>
        <v>13.278</v>
      </c>
      <c r="Y215" s="436">
        <f t="shared" si="119"/>
        <v>17.901</v>
      </c>
      <c r="Z215" s="885">
        <f t="shared" si="119"/>
        <v>17.901</v>
      </c>
      <c r="AA215" s="436">
        <f t="shared" si="119"/>
        <v>10.763</v>
      </c>
      <c r="AB215" s="436">
        <f t="shared" si="119"/>
        <v>8.2680000000000007</v>
      </c>
      <c r="AC215" s="436">
        <f t="shared" si="119"/>
        <v>15.377000000000001</v>
      </c>
      <c r="AD215" s="436">
        <f t="shared" si="119"/>
        <v>17.914000000000001</v>
      </c>
      <c r="AE215" s="885">
        <f t="shared" si="119"/>
        <v>17.914000000000001</v>
      </c>
      <c r="AF215" s="436">
        <f t="shared" si="119"/>
        <v>16.387</v>
      </c>
      <c r="AG215" s="436">
        <f t="shared" si="119"/>
        <v>10.608000000000001</v>
      </c>
      <c r="AH215" s="436">
        <f t="shared" si="119"/>
        <v>4.8929999999999998</v>
      </c>
      <c r="AI215" s="436">
        <f t="shared" ref="AI215:BB215" si="120">AI386</f>
        <v>16.622</v>
      </c>
      <c r="AJ215" s="885">
        <f t="shared" si="120"/>
        <v>16.622</v>
      </c>
      <c r="AK215" s="436">
        <f t="shared" si="120"/>
        <v>15.965999999999999</v>
      </c>
      <c r="AL215" s="436">
        <f t="shared" si="120"/>
        <v>17.106000000000002</v>
      </c>
      <c r="AM215" s="436">
        <f t="shared" si="120"/>
        <v>22.795000000000002</v>
      </c>
      <c r="AN215" s="436">
        <f t="shared" si="120"/>
        <v>31.905999999999999</v>
      </c>
      <c r="AO215" s="885">
        <f t="shared" si="120"/>
        <v>31.905999999999999</v>
      </c>
      <c r="AP215" s="436">
        <f t="shared" si="120"/>
        <v>188.364</v>
      </c>
      <c r="AQ215" s="886">
        <f t="shared" si="120"/>
        <v>46.639000000000003</v>
      </c>
      <c r="AR215" s="436">
        <f t="shared" ca="1" si="120"/>
        <v>74.712711769929314</v>
      </c>
      <c r="AS215" s="436">
        <f t="shared" ca="1" si="120"/>
        <v>100.6811694882748</v>
      </c>
      <c r="AT215" s="885">
        <f t="shared" ca="1" si="120"/>
        <v>100.6811694882748</v>
      </c>
      <c r="AU215" s="436">
        <f t="shared" ca="1" si="120"/>
        <v>103.52345006076395</v>
      </c>
      <c r="AV215" s="436">
        <f t="shared" ca="1" si="120"/>
        <v>86.912606386816279</v>
      </c>
      <c r="AW215" s="436">
        <f t="shared" ca="1" si="120"/>
        <v>72.402456654558193</v>
      </c>
      <c r="AX215" s="436">
        <f t="shared" ca="1" si="120"/>
        <v>79.572766450805119</v>
      </c>
      <c r="AY215" s="885">
        <f t="shared" ca="1" si="120"/>
        <v>79.572766450805119</v>
      </c>
      <c r="AZ215" s="885">
        <f t="shared" ca="1" si="120"/>
        <v>139.80017026561234</v>
      </c>
      <c r="BA215" s="885">
        <f t="shared" ca="1" si="120"/>
        <v>123.50392501616143</v>
      </c>
      <c r="BB215" s="885">
        <f t="shared" ca="1" si="120"/>
        <v>320.50374254579123</v>
      </c>
      <c r="BC215" s="362"/>
    </row>
    <row r="216" spans="1:55" s="23" customFormat="1" ht="14.45" customHeight="1">
      <c r="A216" s="229" t="s">
        <v>476</v>
      </c>
      <c r="B216" s="132"/>
      <c r="C216" s="885">
        <f t="shared" ref="C216:AQ216" si="121">C406</f>
        <v>6.2380000000000004</v>
      </c>
      <c r="D216" s="885">
        <f t="shared" si="121"/>
        <v>5.3140000000000001</v>
      </c>
      <c r="E216" s="885">
        <f t="shared" si="121"/>
        <v>5.29</v>
      </c>
      <c r="F216" s="885">
        <f t="shared" si="121"/>
        <v>9.2680000000000007</v>
      </c>
      <c r="G216" s="436">
        <f t="shared" si="121"/>
        <v>12.26</v>
      </c>
      <c r="H216" s="436">
        <f t="shared" si="121"/>
        <v>10.254</v>
      </c>
      <c r="I216" s="436">
        <f t="shared" si="121"/>
        <v>10.590999999999999</v>
      </c>
      <c r="J216" s="436">
        <f t="shared" si="121"/>
        <v>12.279</v>
      </c>
      <c r="K216" s="885">
        <f t="shared" si="121"/>
        <v>12.279</v>
      </c>
      <c r="L216" s="436">
        <f t="shared" si="121"/>
        <v>13.092000000000001</v>
      </c>
      <c r="M216" s="436">
        <f t="shared" si="121"/>
        <v>13.324999999999999</v>
      </c>
      <c r="N216" s="436">
        <f t="shared" si="121"/>
        <v>10.239000000000001</v>
      </c>
      <c r="O216" s="436">
        <f t="shared" si="121"/>
        <v>2.7959999999999998</v>
      </c>
      <c r="P216" s="885">
        <f t="shared" si="121"/>
        <v>2.7959999999999998</v>
      </c>
      <c r="Q216" s="436">
        <f t="shared" si="121"/>
        <v>2.6579999999999999</v>
      </c>
      <c r="R216" s="436">
        <f t="shared" si="121"/>
        <v>2.702</v>
      </c>
      <c r="S216" s="436">
        <f t="shared" si="121"/>
        <v>2.7450000000000001</v>
      </c>
      <c r="T216" s="436">
        <f t="shared" si="121"/>
        <v>2.5790000000000002</v>
      </c>
      <c r="U216" s="885">
        <f t="shared" si="121"/>
        <v>2.5790000000000002</v>
      </c>
      <c r="V216" s="436">
        <f t="shared" si="121"/>
        <v>2.6640000000000001</v>
      </c>
      <c r="W216" s="436">
        <f t="shared" si="121"/>
        <v>2.6909999999999998</v>
      </c>
      <c r="X216" s="436">
        <f t="shared" si="121"/>
        <v>2.6859999999999999</v>
      </c>
      <c r="Y216" s="436">
        <f t="shared" si="121"/>
        <v>2.6360000000000001</v>
      </c>
      <c r="Z216" s="885">
        <f t="shared" si="121"/>
        <v>2.6360000000000001</v>
      </c>
      <c r="AA216" s="436">
        <f t="shared" si="121"/>
        <v>2.5819999999999999</v>
      </c>
      <c r="AB216" s="436">
        <f t="shared" si="121"/>
        <v>2.6509999999999998</v>
      </c>
      <c r="AC216" s="436">
        <f t="shared" si="121"/>
        <v>2.6949999999999998</v>
      </c>
      <c r="AD216" s="436">
        <f t="shared" si="121"/>
        <v>2.6890000000000001</v>
      </c>
      <c r="AE216" s="885">
        <f t="shared" si="121"/>
        <v>2.6890000000000001</v>
      </c>
      <c r="AF216" s="436">
        <f t="shared" si="121"/>
        <v>2.4780000000000002</v>
      </c>
      <c r="AG216" s="436">
        <f t="shared" si="121"/>
        <v>2.19</v>
      </c>
      <c r="AH216" s="436">
        <f t="shared" si="121"/>
        <v>1.9650000000000001</v>
      </c>
      <c r="AI216" s="436">
        <f t="shared" si="121"/>
        <v>1.87</v>
      </c>
      <c r="AJ216" s="885">
        <f t="shared" si="121"/>
        <v>1.87</v>
      </c>
      <c r="AK216" s="436">
        <f t="shared" si="121"/>
        <v>0.112</v>
      </c>
      <c r="AL216" s="436">
        <f t="shared" si="121"/>
        <v>0.17</v>
      </c>
      <c r="AM216" s="436">
        <f t="shared" si="121"/>
        <v>0.191</v>
      </c>
      <c r="AN216" s="436">
        <f t="shared" si="121"/>
        <v>0.224</v>
      </c>
      <c r="AO216" s="885">
        <f t="shared" si="121"/>
        <v>0.224</v>
      </c>
      <c r="AP216" s="436">
        <f t="shared" si="121"/>
        <v>0.223</v>
      </c>
      <c r="AQ216" s="886">
        <f t="shared" si="121"/>
        <v>0.224</v>
      </c>
      <c r="AR216" s="436">
        <f>AR218-AR217</f>
        <v>0.22399999999998954</v>
      </c>
      <c r="AS216" s="436">
        <f>AS218-AS217</f>
        <v>0.22399999999998954</v>
      </c>
      <c r="AT216" s="885">
        <f>AT406</f>
        <v>0.22399999999998954</v>
      </c>
      <c r="AU216" s="436">
        <f>AU218-AU217</f>
        <v>0.22399999999998954</v>
      </c>
      <c r="AV216" s="436">
        <f>AV218-AV217</f>
        <v>0.22399999999998954</v>
      </c>
      <c r="AW216" s="436">
        <f>AW218-AW217</f>
        <v>0.22399999999998954</v>
      </c>
      <c r="AX216" s="436">
        <f>AX218-AX217</f>
        <v>0.22399999999998954</v>
      </c>
      <c r="AY216" s="885">
        <f>AY406</f>
        <v>0.22399999999998954</v>
      </c>
      <c r="AZ216" s="885">
        <f>AZ218-AZ217</f>
        <v>0.22399999999998954</v>
      </c>
      <c r="BA216" s="885">
        <f>BA218-BA217</f>
        <v>0.22399999999998954</v>
      </c>
      <c r="BB216" s="885">
        <f>BB218-BB217</f>
        <v>0.22399999999998954</v>
      </c>
      <c r="BC216" s="362"/>
    </row>
    <row r="217" spans="1:55" s="23" customFormat="1" ht="14.45" customHeight="1">
      <c r="A217" s="446" t="s">
        <v>477</v>
      </c>
      <c r="B217" s="447"/>
      <c r="C217" s="958">
        <f t="shared" ref="C217:AQ217" si="122">C419</f>
        <v>38.537999999999997</v>
      </c>
      <c r="D217" s="958">
        <f t="shared" si="122"/>
        <v>33.264000000000003</v>
      </c>
      <c r="E217" s="958">
        <f t="shared" si="122"/>
        <v>27.972999999999999</v>
      </c>
      <c r="F217" s="958">
        <f t="shared" si="122"/>
        <v>20.715</v>
      </c>
      <c r="G217" s="959">
        <f t="shared" si="122"/>
        <v>15.672000000000001</v>
      </c>
      <c r="H217" s="959">
        <f t="shared" si="122"/>
        <v>15.221</v>
      </c>
      <c r="I217" s="959">
        <f t="shared" si="122"/>
        <v>188.078</v>
      </c>
      <c r="J217" s="959">
        <f t="shared" si="122"/>
        <v>188.041</v>
      </c>
      <c r="K217" s="958">
        <f t="shared" si="122"/>
        <v>188.041</v>
      </c>
      <c r="L217" s="959">
        <f t="shared" si="122"/>
        <v>255.32599999999999</v>
      </c>
      <c r="M217" s="959">
        <f t="shared" si="122"/>
        <v>232.29300000000001</v>
      </c>
      <c r="N217" s="959">
        <f t="shared" si="122"/>
        <v>202.404</v>
      </c>
      <c r="O217" s="959">
        <f t="shared" si="122"/>
        <v>180.21199999999999</v>
      </c>
      <c r="P217" s="958">
        <f t="shared" si="122"/>
        <v>180.21199999999999</v>
      </c>
      <c r="Q217" s="959">
        <f t="shared" si="122"/>
        <v>214.09899999999999</v>
      </c>
      <c r="R217" s="959">
        <f t="shared" si="122"/>
        <v>228.46899999999999</v>
      </c>
      <c r="S217" s="959">
        <f t="shared" si="122"/>
        <v>205.78899999999999</v>
      </c>
      <c r="T217" s="959">
        <f t="shared" si="122"/>
        <v>167.21</v>
      </c>
      <c r="U217" s="958">
        <f t="shared" si="122"/>
        <v>167.21</v>
      </c>
      <c r="V217" s="959">
        <f t="shared" si="122"/>
        <v>169.68199999999999</v>
      </c>
      <c r="W217" s="959">
        <f t="shared" si="122"/>
        <v>163.898</v>
      </c>
      <c r="X217" s="959">
        <f t="shared" si="122"/>
        <v>161.30500000000001</v>
      </c>
      <c r="Y217" s="959">
        <f t="shared" si="122"/>
        <v>145.48400000000001</v>
      </c>
      <c r="Z217" s="958">
        <f t="shared" si="122"/>
        <v>145.48400000000001</v>
      </c>
      <c r="AA217" s="959">
        <f t="shared" si="122"/>
        <v>138.91399999999999</v>
      </c>
      <c r="AB217" s="959">
        <f t="shared" si="122"/>
        <v>160.315</v>
      </c>
      <c r="AC217" s="959">
        <f t="shared" si="122"/>
        <v>174.65199999999999</v>
      </c>
      <c r="AD217" s="959">
        <f t="shared" si="122"/>
        <v>269.07799999999997</v>
      </c>
      <c r="AE217" s="958">
        <f t="shared" si="122"/>
        <v>269.07799999999997</v>
      </c>
      <c r="AF217" s="959">
        <f t="shared" si="122"/>
        <v>273.62700000000001</v>
      </c>
      <c r="AG217" s="959">
        <f t="shared" si="122"/>
        <v>263.15499999999997</v>
      </c>
      <c r="AH217" s="959">
        <f t="shared" si="122"/>
        <v>257.68</v>
      </c>
      <c r="AI217" s="959">
        <f t="shared" si="122"/>
        <v>232.11199999999999</v>
      </c>
      <c r="AJ217" s="958">
        <f t="shared" si="122"/>
        <v>232.11199999999999</v>
      </c>
      <c r="AK217" s="959">
        <f t="shared" si="122"/>
        <v>115.194</v>
      </c>
      <c r="AL217" s="959">
        <f t="shared" si="122"/>
        <v>122.113</v>
      </c>
      <c r="AM217" s="959">
        <f t="shared" si="122"/>
        <v>180.05500000000001</v>
      </c>
      <c r="AN217" s="959">
        <f t="shared" si="122"/>
        <v>188</v>
      </c>
      <c r="AO217" s="958">
        <f t="shared" si="122"/>
        <v>188</v>
      </c>
      <c r="AP217" s="959">
        <f t="shared" si="122"/>
        <v>333</v>
      </c>
      <c r="AQ217" s="960">
        <f t="shared" si="122"/>
        <v>173</v>
      </c>
      <c r="AR217" s="959">
        <f>MAX(0,AQ217+AR205)</f>
        <v>173</v>
      </c>
      <c r="AS217" s="959">
        <f>MAX(0,AR217+AS205)</f>
        <v>173</v>
      </c>
      <c r="AT217" s="958">
        <f>AT419</f>
        <v>173</v>
      </c>
      <c r="AU217" s="959">
        <f>MAX(0,AT217+AU205)</f>
        <v>173</v>
      </c>
      <c r="AV217" s="959">
        <f>MAX(0,AU217+AV205)</f>
        <v>173</v>
      </c>
      <c r="AW217" s="959">
        <f>MAX(0,AV217+AW205)</f>
        <v>173</v>
      </c>
      <c r="AX217" s="959">
        <f>MAX(0,AW217+AX205)</f>
        <v>173</v>
      </c>
      <c r="AY217" s="958">
        <f>AY419</f>
        <v>173</v>
      </c>
      <c r="AZ217" s="958">
        <f>MAX(0,AY217+AZ205)</f>
        <v>173</v>
      </c>
      <c r="BA217" s="958">
        <f>MAX(0,AZ217+BA205)</f>
        <v>173</v>
      </c>
      <c r="BB217" s="958">
        <f>MAX(0,BA217+BB205)</f>
        <v>173</v>
      </c>
      <c r="BC217" s="362"/>
    </row>
    <row r="218" spans="1:55" s="23" customFormat="1" ht="14.45" customHeight="1">
      <c r="A218" s="520" t="s">
        <v>28</v>
      </c>
      <c r="B218" s="132"/>
      <c r="C218" s="961">
        <f t="shared" ref="C218:AQ218" si="123">C406+C419</f>
        <v>44.775999999999996</v>
      </c>
      <c r="D218" s="961">
        <f t="shared" si="123"/>
        <v>38.578000000000003</v>
      </c>
      <c r="E218" s="961">
        <f t="shared" si="123"/>
        <v>33.262999999999998</v>
      </c>
      <c r="F218" s="961">
        <f t="shared" si="123"/>
        <v>29.983000000000001</v>
      </c>
      <c r="G218" s="962">
        <f t="shared" si="123"/>
        <v>27.932000000000002</v>
      </c>
      <c r="H218" s="962">
        <f t="shared" si="123"/>
        <v>25.475000000000001</v>
      </c>
      <c r="I218" s="962">
        <f t="shared" si="123"/>
        <v>198.66900000000001</v>
      </c>
      <c r="J218" s="962">
        <f t="shared" si="123"/>
        <v>200.32</v>
      </c>
      <c r="K218" s="961">
        <f t="shared" si="123"/>
        <v>200.32</v>
      </c>
      <c r="L218" s="962">
        <f t="shared" si="123"/>
        <v>268.41800000000001</v>
      </c>
      <c r="M218" s="962">
        <f t="shared" si="123"/>
        <v>245.61799999999999</v>
      </c>
      <c r="N218" s="962">
        <f t="shared" si="123"/>
        <v>212.643</v>
      </c>
      <c r="O218" s="962">
        <f t="shared" si="123"/>
        <v>183.00799999999998</v>
      </c>
      <c r="P218" s="961">
        <f t="shared" si="123"/>
        <v>183.00799999999998</v>
      </c>
      <c r="Q218" s="962">
        <f t="shared" si="123"/>
        <v>216.75699999999998</v>
      </c>
      <c r="R218" s="962">
        <f t="shared" si="123"/>
        <v>231.17099999999999</v>
      </c>
      <c r="S218" s="962">
        <f t="shared" si="123"/>
        <v>208.53399999999999</v>
      </c>
      <c r="T218" s="962">
        <f t="shared" si="123"/>
        <v>169.78900000000002</v>
      </c>
      <c r="U218" s="961">
        <f t="shared" si="123"/>
        <v>169.78900000000002</v>
      </c>
      <c r="V218" s="962">
        <f t="shared" si="123"/>
        <v>172.34599999999998</v>
      </c>
      <c r="W218" s="962">
        <f t="shared" si="123"/>
        <v>166.589</v>
      </c>
      <c r="X218" s="962">
        <f t="shared" si="123"/>
        <v>163.99100000000001</v>
      </c>
      <c r="Y218" s="962">
        <f t="shared" si="123"/>
        <v>148.12</v>
      </c>
      <c r="Z218" s="961">
        <f t="shared" si="123"/>
        <v>148.12</v>
      </c>
      <c r="AA218" s="962">
        <f t="shared" si="123"/>
        <v>141.49599999999998</v>
      </c>
      <c r="AB218" s="962">
        <f t="shared" si="123"/>
        <v>162.96600000000001</v>
      </c>
      <c r="AC218" s="962">
        <f t="shared" si="123"/>
        <v>177.34699999999998</v>
      </c>
      <c r="AD218" s="962">
        <f t="shared" si="123"/>
        <v>271.767</v>
      </c>
      <c r="AE218" s="961">
        <f t="shared" si="123"/>
        <v>271.767</v>
      </c>
      <c r="AF218" s="962">
        <f t="shared" si="123"/>
        <v>276.10500000000002</v>
      </c>
      <c r="AG218" s="962">
        <f t="shared" si="123"/>
        <v>265.34499999999997</v>
      </c>
      <c r="AH218" s="962">
        <f t="shared" si="123"/>
        <v>259.64499999999998</v>
      </c>
      <c r="AI218" s="962">
        <f t="shared" si="123"/>
        <v>233.982</v>
      </c>
      <c r="AJ218" s="961">
        <f t="shared" si="123"/>
        <v>233.982</v>
      </c>
      <c r="AK218" s="962">
        <f t="shared" si="123"/>
        <v>115.306</v>
      </c>
      <c r="AL218" s="962">
        <f t="shared" si="123"/>
        <v>122.283</v>
      </c>
      <c r="AM218" s="962">
        <f t="shared" si="123"/>
        <v>180.24600000000001</v>
      </c>
      <c r="AN218" s="962">
        <f t="shared" si="123"/>
        <v>188.22399999999999</v>
      </c>
      <c r="AO218" s="961">
        <f t="shared" si="123"/>
        <v>188.22399999999999</v>
      </c>
      <c r="AP218" s="962">
        <f t="shared" si="123"/>
        <v>333.22300000000001</v>
      </c>
      <c r="AQ218" s="963">
        <f t="shared" si="123"/>
        <v>173.22399999999999</v>
      </c>
      <c r="AR218" s="962">
        <f>AQ218+AR205</f>
        <v>173.22399999999999</v>
      </c>
      <c r="AS218" s="962">
        <f>AR218+AS205</f>
        <v>173.22399999999999</v>
      </c>
      <c r="AT218" s="961">
        <f>AT406+AT419</f>
        <v>173.22399999999999</v>
      </c>
      <c r="AU218" s="962">
        <f>AT218+AU205</f>
        <v>173.22399999999999</v>
      </c>
      <c r="AV218" s="962">
        <f>AU218+AV205</f>
        <v>173.22399999999999</v>
      </c>
      <c r="AW218" s="962">
        <f>AV218+AW205</f>
        <v>173.22399999999999</v>
      </c>
      <c r="AX218" s="962">
        <f>AW218+AX205</f>
        <v>173.22399999999999</v>
      </c>
      <c r="AY218" s="961">
        <f>AY406+AY419</f>
        <v>173.22399999999999</v>
      </c>
      <c r="AZ218" s="961">
        <f>AY218+AZ205</f>
        <v>173.22399999999999</v>
      </c>
      <c r="BA218" s="961">
        <f>AZ218+BA205</f>
        <v>173.22399999999999</v>
      </c>
      <c r="BB218" s="961">
        <f>BA218+BB205</f>
        <v>173.22399999999999</v>
      </c>
      <c r="BC218" s="362"/>
    </row>
    <row r="219" spans="1:55" s="23" customFormat="1" ht="14.45" customHeight="1">
      <c r="A219" s="520" t="s">
        <v>461</v>
      </c>
      <c r="B219" s="132"/>
      <c r="C219" s="885">
        <f t="shared" ref="C219:AH219" si="124">C421+C410</f>
        <v>0</v>
      </c>
      <c r="D219" s="885">
        <f t="shared" si="124"/>
        <v>0</v>
      </c>
      <c r="E219" s="885">
        <f t="shared" si="124"/>
        <v>0</v>
      </c>
      <c r="F219" s="885">
        <f t="shared" si="124"/>
        <v>0</v>
      </c>
      <c r="G219" s="436">
        <f t="shared" si="124"/>
        <v>0</v>
      </c>
      <c r="H219" s="436">
        <f t="shared" si="124"/>
        <v>0</v>
      </c>
      <c r="I219" s="436">
        <f t="shared" si="124"/>
        <v>0</v>
      </c>
      <c r="J219" s="436">
        <f t="shared" si="124"/>
        <v>0</v>
      </c>
      <c r="K219" s="885">
        <f t="shared" si="124"/>
        <v>0</v>
      </c>
      <c r="L219" s="436">
        <f t="shared" si="124"/>
        <v>0</v>
      </c>
      <c r="M219" s="436">
        <f t="shared" si="124"/>
        <v>0</v>
      </c>
      <c r="N219" s="436">
        <f t="shared" si="124"/>
        <v>0</v>
      </c>
      <c r="O219" s="436">
        <f t="shared" si="124"/>
        <v>0</v>
      </c>
      <c r="P219" s="885">
        <f t="shared" si="124"/>
        <v>0</v>
      </c>
      <c r="Q219" s="436">
        <f t="shared" si="124"/>
        <v>0</v>
      </c>
      <c r="R219" s="436">
        <f t="shared" si="124"/>
        <v>0</v>
      </c>
      <c r="S219" s="436">
        <f t="shared" si="124"/>
        <v>0</v>
      </c>
      <c r="T219" s="436">
        <f t="shared" si="124"/>
        <v>0</v>
      </c>
      <c r="U219" s="885">
        <f t="shared" si="124"/>
        <v>0</v>
      </c>
      <c r="V219" s="436">
        <f t="shared" si="124"/>
        <v>0</v>
      </c>
      <c r="W219" s="436">
        <f t="shared" si="124"/>
        <v>0</v>
      </c>
      <c r="X219" s="436">
        <f t="shared" si="124"/>
        <v>0</v>
      </c>
      <c r="Y219" s="436">
        <f t="shared" si="124"/>
        <v>0</v>
      </c>
      <c r="Z219" s="885">
        <f t="shared" si="124"/>
        <v>0</v>
      </c>
      <c r="AA219" s="436">
        <f t="shared" si="124"/>
        <v>0</v>
      </c>
      <c r="AB219" s="436">
        <f t="shared" si="124"/>
        <v>0</v>
      </c>
      <c r="AC219" s="436">
        <f t="shared" si="124"/>
        <v>0</v>
      </c>
      <c r="AD219" s="436">
        <f t="shared" si="124"/>
        <v>0</v>
      </c>
      <c r="AE219" s="885">
        <f t="shared" si="124"/>
        <v>0</v>
      </c>
      <c r="AF219" s="436">
        <f t="shared" si="124"/>
        <v>0</v>
      </c>
      <c r="AG219" s="436">
        <f t="shared" si="124"/>
        <v>0</v>
      </c>
      <c r="AH219" s="436">
        <f t="shared" si="124"/>
        <v>0</v>
      </c>
      <c r="AI219" s="436">
        <f t="shared" ref="AI219:BB219" si="125">AI421+AI410</f>
        <v>0</v>
      </c>
      <c r="AJ219" s="885">
        <f t="shared" si="125"/>
        <v>0</v>
      </c>
      <c r="AK219" s="436">
        <f t="shared" si="125"/>
        <v>0</v>
      </c>
      <c r="AL219" s="436">
        <f t="shared" si="125"/>
        <v>0</v>
      </c>
      <c r="AM219" s="436">
        <f t="shared" si="125"/>
        <v>0</v>
      </c>
      <c r="AN219" s="436">
        <f t="shared" si="125"/>
        <v>25.556000000000001</v>
      </c>
      <c r="AO219" s="885">
        <f t="shared" si="125"/>
        <v>25.556000000000001</v>
      </c>
      <c r="AP219" s="436">
        <f t="shared" si="125"/>
        <v>24.679000000000002</v>
      </c>
      <c r="AQ219" s="886">
        <f t="shared" si="125"/>
        <v>24.567</v>
      </c>
      <c r="AR219" s="436">
        <f t="shared" si="125"/>
        <v>24.567</v>
      </c>
      <c r="AS219" s="436">
        <f t="shared" si="125"/>
        <v>24.567</v>
      </c>
      <c r="AT219" s="885">
        <f t="shared" si="125"/>
        <v>24.567</v>
      </c>
      <c r="AU219" s="436">
        <f t="shared" si="125"/>
        <v>24.567</v>
      </c>
      <c r="AV219" s="436">
        <f t="shared" si="125"/>
        <v>24.567</v>
      </c>
      <c r="AW219" s="436">
        <f t="shared" si="125"/>
        <v>24.567</v>
      </c>
      <c r="AX219" s="436">
        <f t="shared" si="125"/>
        <v>24.567</v>
      </c>
      <c r="AY219" s="885">
        <f t="shared" si="125"/>
        <v>24.567</v>
      </c>
      <c r="AZ219" s="885">
        <f t="shared" si="125"/>
        <v>24.567</v>
      </c>
      <c r="BA219" s="885">
        <f t="shared" si="125"/>
        <v>24.567</v>
      </c>
      <c r="BB219" s="885">
        <f t="shared" si="125"/>
        <v>24.567</v>
      </c>
      <c r="BC219" s="362"/>
    </row>
    <row r="220" spans="1:55" s="23" customFormat="1" ht="14.45" customHeight="1">
      <c r="A220" s="520" t="s">
        <v>29</v>
      </c>
      <c r="B220" s="132"/>
      <c r="C220" s="885">
        <f t="shared" ref="C220:AH220" si="126">C218+C219-C215</f>
        <v>29.826999999999998</v>
      </c>
      <c r="D220" s="885">
        <f t="shared" si="126"/>
        <v>15.869000000000003</v>
      </c>
      <c r="E220" s="885">
        <f t="shared" si="126"/>
        <v>22.343999999999998</v>
      </c>
      <c r="F220" s="885">
        <f t="shared" si="126"/>
        <v>22.603000000000002</v>
      </c>
      <c r="G220" s="436">
        <f t="shared" si="126"/>
        <v>10.134000000000004</v>
      </c>
      <c r="H220" s="436">
        <f t="shared" si="126"/>
        <v>8.9400000000000013</v>
      </c>
      <c r="I220" s="436">
        <f t="shared" si="126"/>
        <v>130.483</v>
      </c>
      <c r="J220" s="436">
        <f t="shared" si="126"/>
        <v>145.685</v>
      </c>
      <c r="K220" s="885">
        <f t="shared" si="126"/>
        <v>145.685</v>
      </c>
      <c r="L220" s="436">
        <f t="shared" si="126"/>
        <v>239.30100000000002</v>
      </c>
      <c r="M220" s="436">
        <f t="shared" si="126"/>
        <v>224.79300000000001</v>
      </c>
      <c r="N220" s="436">
        <f t="shared" si="126"/>
        <v>187.715</v>
      </c>
      <c r="O220" s="436">
        <f t="shared" si="126"/>
        <v>161.81099999999998</v>
      </c>
      <c r="P220" s="885">
        <f t="shared" si="126"/>
        <v>161.81099999999998</v>
      </c>
      <c r="Q220" s="436">
        <f t="shared" si="126"/>
        <v>194.19399999999999</v>
      </c>
      <c r="R220" s="436">
        <f t="shared" si="126"/>
        <v>207.404</v>
      </c>
      <c r="S220" s="436">
        <f t="shared" si="126"/>
        <v>186.101</v>
      </c>
      <c r="T220" s="436">
        <f t="shared" si="126"/>
        <v>151.22800000000001</v>
      </c>
      <c r="U220" s="885">
        <f t="shared" si="126"/>
        <v>151.22800000000001</v>
      </c>
      <c r="V220" s="436">
        <f t="shared" si="126"/>
        <v>156.55499999999998</v>
      </c>
      <c r="W220" s="436">
        <f t="shared" si="126"/>
        <v>146.178</v>
      </c>
      <c r="X220" s="436">
        <f t="shared" si="126"/>
        <v>150.71300000000002</v>
      </c>
      <c r="Y220" s="436">
        <f t="shared" si="126"/>
        <v>130.21899999999999</v>
      </c>
      <c r="Z220" s="885">
        <f t="shared" si="126"/>
        <v>130.21899999999999</v>
      </c>
      <c r="AA220" s="436">
        <f t="shared" si="126"/>
        <v>130.73299999999998</v>
      </c>
      <c r="AB220" s="436">
        <f t="shared" si="126"/>
        <v>154.69800000000001</v>
      </c>
      <c r="AC220" s="436">
        <f t="shared" si="126"/>
        <v>161.96999999999997</v>
      </c>
      <c r="AD220" s="436">
        <f t="shared" si="126"/>
        <v>253.85300000000001</v>
      </c>
      <c r="AE220" s="885">
        <f t="shared" si="126"/>
        <v>253.85300000000001</v>
      </c>
      <c r="AF220" s="436">
        <f t="shared" si="126"/>
        <v>259.71800000000002</v>
      </c>
      <c r="AG220" s="436">
        <f t="shared" si="126"/>
        <v>254.73699999999997</v>
      </c>
      <c r="AH220" s="436">
        <f t="shared" si="126"/>
        <v>254.75199999999998</v>
      </c>
      <c r="AI220" s="436">
        <f t="shared" ref="AI220:BB220" si="127">AI218+AI219-AI215</f>
        <v>217.36</v>
      </c>
      <c r="AJ220" s="885">
        <f t="shared" si="127"/>
        <v>217.36</v>
      </c>
      <c r="AK220" s="436">
        <f t="shared" si="127"/>
        <v>99.34</v>
      </c>
      <c r="AL220" s="436">
        <f t="shared" si="127"/>
        <v>105.17699999999999</v>
      </c>
      <c r="AM220" s="436">
        <f t="shared" si="127"/>
        <v>157.45100000000002</v>
      </c>
      <c r="AN220" s="436">
        <f t="shared" si="127"/>
        <v>181.874</v>
      </c>
      <c r="AO220" s="885">
        <f t="shared" si="127"/>
        <v>181.874</v>
      </c>
      <c r="AP220" s="436">
        <f t="shared" si="127"/>
        <v>169.53800000000004</v>
      </c>
      <c r="AQ220" s="886">
        <f t="shared" si="127"/>
        <v>151.15199999999999</v>
      </c>
      <c r="AR220" s="436">
        <f t="shared" ca="1" si="127"/>
        <v>123.07828823007068</v>
      </c>
      <c r="AS220" s="436">
        <f t="shared" ca="1" si="127"/>
        <v>97.109830511725193</v>
      </c>
      <c r="AT220" s="885">
        <f t="shared" ca="1" si="127"/>
        <v>97.109830511725193</v>
      </c>
      <c r="AU220" s="436">
        <f t="shared" ca="1" si="127"/>
        <v>94.267549939236048</v>
      </c>
      <c r="AV220" s="436">
        <f t="shared" ca="1" si="127"/>
        <v>110.87839361318372</v>
      </c>
      <c r="AW220" s="436">
        <f t="shared" ca="1" si="127"/>
        <v>125.3885433454418</v>
      </c>
      <c r="AX220" s="436">
        <f t="shared" ca="1" si="127"/>
        <v>118.21823354919488</v>
      </c>
      <c r="AY220" s="885">
        <f t="shared" ca="1" si="127"/>
        <v>118.21823354919488</v>
      </c>
      <c r="AZ220" s="885">
        <f t="shared" ca="1" si="127"/>
        <v>57.99082973438766</v>
      </c>
      <c r="BA220" s="885">
        <f t="shared" ca="1" si="127"/>
        <v>74.287074983838565</v>
      </c>
      <c r="BB220" s="885">
        <f t="shared" ca="1" si="127"/>
        <v>-122.71274254579123</v>
      </c>
      <c r="BC220" s="362"/>
    </row>
    <row r="221" spans="1:55" s="23" customFormat="1" ht="14.45" customHeight="1">
      <c r="A221" s="520"/>
      <c r="B221" s="132"/>
      <c r="C221" s="885"/>
      <c r="D221" s="885"/>
      <c r="E221" s="885"/>
      <c r="F221" s="885"/>
      <c r="G221" s="436"/>
      <c r="H221" s="436"/>
      <c r="I221" s="436"/>
      <c r="J221" s="436"/>
      <c r="K221" s="885"/>
      <c r="L221" s="436"/>
      <c r="M221" s="436"/>
      <c r="N221" s="436"/>
      <c r="O221" s="436"/>
      <c r="P221" s="885"/>
      <c r="Q221" s="436"/>
      <c r="R221" s="436"/>
      <c r="S221" s="436"/>
      <c r="T221" s="436"/>
      <c r="U221" s="885"/>
      <c r="V221" s="436"/>
      <c r="W221" s="436"/>
      <c r="X221" s="436"/>
      <c r="Y221" s="436"/>
      <c r="Z221" s="885"/>
      <c r="AA221" s="436"/>
      <c r="AB221" s="436"/>
      <c r="AC221" s="436"/>
      <c r="AD221" s="436"/>
      <c r="AE221" s="885"/>
      <c r="AF221" s="436"/>
      <c r="AG221" s="436"/>
      <c r="AH221" s="436"/>
      <c r="AI221" s="436"/>
      <c r="AJ221" s="885"/>
      <c r="AK221" s="436"/>
      <c r="AL221" s="436"/>
      <c r="AM221" s="436"/>
      <c r="AN221" s="436"/>
      <c r="AO221" s="885"/>
      <c r="AP221" s="436"/>
      <c r="AQ221" s="886"/>
      <c r="AR221" s="855"/>
      <c r="AS221" s="855"/>
      <c r="AT221" s="870"/>
      <c r="AU221" s="855"/>
      <c r="AV221" s="855"/>
      <c r="AW221" s="855"/>
      <c r="AX221" s="855"/>
      <c r="AY221" s="870"/>
      <c r="AZ221" s="870"/>
      <c r="BA221" s="870"/>
      <c r="BB221" s="870"/>
      <c r="BC221" s="362"/>
    </row>
    <row r="222" spans="1:55" s="23" customFormat="1" ht="14.45" customHeight="1">
      <c r="A222" s="520" t="s">
        <v>469</v>
      </c>
      <c r="B222" s="132"/>
      <c r="C222" s="546"/>
      <c r="D222" s="546"/>
      <c r="E222" s="546"/>
      <c r="F222" s="546"/>
      <c r="G222" s="547"/>
      <c r="H222" s="547"/>
      <c r="I222" s="547"/>
      <c r="J222" s="547"/>
      <c r="K222" s="546"/>
      <c r="L222" s="547"/>
      <c r="M222" s="547"/>
      <c r="N222" s="547"/>
      <c r="O222" s="547"/>
      <c r="P222" s="546"/>
      <c r="Q222" s="547"/>
      <c r="R222" s="547"/>
      <c r="S222" s="547"/>
      <c r="T222" s="547"/>
      <c r="U222" s="546"/>
      <c r="V222" s="547"/>
      <c r="W222" s="547"/>
      <c r="X222" s="547"/>
      <c r="Y222" s="547"/>
      <c r="Z222" s="546"/>
      <c r="AA222" s="547"/>
      <c r="AB222" s="547"/>
      <c r="AC222" s="547"/>
      <c r="AD222" s="547"/>
      <c r="AE222" s="546"/>
      <c r="AF222" s="547"/>
      <c r="AG222" s="547"/>
      <c r="AH222" s="547"/>
      <c r="AI222" s="547"/>
      <c r="AJ222" s="546"/>
      <c r="AK222" s="547"/>
      <c r="AL222" s="547"/>
      <c r="AM222" s="547"/>
      <c r="AN222" s="547"/>
      <c r="AO222" s="546"/>
      <c r="AP222" s="547"/>
      <c r="AQ222" s="548"/>
      <c r="AR222" s="547">
        <f>MAX(0,AR223*AVERAGE(AQ218,AR218)*AR3/AT3)</f>
        <v>1.741705792349727</v>
      </c>
      <c r="AS222" s="547">
        <f>MAX(0,AS223*AVERAGE(AR218,AS218)*AS3/AT3)</f>
        <v>1.741705792349727</v>
      </c>
      <c r="AT222" s="546" t="str">
        <f>IF(OR(ISBLANK(AP222),ISBLANK(AQ222),ISBLANK(AR222),ISBLANK(AS222)),"n/a",SUM(AP222,AQ222,AR222,AS222))</f>
        <v>n/a</v>
      </c>
      <c r="AU222" s="547">
        <f>MAX(0,AU223*AVERAGE(AT218,AU218)*AU3/AY3)</f>
        <v>1.7085106849315068</v>
      </c>
      <c r="AV222" s="547">
        <f>MAX(0,AV223*AVERAGE(AU218,AV218)*AV3/AY3)</f>
        <v>1.7274941369863013</v>
      </c>
      <c r="AW222" s="547">
        <f>MAX(0,AW223*AVERAGE(AV218,AW218)*AW3/AY3)</f>
        <v>1.746477589041096</v>
      </c>
      <c r="AX222" s="547">
        <f>MAX(0,AX223*AVERAGE(AW218,AX218)*AX3/AY3)</f>
        <v>1.746477589041096</v>
      </c>
      <c r="AY222" s="546">
        <f>IF(OR(ISBLANK(AU222),ISBLANK(AV222),ISBLANK(AW222),ISBLANK(AX222)),"n/a",SUM(AU222,AV222,AW222,AX222))</f>
        <v>6.92896</v>
      </c>
      <c r="AZ222" s="546">
        <f>AZ223*AVERAGE(AY218,AZ218)</f>
        <v>6.92896</v>
      </c>
      <c r="BA222" s="546">
        <f>BA223*AVERAGE(AZ218,BA218)</f>
        <v>6.92896</v>
      </c>
      <c r="BB222" s="546">
        <f>BB223*AVERAGE(BA218,BB218)</f>
        <v>6.92896</v>
      </c>
      <c r="BC222" s="362"/>
    </row>
    <row r="223" spans="1:55" s="23" customFormat="1" ht="14.45" customHeight="1">
      <c r="A223" s="518" t="s">
        <v>470</v>
      </c>
      <c r="B223" s="345"/>
      <c r="C223" s="274"/>
      <c r="D223" s="274"/>
      <c r="E223" s="274"/>
      <c r="F223" s="274"/>
      <c r="G223" s="280"/>
      <c r="H223" s="280"/>
      <c r="I223" s="280"/>
      <c r="J223" s="280"/>
      <c r="K223" s="274"/>
      <c r="L223" s="280"/>
      <c r="M223" s="280"/>
      <c r="N223" s="280"/>
      <c r="O223" s="280"/>
      <c r="P223" s="274"/>
      <c r="Q223" s="280"/>
      <c r="R223" s="280"/>
      <c r="S223" s="280"/>
      <c r="T223" s="280"/>
      <c r="U223" s="274"/>
      <c r="V223" s="280"/>
      <c r="W223" s="280"/>
      <c r="X223" s="280"/>
      <c r="Y223" s="280"/>
      <c r="Z223" s="274"/>
      <c r="AA223" s="280"/>
      <c r="AB223" s="280"/>
      <c r="AC223" s="280"/>
      <c r="AD223" s="280"/>
      <c r="AE223" s="274"/>
      <c r="AF223" s="280"/>
      <c r="AG223" s="280"/>
      <c r="AH223" s="280"/>
      <c r="AI223" s="280"/>
      <c r="AJ223" s="274"/>
      <c r="AK223" s="280"/>
      <c r="AL223" s="280"/>
      <c r="AM223" s="280"/>
      <c r="AN223" s="280"/>
      <c r="AO223" s="274"/>
      <c r="AP223" s="280"/>
      <c r="AQ223" s="348"/>
      <c r="AR223" s="881">
        <v>0.04</v>
      </c>
      <c r="AS223" s="881">
        <v>0.04</v>
      </c>
      <c r="AT223" s="274" t="str">
        <f>IFERROR(AT222/AVERAGE(AP218,AQ218,AR218,AS218),"n/a")</f>
        <v>n/a</v>
      </c>
      <c r="AU223" s="881">
        <v>0.04</v>
      </c>
      <c r="AV223" s="881">
        <v>0.04</v>
      </c>
      <c r="AW223" s="881">
        <v>0.04</v>
      </c>
      <c r="AX223" s="881">
        <v>0.04</v>
      </c>
      <c r="AY223" s="274">
        <f>IFERROR(AY222/AVERAGE(AU218,AV218,AW218,AX218),"n/a")</f>
        <v>0.04</v>
      </c>
      <c r="AZ223" s="882">
        <v>0.04</v>
      </c>
      <c r="BA223" s="882">
        <v>0.04</v>
      </c>
      <c r="BB223" s="882">
        <v>0.04</v>
      </c>
      <c r="BC223" s="362"/>
    </row>
    <row r="224" spans="1:55" s="23" customFormat="1" ht="14.45" customHeight="1">
      <c r="A224" s="520" t="s">
        <v>471</v>
      </c>
      <c r="B224" s="132"/>
      <c r="C224" s="546"/>
      <c r="D224" s="546"/>
      <c r="E224" s="546"/>
      <c r="F224" s="546"/>
      <c r="G224" s="547"/>
      <c r="H224" s="547"/>
      <c r="I224" s="547"/>
      <c r="J224" s="547"/>
      <c r="K224" s="546"/>
      <c r="L224" s="547"/>
      <c r="M224" s="547"/>
      <c r="N224" s="547"/>
      <c r="O224" s="547"/>
      <c r="P224" s="546"/>
      <c r="Q224" s="547"/>
      <c r="R224" s="547"/>
      <c r="S224" s="547"/>
      <c r="T224" s="547"/>
      <c r="U224" s="546"/>
      <c r="V224" s="547"/>
      <c r="W224" s="547"/>
      <c r="X224" s="547"/>
      <c r="Y224" s="547"/>
      <c r="Z224" s="546"/>
      <c r="AA224" s="547"/>
      <c r="AB224" s="547"/>
      <c r="AC224" s="547"/>
      <c r="AD224" s="547"/>
      <c r="AE224" s="546"/>
      <c r="AF224" s="547"/>
      <c r="AG224" s="547"/>
      <c r="AH224" s="547"/>
      <c r="AI224" s="547"/>
      <c r="AJ224" s="546"/>
      <c r="AK224" s="547"/>
      <c r="AL224" s="547"/>
      <c r="AM224" s="547"/>
      <c r="AN224" s="547"/>
      <c r="AO224" s="546"/>
      <c r="AP224" s="547"/>
      <c r="AQ224" s="548"/>
      <c r="AR224" s="547">
        <f>MAX(0,AR225*AQ215*AR3/AT3)</f>
        <v>0.11723464480874318</v>
      </c>
      <c r="AS224" s="547">
        <f ca="1">MAX(0,AS225*AR215*AS3/AT3)</f>
        <v>0.18780244488616113</v>
      </c>
      <c r="AT224" s="546" t="str">
        <f ca="1">IF(OR(ISBLANK(AP224),ISBLANK(AQ224),ISBLANK(AR224),ISBLANK(AS224)),"n/a",SUM(AP224,AQ224,AR224,AS224))</f>
        <v>n/a</v>
      </c>
      <c r="AU224" s="547">
        <f ca="1">MAX(0,AU225*AT215*AU3/AY3)</f>
        <v>0.24825493846423929</v>
      </c>
      <c r="AV224" s="547">
        <f ca="1">MAX(0,AV225*AU215*AV3/AY3)</f>
        <v>0.25809956042546628</v>
      </c>
      <c r="AW224" s="547">
        <f ca="1">MAX(0,AW225*AV215*AW3/AY3)</f>
        <v>0.21906739144074241</v>
      </c>
      <c r="AX224" s="547">
        <f ca="1">MAX(0,AX225*AW215*AX3/AY3)</f>
        <v>0.18249386334847545</v>
      </c>
      <c r="AY224" s="546">
        <f ca="1">IF(OR(ISBLANK(AU224),ISBLANK(AV224),ISBLANK(AW224),ISBLANK(AX224)),"n/a",SUM(AU224,AV224,AW224,AX224))</f>
        <v>0.9079157536789233</v>
      </c>
      <c r="AZ224" s="546">
        <f ca="1">AZ225*AY215</f>
        <v>0.79572766450805121</v>
      </c>
      <c r="BA224" s="546">
        <f ca="1">BA225*AZ215</f>
        <v>1.3980017026561233</v>
      </c>
      <c r="BB224" s="546">
        <f ca="1">BB225*BA215</f>
        <v>1.2350392501616143</v>
      </c>
      <c r="BC224" s="362"/>
    </row>
    <row r="225" spans="1:55" s="23" customFormat="1" ht="14.45" customHeight="1">
      <c r="A225" s="518" t="s">
        <v>472</v>
      </c>
      <c r="B225" s="345"/>
      <c r="C225" s="274"/>
      <c r="D225" s="274"/>
      <c r="E225" s="274"/>
      <c r="F225" s="274"/>
      <c r="G225" s="280"/>
      <c r="H225" s="280"/>
      <c r="I225" s="280"/>
      <c r="J225" s="280"/>
      <c r="K225" s="274"/>
      <c r="L225" s="280"/>
      <c r="M225" s="280"/>
      <c r="N225" s="280"/>
      <c r="O225" s="280"/>
      <c r="P225" s="274"/>
      <c r="Q225" s="280"/>
      <c r="R225" s="280"/>
      <c r="S225" s="280"/>
      <c r="T225" s="280"/>
      <c r="U225" s="274"/>
      <c r="V225" s="280"/>
      <c r="W225" s="280"/>
      <c r="X225" s="280"/>
      <c r="Y225" s="280"/>
      <c r="Z225" s="274"/>
      <c r="AA225" s="280"/>
      <c r="AB225" s="280"/>
      <c r="AC225" s="280"/>
      <c r="AD225" s="280"/>
      <c r="AE225" s="274"/>
      <c r="AF225" s="280"/>
      <c r="AG225" s="280"/>
      <c r="AH225" s="280"/>
      <c r="AI225" s="280"/>
      <c r="AJ225" s="274"/>
      <c r="AK225" s="280"/>
      <c r="AL225" s="280"/>
      <c r="AM225" s="280"/>
      <c r="AN225" s="280"/>
      <c r="AO225" s="274"/>
      <c r="AP225" s="280"/>
      <c r="AQ225" s="348"/>
      <c r="AR225" s="881">
        <v>0.01</v>
      </c>
      <c r="AS225" s="881">
        <v>0.01</v>
      </c>
      <c r="AT225" s="274" t="str">
        <f ca="1">IFERROR(AT224/AVERAGE(AP215,AQ215,AR215,AS215),"n/a")</f>
        <v>n/a</v>
      </c>
      <c r="AU225" s="881">
        <v>0.01</v>
      </c>
      <c r="AV225" s="881">
        <v>0.01</v>
      </c>
      <c r="AW225" s="881">
        <v>0.01</v>
      </c>
      <c r="AX225" s="881">
        <v>0.01</v>
      </c>
      <c r="AY225" s="274">
        <f ca="1">IFERROR(AY224/AVERAGE(AU215,AV215,AW215,AX215),"n/a")</f>
        <v>1.0606143055384265E-2</v>
      </c>
      <c r="AZ225" s="882">
        <v>0.01</v>
      </c>
      <c r="BA225" s="882">
        <v>0.01</v>
      </c>
      <c r="BB225" s="882">
        <v>0.01</v>
      </c>
      <c r="BC225" s="362"/>
    </row>
    <row r="226" spans="1:55" s="23" customFormat="1" ht="14.45" customHeight="1">
      <c r="A226" s="520" t="s">
        <v>473</v>
      </c>
      <c r="B226" s="132"/>
      <c r="C226" s="546">
        <f t="shared" ref="C226:AQ226" si="128">C164</f>
        <v>2.5329999999999999</v>
      </c>
      <c r="D226" s="546">
        <f t="shared" si="128"/>
        <v>2.5510000000000002</v>
      </c>
      <c r="E226" s="546">
        <f t="shared" si="128"/>
        <v>1.806</v>
      </c>
      <c r="F226" s="546">
        <f t="shared" si="128"/>
        <v>1.042</v>
      </c>
      <c r="G226" s="547">
        <f t="shared" si="128"/>
        <v>0.218</v>
      </c>
      <c r="H226" s="547">
        <f t="shared" si="128"/>
        <v>0.26200000000000001</v>
      </c>
      <c r="I226" s="547">
        <f t="shared" si="128"/>
        <v>1.605</v>
      </c>
      <c r="J226" s="547">
        <f t="shared" si="128"/>
        <v>2.0090000000000003</v>
      </c>
      <c r="K226" s="546">
        <f t="shared" si="128"/>
        <v>4.0940000000000003</v>
      </c>
      <c r="L226" s="547">
        <f t="shared" si="128"/>
        <v>2.323</v>
      </c>
      <c r="M226" s="547">
        <f t="shared" si="128"/>
        <v>2.5590000000000002</v>
      </c>
      <c r="N226" s="547">
        <f t="shared" si="128"/>
        <v>2.3010000000000002</v>
      </c>
      <c r="O226" s="547">
        <f t="shared" si="128"/>
        <v>1.072000000000001</v>
      </c>
      <c r="P226" s="546">
        <f t="shared" si="128"/>
        <v>8.2550000000000008</v>
      </c>
      <c r="Q226" s="547">
        <f t="shared" si="128"/>
        <v>1.246</v>
      </c>
      <c r="R226" s="547">
        <f t="shared" si="128"/>
        <v>1.111</v>
      </c>
      <c r="S226" s="547">
        <f t="shared" si="128"/>
        <v>1.2430000000000001</v>
      </c>
      <c r="T226" s="547">
        <f t="shared" si="128"/>
        <v>1.1509999999999998</v>
      </c>
      <c r="U226" s="546">
        <f t="shared" si="128"/>
        <v>4.7510000000000003</v>
      </c>
      <c r="V226" s="547">
        <f t="shared" si="128"/>
        <v>1.087</v>
      </c>
      <c r="W226" s="547">
        <f t="shared" si="128"/>
        <v>1.056</v>
      </c>
      <c r="X226" s="547">
        <f t="shared" si="128"/>
        <v>1.103</v>
      </c>
      <c r="Y226" s="547">
        <f t="shared" si="128"/>
        <v>1.1080000000000005</v>
      </c>
      <c r="Z226" s="546">
        <f t="shared" si="128"/>
        <v>4.3540000000000001</v>
      </c>
      <c r="AA226" s="547">
        <f t="shared" si="128"/>
        <v>1.133</v>
      </c>
      <c r="AB226" s="547">
        <f t="shared" si="128"/>
        <v>1.18</v>
      </c>
      <c r="AC226" s="547">
        <f t="shared" si="128"/>
        <v>1.4370000000000001</v>
      </c>
      <c r="AD226" s="547">
        <f t="shared" si="128"/>
        <v>1.6189999999999998</v>
      </c>
      <c r="AE226" s="546">
        <f t="shared" si="128"/>
        <v>5.3689999999999998</v>
      </c>
      <c r="AF226" s="547">
        <f t="shared" si="128"/>
        <v>2.331</v>
      </c>
      <c r="AG226" s="547">
        <f t="shared" si="128"/>
        <v>2.484</v>
      </c>
      <c r="AH226" s="547">
        <f t="shared" si="128"/>
        <v>2.5110000000000001</v>
      </c>
      <c r="AI226" s="547">
        <f t="shared" si="128"/>
        <v>2.3840000000000012</v>
      </c>
      <c r="AJ226" s="546">
        <f t="shared" si="128"/>
        <v>9.7100000000000009</v>
      </c>
      <c r="AK226" s="547">
        <f t="shared" si="128"/>
        <v>1.804</v>
      </c>
      <c r="AL226" s="547">
        <f t="shared" si="128"/>
        <v>1.2250000000000001</v>
      </c>
      <c r="AM226" s="547">
        <f t="shared" si="128"/>
        <v>1.5469999999999999</v>
      </c>
      <c r="AN226" s="547">
        <f t="shared" si="128"/>
        <v>1.5650000000000004</v>
      </c>
      <c r="AO226" s="546">
        <f t="shared" si="128"/>
        <v>6.141</v>
      </c>
      <c r="AP226" s="547">
        <f t="shared" si="128"/>
        <v>1.333</v>
      </c>
      <c r="AQ226" s="548">
        <f t="shared" si="128"/>
        <v>1.9830000000000001</v>
      </c>
      <c r="AR226" s="547">
        <f>IFERROR(AR222-AR224,"n/a")</f>
        <v>1.6244711475409839</v>
      </c>
      <c r="AS226" s="547">
        <f ca="1">IFERROR(AS222-AS224,"n/a")</f>
        <v>1.553903347463566</v>
      </c>
      <c r="AT226" s="546">
        <f ca="1">SUM(AP226,AQ226,AR226,AS226)</f>
        <v>6.4943744950045499</v>
      </c>
      <c r="AU226" s="547">
        <f ca="1">IFERROR(AU222-AU224,"n/a")</f>
        <v>1.4602557464672676</v>
      </c>
      <c r="AV226" s="547">
        <f ca="1">IFERROR(AV222-AV224,"n/a")</f>
        <v>1.4693945765608349</v>
      </c>
      <c r="AW226" s="547">
        <f ca="1">IFERROR(AW222-AW224,"n/a")</f>
        <v>1.5274101976003536</v>
      </c>
      <c r="AX226" s="547">
        <f ca="1">IFERROR(AX222-AX224,"n/a")</f>
        <v>1.5639837256926206</v>
      </c>
      <c r="AY226" s="546">
        <f ca="1">SUM(AU226,AV226,AW226,AX226)</f>
        <v>6.0210442463210772</v>
      </c>
      <c r="AZ226" s="546">
        <f ca="1">IFERROR(AZ222-AZ224,"n/a")</f>
        <v>6.1332323354919485</v>
      </c>
      <c r="BA226" s="546">
        <f ca="1">IFERROR(BA222-BA224,"n/a")</f>
        <v>5.5309582973438767</v>
      </c>
      <c r="BB226" s="546">
        <f ca="1">IFERROR(BB222-BB224,"n/a")</f>
        <v>5.6939207498383855</v>
      </c>
      <c r="BC226" s="362"/>
    </row>
    <row r="227" spans="1:55" s="23" customFormat="1" ht="14.45" customHeight="1">
      <c r="A227" s="518" t="s">
        <v>474</v>
      </c>
      <c r="B227" s="345"/>
      <c r="C227" s="274"/>
      <c r="D227" s="274">
        <f>IFERROR(IF(D226/AVERAGE(C218,D218)&lt;0,"n/a",D226/AVERAGE(C218,D218)),"n/a")</f>
        <v>6.1208820212587285E-2</v>
      </c>
      <c r="E227" s="274">
        <f>IFERROR(IF(E226/AVERAGE(D218,E218)&lt;0,"n/a",E226/AVERAGE(D218,E218)),"n/a")</f>
        <v>5.0277696579947379E-2</v>
      </c>
      <c r="F227" s="274">
        <f>IFERROR(IF(F226/AVERAGE(E218,F218)&lt;0,"n/a",F226/AVERAGE(E218,F218)),"n/a")</f>
        <v>3.295070043955349E-2</v>
      </c>
      <c r="G227" s="280">
        <f>IFERROR(IF(G226/AVERAGE(F218,G218)&lt;0,"n/a",G226/AVERAGE(F218,G218)*K3/G3),"n/a")</f>
        <v>3.0531334235037934E-2</v>
      </c>
      <c r="H227" s="280">
        <f>IFERROR(IF(H226/AVERAGE(G218,H218)&lt;0,"n/a",H226/AVERAGE(G218,H218)*K3/H3),"n/a")</f>
        <v>3.9353609859348805E-2</v>
      </c>
      <c r="I227" s="280">
        <f>IFERROR(IF(I226/AVERAGE(H218,I218)&lt;0,"n/a",I226/AVERAGE(H218,I218)*K3/I3),"n/a")</f>
        <v>5.6817608711170149E-2</v>
      </c>
      <c r="J227" s="280">
        <f>IFERROR(IF(J226/AVERAGE(I218,J218)&lt;0,"n/a",J226/AVERAGE(I218,J218)*K3/J3),"n/a")</f>
        <v>3.9953427941295541E-2</v>
      </c>
      <c r="K227" s="274">
        <f>IFERROR(IF(K226/AVERAGE(G218,H218,I218,J218)&lt;0,"n/a",K226/AVERAGE(G218,H218,I218,J218)),"n/a")</f>
        <v>3.6198374875109421E-2</v>
      </c>
      <c r="L227" s="280">
        <f>IFERROR(IF(L226/AVERAGE(K218,L218)&lt;0,"n/a",L226/AVERAGE(K218,L218)*P3/L3),"n/a")</f>
        <v>4.0197532760542373E-2</v>
      </c>
      <c r="M227" s="280">
        <f>IFERROR(IF(M226/AVERAGE(L218,M218)&lt;0,"n/a",M226/AVERAGE(L218,M218)*P3/M3),"n/a")</f>
        <v>3.993541650437276E-2</v>
      </c>
      <c r="N227" s="280">
        <f>IFERROR(IF(N226/AVERAGE(M218,N218)&lt;0,"n/a",N226/AVERAGE(M218,N218)*P3/N3),"n/a")</f>
        <v>3.9841781828714853E-2</v>
      </c>
      <c r="O227" s="280">
        <f>IFERROR(IF(O226/AVERAGE(N218,O218)&lt;0,"n/a",O226/AVERAGE(N218,O218)*P3/O3),"n/a")</f>
        <v>2.1498964887038695E-2</v>
      </c>
      <c r="P227" s="274">
        <f>IFERROR(IF(P226/AVERAGE(L218,M218,N218,O218)&lt;0,"n/a",P226/AVERAGE(L218,M218,N218,O218)),"n/a")</f>
        <v>3.6298199270738178E-2</v>
      </c>
      <c r="Q227" s="280">
        <f>IFERROR(IF(Q226/AVERAGE(P218,Q218)&lt;0,"n/a",Q226/AVERAGE(P218,Q218)*U3/Q3),"n/a")</f>
        <v>2.5280963677271506E-2</v>
      </c>
      <c r="R227" s="280">
        <f>IFERROR(IF(R226/AVERAGE(Q218,R218)&lt;0,"n/a",R226/AVERAGE(Q218,R218)*U3/R3),"n/a")</f>
        <v>1.9896986976517615E-2</v>
      </c>
      <c r="S227" s="280">
        <f>IFERROR(IF(S226/AVERAGE(R218,S218)&lt;0,"n/a",S226/AVERAGE(R218,S218)*U3/S3),"n/a")</f>
        <v>2.2430799701183061E-2</v>
      </c>
      <c r="T227" s="280">
        <f>IFERROR(IF(T226/AVERAGE(S218,T218)&lt;0,"n/a",T226/AVERAGE(S218,T218)*U3/T3),"n/a")</f>
        <v>2.4140575071060166E-2</v>
      </c>
      <c r="U227" s="274">
        <f>IFERROR(IF(U226/AVERAGE(Q218,R218,S218,T218)&lt;0,"n/a",U226/AVERAGE(Q218,R218,S218,T218)),"n/a")</f>
        <v>2.3000274734917114E-2</v>
      </c>
      <c r="V227" s="280">
        <f>IFERROR(IF(V226/AVERAGE(U218,V218)&lt;0,"n/a",V226/AVERAGE(U218,V218)*Z3/V3),"n/a")</f>
        <v>2.5556520729478775E-2</v>
      </c>
      <c r="W227" s="280">
        <f>IFERROR(IF(W226/AVERAGE(V218,W218)&lt;0,"n/a",W226/AVERAGE(V218,W218)*Z3/W3),"n/a")</f>
        <v>2.506208441859821E-2</v>
      </c>
      <c r="X227" s="280">
        <f>IFERROR(IF(X226/AVERAGE(W218,X218)&lt;0,"n/a",X226/AVERAGE(W218,X218)*Z3/X3),"n/a")</f>
        <v>2.6547412058384866E-2</v>
      </c>
      <c r="Y227" s="280">
        <f>IFERROR(IF(Y226/AVERAGE(X218,Y218)&lt;0,"n/a",Y226/AVERAGE(X218,Y218)*Z3/Y3),"n/a")</f>
        <v>2.8245803854899464E-2</v>
      </c>
      <c r="Z227" s="274">
        <f>IFERROR(IF(Z226/AVERAGE(V218,W218,X218,Y218)&lt;0,"n/a",Z226/AVERAGE(V218,W218,X218,Y218)),"n/a")</f>
        <v>2.6750797946688869E-2</v>
      </c>
      <c r="AA227" s="280">
        <f>IFERROR(IF(AA226/AVERAGE(Z218,AA218)&lt;0,"n/a",AA226/AVERAGE(Z218,AA218)*AE3/AA3),"n/a")</f>
        <v>3.1731288633531606E-2</v>
      </c>
      <c r="AB227" s="280">
        <f>IFERROR(IF(AB226/AVERAGE(AA218,AB218)&lt;0,"n/a",AB226/AVERAGE(AA218,AB218)*AE3/AB3),"n/a")</f>
        <v>3.1090691337290255E-2</v>
      </c>
      <c r="AC227" s="280">
        <f>IFERROR(IF(AC226/AVERAGE(AB218,AC218)&lt;0,"n/a",AC226/AVERAGE(AB218,AC218)*AE3/AC3),"n/a")</f>
        <v>3.3505280752412207E-2</v>
      </c>
      <c r="AD227" s="280">
        <f>IFERROR(IF(AD226/AVERAGE(AC218,AD218)&lt;0,"n/a",AD226/AVERAGE(AC218,AD218)*AE3/AD3),"n/a")</f>
        <v>2.8603902446769101E-2</v>
      </c>
      <c r="AE227" s="274">
        <f>IFERROR(IF(AE226/AVERAGE(AA218,AB218,AC218,AD218)&lt;0,"n/a",AE226/AVERAGE(AA218,AB218,AC218,AD218)),"n/a")</f>
        <v>2.8498784462350178E-2</v>
      </c>
      <c r="AF227" s="280">
        <f>IFERROR(IF(AF226/AVERAGE(AE218,AF218)&lt;0,"n/a",AF226/AVERAGE(AE218,AF218)*AJ3/AF3),"n/a")</f>
        <v>3.4509885520705559E-2</v>
      </c>
      <c r="AG227" s="280">
        <f>IFERROR(IF(AG226/AVERAGE(AF218,AG218)&lt;0,"n/a",AG226/AVERAGE(AF218,AG218)*AJ3/AG3),"n/a")</f>
        <v>3.6802277969514088E-2</v>
      </c>
      <c r="AH227" s="280">
        <f>IFERROR(IF(AH226/AVERAGE(AG218,AH218)&lt;0,"n/a",AH226/AVERAGE(AG218,AH218)*AJ3/AH3),"n/a")</f>
        <v>3.7951654565677034E-2</v>
      </c>
      <c r="AI227" s="280">
        <f>IFERROR(IF(AI226/AVERAGE(AH218,AI218)&lt;0,"n/a",AI226/AVERAGE(AH218,AI218)*AJ3/AI3),"n/a")</f>
        <v>3.8321489179340772E-2</v>
      </c>
      <c r="AJ227" s="274">
        <f>IFERROR(IF(AJ226/AVERAGE(AF218,AG218,AH218,AI218)&lt;0,"n/a",AJ226/AVERAGE(AF218,AG218,AH218,AI218)),"n/a")</f>
        <v>3.7523778424213852E-2</v>
      </c>
      <c r="AK227" s="280">
        <f>IFERROR(IF(AK226/AVERAGE(AJ218,AK218)&lt;0,"n/a",AK226/AVERAGE(AJ218,AK218)*AO3/AK3),"n/a")</f>
        <v>4.1892204840831761E-2</v>
      </c>
      <c r="AL227" s="280">
        <f>IFERROR(IF(AL226/AVERAGE(AK218,AL218)&lt;0,"n/a",AL226/AVERAGE(AK218,AL218)*AO3/AL3),"n/a")</f>
        <v>4.1361018721081687E-2</v>
      </c>
      <c r="AM227" s="280">
        <f>IFERROR(IF(AM226/AVERAGE(AL218,AM218)&lt;0,"n/a",AM226/AVERAGE(AL218,AM218)*AO3/AM3),"n/a")</f>
        <v>4.0574981888189809E-2</v>
      </c>
      <c r="AN227" s="280">
        <f>IFERROR(IF(AN226/AVERAGE(AM218,AN218)&lt;0,"n/a",AN226/AVERAGE(AM218,AN218)*AO3/AN3),"n/a")</f>
        <v>3.3701345516890642E-2</v>
      </c>
      <c r="AO227" s="274">
        <f>IFERROR(IF(AO226/AVERAGE(AK218,AL218,AM218,AN218)&lt;0,"n/a",AO226/AVERAGE(AK218,AL218,AM218,AN218)),"n/a")</f>
        <v>4.0530707406374628E-2</v>
      </c>
      <c r="AP227" s="280">
        <f>IFERROR(IF(AP226/AVERAGE(AO218,AP218)&lt;0,"n/a",AP226/AVERAGE(AO218,AP218)*AT3/AP3),"n/a")</f>
        <v>2.0563151013609064E-2</v>
      </c>
      <c r="AQ227" s="348">
        <f>IFERROR(IF(AQ226/AVERAGE(AP218,AQ218)&lt;0,"n/a",AQ226/AVERAGE(AP218,AQ218)*AT3/AQ3),"n/a")</f>
        <v>3.1496217442624465E-2</v>
      </c>
      <c r="AR227" s="280">
        <f>IFERROR(IF(AR226/AVERAGE(AQ218,AR218)&lt;0,"n/a",AR226/AVERAGE(AQ218,AR218)*AT3/AR3),"n/a")</f>
        <v>3.7307590172262511E-2</v>
      </c>
      <c r="AS227" s="280">
        <f ca="1">IFERROR(IF(AS226/AVERAGE(AR218,AS218)&lt;0,"n/a",AS226/AVERAGE(AR218,AS218)*AT3/AS3),"n/a")</f>
        <v>3.5686930692633283E-2</v>
      </c>
      <c r="AT227" s="274">
        <f ca="1">IFERROR(IF(AT226/AVERAGE(AP218,AQ218,AR218,AS218)&lt;0,"n/a",AT226/AVERAGE(AP218,AQ218,AR218,AS218)),"n/a")</f>
        <v>3.0458025876594658E-2</v>
      </c>
      <c r="AU227" s="280">
        <f ca="1">IFERROR(IF(AU226/AVERAGE(AT218,AU218)&lt;0,"n/a",AU226/AVERAGE(AT218,AU218)*AY3/AU3),"n/a")</f>
        <v>3.4187804837189147E-2</v>
      </c>
      <c r="AV227" s="280">
        <f ca="1">IFERROR(IF(AV226/AVERAGE(AU218,AV218)&lt;0,"n/a",AV226/AVERAGE(AU218,AV218)*AY3/AV3),"n/a")</f>
        <v>3.4023723614466587E-2</v>
      </c>
      <c r="AW227" s="280">
        <f ca="1">IFERROR(IF(AW226/AVERAGE(AV218,AW218)&lt;0,"n/a",AW226/AVERAGE(AV218,AW218)*AY3/AW3),"n/a")</f>
        <v>3.4982646377706539E-2</v>
      </c>
      <c r="AX227" s="280">
        <f ca="1">IFERROR(IF(AX226/AVERAGE(AW218,AX218)&lt;0,"n/a",AX226/AVERAGE(AW218,AX218)*AY3/AX3),"n/a")</f>
        <v>3.5820298766074093E-2</v>
      </c>
      <c r="AY227" s="274">
        <f ca="1">IFERROR(IF(AY226/AVERAGE(AU218,AV218,AW218,AX218)&lt;0,"n/a",AY226/AVERAGE(AU218,AV218,AW218,AX218)),"n/a")</f>
        <v>3.4758718458880282E-2</v>
      </c>
      <c r="AZ227" s="274">
        <f ca="1">IFERROR(IF(AZ226/AVERAGE(AY218,AZ218)&lt;0,"n/a",AZ226/AVERAGE(AY218,AZ218)),"n/a")</f>
        <v>3.5406365950976473E-2</v>
      </c>
      <c r="BA227" s="274">
        <f ca="1">IFERROR(IF(BA226/AVERAGE(AZ218,BA218)&lt;0,"n/a",BA226/AVERAGE(AZ218,BA218)),"n/a")</f>
        <v>3.1929514947951078E-2</v>
      </c>
      <c r="BB227" s="274">
        <f ca="1">IFERROR(IF(BB226/AVERAGE(BA218,BB218)&lt;0,"n/a",BB226/AVERAGE(BA218,BB218)),"n/a")</f>
        <v>3.2870276346455375E-2</v>
      </c>
      <c r="BC227" s="362"/>
    </row>
    <row r="228" spans="1:55" s="23" customFormat="1" ht="14.45" customHeight="1">
      <c r="A228" s="518"/>
      <c r="B228" s="345"/>
      <c r="C228" s="274"/>
      <c r="D228" s="274"/>
      <c r="E228" s="274"/>
      <c r="F228" s="274"/>
      <c r="G228" s="280"/>
      <c r="H228" s="280"/>
      <c r="I228" s="280"/>
      <c r="J228" s="280"/>
      <c r="K228" s="274"/>
      <c r="L228" s="280"/>
      <c r="M228" s="280"/>
      <c r="N228" s="280"/>
      <c r="O228" s="280"/>
      <c r="P228" s="274"/>
      <c r="Q228" s="280"/>
      <c r="R228" s="280"/>
      <c r="S228" s="280"/>
      <c r="T228" s="280"/>
      <c r="U228" s="274"/>
      <c r="V228" s="280"/>
      <c r="W228" s="280"/>
      <c r="X228" s="280"/>
      <c r="Y228" s="280"/>
      <c r="Z228" s="274"/>
      <c r="AA228" s="280"/>
      <c r="AB228" s="280"/>
      <c r="AC228" s="280"/>
      <c r="AD228" s="280"/>
      <c r="AE228" s="274"/>
      <c r="AF228" s="280"/>
      <c r="AG228" s="280"/>
      <c r="AH228" s="280"/>
      <c r="AI228" s="280"/>
      <c r="AJ228" s="274"/>
      <c r="AK228" s="280"/>
      <c r="AL228" s="280"/>
      <c r="AM228" s="280"/>
      <c r="AN228" s="280"/>
      <c r="AO228" s="274"/>
      <c r="AP228" s="280"/>
      <c r="AQ228" s="348"/>
      <c r="AR228" s="881"/>
      <c r="AS228" s="881"/>
      <c r="AT228" s="882"/>
      <c r="AU228" s="881"/>
      <c r="AV228" s="881"/>
      <c r="AW228" s="881"/>
      <c r="AX228" s="881"/>
      <c r="AY228" s="882"/>
      <c r="AZ228" s="882"/>
      <c r="BA228" s="882"/>
      <c r="BB228" s="882"/>
      <c r="BC228" s="362"/>
    </row>
    <row r="229" spans="1:55" s="23" customFormat="1" ht="14.45" customHeight="1">
      <c r="A229" s="518" t="s">
        <v>475</v>
      </c>
      <c r="B229" s="345"/>
      <c r="C229" s="346">
        <f t="shared" ref="C229:AH229" si="129">IFERROR(IF(OR(C157&lt;0,C226&lt;0),"n/a",C157/C226),"n/a")</f>
        <v>8.4022897749703951</v>
      </c>
      <c r="D229" s="346">
        <f t="shared" si="129"/>
        <v>11.816934535476275</v>
      </c>
      <c r="E229" s="346">
        <f t="shared" si="129"/>
        <v>21.774640088593586</v>
      </c>
      <c r="F229" s="346">
        <f t="shared" si="129"/>
        <v>39.23320537428026</v>
      </c>
      <c r="G229" s="347">
        <f t="shared" si="129"/>
        <v>60.261467889908275</v>
      </c>
      <c r="H229" s="347">
        <f t="shared" si="129"/>
        <v>38.488549618320604</v>
      </c>
      <c r="I229" s="347">
        <f t="shared" si="129"/>
        <v>9.8242990654205578</v>
      </c>
      <c r="J229" s="347">
        <f t="shared" si="129"/>
        <v>7.8442010950721768</v>
      </c>
      <c r="K229" s="346">
        <f t="shared" si="129"/>
        <v>13.372740595994138</v>
      </c>
      <c r="L229" s="347">
        <f t="shared" si="129"/>
        <v>8.1183814033577217</v>
      </c>
      <c r="M229" s="347">
        <f t="shared" si="129"/>
        <v>11.107463853067605</v>
      </c>
      <c r="N229" s="347">
        <f t="shared" si="129"/>
        <v>16.109517601043024</v>
      </c>
      <c r="O229" s="347">
        <f t="shared" si="129"/>
        <v>29.846082089552134</v>
      </c>
      <c r="P229" s="346">
        <f t="shared" si="129"/>
        <v>14.094003634161112</v>
      </c>
      <c r="Q229" s="347">
        <f t="shared" si="129"/>
        <v>19.402889245585875</v>
      </c>
      <c r="R229" s="347">
        <f t="shared" si="129"/>
        <v>31.692169216921712</v>
      </c>
      <c r="S229" s="347">
        <f t="shared" si="129"/>
        <v>35.408688656476279</v>
      </c>
      <c r="T229" s="347">
        <f t="shared" si="129"/>
        <v>19.969591659426644</v>
      </c>
      <c r="U229" s="346">
        <f t="shared" si="129"/>
        <v>26.601557566828042</v>
      </c>
      <c r="V229" s="347">
        <f t="shared" si="129"/>
        <v>22.76172953081878</v>
      </c>
      <c r="W229" s="347">
        <f t="shared" si="129"/>
        <v>28.285984848484834</v>
      </c>
      <c r="X229" s="347">
        <f t="shared" si="129"/>
        <v>22.172257479601079</v>
      </c>
      <c r="Y229" s="347">
        <f t="shared" si="129"/>
        <v>19.983754512635365</v>
      </c>
      <c r="Z229" s="346">
        <f t="shared" si="129"/>
        <v>23.245291685806169</v>
      </c>
      <c r="AA229" s="347">
        <f t="shared" si="129"/>
        <v>21.083848190644304</v>
      </c>
      <c r="AB229" s="347">
        <f t="shared" si="129"/>
        <v>16.227118644067804</v>
      </c>
      <c r="AC229" s="347">
        <f t="shared" si="129"/>
        <v>12.402922755741125</v>
      </c>
      <c r="AD229" s="347">
        <f t="shared" si="129"/>
        <v>10.586781964175509</v>
      </c>
      <c r="AE229" s="346">
        <f t="shared" si="129"/>
        <v>14.527658781896077</v>
      </c>
      <c r="AF229" s="347">
        <f t="shared" si="129"/>
        <v>7.4663234663234723</v>
      </c>
      <c r="AG229" s="347">
        <f t="shared" si="129"/>
        <v>11.907407407407407</v>
      </c>
      <c r="AH229" s="347">
        <f t="shared" si="129"/>
        <v>10.843488649940259</v>
      </c>
      <c r="AI229" s="347">
        <f t="shared" ref="AI229:BB229" si="130">IFERROR(IF(OR(AI157&lt;0,AI226&lt;0),"n/a",AI157/AI226),"n/a")</f>
        <v>11.570050335570524</v>
      </c>
      <c r="AJ229" s="346">
        <f t="shared" si="130"/>
        <v>10.48331616889805</v>
      </c>
      <c r="AK229" s="347">
        <f t="shared" si="130"/>
        <v>17.821507760532146</v>
      </c>
      <c r="AL229" s="347">
        <f t="shared" si="130"/>
        <v>15.860408163265301</v>
      </c>
      <c r="AM229" s="347">
        <f t="shared" si="130"/>
        <v>9.1170006464124196</v>
      </c>
      <c r="AN229" s="347" t="str">
        <f t="shared" si="130"/>
        <v>n/a</v>
      </c>
      <c r="AO229" s="346">
        <f t="shared" si="130"/>
        <v>8.0892362807360385</v>
      </c>
      <c r="AP229" s="347">
        <f t="shared" si="130"/>
        <v>12.186796699174808</v>
      </c>
      <c r="AQ229" s="350">
        <f t="shared" si="130"/>
        <v>1.5698436712052444</v>
      </c>
      <c r="AR229" s="347">
        <f t="shared" si="130"/>
        <v>4.7382805238809631</v>
      </c>
      <c r="AS229" s="347">
        <f t="shared" ca="1" si="130"/>
        <v>6.8063692746810185</v>
      </c>
      <c r="AT229" s="346">
        <f t="shared" ca="1" si="130"/>
        <v>5.7944979965270162</v>
      </c>
      <c r="AU229" s="347">
        <f t="shared" ca="1" si="130"/>
        <v>14.57902429180902</v>
      </c>
      <c r="AV229" s="347">
        <f t="shared" ca="1" si="130"/>
        <v>18.284661539233372</v>
      </c>
      <c r="AW229" s="347">
        <f t="shared" ca="1" si="130"/>
        <v>18.553407918528769</v>
      </c>
      <c r="AX229" s="347">
        <f t="shared" ca="1" si="130"/>
        <v>16.934685413219814</v>
      </c>
      <c r="AY229" s="346">
        <f t="shared" ca="1" si="130"/>
        <v>17.103465632879605</v>
      </c>
      <c r="AZ229" s="346">
        <f t="shared" ca="1" si="130"/>
        <v>15.685558989554131</v>
      </c>
      <c r="BA229" s="346">
        <f t="shared" ca="1" si="130"/>
        <v>24.519300235752304</v>
      </c>
      <c r="BB229" s="346">
        <f t="shared" ca="1" si="130"/>
        <v>13.0858454745642</v>
      </c>
      <c r="BC229" s="362"/>
    </row>
    <row r="230" spans="1:55" s="31" customFormat="1" ht="14.45" customHeight="1">
      <c r="A230" s="448" t="s">
        <v>237</v>
      </c>
      <c r="B230" s="449"/>
      <c r="C230" s="346">
        <f>IF(C220&lt;0,"n/a",C220/C157)</f>
        <v>1.4014471644035138</v>
      </c>
      <c r="D230" s="346">
        <f>IF(D220&lt;0,"n/a",D220/D157)</f>
        <v>0.52642229225410564</v>
      </c>
      <c r="E230" s="346">
        <f>IF(E220&lt;0,"n/a",E220/E157)</f>
        <v>0.56818817546090239</v>
      </c>
      <c r="F230" s="346">
        <f>IF(F220&lt;0,"n/a",F220/F157)</f>
        <v>0.55289743401580149</v>
      </c>
      <c r="G230" s="347"/>
      <c r="H230" s="347"/>
      <c r="I230" s="347"/>
      <c r="J230" s="347"/>
      <c r="K230" s="346">
        <f>IF(K220&lt;0,"n/a",K220/K157)</f>
        <v>2.6610104478702414</v>
      </c>
      <c r="L230" s="347"/>
      <c r="M230" s="347"/>
      <c r="N230" s="347"/>
      <c r="O230" s="347"/>
      <c r="P230" s="346">
        <f>IF(P220&lt;0,"n/a",P220/P157)</f>
        <v>1.3907740704450517</v>
      </c>
      <c r="Q230" s="347"/>
      <c r="R230" s="347"/>
      <c r="S230" s="347"/>
      <c r="T230" s="347"/>
      <c r="U230" s="346">
        <f>IF(U220&lt;0,"n/a",U220/U157)</f>
        <v>1.1965755158880869</v>
      </c>
      <c r="V230" s="347"/>
      <c r="W230" s="964"/>
      <c r="X230" s="964"/>
      <c r="Y230" s="347"/>
      <c r="Z230" s="346">
        <f>IF(Z220&lt;0,"n/a",Z220/Z157)</f>
        <v>1.286621875308763</v>
      </c>
      <c r="AA230" s="964"/>
      <c r="AB230" s="964"/>
      <c r="AC230" s="964"/>
      <c r="AD230" s="347"/>
      <c r="AE230" s="346">
        <f>IF(AE220&lt;0,"n/a",AE220/AE157)</f>
        <v>3.2545673662482839</v>
      </c>
      <c r="AF230" s="964"/>
      <c r="AG230" s="964"/>
      <c r="AH230" s="964"/>
      <c r="AI230" s="347"/>
      <c r="AJ230" s="346">
        <f>IF(AJ220&lt;0,"n/a",AJ220/AJ157)</f>
        <v>2.135313823150903</v>
      </c>
      <c r="AK230" s="964"/>
      <c r="AL230" s="964"/>
      <c r="AM230" s="964"/>
      <c r="AN230" s="347"/>
      <c r="AO230" s="346">
        <f>IF(AO220&lt;0,"n/a",AO220/AO157)</f>
        <v>3.6612046058458798</v>
      </c>
      <c r="AP230" s="964"/>
      <c r="AQ230" s="965"/>
      <c r="AR230" s="966"/>
      <c r="AS230" s="966"/>
      <c r="AT230" s="346">
        <f ca="1">IF(AT220&lt;0,"n/a",AT220/AT157)</f>
        <v>2.5805367640561281</v>
      </c>
      <c r="AU230" s="966"/>
      <c r="AV230" s="966"/>
      <c r="AW230" s="966"/>
      <c r="AX230" s="966"/>
      <c r="AY230" s="346">
        <f ca="1">IF(AY220&lt;0,"n/a",AY220/AY157)</f>
        <v>1.1479646842034592</v>
      </c>
      <c r="AZ230" s="346">
        <f ca="1">IF(AZ220&lt;0,"n/a",AZ220/AZ157)</f>
        <v>0.60279536689026947</v>
      </c>
      <c r="BA230" s="346">
        <f ca="1">IF(BA220&lt;0,"n/a",BA220/BA157)</f>
        <v>0.54777827373194055</v>
      </c>
      <c r="BB230" s="346" t="str">
        <f ca="1">IF(BB220&lt;0,"n/a",BB220/BB157)</f>
        <v>n/a</v>
      </c>
      <c r="BC230" s="60"/>
    </row>
    <row r="231" spans="1:55" s="31" customFormat="1" ht="14.45" customHeight="1">
      <c r="A231" s="448" t="s">
        <v>238</v>
      </c>
      <c r="B231" s="449"/>
      <c r="C231" s="346">
        <f>IF(C220&lt;0,"n/a",C220/C195)</f>
        <v>1.9016257570927637</v>
      </c>
      <c r="D231" s="346">
        <f>IF(D220&lt;0,"n/a",D220/D195)</f>
        <v>0.68110219322717713</v>
      </c>
      <c r="E231" s="346">
        <f>IF(E220&lt;0,"n/a",E220/E195)</f>
        <v>0.71845659163987141</v>
      </c>
      <c r="F231" s="346">
        <f>IF(F220&lt;0,"n/a",F220/F195)</f>
        <v>0.7442051889898591</v>
      </c>
      <c r="G231" s="347"/>
      <c r="H231" s="347"/>
      <c r="I231" s="347"/>
      <c r="J231" s="347"/>
      <c r="K231" s="346">
        <f>IF(K220&lt;0,"n/a",K220/K195)</f>
        <v>3.7755921836935684</v>
      </c>
      <c r="L231" s="347"/>
      <c r="M231" s="347"/>
      <c r="N231" s="347"/>
      <c r="O231" s="347"/>
      <c r="P231" s="346">
        <f>IF(P220&lt;0,"n/a",P220/P195)</f>
        <v>2.0816255644320942</v>
      </c>
      <c r="Q231" s="347"/>
      <c r="R231" s="347"/>
      <c r="S231" s="347"/>
      <c r="T231" s="347"/>
      <c r="U231" s="346">
        <f>IF(U220&lt;0,"n/a",U220/U195)</f>
        <v>1.5844185778494873</v>
      </c>
      <c r="V231" s="347"/>
      <c r="W231" s="964"/>
      <c r="X231" s="964"/>
      <c r="Y231" s="347"/>
      <c r="Z231" s="346">
        <f>IF(Z220&lt;0,"n/a",Z220/Z195)</f>
        <v>1.7524223502180112</v>
      </c>
      <c r="AA231" s="964"/>
      <c r="AB231" s="964"/>
      <c r="AC231" s="964"/>
      <c r="AD231" s="347"/>
      <c r="AE231" s="346">
        <f>IF(AE220&lt;0,"n/a",AE220/AE195)</f>
        <v>4.0865596677345097</v>
      </c>
      <c r="AF231" s="964"/>
      <c r="AG231" s="964"/>
      <c r="AH231" s="964"/>
      <c r="AI231" s="347"/>
      <c r="AJ231" s="346">
        <f>IF(AJ220&lt;0,"n/a",AJ220/AJ195)</f>
        <v>2.5615159800131995</v>
      </c>
      <c r="AK231" s="964"/>
      <c r="AL231" s="964"/>
      <c r="AM231" s="964"/>
      <c r="AN231" s="347"/>
      <c r="AO231" s="346">
        <f>IF(AO220&lt;0,"n/a",AO220/AO195)</f>
        <v>2.9948459549803226</v>
      </c>
      <c r="AP231" s="964"/>
      <c r="AQ231" s="965"/>
      <c r="AR231" s="966"/>
      <c r="AS231" s="966"/>
      <c r="AT231" s="346">
        <f ca="1">IF(AT220&lt;0,"n/a",AT220/AT195)</f>
        <v>1.8879555627242215</v>
      </c>
      <c r="AU231" s="966"/>
      <c r="AV231" s="966"/>
      <c r="AW231" s="966"/>
      <c r="AX231" s="966"/>
      <c r="AY231" s="346">
        <f ca="1">IF(AY220&lt;0,"n/a",AY220/AY195)</f>
        <v>1.256949525187091</v>
      </c>
      <c r="AZ231" s="346">
        <f ca="1">IF(AZ220&lt;0,"n/a",AZ220/AZ195)</f>
        <v>0.6827032641741998</v>
      </c>
      <c r="BA231" s="346">
        <f ca="1">IF(BA220&lt;0,"n/a",BA220/BA195)</f>
        <v>0.61416690431825371</v>
      </c>
      <c r="BB231" s="346" t="str">
        <f ca="1">IF(BB220&lt;0,"n/a",BB220/BB195)</f>
        <v>n/a</v>
      </c>
      <c r="BC231" s="60"/>
    </row>
    <row r="232" spans="1:55" s="42" customFormat="1" ht="14.45" customHeight="1">
      <c r="A232" s="450"/>
      <c r="B232" s="450"/>
      <c r="C232" s="967"/>
      <c r="D232" s="967"/>
      <c r="E232" s="967"/>
      <c r="F232" s="967"/>
      <c r="G232" s="968"/>
      <c r="H232" s="968"/>
      <c r="I232" s="968"/>
      <c r="J232" s="968"/>
      <c r="K232" s="967"/>
      <c r="L232" s="968"/>
      <c r="M232" s="968"/>
      <c r="N232" s="968"/>
      <c r="O232" s="968"/>
      <c r="P232" s="967"/>
      <c r="Q232" s="968"/>
      <c r="R232" s="968"/>
      <c r="S232" s="968"/>
      <c r="T232" s="968"/>
      <c r="U232" s="967"/>
      <c r="V232" s="968"/>
      <c r="W232" s="968"/>
      <c r="X232" s="968"/>
      <c r="Y232" s="968"/>
      <c r="Z232" s="967"/>
      <c r="AA232" s="968"/>
      <c r="AB232" s="968"/>
      <c r="AC232" s="968"/>
      <c r="AD232" s="968"/>
      <c r="AE232" s="967"/>
      <c r="AF232" s="968"/>
      <c r="AG232" s="968"/>
      <c r="AH232" s="968"/>
      <c r="AI232" s="968"/>
      <c r="AJ232" s="967"/>
      <c r="AK232" s="968"/>
      <c r="AL232" s="968"/>
      <c r="AM232" s="968"/>
      <c r="AN232" s="968"/>
      <c r="AO232" s="967"/>
      <c r="AP232" s="968"/>
      <c r="AQ232" s="969"/>
      <c r="AR232" s="970"/>
      <c r="AS232" s="970"/>
      <c r="AT232" s="971"/>
      <c r="AU232" s="970"/>
      <c r="AV232" s="970"/>
      <c r="AW232" s="970"/>
      <c r="AX232" s="970"/>
      <c r="AY232" s="971"/>
      <c r="AZ232" s="971"/>
      <c r="BA232" s="971"/>
      <c r="BB232" s="971"/>
      <c r="BC232" s="59"/>
    </row>
    <row r="233" spans="1:55" s="4" customFormat="1" ht="14.45" customHeight="1">
      <c r="A233" s="514" t="s">
        <v>30</v>
      </c>
      <c r="B233" s="514"/>
      <c r="C233" s="883"/>
      <c r="D233" s="883"/>
      <c r="E233" s="883"/>
      <c r="F233" s="883"/>
      <c r="G233" s="883"/>
      <c r="H233" s="883"/>
      <c r="I233" s="883"/>
      <c r="J233" s="883"/>
      <c r="K233" s="883"/>
      <c r="L233" s="883"/>
      <c r="M233" s="883"/>
      <c r="N233" s="883"/>
      <c r="O233" s="883"/>
      <c r="P233" s="883"/>
      <c r="Q233" s="883"/>
      <c r="R233" s="883"/>
      <c r="S233" s="883"/>
      <c r="T233" s="883"/>
      <c r="U233" s="883"/>
      <c r="V233" s="883"/>
      <c r="W233" s="883"/>
      <c r="X233" s="883"/>
      <c r="Y233" s="883"/>
      <c r="Z233" s="883"/>
      <c r="AA233" s="883"/>
      <c r="AB233" s="883"/>
      <c r="AC233" s="883"/>
      <c r="AD233" s="883"/>
      <c r="AE233" s="883"/>
      <c r="AF233" s="883"/>
      <c r="AG233" s="883"/>
      <c r="AH233" s="883"/>
      <c r="AI233" s="883"/>
      <c r="AJ233" s="883"/>
      <c r="AK233" s="883"/>
      <c r="AL233" s="883"/>
      <c r="AM233" s="883"/>
      <c r="AN233" s="883"/>
      <c r="AO233" s="883"/>
      <c r="AP233" s="883"/>
      <c r="AQ233" s="884"/>
      <c r="AR233" s="883"/>
      <c r="AS233" s="883"/>
      <c r="AT233" s="883"/>
      <c r="AU233" s="883"/>
      <c r="AV233" s="883"/>
      <c r="AW233" s="883"/>
      <c r="AX233" s="883"/>
      <c r="AY233" s="883"/>
      <c r="AZ233" s="883"/>
      <c r="BA233" s="883"/>
      <c r="BB233" s="883"/>
      <c r="BC233" s="363"/>
    </row>
    <row r="234" spans="1:55" s="265" customFormat="1" ht="14.45" customHeight="1">
      <c r="A234" s="451" t="s">
        <v>390</v>
      </c>
      <c r="B234" s="263" t="s">
        <v>384</v>
      </c>
      <c r="C234" s="452">
        <f t="shared" ref="C234:AH234" ca="1" si="131">INDEX(MO_VA_StockPrice_TradingCurrency,1,COLUMN())/INDEX(MO_VA_FX_Average,1,COLUMN())</f>
        <v>3.99363478487032</v>
      </c>
      <c r="D234" s="452">
        <f t="shared" ca="1" si="131"/>
        <v>6.6468614324274897</v>
      </c>
      <c r="E234" s="452">
        <f t="shared" ca="1" si="131"/>
        <v>14.9725437543855</v>
      </c>
      <c r="F234" s="452">
        <f t="shared" ca="1" si="131"/>
        <v>14.601683981214901</v>
      </c>
      <c r="G234" s="453">
        <f t="shared" ca="1" si="131"/>
        <v>16.570276697600001</v>
      </c>
      <c r="H234" s="453">
        <f t="shared" ca="1" si="131"/>
        <v>20.928289706800001</v>
      </c>
      <c r="I234" s="453">
        <f t="shared" ca="1" si="131"/>
        <v>28.196684344000001</v>
      </c>
      <c r="J234" s="453">
        <f t="shared" ca="1" si="131"/>
        <v>34.716695133999998</v>
      </c>
      <c r="K234" s="452">
        <f t="shared" ca="1" si="131"/>
        <v>25.102986470600001</v>
      </c>
      <c r="L234" s="453">
        <f t="shared" ca="1" si="131"/>
        <v>33.548762766400003</v>
      </c>
      <c r="M234" s="453">
        <f t="shared" ca="1" si="131"/>
        <v>31.768516342000002</v>
      </c>
      <c r="N234" s="453">
        <f t="shared" ca="1" si="131"/>
        <v>32.664309128799999</v>
      </c>
      <c r="O234" s="453">
        <f t="shared" ca="1" si="131"/>
        <v>32.2107431608</v>
      </c>
      <c r="P234" s="452">
        <f t="shared" ca="1" si="131"/>
        <v>32.548082849499998</v>
      </c>
      <c r="Q234" s="453">
        <f t="shared" ca="1" si="131"/>
        <v>47.658428000000001</v>
      </c>
      <c r="R234" s="453">
        <f t="shared" ca="1" si="131"/>
        <v>54.410871999999998</v>
      </c>
      <c r="S234" s="453">
        <f t="shared" ca="1" si="131"/>
        <v>41.514704000000002</v>
      </c>
      <c r="T234" s="453">
        <f t="shared" ca="1" si="131"/>
        <v>33.518732</v>
      </c>
      <c r="U234" s="452">
        <f t="shared" ca="1" si="131"/>
        <v>44.275683999999998</v>
      </c>
      <c r="V234" s="453">
        <f t="shared" ca="1" si="131"/>
        <v>24.4826086956522</v>
      </c>
      <c r="W234" s="453">
        <f t="shared" ca="1" si="131"/>
        <v>26.9</v>
      </c>
      <c r="X234" s="453">
        <f t="shared" ca="1" si="131"/>
        <v>29.226086956521701</v>
      </c>
      <c r="Y234" s="453">
        <f t="shared" ca="1" si="131"/>
        <v>31.0695652173913</v>
      </c>
      <c r="Z234" s="452">
        <f t="shared" ca="1" si="131"/>
        <v>27.919565217391298</v>
      </c>
      <c r="AA234" s="453">
        <f t="shared" ca="1" si="131"/>
        <v>27.634782608695701</v>
      </c>
      <c r="AB234" s="453">
        <f t="shared" ca="1" si="131"/>
        <v>27.4</v>
      </c>
      <c r="AC234" s="453">
        <f t="shared" ca="1" si="131"/>
        <v>24.595652173912999</v>
      </c>
      <c r="AD234" s="453">
        <f t="shared" ca="1" si="131"/>
        <v>32.182608695652199</v>
      </c>
      <c r="AE234" s="452">
        <f t="shared" ca="1" si="131"/>
        <v>27.953260869565199</v>
      </c>
      <c r="AF234" s="453">
        <f t="shared" ca="1" si="131"/>
        <v>34.875340983606598</v>
      </c>
      <c r="AG234" s="453">
        <f t="shared" ca="1" si="131"/>
        <v>30.973424999999999</v>
      </c>
      <c r="AH234" s="453">
        <f t="shared" ca="1" si="131"/>
        <v>35.524276190476201</v>
      </c>
      <c r="AI234" s="453">
        <f t="shared" ref="AI234:BB234" ca="1" si="132">INDEX(MO_VA_StockPrice_TradingCurrency,1,COLUMN())/INDEX(MO_VA_FX_Average,1,COLUMN())</f>
        <v>31.485012698412699</v>
      </c>
      <c r="AJ234" s="452">
        <f t="shared" ca="1" si="132"/>
        <v>33.192351394422303</v>
      </c>
      <c r="AK234" s="453">
        <f t="shared" ca="1" si="132"/>
        <v>31.982459016393499</v>
      </c>
      <c r="AL234" s="453">
        <f t="shared" ca="1" si="132"/>
        <v>37.7184920634921</v>
      </c>
      <c r="AM234" s="453">
        <f t="shared" ca="1" si="132"/>
        <v>32.211953125000001</v>
      </c>
      <c r="AN234" s="453">
        <f t="shared" ca="1" si="132"/>
        <v>29.465468749999999</v>
      </c>
      <c r="AO234" s="452">
        <f t="shared" ca="1" si="132"/>
        <v>32.8355158730159</v>
      </c>
      <c r="AP234" s="453">
        <f t="shared" ca="1" si="132"/>
        <v>21.5854838709677</v>
      </c>
      <c r="AQ234" s="454">
        <f t="shared" ca="1" si="132"/>
        <v>9.3803968253968204</v>
      </c>
      <c r="AR234" s="453">
        <f t="shared" ca="1" si="132"/>
        <v>10.119999999999999</v>
      </c>
      <c r="AS234" s="453">
        <f t="shared" ca="1" si="132"/>
        <v>10.119999999999999</v>
      </c>
      <c r="AT234" s="953">
        <f t="shared" ca="1" si="132"/>
        <v>10.119999999999999</v>
      </c>
      <c r="AU234" s="453">
        <f t="shared" ca="1" si="132"/>
        <v>10.119999999999999</v>
      </c>
      <c r="AV234" s="453">
        <f t="shared" ca="1" si="132"/>
        <v>10.119999999999999</v>
      </c>
      <c r="AW234" s="453">
        <f t="shared" ca="1" si="132"/>
        <v>10.119999999999999</v>
      </c>
      <c r="AX234" s="453">
        <f t="shared" ca="1" si="132"/>
        <v>10.119999999999999</v>
      </c>
      <c r="AY234" s="953">
        <f t="shared" ca="1" si="132"/>
        <v>10.119999999999999</v>
      </c>
      <c r="AZ234" s="953">
        <f t="shared" ca="1" si="132"/>
        <v>10.119999999999999</v>
      </c>
      <c r="BA234" s="953">
        <f t="shared" ca="1" si="132"/>
        <v>10.119999999999999</v>
      </c>
      <c r="BB234" s="953">
        <f t="shared" ca="1" si="132"/>
        <v>10.119999999999999</v>
      </c>
      <c r="BC234" s="264"/>
    </row>
    <row r="235" spans="1:55" s="23" customFormat="1" ht="14.45" customHeight="1">
      <c r="A235" s="520" t="str">
        <f>"Market Cap - "&amp;MO.ValuationToggle</f>
        <v>Market Cap - Avg</v>
      </c>
      <c r="B235" s="132"/>
      <c r="C235" s="885">
        <f t="shared" ref="C235:AH235" ca="1" si="133">C192*C234</f>
        <v>109.79260814217633</v>
      </c>
      <c r="D235" s="885">
        <f t="shared" ca="1" si="133"/>
        <v>201.59997193166896</v>
      </c>
      <c r="E235" s="885">
        <f t="shared" ca="1" si="133"/>
        <v>464.00212545715749</v>
      </c>
      <c r="F235" s="885">
        <f t="shared" ca="1" si="133"/>
        <v>486.78144947115459</v>
      </c>
      <c r="G235" s="436">
        <f t="shared" ca="1" si="133"/>
        <v>421.34319626972865</v>
      </c>
      <c r="H235" s="436">
        <f t="shared" ca="1" si="133"/>
        <v>532.03688809729897</v>
      </c>
      <c r="I235" s="436">
        <f t="shared" ca="1" si="133"/>
        <v>841.81624059277146</v>
      </c>
      <c r="J235" s="436">
        <f t="shared" ca="1" si="133"/>
        <v>1048.2098553546452</v>
      </c>
      <c r="K235" s="885">
        <f t="shared" ca="1" si="133"/>
        <v>843.96868088818962</v>
      </c>
      <c r="L235" s="436">
        <f t="shared" ca="1" si="133"/>
        <v>1024.4047613194707</v>
      </c>
      <c r="M235" s="436">
        <f t="shared" ca="1" si="133"/>
        <v>969.53381968659539</v>
      </c>
      <c r="N235" s="436">
        <f t="shared" ca="1" si="133"/>
        <v>1126.1298218781392</v>
      </c>
      <c r="O235" s="436">
        <f t="shared" ca="1" si="133"/>
        <v>1110.2334531178221</v>
      </c>
      <c r="P235" s="885">
        <f t="shared" ca="1" si="133"/>
        <v>1121.4490767919497</v>
      </c>
      <c r="Q235" s="436">
        <f t="shared" ca="1" si="133"/>
        <v>1651.1762794093997</v>
      </c>
      <c r="R235" s="436">
        <f t="shared" ca="1" si="133"/>
        <v>1886.1229519003996</v>
      </c>
      <c r="S235" s="436">
        <f t="shared" ca="1" si="133"/>
        <v>1437.8430914231999</v>
      </c>
      <c r="T235" s="436">
        <f t="shared" ca="1" si="133"/>
        <v>1163.6044573166</v>
      </c>
      <c r="U235" s="885">
        <f t="shared" ca="1" si="133"/>
        <v>1534.7922342337997</v>
      </c>
      <c r="V235" s="436">
        <f t="shared" ca="1" si="133"/>
        <v>853.06834500000082</v>
      </c>
      <c r="W235" s="436">
        <f t="shared" ca="1" si="133"/>
        <v>935.44346499999995</v>
      </c>
      <c r="X235" s="436">
        <f t="shared" ca="1" si="133"/>
        <v>1001.8468799999986</v>
      </c>
      <c r="Y235" s="436">
        <f t="shared" ca="1" si="133"/>
        <v>1062.6816599999997</v>
      </c>
      <c r="Z235" s="885">
        <f t="shared" ca="1" si="133"/>
        <v>964.25243999999975</v>
      </c>
      <c r="AA235" s="436">
        <f t="shared" ca="1" si="133"/>
        <v>959.18396000000166</v>
      </c>
      <c r="AB235" s="436">
        <f t="shared" ca="1" si="133"/>
        <v>948.10438999999974</v>
      </c>
      <c r="AC235" s="436">
        <f t="shared" ca="1" si="133"/>
        <v>820.26499999999839</v>
      </c>
      <c r="AD235" s="436">
        <f t="shared" ca="1" si="133"/>
        <v>1036.8351500000008</v>
      </c>
      <c r="AE235" s="885">
        <f t="shared" ca="1" si="133"/>
        <v>942.52804999999933</v>
      </c>
      <c r="AF235" s="436">
        <f t="shared" ca="1" si="133"/>
        <v>1151.3814823009848</v>
      </c>
      <c r="AG235" s="436">
        <f t="shared" ca="1" si="133"/>
        <v>1024.23696125625</v>
      </c>
      <c r="AH235" s="436">
        <f t="shared" ca="1" si="133"/>
        <v>1171.1998617238098</v>
      </c>
      <c r="AI235" s="436">
        <f t="shared" ref="AI235:BB235" ca="1" si="134">AI192*AI234</f>
        <v>1049.8362634158732</v>
      </c>
      <c r="AJ235" s="885">
        <f t="shared" ca="1" si="134"/>
        <v>1099.8617558055776</v>
      </c>
      <c r="AK235" s="436">
        <f t="shared" ca="1" si="134"/>
        <v>1062.2653937704936</v>
      </c>
      <c r="AL235" s="436">
        <f t="shared" ca="1" si="134"/>
        <v>1251.3109742063502</v>
      </c>
      <c r="AM235" s="436">
        <f t="shared" ca="1" si="134"/>
        <v>1049.5620686718751</v>
      </c>
      <c r="AN235" s="436">
        <f t="shared" ca="1" si="134"/>
        <v>911.04282828124997</v>
      </c>
      <c r="AO235" s="885">
        <f t="shared" ca="1" si="134"/>
        <v>1065.8080097222232</v>
      </c>
      <c r="AP235" s="436">
        <f t="shared" ca="1" si="134"/>
        <v>665.13509999999872</v>
      </c>
      <c r="AQ235" s="886">
        <f t="shared" ca="1" si="134"/>
        <v>288.50348476190459</v>
      </c>
      <c r="AR235" s="436">
        <f t="shared" ca="1" si="134"/>
        <v>311.25072</v>
      </c>
      <c r="AS235" s="436">
        <f t="shared" ca="1" si="134"/>
        <v>311.25072</v>
      </c>
      <c r="AT235" s="885">
        <f t="shared" ca="1" si="134"/>
        <v>311.39745999999997</v>
      </c>
      <c r="AU235" s="436">
        <f t="shared" ca="1" si="134"/>
        <v>311.25072</v>
      </c>
      <c r="AV235" s="436">
        <f t="shared" ca="1" si="134"/>
        <v>311.25072</v>
      </c>
      <c r="AW235" s="436">
        <f t="shared" ca="1" si="134"/>
        <v>311.25072</v>
      </c>
      <c r="AX235" s="436">
        <f t="shared" ca="1" si="134"/>
        <v>311.25072</v>
      </c>
      <c r="AY235" s="885">
        <f t="shared" ca="1" si="134"/>
        <v>311.25072</v>
      </c>
      <c r="AZ235" s="885">
        <f t="shared" ca="1" si="134"/>
        <v>311.25072</v>
      </c>
      <c r="BA235" s="885">
        <f t="shared" ca="1" si="134"/>
        <v>311.25072</v>
      </c>
      <c r="BB235" s="885">
        <f t="shared" ca="1" si="134"/>
        <v>311.25072</v>
      </c>
      <c r="BC235" s="362"/>
    </row>
    <row r="236" spans="1:55" s="23" customFormat="1" ht="14.45" customHeight="1">
      <c r="A236" s="520" t="str">
        <f>"Enterprise Value - "&amp;MO.ValuationToggle</f>
        <v>Enterprise Value - Avg</v>
      </c>
      <c r="B236" s="132"/>
      <c r="C236" s="885">
        <f t="shared" ref="C236:AH236" ca="1" si="135">C220+C235+C251+C252+C253</f>
        <v>139.61960814217633</v>
      </c>
      <c r="D236" s="885">
        <f t="shared" ca="1" si="135"/>
        <v>217.46897193166896</v>
      </c>
      <c r="E236" s="885">
        <f t="shared" ca="1" si="135"/>
        <v>486.34612545715748</v>
      </c>
      <c r="F236" s="885">
        <f t="shared" ca="1" si="135"/>
        <v>509.3844494711546</v>
      </c>
      <c r="G236" s="436">
        <f t="shared" ca="1" si="135"/>
        <v>431.47719626972867</v>
      </c>
      <c r="H236" s="436">
        <f t="shared" ca="1" si="135"/>
        <v>540.97688809729902</v>
      </c>
      <c r="I236" s="436">
        <f t="shared" ca="1" si="135"/>
        <v>972.29924059277141</v>
      </c>
      <c r="J236" s="436">
        <f t="shared" ca="1" si="135"/>
        <v>1193.8948553546452</v>
      </c>
      <c r="K236" s="885">
        <f t="shared" ca="1" si="135"/>
        <v>989.65368088818968</v>
      </c>
      <c r="L236" s="436">
        <f t="shared" ca="1" si="135"/>
        <v>1263.7057613194706</v>
      </c>
      <c r="M236" s="436">
        <f t="shared" ca="1" si="135"/>
        <v>1194.3268196865954</v>
      </c>
      <c r="N236" s="436">
        <f t="shared" ca="1" si="135"/>
        <v>1313.8448218781391</v>
      </c>
      <c r="O236" s="436">
        <f t="shared" ca="1" si="135"/>
        <v>1272.0444531178221</v>
      </c>
      <c r="P236" s="885">
        <f t="shared" ca="1" si="135"/>
        <v>1283.2600767919496</v>
      </c>
      <c r="Q236" s="436">
        <f t="shared" ca="1" si="135"/>
        <v>1845.3702794093997</v>
      </c>
      <c r="R236" s="436">
        <f t="shared" ca="1" si="135"/>
        <v>2093.5269519003996</v>
      </c>
      <c r="S236" s="436">
        <f t="shared" ca="1" si="135"/>
        <v>1623.9440914232</v>
      </c>
      <c r="T236" s="436">
        <f t="shared" ca="1" si="135"/>
        <v>1314.8324573166001</v>
      </c>
      <c r="U236" s="885">
        <f t="shared" ca="1" si="135"/>
        <v>1686.0202342337998</v>
      </c>
      <c r="V236" s="436">
        <f t="shared" ca="1" si="135"/>
        <v>1009.6233450000008</v>
      </c>
      <c r="W236" s="436">
        <f t="shared" ca="1" si="135"/>
        <v>1081.6214649999999</v>
      </c>
      <c r="X236" s="436">
        <f t="shared" ca="1" si="135"/>
        <v>1152.5598799999987</v>
      </c>
      <c r="Y236" s="436">
        <f t="shared" ca="1" si="135"/>
        <v>1192.9006599999998</v>
      </c>
      <c r="Z236" s="885">
        <f t="shared" ca="1" si="135"/>
        <v>1094.4714399999998</v>
      </c>
      <c r="AA236" s="436">
        <f t="shared" ca="1" si="135"/>
        <v>1089.9169600000016</v>
      </c>
      <c r="AB236" s="436">
        <f t="shared" ca="1" si="135"/>
        <v>1102.8023899999998</v>
      </c>
      <c r="AC236" s="436">
        <f t="shared" ca="1" si="135"/>
        <v>982.23499999999831</v>
      </c>
      <c r="AD236" s="436">
        <f t="shared" ca="1" si="135"/>
        <v>1290.6881500000009</v>
      </c>
      <c r="AE236" s="885">
        <f t="shared" ca="1" si="135"/>
        <v>1196.3810499999993</v>
      </c>
      <c r="AF236" s="436">
        <f t="shared" ca="1" si="135"/>
        <v>1411.0994823009848</v>
      </c>
      <c r="AG236" s="436">
        <f t="shared" ca="1" si="135"/>
        <v>1278.9739612562498</v>
      </c>
      <c r="AH236" s="436">
        <f t="shared" ca="1" si="135"/>
        <v>1425.9518617238098</v>
      </c>
      <c r="AI236" s="436">
        <f t="shared" ref="AI236:BB236" ca="1" si="136">AI220+AI235+AI251+AI252+AI253</f>
        <v>1267.1962634158731</v>
      </c>
      <c r="AJ236" s="885">
        <f t="shared" ca="1" si="136"/>
        <v>1317.2217558055777</v>
      </c>
      <c r="AK236" s="436">
        <f t="shared" ca="1" si="136"/>
        <v>1161.6053937704935</v>
      </c>
      <c r="AL236" s="436">
        <f t="shared" ca="1" si="136"/>
        <v>1356.4879742063501</v>
      </c>
      <c r="AM236" s="436">
        <f t="shared" ca="1" si="136"/>
        <v>1207.0130686718751</v>
      </c>
      <c r="AN236" s="436">
        <f t="shared" ca="1" si="136"/>
        <v>1092.91682828125</v>
      </c>
      <c r="AO236" s="885">
        <f t="shared" ca="1" si="136"/>
        <v>1247.6820097222233</v>
      </c>
      <c r="AP236" s="436">
        <f t="shared" ca="1" si="136"/>
        <v>834.67309999999873</v>
      </c>
      <c r="AQ236" s="886">
        <f t="shared" ca="1" si="136"/>
        <v>439.65548476190457</v>
      </c>
      <c r="AR236" s="436">
        <f t="shared" ca="1" si="136"/>
        <v>434.32900823007071</v>
      </c>
      <c r="AS236" s="436">
        <f t="shared" ca="1" si="136"/>
        <v>408.36055051172519</v>
      </c>
      <c r="AT236" s="885">
        <f t="shared" ca="1" si="136"/>
        <v>408.50729051172516</v>
      </c>
      <c r="AU236" s="436">
        <f t="shared" ca="1" si="136"/>
        <v>405.51826993923606</v>
      </c>
      <c r="AV236" s="436">
        <f t="shared" ca="1" si="136"/>
        <v>422.12911361318373</v>
      </c>
      <c r="AW236" s="436">
        <f t="shared" ca="1" si="136"/>
        <v>436.6392633454418</v>
      </c>
      <c r="AX236" s="436">
        <f t="shared" ca="1" si="136"/>
        <v>429.46895354919491</v>
      </c>
      <c r="AY236" s="885">
        <f t="shared" ca="1" si="136"/>
        <v>429.46895354919491</v>
      </c>
      <c r="AZ236" s="885">
        <f t="shared" ca="1" si="136"/>
        <v>369.24154973438766</v>
      </c>
      <c r="BA236" s="885">
        <f t="shared" ca="1" si="136"/>
        <v>385.53779498383858</v>
      </c>
      <c r="BB236" s="885">
        <f t="shared" ca="1" si="136"/>
        <v>188.53797745420877</v>
      </c>
      <c r="BC236" s="362"/>
    </row>
    <row r="237" spans="1:55" s="32" customFormat="1" ht="14.45" customHeight="1">
      <c r="A237" s="455"/>
      <c r="B237" s="456"/>
      <c r="C237" s="457"/>
      <c r="D237" s="457"/>
      <c r="E237" s="457"/>
      <c r="F237" s="457"/>
      <c r="G237" s="458"/>
      <c r="H237" s="458"/>
      <c r="I237" s="458"/>
      <c r="J237" s="458"/>
      <c r="K237" s="457"/>
      <c r="L237" s="458"/>
      <c r="M237" s="458"/>
      <c r="N237" s="458"/>
      <c r="O237" s="458"/>
      <c r="P237" s="457"/>
      <c r="Q237" s="458"/>
      <c r="R237" s="458"/>
      <c r="S237" s="458"/>
      <c r="T237" s="458"/>
      <c r="U237" s="457"/>
      <c r="V237" s="458"/>
      <c r="W237" s="972"/>
      <c r="X237" s="972"/>
      <c r="Y237" s="458"/>
      <c r="Z237" s="457"/>
      <c r="AA237" s="972"/>
      <c r="AB237" s="972"/>
      <c r="AC237" s="972"/>
      <c r="AD237" s="458"/>
      <c r="AE237" s="457"/>
      <c r="AF237" s="972"/>
      <c r="AG237" s="972"/>
      <c r="AH237" s="972"/>
      <c r="AI237" s="458"/>
      <c r="AJ237" s="457"/>
      <c r="AK237" s="972"/>
      <c r="AL237" s="972"/>
      <c r="AM237" s="972"/>
      <c r="AN237" s="458"/>
      <c r="AO237" s="457"/>
      <c r="AP237" s="972"/>
      <c r="AQ237" s="973"/>
      <c r="AR237" s="974"/>
      <c r="AS237" s="974"/>
      <c r="AT237" s="975"/>
      <c r="AU237" s="974"/>
      <c r="AV237" s="974"/>
      <c r="AW237" s="974"/>
      <c r="AX237" s="974"/>
      <c r="AY237" s="975"/>
      <c r="AZ237" s="975"/>
      <c r="BA237" s="975"/>
      <c r="BB237" s="975"/>
      <c r="BC237" s="61"/>
    </row>
    <row r="238" spans="1:55" s="32" customFormat="1" ht="14.45" customHeight="1">
      <c r="A238" s="455" t="str">
        <f>"P/E - "&amp;MO.ValuationToggle</f>
        <v>P/E - Avg</v>
      </c>
      <c r="B238" s="456"/>
      <c r="C238" s="457">
        <f ca="1">C234/C187</f>
        <v>-28.877592883265788</v>
      </c>
      <c r="D238" s="457">
        <f ca="1">D234/D187</f>
        <v>13.486752203081968</v>
      </c>
      <c r="E238" s="457">
        <f ca="1">E234/E187</f>
        <v>21.490534271555603</v>
      </c>
      <c r="F238" s="457">
        <f ca="1">F234/F187</f>
        <v>22.253883581930779</v>
      </c>
      <c r="G238" s="458"/>
      <c r="H238" s="458"/>
      <c r="I238" s="458"/>
      <c r="J238" s="458"/>
      <c r="K238" s="457">
        <f ca="1">K234/K187</f>
        <v>30.953153410408184</v>
      </c>
      <c r="L238" s="458"/>
      <c r="M238" s="458"/>
      <c r="N238" s="458"/>
      <c r="O238" s="458"/>
      <c r="P238" s="457">
        <f ca="1">P234/P187</f>
        <v>19.965267523445785</v>
      </c>
      <c r="Q238" s="458"/>
      <c r="R238" s="458"/>
      <c r="S238" s="458"/>
      <c r="T238" s="458"/>
      <c r="U238" s="457">
        <f ca="1">U234/U187</f>
        <v>22.916239648726361</v>
      </c>
      <c r="V238" s="458"/>
      <c r="W238" s="972"/>
      <c r="X238" s="972"/>
      <c r="Y238" s="458"/>
      <c r="Z238" s="457">
        <f ca="1">Z234/Z187</f>
        <v>19.912697009747202</v>
      </c>
      <c r="AA238" s="972"/>
      <c r="AB238" s="972"/>
      <c r="AC238" s="972"/>
      <c r="AD238" s="458"/>
      <c r="AE238" s="457">
        <f ca="1">AE234/AE187</f>
        <v>47.895119162558942</v>
      </c>
      <c r="AF238" s="972"/>
      <c r="AG238" s="972"/>
      <c r="AH238" s="972"/>
      <c r="AI238" s="458"/>
      <c r="AJ238" s="457">
        <f ca="1">AJ234/AJ187</f>
        <v>23.49981317021507</v>
      </c>
      <c r="AK238" s="972"/>
      <c r="AL238" s="972"/>
      <c r="AM238" s="972"/>
      <c r="AN238" s="458"/>
      <c r="AO238" s="457">
        <f ca="1">AO234/AO187</f>
        <v>35.987574612446721</v>
      </c>
      <c r="AP238" s="972"/>
      <c r="AQ238" s="973"/>
      <c r="AR238" s="974"/>
      <c r="AS238" s="974"/>
      <c r="AT238" s="457">
        <f ca="1">AT234/AT187</f>
        <v>-3.2918105640309685</v>
      </c>
      <c r="AU238" s="974"/>
      <c r="AV238" s="974"/>
      <c r="AW238" s="974"/>
      <c r="AX238" s="974"/>
      <c r="AY238" s="457">
        <f ca="1">AY234/AY187</f>
        <v>5.6333243570472193</v>
      </c>
      <c r="AZ238" s="457">
        <f ca="1">AZ234/AZ187</f>
        <v>6.7453579593826323</v>
      </c>
      <c r="BA238" s="457">
        <f ca="1">BA234/BA187</f>
        <v>3.7885403249665681</v>
      </c>
      <c r="BB238" s="457">
        <f ca="1">BB234/BB187</f>
        <v>11.521718547135919</v>
      </c>
      <c r="BC238" s="61"/>
    </row>
    <row r="239" spans="1:55" s="32" customFormat="1" ht="14.45" customHeight="1">
      <c r="A239" s="455" t="str">
        <f>"EV/EBITDA - "&amp;MO.ValuationToggle</f>
        <v>EV/EBITDA - Avg</v>
      </c>
      <c r="B239" s="456"/>
      <c r="C239" s="457">
        <f ca="1">C236/C157</f>
        <v>6.5601469784417743</v>
      </c>
      <c r="D239" s="457">
        <f ca="1">D236/D157</f>
        <v>7.2140975926909645</v>
      </c>
      <c r="E239" s="457">
        <f ca="1">E236/E157</f>
        <v>12.367352204886389</v>
      </c>
      <c r="F239" s="457">
        <f ca="1">F236/F157</f>
        <v>12.46017586338774</v>
      </c>
      <c r="G239" s="458"/>
      <c r="H239" s="458"/>
      <c r="I239" s="458"/>
      <c r="J239" s="458"/>
      <c r="K239" s="457">
        <f ca="1">K236/K157</f>
        <v>18.076526647333047</v>
      </c>
      <c r="L239" s="458"/>
      <c r="M239" s="458"/>
      <c r="N239" s="458"/>
      <c r="O239" s="458"/>
      <c r="P239" s="457">
        <f ca="1">P236/P157</f>
        <v>11.029687972014075</v>
      </c>
      <c r="Q239" s="458"/>
      <c r="R239" s="458"/>
      <c r="S239" s="458"/>
      <c r="T239" s="458"/>
      <c r="U239" s="457">
        <f ca="1">U236/U157</f>
        <v>13.340456341259966</v>
      </c>
      <c r="V239" s="458"/>
      <c r="W239" s="972"/>
      <c r="X239" s="972"/>
      <c r="Y239" s="458"/>
      <c r="Z239" s="457">
        <f ca="1">Z236/Z157</f>
        <v>10.813866613970943</v>
      </c>
      <c r="AA239" s="972"/>
      <c r="AB239" s="972"/>
      <c r="AC239" s="972"/>
      <c r="AD239" s="458"/>
      <c r="AE239" s="457">
        <f ca="1">AE236/AE157</f>
        <v>15.338415236092754</v>
      </c>
      <c r="AF239" s="972"/>
      <c r="AG239" s="972"/>
      <c r="AH239" s="972"/>
      <c r="AI239" s="458"/>
      <c r="AJ239" s="457">
        <f ca="1">AJ236/AJ157</f>
        <v>12.940199776070818</v>
      </c>
      <c r="AK239" s="972"/>
      <c r="AL239" s="972"/>
      <c r="AM239" s="972"/>
      <c r="AN239" s="458"/>
      <c r="AO239" s="457">
        <f ca="1">AO236/AO157</f>
        <v>25.116394430353147</v>
      </c>
      <c r="AP239" s="972"/>
      <c r="AQ239" s="973"/>
      <c r="AR239" s="974"/>
      <c r="AS239" s="974"/>
      <c r="AT239" s="457">
        <f ca="1">AT236/AT157</f>
        <v>10.855420877530849</v>
      </c>
      <c r="AU239" s="974"/>
      <c r="AV239" s="974"/>
      <c r="AW239" s="974"/>
      <c r="AX239" s="974"/>
      <c r="AY239" s="457">
        <f ca="1">AY236/AY157</f>
        <v>4.1703819862198346</v>
      </c>
      <c r="AZ239" s="457">
        <f ca="1">AZ236/AZ157</f>
        <v>3.8381429695475995</v>
      </c>
      <c r="BA239" s="457">
        <f ca="1">BA236/BA157</f>
        <v>2.8428798393342438</v>
      </c>
      <c r="BB239" s="457">
        <f ca="1">BB236/BB157</f>
        <v>2.5303793697257979</v>
      </c>
      <c r="BC239" s="61"/>
    </row>
    <row r="240" spans="1:55" s="32" customFormat="1" ht="14.45" customHeight="1">
      <c r="A240" s="455" t="str">
        <f>"P/CF - "&amp;MO.ValuationToggle</f>
        <v>P/CF - Avg</v>
      </c>
      <c r="B240" s="456"/>
      <c r="C240" s="457">
        <f ca="1">C234/C196</f>
        <v>6.9998475066736585</v>
      </c>
      <c r="D240" s="457">
        <f ca="1">D234/D196</f>
        <v>8.6527306722034822</v>
      </c>
      <c r="E240" s="457">
        <f ca="1">E234/E196</f>
        <v>14.919682490583844</v>
      </c>
      <c r="F240" s="457">
        <f ca="1">F234/F196</f>
        <v>16.027309675726148</v>
      </c>
      <c r="G240" s="458"/>
      <c r="H240" s="458"/>
      <c r="I240" s="458"/>
      <c r="J240" s="458"/>
      <c r="K240" s="457">
        <f ca="1">K234/K196</f>
        <v>21.87240659535038</v>
      </c>
      <c r="L240" s="458"/>
      <c r="M240" s="458"/>
      <c r="N240" s="458"/>
      <c r="O240" s="458"/>
      <c r="P240" s="457">
        <f ca="1">P234/P196</f>
        <v>14.426936780928946</v>
      </c>
      <c r="Q240" s="458"/>
      <c r="R240" s="458"/>
      <c r="S240" s="458"/>
      <c r="T240" s="458"/>
      <c r="U240" s="457">
        <f ca="1">U234/U196</f>
        <v>16.080046876631009</v>
      </c>
      <c r="V240" s="458"/>
      <c r="W240" s="972"/>
      <c r="X240" s="972"/>
      <c r="Y240" s="458"/>
      <c r="Z240" s="457">
        <f ca="1">Z234/Z196</f>
        <v>12.976428379178548</v>
      </c>
      <c r="AA240" s="972"/>
      <c r="AB240" s="972"/>
      <c r="AC240" s="972"/>
      <c r="AD240" s="458"/>
      <c r="AE240" s="457">
        <f ca="1">AE234/AE196</f>
        <v>15.172943060899229</v>
      </c>
      <c r="AF240" s="972"/>
      <c r="AG240" s="972"/>
      <c r="AH240" s="972"/>
      <c r="AI240" s="458"/>
      <c r="AJ240" s="457">
        <f ca="1">AJ234/AJ196</f>
        <v>12.961508388394194</v>
      </c>
      <c r="AK240" s="972"/>
      <c r="AL240" s="972"/>
      <c r="AM240" s="972"/>
      <c r="AN240" s="458"/>
      <c r="AO240" s="457">
        <f ca="1">AO234/AO196</f>
        <v>17.550231515786908</v>
      </c>
      <c r="AP240" s="972"/>
      <c r="AQ240" s="973"/>
      <c r="AR240" s="974"/>
      <c r="AS240" s="974"/>
      <c r="AT240" s="457">
        <f ca="1">AT234/AT196</f>
        <v>6.0540170210080708</v>
      </c>
      <c r="AU240" s="974"/>
      <c r="AV240" s="974"/>
      <c r="AW240" s="974"/>
      <c r="AX240" s="974"/>
      <c r="AY240" s="457">
        <f ca="1">AY234/AY196</f>
        <v>3.3093578966000767</v>
      </c>
      <c r="AZ240" s="457">
        <f ca="1">AZ234/AZ196</f>
        <v>3.6642324914790021</v>
      </c>
      <c r="BA240" s="457">
        <f ca="1">BA234/BA196</f>
        <v>2.5732590926593235</v>
      </c>
      <c r="BB240" s="457">
        <f ca="1">BB234/BB196</f>
        <v>4.7292290756962272</v>
      </c>
      <c r="BC240" s="61"/>
    </row>
    <row r="241" spans="1:55" s="43" customFormat="1" ht="14.45" customHeight="1">
      <c r="A241" s="405" t="str">
        <f>"FCF Yield % to "&amp;MO.ValuationToggle&amp;" Market Cap"</f>
        <v>FCF Yield % to Avg Market Cap</v>
      </c>
      <c r="B241" s="188"/>
      <c r="C241" s="384">
        <f ca="1">C209/C235</f>
        <v>0.12039972657250303</v>
      </c>
      <c r="D241" s="384">
        <f ca="1">D209/D235</f>
        <v>9.7872037436035453E-2</v>
      </c>
      <c r="E241" s="384">
        <f ca="1">E209/E235</f>
        <v>3.6247678786878609E-2</v>
      </c>
      <c r="F241" s="384">
        <f ca="1">F209/F235</f>
        <v>2.8045440135057949E-2</v>
      </c>
      <c r="G241" s="385"/>
      <c r="H241" s="385"/>
      <c r="I241" s="385"/>
      <c r="J241" s="385"/>
      <c r="K241" s="384">
        <f ca="1">K209/K235</f>
        <v>3.7581963310084066E-2</v>
      </c>
      <c r="L241" s="385"/>
      <c r="M241" s="385"/>
      <c r="N241" s="385"/>
      <c r="O241" s="385"/>
      <c r="P241" s="384">
        <f ca="1">P209/P235</f>
        <v>3.2860163481891719E-2</v>
      </c>
      <c r="Q241" s="385"/>
      <c r="R241" s="385"/>
      <c r="S241" s="385"/>
      <c r="T241" s="385"/>
      <c r="U241" s="384">
        <f ca="1">U209/U235</f>
        <v>5.0043255553963086E-2</v>
      </c>
      <c r="V241" s="385"/>
      <c r="W241" s="385"/>
      <c r="X241" s="385"/>
      <c r="Y241" s="385"/>
      <c r="Z241" s="384">
        <f ca="1">Z209/Z235</f>
        <v>6.3542488935781197E-2</v>
      </c>
      <c r="AA241" s="385"/>
      <c r="AB241" s="385"/>
      <c r="AC241" s="385"/>
      <c r="AD241" s="385"/>
      <c r="AE241" s="384">
        <f ca="1">AE209/AE235</f>
        <v>5.160695217505732E-2</v>
      </c>
      <c r="AF241" s="385"/>
      <c r="AG241" s="385"/>
      <c r="AH241" s="385"/>
      <c r="AI241" s="385"/>
      <c r="AJ241" s="384">
        <f ca="1">AJ209/AJ235</f>
        <v>6.2316013479166391E-2</v>
      </c>
      <c r="AK241" s="385"/>
      <c r="AL241" s="385"/>
      <c r="AM241" s="385"/>
      <c r="AN241" s="385"/>
      <c r="AO241" s="384">
        <f ca="1">AO209/AO235</f>
        <v>4.564236668917359E-2</v>
      </c>
      <c r="AP241" s="385"/>
      <c r="AQ241" s="386"/>
      <c r="AR241" s="876"/>
      <c r="AS241" s="876"/>
      <c r="AT241" s="384">
        <f ca="1">AT209/AT235</f>
        <v>0.13947288532714971</v>
      </c>
      <c r="AU241" s="876"/>
      <c r="AV241" s="876"/>
      <c r="AW241" s="876"/>
      <c r="AX241" s="876"/>
      <c r="AY241" s="384">
        <f ca="1">AY209/AY235</f>
        <v>0.19936241477592401</v>
      </c>
      <c r="AZ241" s="384">
        <f ca="1">AZ209/AZ235</f>
        <v>0.17009744020369522</v>
      </c>
      <c r="BA241" s="384">
        <f ca="1">BA209/BA235</f>
        <v>0.28580124058183837</v>
      </c>
      <c r="BB241" s="384">
        <f ca="1">BB209/BB235</f>
        <v>0.10863994690282262</v>
      </c>
      <c r="BC241" s="44"/>
    </row>
    <row r="242" spans="1:55" s="43" customFormat="1" ht="14.45" customHeight="1">
      <c r="A242" s="405" t="str">
        <f>"FCF Yield % to "&amp;MO.ValuationToggle&amp;" Enterprise Value"</f>
        <v>FCF Yield % to Avg Enterprise Value</v>
      </c>
      <c r="B242" s="188"/>
      <c r="C242" s="384">
        <f ca="1">C209/C236</f>
        <v>9.4678678560241578E-2</v>
      </c>
      <c r="D242" s="384">
        <f ca="1">D209/D236</f>
        <v>9.0730184746537948E-2</v>
      </c>
      <c r="E242" s="384">
        <f ca="1">E209/E236</f>
        <v>3.4582366589618468E-2</v>
      </c>
      <c r="F242" s="384">
        <f ca="1">F209/F236</f>
        <v>2.68009752048253E-2</v>
      </c>
      <c r="G242" s="385"/>
      <c r="H242" s="385"/>
      <c r="I242" s="385"/>
      <c r="J242" s="385"/>
      <c r="K242" s="384">
        <f ca="1">K209/K236</f>
        <v>3.2049595340800298E-2</v>
      </c>
      <c r="L242" s="385"/>
      <c r="M242" s="385"/>
      <c r="N242" s="385"/>
      <c r="O242" s="385"/>
      <c r="P242" s="384">
        <f ca="1">P209/P236</f>
        <v>2.8716704171242231E-2</v>
      </c>
      <c r="Q242" s="385"/>
      <c r="R242" s="385"/>
      <c r="S242" s="385"/>
      <c r="T242" s="385"/>
      <c r="U242" s="384">
        <f ca="1">U209/U236</f>
        <v>4.5554613426631835E-2</v>
      </c>
      <c r="V242" s="385"/>
      <c r="W242" s="385"/>
      <c r="X242" s="385"/>
      <c r="Y242" s="385"/>
      <c r="Z242" s="384">
        <f ca="1">Z209/Z236</f>
        <v>5.5982273964133793E-2</v>
      </c>
      <c r="AA242" s="385"/>
      <c r="AB242" s="385"/>
      <c r="AC242" s="385"/>
      <c r="AD242" s="385"/>
      <c r="AE242" s="384">
        <f ca="1">AE209/AE236</f>
        <v>4.0656779042095352E-2</v>
      </c>
      <c r="AF242" s="385"/>
      <c r="AG242" s="385"/>
      <c r="AH242" s="385"/>
      <c r="AI242" s="385"/>
      <c r="AJ242" s="384">
        <f ca="1">AJ209/AJ236</f>
        <v>5.2033000288613789E-2</v>
      </c>
      <c r="AK242" s="385"/>
      <c r="AL242" s="385"/>
      <c r="AM242" s="385"/>
      <c r="AN242" s="385"/>
      <c r="AO242" s="384">
        <f ca="1">AO209/AO236</f>
        <v>3.8989101085804924E-2</v>
      </c>
      <c r="AP242" s="385"/>
      <c r="AQ242" s="386"/>
      <c r="AR242" s="876"/>
      <c r="AS242" s="876"/>
      <c r="AT242" s="384">
        <f ca="1">AT209/AT236</f>
        <v>0.10631756944983847</v>
      </c>
      <c r="AU242" s="876"/>
      <c r="AV242" s="876"/>
      <c r="AW242" s="876"/>
      <c r="AX242" s="876"/>
      <c r="AY242" s="384">
        <f ca="1">AY209/AY236</f>
        <v>0.14448470518564988</v>
      </c>
      <c r="AZ242" s="384">
        <f ca="1">AZ209/AZ236</f>
        <v>0.14338297185579837</v>
      </c>
      <c r="BA242" s="384">
        <f ca="1">BA209/BA236</f>
        <v>0.23073183243090176</v>
      </c>
      <c r="BB242" s="384">
        <f ca="1">BB209/BB236</f>
        <v>0.17934986972307987</v>
      </c>
      <c r="BC242" s="44"/>
    </row>
    <row r="243" spans="1:55" s="43" customFormat="1" hidden="1" outlineLevel="1">
      <c r="A243" s="405"/>
      <c r="B243" s="188"/>
      <c r="C243" s="384"/>
      <c r="D243" s="384"/>
      <c r="E243" s="384"/>
      <c r="F243" s="384"/>
      <c r="G243" s="385"/>
      <c r="H243" s="385"/>
      <c r="I243" s="385"/>
      <c r="J243" s="385"/>
      <c r="K243" s="384"/>
      <c r="L243" s="385"/>
      <c r="M243" s="385"/>
      <c r="N243" s="385"/>
      <c r="O243" s="385"/>
      <c r="P243" s="384"/>
      <c r="Q243" s="385"/>
      <c r="R243" s="385"/>
      <c r="S243" s="385"/>
      <c r="T243" s="385"/>
      <c r="U243" s="384"/>
      <c r="V243" s="385"/>
      <c r="W243" s="385"/>
      <c r="X243" s="385"/>
      <c r="Y243" s="385"/>
      <c r="Z243" s="384"/>
      <c r="AA243" s="385"/>
      <c r="AB243" s="385"/>
      <c r="AC243" s="385"/>
      <c r="AD243" s="385"/>
      <c r="AE243" s="384"/>
      <c r="AF243" s="385"/>
      <c r="AG243" s="385"/>
      <c r="AH243" s="385"/>
      <c r="AI243" s="385"/>
      <c r="AJ243" s="384"/>
      <c r="AK243" s="385"/>
      <c r="AL243" s="385"/>
      <c r="AM243" s="385"/>
      <c r="AN243" s="385"/>
      <c r="AO243" s="384"/>
      <c r="AP243" s="385"/>
      <c r="AQ243" s="386"/>
      <c r="AR243" s="876"/>
      <c r="AS243" s="876"/>
      <c r="AT243" s="877"/>
      <c r="AU243" s="876"/>
      <c r="AV243" s="876"/>
      <c r="AW243" s="876"/>
      <c r="AX243" s="876"/>
      <c r="AY243" s="877"/>
      <c r="AZ243" s="877"/>
      <c r="BA243" s="877"/>
      <c r="BB243" s="877"/>
      <c r="BC243" s="44"/>
    </row>
    <row r="244" spans="1:55" s="254" customFormat="1" hidden="1" outlineLevel="1">
      <c r="A244" s="459" t="str">
        <f ca="1">"Stock High, "&amp;HP.TradeCurrency</f>
        <v>Stock High, USD</v>
      </c>
      <c r="B244" s="460"/>
      <c r="C244" s="461">
        <f t="shared" ref="C244:AH244" ca="1" si="137">IF(INDEX(MO_SNA_IsHistoricalPeriod,1,COLUMN())=FALSE,0,INDEX(MO_SPT_StockHigh,1,COLUMN()))</f>
        <v>4.3093520692561</v>
      </c>
      <c r="D244" s="461">
        <f t="shared" ca="1" si="137"/>
        <v>9.0465801763399103</v>
      </c>
      <c r="E244" s="461">
        <f t="shared" ca="1" si="137"/>
        <v>18.796710703380601</v>
      </c>
      <c r="F244" s="461">
        <f t="shared" ca="1" si="137"/>
        <v>15.279968287781699</v>
      </c>
      <c r="G244" s="462">
        <f t="shared" ca="1" si="137"/>
        <v>16.3349482678261</v>
      </c>
      <c r="H244" s="462">
        <f t="shared" ca="1" si="137"/>
        <v>22.487669225043501</v>
      </c>
      <c r="I244" s="462">
        <f t="shared" ca="1" si="137"/>
        <v>27.851579803130399</v>
      </c>
      <c r="J244" s="462">
        <f t="shared" ca="1" si="137"/>
        <v>34.832551658434802</v>
      </c>
      <c r="K244" s="461">
        <f t="shared" ca="1" si="137"/>
        <v>40.057434407199999</v>
      </c>
      <c r="L244" s="462">
        <f t="shared" ca="1" si="137"/>
        <v>34.273810973217401</v>
      </c>
      <c r="M244" s="462">
        <f t="shared" ca="1" si="137"/>
        <v>30.421786955130401</v>
      </c>
      <c r="N244" s="462">
        <f t="shared" ca="1" si="137"/>
        <v>32.439826841739098</v>
      </c>
      <c r="O244" s="462">
        <f t="shared" ca="1" si="137"/>
        <v>31.618149363478299</v>
      </c>
      <c r="P244" s="461">
        <f t="shared" ca="1" si="137"/>
        <v>39.4148826192</v>
      </c>
      <c r="Q244" s="462">
        <f t="shared" ca="1" si="137"/>
        <v>49.3479095652174</v>
      </c>
      <c r="R244" s="462">
        <f t="shared" ca="1" si="137"/>
        <v>50.368744347826102</v>
      </c>
      <c r="S244" s="462">
        <f t="shared" ca="1" si="137"/>
        <v>46.686177391304398</v>
      </c>
      <c r="T244" s="462">
        <f t="shared" ca="1" si="137"/>
        <v>32.122267826086997</v>
      </c>
      <c r="U244" s="461">
        <f t="shared" ca="1" si="137"/>
        <v>57.924056</v>
      </c>
      <c r="V244" s="462">
        <f t="shared" ca="1" si="137"/>
        <v>30.043478260869598</v>
      </c>
      <c r="W244" s="462">
        <f t="shared" ca="1" si="137"/>
        <v>29.756521739130399</v>
      </c>
      <c r="X244" s="462">
        <f t="shared" ca="1" si="137"/>
        <v>34.060869565217402</v>
      </c>
      <c r="Y244" s="462">
        <f t="shared" ca="1" si="137"/>
        <v>35.3913043478261</v>
      </c>
      <c r="Z244" s="461">
        <f t="shared" ca="1" si="137"/>
        <v>35.3913043478261</v>
      </c>
      <c r="AA244" s="462">
        <f t="shared" ca="1" si="137"/>
        <v>30.234782608695699</v>
      </c>
      <c r="AB244" s="462">
        <f t="shared" ca="1" si="137"/>
        <v>28.9478260869565</v>
      </c>
      <c r="AC244" s="462">
        <f t="shared" ca="1" si="137"/>
        <v>27.3391304347826</v>
      </c>
      <c r="AD244" s="462">
        <f t="shared" ca="1" si="137"/>
        <v>38.147826086956499</v>
      </c>
      <c r="AE244" s="461">
        <f t="shared" ca="1" si="137"/>
        <v>38.147826086956499</v>
      </c>
      <c r="AF244" s="462">
        <f t="shared" ca="1" si="137"/>
        <v>40.064100000000003</v>
      </c>
      <c r="AG244" s="462">
        <f t="shared" ca="1" si="137"/>
        <v>33.296500000000002</v>
      </c>
      <c r="AH244" s="462">
        <f t="shared" ca="1" si="137"/>
        <v>39.015099999999997</v>
      </c>
      <c r="AI244" s="462">
        <f t="shared" ref="AI244:BB244" ca="1" si="138">IF(INDEX(MO_SNA_IsHistoricalPeriod,1,COLUMN())=FALSE,0,INDEX(MO_SPT_StockHigh,1,COLUMN()))</f>
        <v>36.773299999999999</v>
      </c>
      <c r="AJ244" s="461">
        <f t="shared" ca="1" si="138"/>
        <v>40.064100000000003</v>
      </c>
      <c r="AK244" s="462">
        <f t="shared" ca="1" si="138"/>
        <v>36.01</v>
      </c>
      <c r="AL244" s="462">
        <f t="shared" ca="1" si="138"/>
        <v>44.2</v>
      </c>
      <c r="AM244" s="462">
        <f t="shared" ca="1" si="138"/>
        <v>41.86</v>
      </c>
      <c r="AN244" s="462">
        <f t="shared" ca="1" si="138"/>
        <v>31.5</v>
      </c>
      <c r="AO244" s="461">
        <f t="shared" ca="1" si="138"/>
        <v>44.2</v>
      </c>
      <c r="AP244" s="462">
        <f t="shared" ca="1" si="138"/>
        <v>28.92</v>
      </c>
      <c r="AQ244" s="463">
        <f t="shared" ca="1" si="138"/>
        <v>15.46</v>
      </c>
      <c r="AR244" s="462">
        <f t="shared" si="138"/>
        <v>0</v>
      </c>
      <c r="AS244" s="462">
        <f t="shared" si="138"/>
        <v>0</v>
      </c>
      <c r="AT244" s="976">
        <f t="shared" si="138"/>
        <v>0</v>
      </c>
      <c r="AU244" s="462">
        <f t="shared" si="138"/>
        <v>0</v>
      </c>
      <c r="AV244" s="462">
        <f t="shared" si="138"/>
        <v>0</v>
      </c>
      <c r="AW244" s="462">
        <f t="shared" si="138"/>
        <v>0</v>
      </c>
      <c r="AX244" s="462">
        <f t="shared" si="138"/>
        <v>0</v>
      </c>
      <c r="AY244" s="976">
        <f t="shared" si="138"/>
        <v>0</v>
      </c>
      <c r="AZ244" s="976">
        <f t="shared" si="138"/>
        <v>0</v>
      </c>
      <c r="BA244" s="976">
        <f t="shared" si="138"/>
        <v>0</v>
      </c>
      <c r="BB244" s="976">
        <f t="shared" si="138"/>
        <v>0</v>
      </c>
      <c r="BC244" s="253"/>
    </row>
    <row r="245" spans="1:55" s="254" customFormat="1" hidden="1" outlineLevel="1">
      <c r="A245" s="459" t="str">
        <f ca="1">"Stock Low, "&amp;HP.TradeCurrency</f>
        <v>Stock Low, USD</v>
      </c>
      <c r="B245" s="460"/>
      <c r="C245" s="461">
        <f t="shared" ref="C245:AH245" ca="1" si="139">IF(INDEX(MO_SNA_IsHistoricalPeriod,1,COLUMN())=FALSE,0,INDEX(MO_SPT_StockLow,1,COLUMN()))</f>
        <v>2.56008546274622</v>
      </c>
      <c r="D245" s="461">
        <f t="shared" ca="1" si="139"/>
        <v>2.9147692692264502</v>
      </c>
      <c r="E245" s="461">
        <f t="shared" ca="1" si="139"/>
        <v>8.8966461072290404</v>
      </c>
      <c r="F245" s="461">
        <f t="shared" ca="1" si="139"/>
        <v>9.4514089558680006</v>
      </c>
      <c r="G245" s="462">
        <f t="shared" ca="1" si="139"/>
        <v>12.482924249739099</v>
      </c>
      <c r="H245" s="462">
        <f t="shared" ca="1" si="139"/>
        <v>13.909356352</v>
      </c>
      <c r="I245" s="462">
        <f t="shared" ca="1" si="139"/>
        <v>21.1861320994783</v>
      </c>
      <c r="J245" s="462">
        <f t="shared" ca="1" si="139"/>
        <v>25.544309444173901</v>
      </c>
      <c r="K245" s="461">
        <f t="shared" ca="1" si="139"/>
        <v>14.3553628872</v>
      </c>
      <c r="L245" s="462">
        <f t="shared" ca="1" si="139"/>
        <v>24.071863403130401</v>
      </c>
      <c r="M245" s="462">
        <f t="shared" ca="1" si="139"/>
        <v>24.827806683130401</v>
      </c>
      <c r="N245" s="462">
        <f t="shared" ca="1" si="139"/>
        <v>24.3676672953044</v>
      </c>
      <c r="O245" s="462">
        <f t="shared" ca="1" si="139"/>
        <v>24.4005343944348</v>
      </c>
      <c r="P245" s="461">
        <f t="shared" ca="1" si="139"/>
        <v>27.682642913599999</v>
      </c>
      <c r="Q245" s="462">
        <f t="shared" ca="1" si="139"/>
        <v>33.536313043478302</v>
      </c>
      <c r="R245" s="462">
        <f t="shared" ca="1" si="139"/>
        <v>44.2588591304348</v>
      </c>
      <c r="S245" s="462">
        <f t="shared" ca="1" si="139"/>
        <v>25.513307826087001</v>
      </c>
      <c r="T245" s="462">
        <f t="shared" ca="1" si="139"/>
        <v>26.171179130434801</v>
      </c>
      <c r="U245" s="461">
        <f t="shared" ca="1" si="139"/>
        <v>29.340304</v>
      </c>
      <c r="V245" s="462">
        <f t="shared" ca="1" si="139"/>
        <v>18.921739130434801</v>
      </c>
      <c r="W245" s="462">
        <f t="shared" ca="1" si="139"/>
        <v>24.043478260869598</v>
      </c>
      <c r="X245" s="462">
        <f t="shared" ca="1" si="139"/>
        <v>24.3913043478261</v>
      </c>
      <c r="Y245" s="462">
        <f t="shared" ca="1" si="139"/>
        <v>26.747826086956501</v>
      </c>
      <c r="Z245" s="461">
        <f t="shared" ca="1" si="139"/>
        <v>18.921739130434801</v>
      </c>
      <c r="AA245" s="462">
        <f t="shared" ca="1" si="139"/>
        <v>25.0347826086957</v>
      </c>
      <c r="AB245" s="462">
        <f t="shared" ca="1" si="139"/>
        <v>25.852173913043501</v>
      </c>
      <c r="AC245" s="462">
        <f t="shared" ca="1" si="139"/>
        <v>21.852173913043501</v>
      </c>
      <c r="AD245" s="462">
        <f t="shared" ca="1" si="139"/>
        <v>26.2173913043478</v>
      </c>
      <c r="AE245" s="461">
        <f t="shared" ca="1" si="139"/>
        <v>21.852173913043501</v>
      </c>
      <c r="AF245" s="462">
        <f t="shared" ca="1" si="139"/>
        <v>30.098800000000001</v>
      </c>
      <c r="AG245" s="462">
        <f t="shared" ca="1" si="139"/>
        <v>28.601500000000001</v>
      </c>
      <c r="AH245" s="462">
        <f t="shared" ca="1" si="139"/>
        <v>30.741700000000002</v>
      </c>
      <c r="AI245" s="462">
        <f t="shared" ref="AI245:BB245" ca="1" si="140">IF(INDEX(MO_SNA_IsHistoricalPeriod,1,COLUMN())=FALSE,0,INDEX(MO_SPT_StockLow,1,COLUMN()))</f>
        <v>28.46</v>
      </c>
      <c r="AJ245" s="461">
        <f t="shared" ca="1" si="140"/>
        <v>28.46</v>
      </c>
      <c r="AK245" s="462">
        <f t="shared" ca="1" si="140"/>
        <v>28.55</v>
      </c>
      <c r="AL245" s="462">
        <f t="shared" ca="1" si="140"/>
        <v>31.69</v>
      </c>
      <c r="AM245" s="462">
        <f t="shared" ca="1" si="140"/>
        <v>26.08</v>
      </c>
      <c r="AN245" s="462">
        <f t="shared" ca="1" si="140"/>
        <v>27.95</v>
      </c>
      <c r="AO245" s="461">
        <f t="shared" ca="1" si="140"/>
        <v>26.08</v>
      </c>
      <c r="AP245" s="462">
        <f t="shared" ca="1" si="140"/>
        <v>7.15</v>
      </c>
      <c r="AQ245" s="463">
        <f t="shared" ca="1" si="140"/>
        <v>7.14</v>
      </c>
      <c r="AR245" s="462">
        <f t="shared" si="140"/>
        <v>0</v>
      </c>
      <c r="AS245" s="462">
        <f t="shared" si="140"/>
        <v>0</v>
      </c>
      <c r="AT245" s="976">
        <f t="shared" si="140"/>
        <v>0</v>
      </c>
      <c r="AU245" s="462">
        <f t="shared" si="140"/>
        <v>0</v>
      </c>
      <c r="AV245" s="462">
        <f t="shared" si="140"/>
        <v>0</v>
      </c>
      <c r="AW245" s="462">
        <f t="shared" si="140"/>
        <v>0</v>
      </c>
      <c r="AX245" s="462">
        <f t="shared" si="140"/>
        <v>0</v>
      </c>
      <c r="AY245" s="976">
        <f t="shared" si="140"/>
        <v>0</v>
      </c>
      <c r="AZ245" s="976">
        <f t="shared" si="140"/>
        <v>0</v>
      </c>
      <c r="BA245" s="976">
        <f t="shared" si="140"/>
        <v>0</v>
      </c>
      <c r="BB245" s="976">
        <f t="shared" si="140"/>
        <v>0</v>
      </c>
      <c r="BC245" s="253"/>
    </row>
    <row r="246" spans="1:55" s="254" customFormat="1" hidden="1" outlineLevel="1">
      <c r="A246" s="459" t="str">
        <f ca="1">"Stock Average, "&amp;HP.TradeCurrency</f>
        <v>Stock Average, USD</v>
      </c>
      <c r="B246" s="460"/>
      <c r="C246" s="461">
        <f t="shared" ref="C246:AH246" ca="1" si="141">IF(INDEX(MO_SNA_IsHistoricalPeriod,1,COLUMN())=FALSE,0,INDEX(MO_SPT_StockAverage,1,COLUMN()))</f>
        <v>3.99363478487032</v>
      </c>
      <c r="D246" s="461">
        <f t="shared" ca="1" si="141"/>
        <v>6.6468614324274897</v>
      </c>
      <c r="E246" s="461">
        <f t="shared" ca="1" si="141"/>
        <v>14.9725437543855</v>
      </c>
      <c r="F246" s="461">
        <f t="shared" ca="1" si="141"/>
        <v>14.601683981214901</v>
      </c>
      <c r="G246" s="462">
        <f t="shared" ca="1" si="141"/>
        <v>16.570276697600001</v>
      </c>
      <c r="H246" s="462">
        <f t="shared" ca="1" si="141"/>
        <v>20.928289706800001</v>
      </c>
      <c r="I246" s="462">
        <f t="shared" ca="1" si="141"/>
        <v>28.196684344000001</v>
      </c>
      <c r="J246" s="462">
        <f t="shared" ca="1" si="141"/>
        <v>34.716695133999998</v>
      </c>
      <c r="K246" s="461">
        <f t="shared" ca="1" si="141"/>
        <v>25.102986470600001</v>
      </c>
      <c r="L246" s="462">
        <f t="shared" ca="1" si="141"/>
        <v>33.548762766400003</v>
      </c>
      <c r="M246" s="462">
        <f t="shared" ca="1" si="141"/>
        <v>31.768516342000002</v>
      </c>
      <c r="N246" s="462">
        <f t="shared" ca="1" si="141"/>
        <v>32.664309128799999</v>
      </c>
      <c r="O246" s="462">
        <f t="shared" ca="1" si="141"/>
        <v>32.2107431608</v>
      </c>
      <c r="P246" s="461">
        <f t="shared" ca="1" si="141"/>
        <v>32.548082849499998</v>
      </c>
      <c r="Q246" s="462">
        <f t="shared" ca="1" si="141"/>
        <v>47.658428000000001</v>
      </c>
      <c r="R246" s="462">
        <f t="shared" ca="1" si="141"/>
        <v>54.410871999999998</v>
      </c>
      <c r="S246" s="462">
        <f t="shared" ca="1" si="141"/>
        <v>41.514704000000002</v>
      </c>
      <c r="T246" s="462">
        <f t="shared" ca="1" si="141"/>
        <v>33.518732</v>
      </c>
      <c r="U246" s="461">
        <f t="shared" ca="1" si="141"/>
        <v>44.275683999999998</v>
      </c>
      <c r="V246" s="462">
        <f t="shared" ca="1" si="141"/>
        <v>24.4826086956522</v>
      </c>
      <c r="W246" s="462">
        <f t="shared" ca="1" si="141"/>
        <v>26.9</v>
      </c>
      <c r="X246" s="462">
        <f t="shared" ca="1" si="141"/>
        <v>29.226086956521701</v>
      </c>
      <c r="Y246" s="462">
        <f t="shared" ca="1" si="141"/>
        <v>31.0695652173913</v>
      </c>
      <c r="Z246" s="461">
        <f t="shared" ca="1" si="141"/>
        <v>27.919565217391298</v>
      </c>
      <c r="AA246" s="462">
        <f t="shared" ca="1" si="141"/>
        <v>27.634782608695701</v>
      </c>
      <c r="AB246" s="462">
        <f t="shared" ca="1" si="141"/>
        <v>27.4</v>
      </c>
      <c r="AC246" s="462">
        <f t="shared" ca="1" si="141"/>
        <v>24.595652173912999</v>
      </c>
      <c r="AD246" s="462">
        <f t="shared" ca="1" si="141"/>
        <v>32.182608695652199</v>
      </c>
      <c r="AE246" s="461">
        <f t="shared" ca="1" si="141"/>
        <v>27.953260869565199</v>
      </c>
      <c r="AF246" s="462">
        <f t="shared" ca="1" si="141"/>
        <v>34.875340983606598</v>
      </c>
      <c r="AG246" s="462">
        <f t="shared" ca="1" si="141"/>
        <v>30.973424999999999</v>
      </c>
      <c r="AH246" s="462">
        <f t="shared" ca="1" si="141"/>
        <v>35.524276190476201</v>
      </c>
      <c r="AI246" s="462">
        <f t="shared" ref="AI246:BB246" ca="1" si="142">IF(INDEX(MO_SNA_IsHistoricalPeriod,1,COLUMN())=FALSE,0,INDEX(MO_SPT_StockAverage,1,COLUMN()))</f>
        <v>31.485012698412699</v>
      </c>
      <c r="AJ246" s="461">
        <f t="shared" ca="1" si="142"/>
        <v>33.192351394422303</v>
      </c>
      <c r="AK246" s="462">
        <f t="shared" ca="1" si="142"/>
        <v>31.982459016393499</v>
      </c>
      <c r="AL246" s="462">
        <f t="shared" ca="1" si="142"/>
        <v>37.7184920634921</v>
      </c>
      <c r="AM246" s="462">
        <f t="shared" ca="1" si="142"/>
        <v>32.211953125000001</v>
      </c>
      <c r="AN246" s="462">
        <f t="shared" ca="1" si="142"/>
        <v>29.465468749999999</v>
      </c>
      <c r="AO246" s="461">
        <f t="shared" ca="1" si="142"/>
        <v>32.8355158730159</v>
      </c>
      <c r="AP246" s="462">
        <f t="shared" ca="1" si="142"/>
        <v>21.5854838709677</v>
      </c>
      <c r="AQ246" s="463">
        <f t="shared" ca="1" si="142"/>
        <v>9.3803968253968204</v>
      </c>
      <c r="AR246" s="462">
        <f t="shared" si="142"/>
        <v>0</v>
      </c>
      <c r="AS246" s="462">
        <f t="shared" si="142"/>
        <v>0</v>
      </c>
      <c r="AT246" s="976">
        <f t="shared" si="142"/>
        <v>0</v>
      </c>
      <c r="AU246" s="462">
        <f t="shared" si="142"/>
        <v>0</v>
      </c>
      <c r="AV246" s="462">
        <f t="shared" si="142"/>
        <v>0</v>
      </c>
      <c r="AW246" s="462">
        <f t="shared" si="142"/>
        <v>0</v>
      </c>
      <c r="AX246" s="462">
        <f t="shared" si="142"/>
        <v>0</v>
      </c>
      <c r="AY246" s="976">
        <f t="shared" si="142"/>
        <v>0</v>
      </c>
      <c r="AZ246" s="976">
        <f t="shared" si="142"/>
        <v>0</v>
      </c>
      <c r="BA246" s="976">
        <f t="shared" si="142"/>
        <v>0</v>
      </c>
      <c r="BB246" s="976">
        <f t="shared" si="142"/>
        <v>0</v>
      </c>
      <c r="BC246" s="253"/>
    </row>
    <row r="247" spans="1:55" s="261" customFormat="1" hidden="1" outlineLevel="1">
      <c r="A247" s="464" t="str">
        <f ca="1">"Average FX Rate, "&amp;HP.TradeCurrency&amp;"/"&amp;MO.ReportCurrency</f>
        <v>Average FX Rate, USD/USD</v>
      </c>
      <c r="B247" s="465"/>
      <c r="C247" s="466">
        <f t="shared" ref="C247:AH247" ca="1" si="143">IF(INDEX(MO_SPT_FXAverage,1,COLUMN())=0,1,INDEX(MO_SPT_FXAverage,1,COLUMN()))</f>
        <v>1</v>
      </c>
      <c r="D247" s="466">
        <f t="shared" ca="1" si="143"/>
        <v>1</v>
      </c>
      <c r="E247" s="466">
        <f t="shared" ca="1" si="143"/>
        <v>1</v>
      </c>
      <c r="F247" s="466">
        <f t="shared" ca="1" si="143"/>
        <v>1</v>
      </c>
      <c r="G247" s="467">
        <f t="shared" ca="1" si="143"/>
        <v>1</v>
      </c>
      <c r="H247" s="467">
        <f t="shared" ca="1" si="143"/>
        <v>1</v>
      </c>
      <c r="I247" s="467">
        <f t="shared" ca="1" si="143"/>
        <v>1</v>
      </c>
      <c r="J247" s="467">
        <f t="shared" ca="1" si="143"/>
        <v>1</v>
      </c>
      <c r="K247" s="466">
        <f t="shared" ca="1" si="143"/>
        <v>1</v>
      </c>
      <c r="L247" s="467">
        <f t="shared" ca="1" si="143"/>
        <v>1</v>
      </c>
      <c r="M247" s="467">
        <f t="shared" ca="1" si="143"/>
        <v>1</v>
      </c>
      <c r="N247" s="467">
        <f t="shared" ca="1" si="143"/>
        <v>1</v>
      </c>
      <c r="O247" s="467">
        <f t="shared" ca="1" si="143"/>
        <v>1</v>
      </c>
      <c r="P247" s="466">
        <f t="shared" ca="1" si="143"/>
        <v>1</v>
      </c>
      <c r="Q247" s="467">
        <f t="shared" ca="1" si="143"/>
        <v>1</v>
      </c>
      <c r="R247" s="467">
        <f t="shared" ca="1" si="143"/>
        <v>1</v>
      </c>
      <c r="S247" s="467">
        <f t="shared" ca="1" si="143"/>
        <v>1</v>
      </c>
      <c r="T247" s="467">
        <f t="shared" ca="1" si="143"/>
        <v>1</v>
      </c>
      <c r="U247" s="466">
        <f t="shared" ca="1" si="143"/>
        <v>1</v>
      </c>
      <c r="V247" s="467">
        <f t="shared" ca="1" si="143"/>
        <v>1</v>
      </c>
      <c r="W247" s="467">
        <f t="shared" ca="1" si="143"/>
        <v>1</v>
      </c>
      <c r="X247" s="467">
        <f t="shared" ca="1" si="143"/>
        <v>1</v>
      </c>
      <c r="Y247" s="467">
        <f t="shared" ca="1" si="143"/>
        <v>1</v>
      </c>
      <c r="Z247" s="466">
        <f t="shared" ca="1" si="143"/>
        <v>1</v>
      </c>
      <c r="AA247" s="467">
        <f t="shared" ca="1" si="143"/>
        <v>1</v>
      </c>
      <c r="AB247" s="467">
        <f t="shared" ca="1" si="143"/>
        <v>1</v>
      </c>
      <c r="AC247" s="467">
        <f t="shared" ca="1" si="143"/>
        <v>1</v>
      </c>
      <c r="AD247" s="467">
        <f t="shared" ca="1" si="143"/>
        <v>1</v>
      </c>
      <c r="AE247" s="466">
        <f t="shared" ca="1" si="143"/>
        <v>1</v>
      </c>
      <c r="AF247" s="467">
        <f t="shared" ca="1" si="143"/>
        <v>1</v>
      </c>
      <c r="AG247" s="467">
        <f t="shared" ca="1" si="143"/>
        <v>1</v>
      </c>
      <c r="AH247" s="467">
        <f t="shared" ca="1" si="143"/>
        <v>1</v>
      </c>
      <c r="AI247" s="467">
        <f t="shared" ref="AI247:BB247" ca="1" si="144">IF(INDEX(MO_SPT_FXAverage,1,COLUMN())=0,1,INDEX(MO_SPT_FXAverage,1,COLUMN()))</f>
        <v>1</v>
      </c>
      <c r="AJ247" s="466">
        <f t="shared" ca="1" si="144"/>
        <v>1</v>
      </c>
      <c r="AK247" s="467">
        <f t="shared" ca="1" si="144"/>
        <v>1</v>
      </c>
      <c r="AL247" s="467">
        <f t="shared" ca="1" si="144"/>
        <v>1</v>
      </c>
      <c r="AM247" s="467">
        <f t="shared" ca="1" si="144"/>
        <v>1</v>
      </c>
      <c r="AN247" s="467">
        <f t="shared" ca="1" si="144"/>
        <v>1</v>
      </c>
      <c r="AO247" s="466">
        <f t="shared" ca="1" si="144"/>
        <v>1</v>
      </c>
      <c r="AP247" s="467">
        <f t="shared" ca="1" si="144"/>
        <v>1</v>
      </c>
      <c r="AQ247" s="468">
        <f t="shared" ca="1" si="144"/>
        <v>1</v>
      </c>
      <c r="AR247" s="467">
        <f t="shared" ca="1" si="144"/>
        <v>1</v>
      </c>
      <c r="AS247" s="467">
        <f t="shared" ca="1" si="144"/>
        <v>1</v>
      </c>
      <c r="AT247" s="977">
        <f t="shared" ca="1" si="144"/>
        <v>1</v>
      </c>
      <c r="AU247" s="467">
        <f t="shared" ca="1" si="144"/>
        <v>1</v>
      </c>
      <c r="AV247" s="467">
        <f t="shared" ca="1" si="144"/>
        <v>1</v>
      </c>
      <c r="AW247" s="467">
        <f t="shared" ca="1" si="144"/>
        <v>1</v>
      </c>
      <c r="AX247" s="467">
        <f t="shared" ca="1" si="144"/>
        <v>1</v>
      </c>
      <c r="AY247" s="977">
        <f t="shared" ca="1" si="144"/>
        <v>1</v>
      </c>
      <c r="AZ247" s="977">
        <f t="shared" ca="1" si="144"/>
        <v>1</v>
      </c>
      <c r="BA247" s="977">
        <f t="shared" ca="1" si="144"/>
        <v>1</v>
      </c>
      <c r="BB247" s="977">
        <f t="shared" ca="1" si="144"/>
        <v>1</v>
      </c>
      <c r="BC247" s="260"/>
    </row>
    <row r="248" spans="1:55" s="254" customFormat="1" hidden="1" outlineLevel="1">
      <c r="A248" s="459" t="str">
        <f ca="1">"Stock Price (Trading Cur.) - "&amp;MO.ValuationToggle&amp;", "&amp;HP.TradeCurrency</f>
        <v>Stock Price (Trading Cur.) - Avg, USD</v>
      </c>
      <c r="B248" s="460"/>
      <c r="C248" s="461">
        <f t="shared" ref="C248:AH248" ca="1" si="145">IF(INDEX(MO_SNA_IsHistoricalPeriod,1,COLUMN())=FALSE,MO.LastPrice,CHOOSE(VLOOKUP(MO.ValuationToggle,tb_ValuationToggle,COLUMNS(tb_ValuationToggle),FALSE),C244,C245,C246))</f>
        <v>3.99363478487032</v>
      </c>
      <c r="D248" s="461">
        <f t="shared" ca="1" si="145"/>
        <v>6.6468614324274897</v>
      </c>
      <c r="E248" s="461">
        <f t="shared" ca="1" si="145"/>
        <v>14.9725437543855</v>
      </c>
      <c r="F248" s="461">
        <f t="shared" ca="1" si="145"/>
        <v>14.601683981214901</v>
      </c>
      <c r="G248" s="462">
        <f t="shared" ca="1" si="145"/>
        <v>16.570276697600001</v>
      </c>
      <c r="H248" s="462">
        <f t="shared" ca="1" si="145"/>
        <v>20.928289706800001</v>
      </c>
      <c r="I248" s="462">
        <f t="shared" ca="1" si="145"/>
        <v>28.196684344000001</v>
      </c>
      <c r="J248" s="462">
        <f t="shared" ca="1" si="145"/>
        <v>34.716695133999998</v>
      </c>
      <c r="K248" s="461">
        <f t="shared" ca="1" si="145"/>
        <v>25.102986470600001</v>
      </c>
      <c r="L248" s="462">
        <f t="shared" ca="1" si="145"/>
        <v>33.548762766400003</v>
      </c>
      <c r="M248" s="462">
        <f t="shared" ca="1" si="145"/>
        <v>31.768516342000002</v>
      </c>
      <c r="N248" s="462">
        <f t="shared" ca="1" si="145"/>
        <v>32.664309128799999</v>
      </c>
      <c r="O248" s="462">
        <f t="shared" ca="1" si="145"/>
        <v>32.2107431608</v>
      </c>
      <c r="P248" s="461">
        <f t="shared" ca="1" si="145"/>
        <v>32.548082849499998</v>
      </c>
      <c r="Q248" s="462">
        <f t="shared" ca="1" si="145"/>
        <v>47.658428000000001</v>
      </c>
      <c r="R248" s="462">
        <f t="shared" ca="1" si="145"/>
        <v>54.410871999999998</v>
      </c>
      <c r="S248" s="462">
        <f t="shared" ca="1" si="145"/>
        <v>41.514704000000002</v>
      </c>
      <c r="T248" s="462">
        <f t="shared" ca="1" si="145"/>
        <v>33.518732</v>
      </c>
      <c r="U248" s="461">
        <f t="shared" ca="1" si="145"/>
        <v>44.275683999999998</v>
      </c>
      <c r="V248" s="462">
        <f t="shared" ca="1" si="145"/>
        <v>24.4826086956522</v>
      </c>
      <c r="W248" s="462">
        <f t="shared" ca="1" si="145"/>
        <v>26.9</v>
      </c>
      <c r="X248" s="462">
        <f t="shared" ca="1" si="145"/>
        <v>29.226086956521701</v>
      </c>
      <c r="Y248" s="462">
        <f t="shared" ca="1" si="145"/>
        <v>31.0695652173913</v>
      </c>
      <c r="Z248" s="461">
        <f t="shared" ca="1" si="145"/>
        <v>27.919565217391298</v>
      </c>
      <c r="AA248" s="462">
        <f t="shared" ca="1" si="145"/>
        <v>27.634782608695701</v>
      </c>
      <c r="AB248" s="462">
        <f t="shared" ca="1" si="145"/>
        <v>27.4</v>
      </c>
      <c r="AC248" s="462">
        <f t="shared" ca="1" si="145"/>
        <v>24.595652173912999</v>
      </c>
      <c r="AD248" s="462">
        <f t="shared" ca="1" si="145"/>
        <v>32.182608695652199</v>
      </c>
      <c r="AE248" s="461">
        <f t="shared" ca="1" si="145"/>
        <v>27.953260869565199</v>
      </c>
      <c r="AF248" s="462">
        <f t="shared" ca="1" si="145"/>
        <v>34.875340983606598</v>
      </c>
      <c r="AG248" s="462">
        <f t="shared" ca="1" si="145"/>
        <v>30.973424999999999</v>
      </c>
      <c r="AH248" s="462">
        <f t="shared" ca="1" si="145"/>
        <v>35.524276190476201</v>
      </c>
      <c r="AI248" s="462">
        <f t="shared" ref="AI248:BB248" ca="1" si="146">IF(INDEX(MO_SNA_IsHistoricalPeriod,1,COLUMN())=FALSE,MO.LastPrice,CHOOSE(VLOOKUP(MO.ValuationToggle,tb_ValuationToggle,COLUMNS(tb_ValuationToggle),FALSE),AI244,AI245,AI246))</f>
        <v>31.485012698412699</v>
      </c>
      <c r="AJ248" s="461">
        <f t="shared" ca="1" si="146"/>
        <v>33.192351394422303</v>
      </c>
      <c r="AK248" s="462">
        <f t="shared" ca="1" si="146"/>
        <v>31.982459016393499</v>
      </c>
      <c r="AL248" s="462">
        <f t="shared" ca="1" si="146"/>
        <v>37.7184920634921</v>
      </c>
      <c r="AM248" s="462">
        <f t="shared" ca="1" si="146"/>
        <v>32.211953125000001</v>
      </c>
      <c r="AN248" s="462">
        <f t="shared" ca="1" si="146"/>
        <v>29.465468749999999</v>
      </c>
      <c r="AO248" s="461">
        <f t="shared" ca="1" si="146"/>
        <v>32.8355158730159</v>
      </c>
      <c r="AP248" s="462">
        <f t="shared" ca="1" si="146"/>
        <v>21.5854838709677</v>
      </c>
      <c r="AQ248" s="463">
        <f t="shared" ca="1" si="146"/>
        <v>9.3803968253968204</v>
      </c>
      <c r="AR248" s="462">
        <f t="shared" ca="1" si="146"/>
        <v>10.119999999999999</v>
      </c>
      <c r="AS248" s="462">
        <f t="shared" ca="1" si="146"/>
        <v>10.119999999999999</v>
      </c>
      <c r="AT248" s="976">
        <f t="shared" ca="1" si="146"/>
        <v>10.119999999999999</v>
      </c>
      <c r="AU248" s="462">
        <f t="shared" ca="1" si="146"/>
        <v>10.119999999999999</v>
      </c>
      <c r="AV248" s="462">
        <f t="shared" ca="1" si="146"/>
        <v>10.119999999999999</v>
      </c>
      <c r="AW248" s="462">
        <f t="shared" ca="1" si="146"/>
        <v>10.119999999999999</v>
      </c>
      <c r="AX248" s="462">
        <f t="shared" ca="1" si="146"/>
        <v>10.119999999999999</v>
      </c>
      <c r="AY248" s="976">
        <f t="shared" ca="1" si="146"/>
        <v>10.119999999999999</v>
      </c>
      <c r="AZ248" s="976">
        <f t="shared" ca="1" si="146"/>
        <v>10.119999999999999</v>
      </c>
      <c r="BA248" s="976">
        <f t="shared" ca="1" si="146"/>
        <v>10.119999999999999</v>
      </c>
      <c r="BB248" s="976">
        <f t="shared" ca="1" si="146"/>
        <v>10.119999999999999</v>
      </c>
      <c r="BC248" s="253"/>
    </row>
    <row r="249" spans="1:55" s="23" customFormat="1" hidden="1" outlineLevel="1">
      <c r="A249" s="229"/>
      <c r="B249" s="132"/>
      <c r="C249" s="885"/>
      <c r="D249" s="885"/>
      <c r="E249" s="885"/>
      <c r="F249" s="885"/>
      <c r="G249" s="436"/>
      <c r="H249" s="436"/>
      <c r="I249" s="436"/>
      <c r="J249" s="436"/>
      <c r="K249" s="885"/>
      <c r="L249" s="436"/>
      <c r="M249" s="436"/>
      <c r="N249" s="436"/>
      <c r="O249" s="436"/>
      <c r="P249" s="885"/>
      <c r="Q249" s="436"/>
      <c r="R249" s="436"/>
      <c r="S249" s="436"/>
      <c r="T249" s="436"/>
      <c r="U249" s="885"/>
      <c r="V249" s="436"/>
      <c r="W249" s="436"/>
      <c r="X249" s="436"/>
      <c r="Y249" s="436"/>
      <c r="Z249" s="885"/>
      <c r="AA249" s="436"/>
      <c r="AB249" s="436"/>
      <c r="AC249" s="436"/>
      <c r="AD249" s="436"/>
      <c r="AE249" s="885"/>
      <c r="AF249" s="436"/>
      <c r="AG249" s="436"/>
      <c r="AH249" s="436"/>
      <c r="AI249" s="436"/>
      <c r="AJ249" s="885"/>
      <c r="AK249" s="436"/>
      <c r="AL249" s="436"/>
      <c r="AM249" s="436"/>
      <c r="AN249" s="436"/>
      <c r="AO249" s="885"/>
      <c r="AP249" s="436"/>
      <c r="AQ249" s="886"/>
      <c r="AR249" s="855"/>
      <c r="AS249" s="855"/>
      <c r="AT249" s="870"/>
      <c r="AU249" s="855"/>
      <c r="AV249" s="855"/>
      <c r="AW249" s="855"/>
      <c r="AX249" s="855"/>
      <c r="AY249" s="870"/>
      <c r="AZ249" s="870"/>
      <c r="BA249" s="870"/>
      <c r="BB249" s="870"/>
      <c r="BC249" s="362"/>
    </row>
    <row r="250" spans="1:55" s="4" customFormat="1" hidden="1" outlineLevel="1">
      <c r="A250" s="400" t="s">
        <v>94</v>
      </c>
      <c r="B250" s="345"/>
      <c r="C250" s="852"/>
      <c r="D250" s="852"/>
      <c r="E250" s="852"/>
      <c r="F250" s="852"/>
      <c r="G250" s="418"/>
      <c r="H250" s="418"/>
      <c r="I250" s="418"/>
      <c r="J250" s="418"/>
      <c r="K250" s="852"/>
      <c r="L250" s="418"/>
      <c r="M250" s="418"/>
      <c r="N250" s="418"/>
      <c r="O250" s="418"/>
      <c r="P250" s="852"/>
      <c r="Q250" s="418"/>
      <c r="R250" s="418"/>
      <c r="S250" s="418"/>
      <c r="T250" s="418"/>
      <c r="U250" s="852"/>
      <c r="V250" s="418"/>
      <c r="W250" s="418"/>
      <c r="X250" s="418"/>
      <c r="Y250" s="418"/>
      <c r="Z250" s="852"/>
      <c r="AA250" s="418"/>
      <c r="AB250" s="418"/>
      <c r="AC250" s="418"/>
      <c r="AD250" s="418"/>
      <c r="AE250" s="852"/>
      <c r="AF250" s="418"/>
      <c r="AG250" s="418"/>
      <c r="AH250" s="418"/>
      <c r="AI250" s="418"/>
      <c r="AJ250" s="852"/>
      <c r="AK250" s="418"/>
      <c r="AL250" s="418"/>
      <c r="AM250" s="418"/>
      <c r="AN250" s="418"/>
      <c r="AO250" s="852"/>
      <c r="AP250" s="418"/>
      <c r="AQ250" s="895"/>
      <c r="AR250" s="896"/>
      <c r="AS250" s="896"/>
      <c r="AT250" s="897"/>
      <c r="AU250" s="896"/>
      <c r="AV250" s="896"/>
      <c r="AW250" s="896"/>
      <c r="AX250" s="896"/>
      <c r="AY250" s="897"/>
      <c r="AZ250" s="897"/>
      <c r="BA250" s="897"/>
      <c r="BB250" s="897"/>
      <c r="BC250" s="363"/>
    </row>
    <row r="251" spans="1:55" s="23" customFormat="1" hidden="1" outlineLevel="1">
      <c r="A251" s="394" t="s">
        <v>83</v>
      </c>
      <c r="B251" s="132"/>
      <c r="C251" s="885">
        <f t="shared" ref="C251:AH251" si="147">C434</f>
        <v>0</v>
      </c>
      <c r="D251" s="885">
        <f t="shared" si="147"/>
        <v>0</v>
      </c>
      <c r="E251" s="885">
        <f t="shared" si="147"/>
        <v>0</v>
      </c>
      <c r="F251" s="885">
        <f t="shared" si="147"/>
        <v>0</v>
      </c>
      <c r="G251" s="436">
        <f t="shared" si="147"/>
        <v>0</v>
      </c>
      <c r="H251" s="436">
        <f t="shared" si="147"/>
        <v>0</v>
      </c>
      <c r="I251" s="436">
        <f t="shared" si="147"/>
        <v>0</v>
      </c>
      <c r="J251" s="436">
        <f t="shared" si="147"/>
        <v>0</v>
      </c>
      <c r="K251" s="885">
        <f t="shared" si="147"/>
        <v>0</v>
      </c>
      <c r="L251" s="436">
        <f t="shared" si="147"/>
        <v>0</v>
      </c>
      <c r="M251" s="436">
        <f t="shared" si="147"/>
        <v>0</v>
      </c>
      <c r="N251" s="436">
        <f t="shared" si="147"/>
        <v>0</v>
      </c>
      <c r="O251" s="436">
        <f t="shared" si="147"/>
        <v>0</v>
      </c>
      <c r="P251" s="885">
        <f t="shared" si="147"/>
        <v>0</v>
      </c>
      <c r="Q251" s="436">
        <f t="shared" si="147"/>
        <v>0</v>
      </c>
      <c r="R251" s="436">
        <f t="shared" si="147"/>
        <v>0</v>
      </c>
      <c r="S251" s="436">
        <f t="shared" si="147"/>
        <v>0</v>
      </c>
      <c r="T251" s="436">
        <f t="shared" si="147"/>
        <v>0</v>
      </c>
      <c r="U251" s="885">
        <f t="shared" si="147"/>
        <v>0</v>
      </c>
      <c r="V251" s="436">
        <f t="shared" si="147"/>
        <v>0</v>
      </c>
      <c r="W251" s="436">
        <f t="shared" si="147"/>
        <v>0</v>
      </c>
      <c r="X251" s="436">
        <f t="shared" si="147"/>
        <v>0</v>
      </c>
      <c r="Y251" s="436">
        <f t="shared" si="147"/>
        <v>0</v>
      </c>
      <c r="Z251" s="885">
        <f t="shared" si="147"/>
        <v>0</v>
      </c>
      <c r="AA251" s="436">
        <f t="shared" si="147"/>
        <v>0</v>
      </c>
      <c r="AB251" s="436">
        <f t="shared" si="147"/>
        <v>0</v>
      </c>
      <c r="AC251" s="436">
        <f t="shared" si="147"/>
        <v>0</v>
      </c>
      <c r="AD251" s="436">
        <f t="shared" si="147"/>
        <v>0</v>
      </c>
      <c r="AE251" s="885">
        <f t="shared" si="147"/>
        <v>0</v>
      </c>
      <c r="AF251" s="436">
        <f t="shared" si="147"/>
        <v>0</v>
      </c>
      <c r="AG251" s="436">
        <f t="shared" si="147"/>
        <v>0</v>
      </c>
      <c r="AH251" s="436">
        <f t="shared" si="147"/>
        <v>0</v>
      </c>
      <c r="AI251" s="436">
        <f t="shared" ref="AI251:BB251" si="148">AI434</f>
        <v>0</v>
      </c>
      <c r="AJ251" s="885">
        <f t="shared" si="148"/>
        <v>0</v>
      </c>
      <c r="AK251" s="436">
        <f t="shared" si="148"/>
        <v>0</v>
      </c>
      <c r="AL251" s="436">
        <f t="shared" si="148"/>
        <v>0</v>
      </c>
      <c r="AM251" s="436">
        <f t="shared" si="148"/>
        <v>0</v>
      </c>
      <c r="AN251" s="436">
        <f t="shared" si="148"/>
        <v>0</v>
      </c>
      <c r="AO251" s="885">
        <f t="shared" si="148"/>
        <v>0</v>
      </c>
      <c r="AP251" s="436">
        <f t="shared" si="148"/>
        <v>0</v>
      </c>
      <c r="AQ251" s="886">
        <f t="shared" si="148"/>
        <v>0</v>
      </c>
      <c r="AR251" s="436">
        <f t="shared" si="148"/>
        <v>0</v>
      </c>
      <c r="AS251" s="436">
        <f t="shared" si="148"/>
        <v>0</v>
      </c>
      <c r="AT251" s="885">
        <f t="shared" si="148"/>
        <v>0</v>
      </c>
      <c r="AU251" s="436">
        <f t="shared" si="148"/>
        <v>0</v>
      </c>
      <c r="AV251" s="436">
        <f t="shared" si="148"/>
        <v>0</v>
      </c>
      <c r="AW251" s="436">
        <f t="shared" si="148"/>
        <v>0</v>
      </c>
      <c r="AX251" s="436">
        <f t="shared" si="148"/>
        <v>0</v>
      </c>
      <c r="AY251" s="885">
        <f t="shared" si="148"/>
        <v>0</v>
      </c>
      <c r="AZ251" s="885">
        <f t="shared" si="148"/>
        <v>0</v>
      </c>
      <c r="BA251" s="885">
        <f t="shared" si="148"/>
        <v>0</v>
      </c>
      <c r="BB251" s="885">
        <f t="shared" si="148"/>
        <v>0</v>
      </c>
      <c r="BC251" s="362"/>
    </row>
    <row r="252" spans="1:55" s="23" customFormat="1" hidden="1" outlineLevel="1">
      <c r="A252" s="394" t="s">
        <v>79</v>
      </c>
      <c r="B252" s="132"/>
      <c r="C252" s="885"/>
      <c r="D252" s="885"/>
      <c r="E252" s="885"/>
      <c r="F252" s="885"/>
      <c r="G252" s="436"/>
      <c r="H252" s="436"/>
      <c r="I252" s="436"/>
      <c r="J252" s="436"/>
      <c r="K252" s="885"/>
      <c r="L252" s="436"/>
      <c r="M252" s="436"/>
      <c r="N252" s="436"/>
      <c r="O252" s="436"/>
      <c r="P252" s="885"/>
      <c r="Q252" s="436"/>
      <c r="R252" s="436"/>
      <c r="S252" s="436"/>
      <c r="T252" s="436"/>
      <c r="U252" s="885"/>
      <c r="V252" s="436"/>
      <c r="W252" s="436"/>
      <c r="X252" s="436"/>
      <c r="Y252" s="436"/>
      <c r="Z252" s="885"/>
      <c r="AA252" s="436"/>
      <c r="AB252" s="436"/>
      <c r="AC252" s="436"/>
      <c r="AD252" s="436"/>
      <c r="AE252" s="885"/>
      <c r="AF252" s="436"/>
      <c r="AG252" s="436"/>
      <c r="AH252" s="436"/>
      <c r="AI252" s="436"/>
      <c r="AJ252" s="885"/>
      <c r="AK252" s="436"/>
      <c r="AL252" s="436"/>
      <c r="AM252" s="436"/>
      <c r="AN252" s="436"/>
      <c r="AO252" s="885"/>
      <c r="AP252" s="436"/>
      <c r="AQ252" s="886"/>
      <c r="AR252" s="855"/>
      <c r="AS252" s="855"/>
      <c r="AT252" s="870"/>
      <c r="AU252" s="855"/>
      <c r="AV252" s="855"/>
      <c r="AW252" s="855"/>
      <c r="AX252" s="855"/>
      <c r="AY252" s="870"/>
      <c r="AZ252" s="870"/>
      <c r="BA252" s="870"/>
      <c r="BB252" s="870"/>
      <c r="BC252" s="362"/>
    </row>
    <row r="253" spans="1:55" s="23" customFormat="1" hidden="1" outlineLevel="1">
      <c r="A253" s="394" t="s">
        <v>78</v>
      </c>
      <c r="B253" s="132"/>
      <c r="C253" s="885"/>
      <c r="D253" s="885"/>
      <c r="E253" s="885"/>
      <c r="F253" s="885"/>
      <c r="G253" s="436"/>
      <c r="H253" s="436"/>
      <c r="I253" s="436"/>
      <c r="J253" s="436"/>
      <c r="K253" s="885"/>
      <c r="L253" s="436"/>
      <c r="M253" s="436"/>
      <c r="N253" s="436"/>
      <c r="O253" s="436"/>
      <c r="P253" s="885"/>
      <c r="Q253" s="436"/>
      <c r="R253" s="436"/>
      <c r="S253" s="436"/>
      <c r="T253" s="436"/>
      <c r="U253" s="885"/>
      <c r="V253" s="436"/>
      <c r="W253" s="436"/>
      <c r="X253" s="436"/>
      <c r="Y253" s="436"/>
      <c r="Z253" s="885"/>
      <c r="AA253" s="436"/>
      <c r="AB253" s="436"/>
      <c r="AC253" s="436"/>
      <c r="AD253" s="436"/>
      <c r="AE253" s="885"/>
      <c r="AF253" s="436"/>
      <c r="AG253" s="436"/>
      <c r="AH253" s="436"/>
      <c r="AI253" s="436"/>
      <c r="AJ253" s="885"/>
      <c r="AK253" s="436"/>
      <c r="AL253" s="436"/>
      <c r="AM253" s="436"/>
      <c r="AN253" s="436"/>
      <c r="AO253" s="885"/>
      <c r="AP253" s="436"/>
      <c r="AQ253" s="886"/>
      <c r="AR253" s="855"/>
      <c r="AS253" s="855"/>
      <c r="AT253" s="870"/>
      <c r="AU253" s="855"/>
      <c r="AV253" s="855"/>
      <c r="AW253" s="855"/>
      <c r="AX253" s="855"/>
      <c r="AY253" s="870"/>
      <c r="AZ253" s="870"/>
      <c r="BA253" s="870"/>
      <c r="BB253" s="870"/>
      <c r="BC253" s="362"/>
    </row>
    <row r="254" spans="1:55" s="23" customFormat="1" ht="14.45" customHeight="1" collapsed="1">
      <c r="A254" s="394"/>
      <c r="B254" s="132"/>
      <c r="C254" s="885"/>
      <c r="D254" s="885"/>
      <c r="E254" s="885"/>
      <c r="F254" s="885"/>
      <c r="G254" s="436"/>
      <c r="H254" s="436"/>
      <c r="I254" s="436"/>
      <c r="J254" s="436"/>
      <c r="K254" s="885"/>
      <c r="L254" s="436"/>
      <c r="M254" s="436"/>
      <c r="N254" s="436"/>
      <c r="O254" s="436"/>
      <c r="P254" s="885"/>
      <c r="Q254" s="436"/>
      <c r="R254" s="436"/>
      <c r="S254" s="436"/>
      <c r="T254" s="436"/>
      <c r="U254" s="885"/>
      <c r="V254" s="436"/>
      <c r="W254" s="436"/>
      <c r="X254" s="436"/>
      <c r="Y254" s="436"/>
      <c r="Z254" s="885"/>
      <c r="AA254" s="436"/>
      <c r="AB254" s="436"/>
      <c r="AC254" s="436"/>
      <c r="AD254" s="436"/>
      <c r="AE254" s="885"/>
      <c r="AF254" s="436"/>
      <c r="AG254" s="436"/>
      <c r="AH254" s="436"/>
      <c r="AI254" s="436"/>
      <c r="AJ254" s="885"/>
      <c r="AK254" s="436"/>
      <c r="AL254" s="436"/>
      <c r="AM254" s="436"/>
      <c r="AN254" s="436"/>
      <c r="AO254" s="885"/>
      <c r="AP254" s="436"/>
      <c r="AQ254" s="886"/>
      <c r="AR254" s="855"/>
      <c r="AS254" s="855"/>
      <c r="AT254" s="870"/>
      <c r="AU254" s="855"/>
      <c r="AV254" s="855"/>
      <c r="AW254" s="855"/>
      <c r="AX254" s="855"/>
      <c r="AY254" s="870"/>
      <c r="AZ254" s="870"/>
      <c r="BA254" s="870"/>
      <c r="BB254" s="870"/>
      <c r="BC254" s="362"/>
    </row>
    <row r="255" spans="1:55" s="4" customFormat="1" ht="14.45" customHeight="1">
      <c r="A255" s="514" t="s">
        <v>88</v>
      </c>
      <c r="B255" s="514"/>
      <c r="C255" s="883"/>
      <c r="D255" s="883"/>
      <c r="E255" s="883"/>
      <c r="F255" s="883"/>
      <c r="G255" s="883"/>
      <c r="H255" s="883"/>
      <c r="I255" s="883"/>
      <c r="J255" s="883"/>
      <c r="K255" s="883"/>
      <c r="L255" s="883"/>
      <c r="M255" s="883"/>
      <c r="N255" s="883"/>
      <c r="O255" s="883"/>
      <c r="P255" s="883"/>
      <c r="Q255" s="883"/>
      <c r="R255" s="883"/>
      <c r="S255" s="883"/>
      <c r="T255" s="883"/>
      <c r="U255" s="883"/>
      <c r="V255" s="883"/>
      <c r="W255" s="883"/>
      <c r="X255" s="883"/>
      <c r="Y255" s="883"/>
      <c r="Z255" s="883"/>
      <c r="AA255" s="883"/>
      <c r="AB255" s="883"/>
      <c r="AC255" s="883"/>
      <c r="AD255" s="883"/>
      <c r="AE255" s="883"/>
      <c r="AF255" s="883"/>
      <c r="AG255" s="883"/>
      <c r="AH255" s="883"/>
      <c r="AI255" s="883"/>
      <c r="AJ255" s="883"/>
      <c r="AK255" s="883"/>
      <c r="AL255" s="883"/>
      <c r="AM255" s="883"/>
      <c r="AN255" s="883"/>
      <c r="AO255" s="883"/>
      <c r="AP255" s="883"/>
      <c r="AQ255" s="884"/>
      <c r="AR255" s="883"/>
      <c r="AS255" s="883"/>
      <c r="AT255" s="883"/>
      <c r="AU255" s="883"/>
      <c r="AV255" s="883"/>
      <c r="AW255" s="883"/>
      <c r="AX255" s="883"/>
      <c r="AY255" s="883"/>
      <c r="AZ255" s="883"/>
      <c r="BA255" s="883"/>
      <c r="BB255" s="883"/>
      <c r="BC255" s="363"/>
    </row>
    <row r="256" spans="1:55" s="4" customFormat="1" hidden="1" outlineLevel="1">
      <c r="A256" s="403" t="s">
        <v>49</v>
      </c>
      <c r="B256" s="345"/>
      <c r="C256" s="852"/>
      <c r="D256" s="852"/>
      <c r="E256" s="852"/>
      <c r="F256" s="852"/>
      <c r="G256" s="418"/>
      <c r="H256" s="418"/>
      <c r="I256" s="418"/>
      <c r="J256" s="418"/>
      <c r="K256" s="852"/>
      <c r="L256" s="418"/>
      <c r="M256" s="418"/>
      <c r="N256" s="418"/>
      <c r="O256" s="418"/>
      <c r="P256" s="852"/>
      <c r="Q256" s="418"/>
      <c r="R256" s="418"/>
      <c r="S256" s="418"/>
      <c r="T256" s="418"/>
      <c r="U256" s="852"/>
      <c r="V256" s="418"/>
      <c r="W256" s="418"/>
      <c r="X256" s="418"/>
      <c r="Y256" s="418"/>
      <c r="Z256" s="852"/>
      <c r="AA256" s="418"/>
      <c r="AB256" s="418"/>
      <c r="AC256" s="418"/>
      <c r="AD256" s="418"/>
      <c r="AE256" s="852"/>
      <c r="AF256" s="418"/>
      <c r="AG256" s="418"/>
      <c r="AH256" s="418"/>
      <c r="AI256" s="418"/>
      <c r="AJ256" s="852"/>
      <c r="AK256" s="418"/>
      <c r="AL256" s="418"/>
      <c r="AM256" s="418"/>
      <c r="AN256" s="418"/>
      <c r="AO256" s="852"/>
      <c r="AP256" s="418"/>
      <c r="AQ256" s="895"/>
      <c r="AR256" s="896"/>
      <c r="AS256" s="896"/>
      <c r="AT256" s="897"/>
      <c r="AU256" s="896"/>
      <c r="AV256" s="896"/>
      <c r="AW256" s="896"/>
      <c r="AX256" s="896"/>
      <c r="AY256" s="897"/>
      <c r="AZ256" s="897"/>
      <c r="BA256" s="897"/>
      <c r="BB256" s="897"/>
      <c r="BC256" s="363"/>
    </row>
    <row r="257" spans="1:55" s="23" customFormat="1" hidden="1" outlineLevel="1">
      <c r="A257" s="229" t="s">
        <v>138</v>
      </c>
      <c r="B257" s="132"/>
      <c r="C257" s="885">
        <v>-3.802</v>
      </c>
      <c r="D257" s="885">
        <v>14.948</v>
      </c>
      <c r="E257" s="885">
        <v>21.591000000000001</v>
      </c>
      <c r="F257" s="885">
        <v>21.873999999999999</v>
      </c>
      <c r="G257" s="436">
        <v>8.5640000000000001</v>
      </c>
      <c r="H257" s="436">
        <v>13.722</v>
      </c>
      <c r="I257" s="436">
        <v>20.876999999999999</v>
      </c>
      <c r="J257" s="436">
        <v>27.265999999999998</v>
      </c>
      <c r="K257" s="885">
        <v>27.265999999999998</v>
      </c>
      <c r="L257" s="436">
        <v>7.5069999999999997</v>
      </c>
      <c r="M257" s="436">
        <v>20.651</v>
      </c>
      <c r="N257" s="436">
        <v>37.731000000000002</v>
      </c>
      <c r="O257" s="436">
        <v>56.17</v>
      </c>
      <c r="P257" s="885">
        <v>56.17</v>
      </c>
      <c r="Q257" s="436">
        <v>10.683</v>
      </c>
      <c r="R257" s="436">
        <v>28.373000000000001</v>
      </c>
      <c r="S257" s="436">
        <v>53.067</v>
      </c>
      <c r="T257" s="436">
        <v>66.974000000000004</v>
      </c>
      <c r="U257" s="885">
        <v>66.974000000000004</v>
      </c>
      <c r="V257" s="436">
        <v>11.484999999999999</v>
      </c>
      <c r="W257" s="436">
        <v>26.465</v>
      </c>
      <c r="X257" s="436">
        <v>38.539000000000001</v>
      </c>
      <c r="Y257" s="436">
        <f t="shared" ref="Y257:Y262" si="149">Z257</f>
        <v>48.423999999999999</v>
      </c>
      <c r="Z257" s="885">
        <v>48.423999999999999</v>
      </c>
      <c r="AA257" s="436">
        <v>11.587</v>
      </c>
      <c r="AB257" s="436">
        <v>19.271999999999998</v>
      </c>
      <c r="AC257" s="436">
        <v>25.332000000000001</v>
      </c>
      <c r="AD257" s="436">
        <f t="shared" ref="AD257:AD262" si="150">AE257</f>
        <v>19.678999999999998</v>
      </c>
      <c r="AE257" s="885">
        <v>19.678999999999998</v>
      </c>
      <c r="AF257" s="436">
        <v>3.294</v>
      </c>
      <c r="AG257" s="436">
        <v>17.318999999999999</v>
      </c>
      <c r="AH257" s="436">
        <v>34.317999999999998</v>
      </c>
      <c r="AI257" s="436">
        <f t="shared" ref="AI257:AI262" si="151">AJ257</f>
        <v>46.802999999999997</v>
      </c>
      <c r="AJ257" s="885">
        <v>46.802999999999997</v>
      </c>
      <c r="AK257" s="436">
        <v>78.146000000000001</v>
      </c>
      <c r="AL257" s="436">
        <v>84.872</v>
      </c>
      <c r="AM257" s="436">
        <v>86.081999999999994</v>
      </c>
      <c r="AN257" s="436">
        <f t="shared" ref="AN257:AN262" si="152">AO257</f>
        <v>52.017000000000003</v>
      </c>
      <c r="AO257" s="885">
        <v>52.017000000000003</v>
      </c>
      <c r="AP257" s="436">
        <v>-66.962999999999994</v>
      </c>
      <c r="AQ257" s="886">
        <v>-90.542000000000002</v>
      </c>
      <c r="AR257" s="855"/>
      <c r="AS257" s="436">
        <f t="shared" ref="AS257:AS265" si="153">AT257</f>
        <v>0</v>
      </c>
      <c r="AT257" s="870"/>
      <c r="AU257" s="855"/>
      <c r="AV257" s="855"/>
      <c r="AW257" s="855"/>
      <c r="AX257" s="436">
        <f t="shared" ref="AX257:AX265" si="154">AY257</f>
        <v>0</v>
      </c>
      <c r="AY257" s="870"/>
      <c r="AZ257" s="870"/>
      <c r="BA257" s="870"/>
      <c r="BB257" s="870"/>
      <c r="BC257" s="362"/>
    </row>
    <row r="258" spans="1:55" s="23" customFormat="1" hidden="1" outlineLevel="1">
      <c r="A258" s="229" t="s">
        <v>158</v>
      </c>
      <c r="B258" s="132"/>
      <c r="C258" s="885">
        <v>7.3419999999999996</v>
      </c>
      <c r="D258" s="885">
        <v>4.8810000000000002</v>
      </c>
      <c r="E258" s="885">
        <v>4.9429999999999996</v>
      </c>
      <c r="F258" s="885">
        <v>6.9050000000000002</v>
      </c>
      <c r="G258" s="436">
        <v>1.7490000000000001</v>
      </c>
      <c r="H258" s="436">
        <v>3.47</v>
      </c>
      <c r="I258" s="436">
        <v>6.5469999999999997</v>
      </c>
      <c r="J258" s="436">
        <v>11.058999999999999</v>
      </c>
      <c r="K258" s="885">
        <v>11.058999999999999</v>
      </c>
      <c r="L258" s="436">
        <v>4.8380000000000001</v>
      </c>
      <c r="M258" s="436">
        <v>10.308999999999999</v>
      </c>
      <c r="N258" s="436">
        <v>21.167999999999999</v>
      </c>
      <c r="O258" s="436">
        <v>27.254000000000001</v>
      </c>
      <c r="P258" s="885">
        <v>27.254000000000001</v>
      </c>
      <c r="Q258" s="436">
        <v>6.1269999999999998</v>
      </c>
      <c r="R258" s="436">
        <v>12.545</v>
      </c>
      <c r="S258" s="436">
        <v>18.831</v>
      </c>
      <c r="T258" s="436">
        <v>25.309000000000001</v>
      </c>
      <c r="U258" s="885">
        <v>25.309000000000001</v>
      </c>
      <c r="V258" s="436">
        <v>6.5460000000000003</v>
      </c>
      <c r="W258" s="436">
        <v>13.146000000000001</v>
      </c>
      <c r="X258" s="436">
        <v>19.457000000000001</v>
      </c>
      <c r="Y258" s="436">
        <f t="shared" si="149"/>
        <v>25.79</v>
      </c>
      <c r="Z258" s="885">
        <v>25.79</v>
      </c>
      <c r="AA258" s="436">
        <v>6.298</v>
      </c>
      <c r="AB258" s="436">
        <v>12.587</v>
      </c>
      <c r="AC258" s="436">
        <v>19.268999999999998</v>
      </c>
      <c r="AD258" s="436">
        <f t="shared" si="150"/>
        <v>27.062999999999999</v>
      </c>
      <c r="AE258" s="885">
        <v>27.062999999999999</v>
      </c>
      <c r="AF258" s="436">
        <v>9.8409999999999993</v>
      </c>
      <c r="AG258" s="436">
        <v>18.584</v>
      </c>
      <c r="AH258" s="436">
        <v>26.756</v>
      </c>
      <c r="AI258" s="436">
        <f t="shared" si="151"/>
        <v>35.031999999999996</v>
      </c>
      <c r="AJ258" s="885">
        <v>35.031999999999996</v>
      </c>
      <c r="AK258" s="436">
        <v>8.0760000000000005</v>
      </c>
      <c r="AL258" s="436">
        <v>15.98</v>
      </c>
      <c r="AM258" s="436">
        <v>24.183</v>
      </c>
      <c r="AN258" s="436">
        <f t="shared" si="152"/>
        <v>33.048999999999999</v>
      </c>
      <c r="AO258" s="885">
        <v>33.048999999999999</v>
      </c>
      <c r="AP258" s="436">
        <v>7.9710000000000001</v>
      </c>
      <c r="AQ258" s="886">
        <v>16.052</v>
      </c>
      <c r="AR258" s="855"/>
      <c r="AS258" s="436">
        <f t="shared" si="153"/>
        <v>0</v>
      </c>
      <c r="AT258" s="870"/>
      <c r="AU258" s="855"/>
      <c r="AV258" s="855"/>
      <c r="AW258" s="855"/>
      <c r="AX258" s="436">
        <f t="shared" si="154"/>
        <v>0</v>
      </c>
      <c r="AY258" s="870"/>
      <c r="AZ258" s="870"/>
      <c r="BA258" s="870"/>
      <c r="BB258" s="870"/>
      <c r="BC258" s="362"/>
    </row>
    <row r="259" spans="1:55" s="23" customFormat="1" hidden="1" outlineLevel="1">
      <c r="A259" s="229" t="s">
        <v>159</v>
      </c>
      <c r="B259" s="132"/>
      <c r="C259" s="885">
        <v>1.014</v>
      </c>
      <c r="D259" s="885">
        <v>1.1339999999999999</v>
      </c>
      <c r="E259" s="885">
        <v>0.80200000000000005</v>
      </c>
      <c r="F259" s="885">
        <v>1.6319999999999999</v>
      </c>
      <c r="G259" s="436">
        <v>0.11600000000000001</v>
      </c>
      <c r="H259" s="436">
        <v>0.51500000000000001</v>
      </c>
      <c r="I259" s="436">
        <v>0.38100000000000001</v>
      </c>
      <c r="J259" s="436">
        <v>0.216</v>
      </c>
      <c r="K259" s="885">
        <v>0.216</v>
      </c>
      <c r="L259" s="436">
        <v>0.312</v>
      </c>
      <c r="M259" s="436">
        <v>0.51</v>
      </c>
      <c r="N259" s="436">
        <v>0.73299999999999998</v>
      </c>
      <c r="O259" s="436">
        <v>1.9590000000000001</v>
      </c>
      <c r="P259" s="885">
        <v>1.9590000000000001</v>
      </c>
      <c r="Q259" s="436">
        <v>-7.3999999999999996E-2</v>
      </c>
      <c r="R259" s="436">
        <v>0.95699999999999996</v>
      </c>
      <c r="S259" s="436">
        <v>1.5129999999999999</v>
      </c>
      <c r="T259" s="436">
        <v>3.1869999999999998</v>
      </c>
      <c r="U259" s="885">
        <v>3.1869999999999998</v>
      </c>
      <c r="V259" s="436">
        <v>0.56299999999999994</v>
      </c>
      <c r="W259" s="436">
        <v>0.92800000000000005</v>
      </c>
      <c r="X259" s="436">
        <v>1.554</v>
      </c>
      <c r="Y259" s="436">
        <f t="shared" si="149"/>
        <v>2.4039999999999999</v>
      </c>
      <c r="Z259" s="885">
        <v>2.4039999999999999</v>
      </c>
      <c r="AA259" s="436">
        <v>0.53500000000000003</v>
      </c>
      <c r="AB259" s="436">
        <v>0.91800000000000004</v>
      </c>
      <c r="AC259" s="436">
        <v>0.94299999999999995</v>
      </c>
      <c r="AD259" s="436">
        <f t="shared" si="150"/>
        <v>2.9729999999999999</v>
      </c>
      <c r="AE259" s="885">
        <v>2.9729999999999999</v>
      </c>
      <c r="AF259" s="436">
        <v>0.56399999999999995</v>
      </c>
      <c r="AG259" s="436">
        <v>1.819</v>
      </c>
      <c r="AH259" s="436">
        <v>2.4319999999999999</v>
      </c>
      <c r="AI259" s="436">
        <f t="shared" si="151"/>
        <v>3.2709999999999999</v>
      </c>
      <c r="AJ259" s="885">
        <v>3.2709999999999999</v>
      </c>
      <c r="AK259" s="436">
        <v>2.4980000000000002</v>
      </c>
      <c r="AL259" s="436">
        <v>4.4290000000000003</v>
      </c>
      <c r="AM259" s="436">
        <v>4.6130000000000004</v>
      </c>
      <c r="AN259" s="436">
        <f t="shared" si="152"/>
        <v>16.946999999999999</v>
      </c>
      <c r="AO259" s="885">
        <v>16.946999999999999</v>
      </c>
      <c r="AP259" s="436">
        <v>0.872</v>
      </c>
      <c r="AQ259" s="886">
        <v>3.2970000000000002</v>
      </c>
      <c r="AR259" s="855"/>
      <c r="AS259" s="436">
        <f t="shared" si="153"/>
        <v>0</v>
      </c>
      <c r="AT259" s="870"/>
      <c r="AU259" s="855"/>
      <c r="AV259" s="855"/>
      <c r="AW259" s="855"/>
      <c r="AX259" s="436">
        <f t="shared" si="154"/>
        <v>0</v>
      </c>
      <c r="AY259" s="870"/>
      <c r="AZ259" s="870"/>
      <c r="BA259" s="870"/>
      <c r="BB259" s="870"/>
      <c r="BC259" s="362"/>
    </row>
    <row r="260" spans="1:55" s="23" customFormat="1" hidden="1" outlineLevel="1">
      <c r="A260" s="229" t="s">
        <v>160</v>
      </c>
      <c r="B260" s="132"/>
      <c r="C260" s="885">
        <v>0.77300000000000002</v>
      </c>
      <c r="D260" s="885">
        <v>0.88400000000000001</v>
      </c>
      <c r="E260" s="885">
        <v>1.0609999999999999</v>
      </c>
      <c r="F260" s="885">
        <v>1.351</v>
      </c>
      <c r="G260" s="436">
        <v>0.32600000000000001</v>
      </c>
      <c r="H260" s="436">
        <v>0.70899999999999996</v>
      </c>
      <c r="I260" s="436">
        <v>1.048</v>
      </c>
      <c r="J260" s="436">
        <v>1.3839999999999999</v>
      </c>
      <c r="K260" s="885">
        <v>1.3839999999999999</v>
      </c>
      <c r="L260" s="436">
        <v>0.39400000000000002</v>
      </c>
      <c r="M260" s="436">
        <v>0.86599999999999999</v>
      </c>
      <c r="N260" s="436">
        <v>1.304</v>
      </c>
      <c r="O260" s="436">
        <v>1.73</v>
      </c>
      <c r="P260" s="885">
        <v>1.73</v>
      </c>
      <c r="Q260" s="436">
        <v>0.50600000000000001</v>
      </c>
      <c r="R260" s="436">
        <v>1.143</v>
      </c>
      <c r="S260" s="436">
        <v>1.74</v>
      </c>
      <c r="T260" s="436">
        <v>2.274</v>
      </c>
      <c r="U260" s="885">
        <v>2.274</v>
      </c>
      <c r="V260" s="436">
        <v>0.59699999999999998</v>
      </c>
      <c r="W260" s="436">
        <v>1.256</v>
      </c>
      <c r="X260" s="436">
        <v>1.8759999999999999</v>
      </c>
      <c r="Y260" s="436">
        <f t="shared" si="149"/>
        <v>2.2810000000000001</v>
      </c>
      <c r="Z260" s="885">
        <v>2.2810000000000001</v>
      </c>
      <c r="AA260" s="436">
        <v>0.65600000000000003</v>
      </c>
      <c r="AB260" s="436">
        <v>1.456</v>
      </c>
      <c r="AC260" s="436">
        <v>2.2029999999999998</v>
      </c>
      <c r="AD260" s="436">
        <f t="shared" si="150"/>
        <v>2.5979999999999999</v>
      </c>
      <c r="AE260" s="885">
        <v>2.5979999999999999</v>
      </c>
      <c r="AF260" s="436">
        <v>0.93100000000000005</v>
      </c>
      <c r="AG260" s="436">
        <v>1.637</v>
      </c>
      <c r="AH260" s="436">
        <v>2.3490000000000002</v>
      </c>
      <c r="AI260" s="436">
        <f t="shared" si="151"/>
        <v>3.0979999999999999</v>
      </c>
      <c r="AJ260" s="885">
        <v>3.0979999999999999</v>
      </c>
      <c r="AK260" s="436">
        <v>1.1930000000000001</v>
      </c>
      <c r="AL260" s="436">
        <v>2.145</v>
      </c>
      <c r="AM260" s="436">
        <v>2.9430000000000001</v>
      </c>
      <c r="AN260" s="436">
        <f t="shared" si="152"/>
        <v>3.843</v>
      </c>
      <c r="AO260" s="885">
        <v>3.843</v>
      </c>
      <c r="AP260" s="436">
        <v>1.7030000000000001</v>
      </c>
      <c r="AQ260" s="886">
        <v>2.806</v>
      </c>
      <c r="AR260" s="855"/>
      <c r="AS260" s="436">
        <f t="shared" si="153"/>
        <v>0</v>
      </c>
      <c r="AT260" s="870"/>
      <c r="AU260" s="855"/>
      <c r="AV260" s="855"/>
      <c r="AW260" s="855"/>
      <c r="AX260" s="436">
        <f t="shared" si="154"/>
        <v>0</v>
      </c>
      <c r="AY260" s="870"/>
      <c r="AZ260" s="870"/>
      <c r="BA260" s="870"/>
      <c r="BB260" s="870"/>
      <c r="BC260" s="362"/>
    </row>
    <row r="261" spans="1:55" s="23" customFormat="1" hidden="1" outlineLevel="1">
      <c r="A261" s="229" t="s">
        <v>161</v>
      </c>
      <c r="B261" s="132"/>
      <c r="C261" s="885">
        <v>-7.9139999999999997</v>
      </c>
      <c r="D261" s="885">
        <v>1.385</v>
      </c>
      <c r="E261" s="885">
        <v>0.42299999999999999</v>
      </c>
      <c r="F261" s="885">
        <v>-1.544</v>
      </c>
      <c r="G261" s="436">
        <v>1.0149999999999999</v>
      </c>
      <c r="H261" s="436">
        <v>1.087</v>
      </c>
      <c r="I261" s="436">
        <v>1.109</v>
      </c>
      <c r="J261" s="436">
        <v>-0.72199999999999998</v>
      </c>
      <c r="K261" s="885">
        <v>-0.72199999999999998</v>
      </c>
      <c r="L261" s="436">
        <v>-0.81599999999999995</v>
      </c>
      <c r="M261" s="436">
        <v>-2.7650000000000001</v>
      </c>
      <c r="N261" s="436">
        <v>-4.5979999999999999</v>
      </c>
      <c r="O261" s="436">
        <v>-4.6769999999999996</v>
      </c>
      <c r="P261" s="885">
        <v>-4.6769999999999996</v>
      </c>
      <c r="Q261" s="436">
        <v>-0.04</v>
      </c>
      <c r="R261" s="436">
        <v>-0.57599999999999996</v>
      </c>
      <c r="S261" s="436">
        <v>-0.24299999999999999</v>
      </c>
      <c r="T261" s="436">
        <v>-0.252</v>
      </c>
      <c r="U261" s="885">
        <v>-0.252</v>
      </c>
      <c r="V261" s="436">
        <v>-0.46800000000000003</v>
      </c>
      <c r="W261" s="436">
        <v>-0.98</v>
      </c>
      <c r="X261" s="436">
        <v>-3.5270000000000001</v>
      </c>
      <c r="Y261" s="436">
        <f t="shared" si="149"/>
        <v>-4.7560000000000002</v>
      </c>
      <c r="Z261" s="885">
        <v>-4.7560000000000002</v>
      </c>
      <c r="AA261" s="436">
        <v>-0.51600000000000001</v>
      </c>
      <c r="AB261" s="436">
        <v>-0.53600000000000003</v>
      </c>
      <c r="AC261" s="436">
        <v>-0.92</v>
      </c>
      <c r="AD261" s="436">
        <f t="shared" si="150"/>
        <v>-5.4939999999999998</v>
      </c>
      <c r="AE261" s="885">
        <v>-5.4939999999999998</v>
      </c>
      <c r="AF261" s="436">
        <v>-1.1279999999999999</v>
      </c>
      <c r="AG261" s="436">
        <v>-0.51600000000000001</v>
      </c>
      <c r="AH261" s="436">
        <v>-1.536</v>
      </c>
      <c r="AI261" s="436">
        <f t="shared" si="151"/>
        <v>-2.68</v>
      </c>
      <c r="AJ261" s="885">
        <v>-2.68</v>
      </c>
      <c r="AK261" s="436">
        <v>-3.3980000000000001</v>
      </c>
      <c r="AL261" s="436">
        <v>-3.371</v>
      </c>
      <c r="AM261" s="436">
        <v>-3.82</v>
      </c>
      <c r="AN261" s="436">
        <f t="shared" si="152"/>
        <v>-14.385</v>
      </c>
      <c r="AO261" s="885">
        <v>-14.385</v>
      </c>
      <c r="AP261" s="436">
        <v>2.0499999999999998</v>
      </c>
      <c r="AQ261" s="886">
        <v>1.19</v>
      </c>
      <c r="AR261" s="855"/>
      <c r="AS261" s="436">
        <f t="shared" si="153"/>
        <v>0</v>
      </c>
      <c r="AT261" s="870"/>
      <c r="AU261" s="855"/>
      <c r="AV261" s="855"/>
      <c r="AW261" s="855"/>
      <c r="AX261" s="436">
        <f t="shared" si="154"/>
        <v>0</v>
      </c>
      <c r="AY261" s="870"/>
      <c r="AZ261" s="870"/>
      <c r="BA261" s="870"/>
      <c r="BB261" s="870"/>
      <c r="BC261" s="362"/>
    </row>
    <row r="262" spans="1:55" s="23" customFormat="1" hidden="1" outlineLevel="1">
      <c r="A262" s="229" t="s">
        <v>131</v>
      </c>
      <c r="B262" s="132"/>
      <c r="C262" s="885">
        <v>19.381</v>
      </c>
      <c r="D262" s="885"/>
      <c r="E262" s="885">
        <v>2.5</v>
      </c>
      <c r="F262" s="885"/>
      <c r="G262" s="436"/>
      <c r="H262" s="436"/>
      <c r="I262" s="436"/>
      <c r="J262" s="436">
        <v>0</v>
      </c>
      <c r="K262" s="885"/>
      <c r="L262" s="436"/>
      <c r="M262" s="436"/>
      <c r="N262" s="436"/>
      <c r="O262" s="436">
        <v>0</v>
      </c>
      <c r="P262" s="885"/>
      <c r="Q262" s="436"/>
      <c r="R262" s="436"/>
      <c r="S262" s="436"/>
      <c r="T262" s="436">
        <v>0</v>
      </c>
      <c r="U262" s="885"/>
      <c r="V262" s="436"/>
      <c r="W262" s="436"/>
      <c r="X262" s="436"/>
      <c r="Y262" s="436">
        <f t="shared" si="149"/>
        <v>0</v>
      </c>
      <c r="Z262" s="885"/>
      <c r="AA262" s="436"/>
      <c r="AB262" s="436"/>
      <c r="AC262" s="436"/>
      <c r="AD262" s="436">
        <f t="shared" si="150"/>
        <v>16.236999999999998</v>
      </c>
      <c r="AE262" s="885">
        <v>16.236999999999998</v>
      </c>
      <c r="AF262" s="436"/>
      <c r="AG262" s="436"/>
      <c r="AH262" s="436"/>
      <c r="AI262" s="436">
        <f t="shared" si="151"/>
        <v>0</v>
      </c>
      <c r="AJ262" s="885">
        <v>0</v>
      </c>
      <c r="AK262" s="436"/>
      <c r="AL262" s="436"/>
      <c r="AM262" s="436"/>
      <c r="AN262" s="436">
        <f t="shared" si="152"/>
        <v>11.083</v>
      </c>
      <c r="AO262" s="885">
        <v>11.083</v>
      </c>
      <c r="AP262" s="436">
        <v>74.408000000000001</v>
      </c>
      <c r="AQ262" s="886">
        <v>87.016000000000005</v>
      </c>
      <c r="AR262" s="855"/>
      <c r="AS262" s="436">
        <f t="shared" si="153"/>
        <v>0</v>
      </c>
      <c r="AT262" s="870"/>
      <c r="AU262" s="855"/>
      <c r="AV262" s="855"/>
      <c r="AW262" s="855"/>
      <c r="AX262" s="436">
        <f t="shared" si="154"/>
        <v>0</v>
      </c>
      <c r="AY262" s="870"/>
      <c r="AZ262" s="870"/>
      <c r="BA262" s="870"/>
      <c r="BB262" s="870"/>
      <c r="BC262" s="362"/>
    </row>
    <row r="263" spans="1:55" s="23" customFormat="1" hidden="1" outlineLevel="1">
      <c r="A263" s="229" t="s">
        <v>486</v>
      </c>
      <c r="B263" s="132"/>
      <c r="C263" s="885"/>
      <c r="D263" s="885"/>
      <c r="E263" s="885"/>
      <c r="F263" s="885"/>
      <c r="G263" s="436"/>
      <c r="H263" s="436"/>
      <c r="I263" s="436"/>
      <c r="J263" s="436"/>
      <c r="K263" s="885"/>
      <c r="L263" s="436"/>
      <c r="M263" s="436"/>
      <c r="N263" s="436"/>
      <c r="O263" s="436"/>
      <c r="P263" s="885"/>
      <c r="Q263" s="436"/>
      <c r="R263" s="436"/>
      <c r="S263" s="436"/>
      <c r="T263" s="436"/>
      <c r="U263" s="885"/>
      <c r="V263" s="436"/>
      <c r="W263" s="436"/>
      <c r="X263" s="436"/>
      <c r="Y263" s="436"/>
      <c r="Z263" s="885"/>
      <c r="AA263" s="436"/>
      <c r="AB263" s="436"/>
      <c r="AC263" s="436"/>
      <c r="AD263" s="436"/>
      <c r="AE263" s="885"/>
      <c r="AF263" s="436"/>
      <c r="AG263" s="436"/>
      <c r="AH263" s="436"/>
      <c r="AI263" s="436"/>
      <c r="AJ263" s="885"/>
      <c r="AK263" s="436"/>
      <c r="AL263" s="436"/>
      <c r="AM263" s="436"/>
      <c r="AN263" s="436"/>
      <c r="AO263" s="885"/>
      <c r="AP263" s="436">
        <v>1.21</v>
      </c>
      <c r="AQ263" s="886">
        <v>2.2360000000000002</v>
      </c>
      <c r="AR263" s="855"/>
      <c r="AS263" s="436">
        <f t="shared" si="153"/>
        <v>0</v>
      </c>
      <c r="AT263" s="870"/>
      <c r="AU263" s="855"/>
      <c r="AV263" s="855"/>
      <c r="AW263" s="855"/>
      <c r="AX263" s="436">
        <f t="shared" si="154"/>
        <v>0</v>
      </c>
      <c r="AY263" s="870"/>
      <c r="AZ263" s="870"/>
      <c r="BA263" s="870"/>
      <c r="BB263" s="870"/>
      <c r="BC263" s="362"/>
    </row>
    <row r="264" spans="1:55" s="23" customFormat="1" hidden="1" outlineLevel="1">
      <c r="A264" s="229" t="s">
        <v>393</v>
      </c>
      <c r="B264" s="132"/>
      <c r="C264" s="885"/>
      <c r="D264" s="885"/>
      <c r="E264" s="885"/>
      <c r="F264" s="885"/>
      <c r="G264" s="436"/>
      <c r="H264" s="436"/>
      <c r="I264" s="436"/>
      <c r="J264" s="436"/>
      <c r="K264" s="885"/>
      <c r="L264" s="436"/>
      <c r="M264" s="436"/>
      <c r="N264" s="436"/>
      <c r="O264" s="436"/>
      <c r="P264" s="885"/>
      <c r="Q264" s="436"/>
      <c r="R264" s="436"/>
      <c r="S264" s="436"/>
      <c r="T264" s="436"/>
      <c r="U264" s="885"/>
      <c r="V264" s="436"/>
      <c r="W264" s="436"/>
      <c r="X264" s="436"/>
      <c r="Y264" s="436"/>
      <c r="Z264" s="885"/>
      <c r="AA264" s="436"/>
      <c r="AB264" s="436"/>
      <c r="AC264" s="436"/>
      <c r="AD264" s="436"/>
      <c r="AE264" s="885"/>
      <c r="AF264" s="436"/>
      <c r="AG264" s="436"/>
      <c r="AH264" s="436"/>
      <c r="AI264" s="436"/>
      <c r="AJ264" s="885"/>
      <c r="AK264" s="436">
        <v>-80.132999999999996</v>
      </c>
      <c r="AL264" s="436">
        <v>-80.132999999999996</v>
      </c>
      <c r="AM264" s="436">
        <v>-78.801000000000002</v>
      </c>
      <c r="AN264" s="436">
        <f>AO264</f>
        <v>-78.801000000000002</v>
      </c>
      <c r="AO264" s="885">
        <v>-78.801000000000002</v>
      </c>
      <c r="AP264" s="436"/>
      <c r="AQ264" s="886"/>
      <c r="AR264" s="855"/>
      <c r="AS264" s="436">
        <f t="shared" si="153"/>
        <v>0</v>
      </c>
      <c r="AT264" s="870"/>
      <c r="AU264" s="855"/>
      <c r="AV264" s="855"/>
      <c r="AW264" s="855"/>
      <c r="AX264" s="436">
        <f t="shared" si="154"/>
        <v>0</v>
      </c>
      <c r="AY264" s="870"/>
      <c r="AZ264" s="870"/>
      <c r="BA264" s="870"/>
      <c r="BB264" s="870"/>
      <c r="BC264" s="362"/>
    </row>
    <row r="265" spans="1:55" s="23" customFormat="1" hidden="1" outlineLevel="1">
      <c r="A265" s="229" t="s">
        <v>449</v>
      </c>
      <c r="B265" s="132"/>
      <c r="C265" s="885"/>
      <c r="D265" s="885"/>
      <c r="E265" s="885"/>
      <c r="F265" s="885"/>
      <c r="G265" s="436"/>
      <c r="H265" s="436"/>
      <c r="I265" s="436"/>
      <c r="J265" s="436"/>
      <c r="K265" s="885"/>
      <c r="L265" s="436"/>
      <c r="M265" s="436"/>
      <c r="N265" s="436"/>
      <c r="O265" s="436"/>
      <c r="P265" s="885"/>
      <c r="Q265" s="436"/>
      <c r="R265" s="436"/>
      <c r="S265" s="436"/>
      <c r="T265" s="436"/>
      <c r="U265" s="885"/>
      <c r="V265" s="436"/>
      <c r="W265" s="436"/>
      <c r="X265" s="436"/>
      <c r="Y265" s="436"/>
      <c r="Z265" s="885"/>
      <c r="AA265" s="436"/>
      <c r="AB265" s="436"/>
      <c r="AC265" s="436"/>
      <c r="AD265" s="436"/>
      <c r="AE265" s="885"/>
      <c r="AF265" s="436"/>
      <c r="AG265" s="436"/>
      <c r="AH265" s="436"/>
      <c r="AI265" s="436">
        <f>AJ265</f>
        <v>0</v>
      </c>
      <c r="AJ265" s="885"/>
      <c r="AK265" s="436"/>
      <c r="AL265" s="436"/>
      <c r="AM265" s="436"/>
      <c r="AN265" s="436">
        <f>AO265</f>
        <v>19.619</v>
      </c>
      <c r="AO265" s="885">
        <v>19.619</v>
      </c>
      <c r="AP265" s="436"/>
      <c r="AQ265" s="886"/>
      <c r="AR265" s="855"/>
      <c r="AS265" s="436">
        <f t="shared" si="153"/>
        <v>0</v>
      </c>
      <c r="AT265" s="870"/>
      <c r="AU265" s="855"/>
      <c r="AV265" s="855"/>
      <c r="AW265" s="855"/>
      <c r="AX265" s="436">
        <f t="shared" si="154"/>
        <v>0</v>
      </c>
      <c r="AY265" s="870"/>
      <c r="AZ265" s="870"/>
      <c r="BA265" s="870"/>
      <c r="BB265" s="870"/>
      <c r="BC265" s="362"/>
    </row>
    <row r="266" spans="1:55" s="23" customFormat="1" hidden="1" outlineLevel="1">
      <c r="A266" s="229" t="s">
        <v>499</v>
      </c>
      <c r="B266" s="132"/>
      <c r="C266" s="885"/>
      <c r="D266" s="885"/>
      <c r="E266" s="885"/>
      <c r="F266" s="885"/>
      <c r="G266" s="436"/>
      <c r="H266" s="436"/>
      <c r="I266" s="436"/>
      <c r="J266" s="436"/>
      <c r="K266" s="885"/>
      <c r="L266" s="436"/>
      <c r="M266" s="436"/>
      <c r="N266" s="436"/>
      <c r="O266" s="436"/>
      <c r="P266" s="885"/>
      <c r="Q266" s="436"/>
      <c r="R266" s="436"/>
      <c r="S266" s="436"/>
      <c r="T266" s="436"/>
      <c r="U266" s="885"/>
      <c r="V266" s="436"/>
      <c r="W266" s="436"/>
      <c r="X266" s="436"/>
      <c r="Y266" s="436"/>
      <c r="Z266" s="885"/>
      <c r="AA266" s="436"/>
      <c r="AB266" s="436"/>
      <c r="AC266" s="436"/>
      <c r="AD266" s="436"/>
      <c r="AE266" s="885"/>
      <c r="AF266" s="436"/>
      <c r="AG266" s="436"/>
      <c r="AH266" s="436"/>
      <c r="AI266" s="436"/>
      <c r="AJ266" s="885"/>
      <c r="AK266" s="436"/>
      <c r="AL266" s="436"/>
      <c r="AM266" s="436"/>
      <c r="AN266" s="436"/>
      <c r="AO266" s="885"/>
      <c r="AP266" s="436"/>
      <c r="AQ266" s="886">
        <v>4.6689999999999996</v>
      </c>
      <c r="AR266" s="855"/>
      <c r="AS266" s="436"/>
      <c r="AT266" s="870"/>
      <c r="AU266" s="855"/>
      <c r="AV266" s="855"/>
      <c r="AW266" s="855"/>
      <c r="AX266" s="436"/>
      <c r="AY266" s="870"/>
      <c r="AZ266" s="870"/>
      <c r="BA266" s="870"/>
      <c r="BB266" s="870"/>
      <c r="BC266" s="362"/>
    </row>
    <row r="267" spans="1:55" s="23" customFormat="1" hidden="1" outlineLevel="1">
      <c r="A267" s="229" t="s">
        <v>450</v>
      </c>
      <c r="B267" s="132"/>
      <c r="C267" s="885"/>
      <c r="D267" s="885"/>
      <c r="E267" s="885"/>
      <c r="F267" s="885"/>
      <c r="G267" s="436"/>
      <c r="H267" s="436"/>
      <c r="I267" s="436"/>
      <c r="J267" s="436"/>
      <c r="K267" s="885"/>
      <c r="L267" s="436"/>
      <c r="M267" s="436"/>
      <c r="N267" s="436"/>
      <c r="O267" s="436"/>
      <c r="P267" s="885"/>
      <c r="Q267" s="436"/>
      <c r="R267" s="436"/>
      <c r="S267" s="436"/>
      <c r="T267" s="436"/>
      <c r="U267" s="885"/>
      <c r="V267" s="436"/>
      <c r="W267" s="436"/>
      <c r="X267" s="436"/>
      <c r="Y267" s="436"/>
      <c r="Z267" s="885"/>
      <c r="AA267" s="436"/>
      <c r="AB267" s="436"/>
      <c r="AC267" s="436"/>
      <c r="AD267" s="436"/>
      <c r="AE267" s="885"/>
      <c r="AF267" s="436"/>
      <c r="AG267" s="436"/>
      <c r="AH267" s="436"/>
      <c r="AI267" s="436">
        <f>AJ267</f>
        <v>0</v>
      </c>
      <c r="AJ267" s="885"/>
      <c r="AK267" s="436"/>
      <c r="AL267" s="436"/>
      <c r="AM267" s="436"/>
      <c r="AN267" s="436">
        <f>AO267</f>
        <v>6.5389999999999997</v>
      </c>
      <c r="AO267" s="885">
        <v>6.5389999999999997</v>
      </c>
      <c r="AP267" s="436"/>
      <c r="AQ267" s="886"/>
      <c r="AR267" s="855"/>
      <c r="AS267" s="436">
        <f>AT267</f>
        <v>0</v>
      </c>
      <c r="AT267" s="870"/>
      <c r="AU267" s="855"/>
      <c r="AV267" s="855"/>
      <c r="AW267" s="855"/>
      <c r="AX267" s="436">
        <f>AY267</f>
        <v>0</v>
      </c>
      <c r="AY267" s="870"/>
      <c r="AZ267" s="870"/>
      <c r="BA267" s="870"/>
      <c r="BB267" s="870"/>
      <c r="BC267" s="362"/>
    </row>
    <row r="268" spans="1:55" s="23" customFormat="1" hidden="1" outlineLevel="1">
      <c r="A268" s="229" t="s">
        <v>451</v>
      </c>
      <c r="B268" s="132"/>
      <c r="C268" s="885"/>
      <c r="D268" s="885"/>
      <c r="E268" s="885"/>
      <c r="F268" s="885"/>
      <c r="G268" s="436"/>
      <c r="H268" s="436"/>
      <c r="I268" s="436"/>
      <c r="J268" s="436"/>
      <c r="K268" s="885"/>
      <c r="L268" s="436"/>
      <c r="M268" s="436"/>
      <c r="N268" s="436"/>
      <c r="O268" s="436"/>
      <c r="P268" s="885"/>
      <c r="Q268" s="436"/>
      <c r="R268" s="436"/>
      <c r="S268" s="436"/>
      <c r="T268" s="436"/>
      <c r="U268" s="885"/>
      <c r="V268" s="436"/>
      <c r="W268" s="436"/>
      <c r="X268" s="436"/>
      <c r="Y268" s="436"/>
      <c r="Z268" s="885"/>
      <c r="AA268" s="436"/>
      <c r="AB268" s="436"/>
      <c r="AC268" s="436"/>
      <c r="AD268" s="436"/>
      <c r="AE268" s="885"/>
      <c r="AF268" s="436"/>
      <c r="AG268" s="436"/>
      <c r="AH268" s="436"/>
      <c r="AI268" s="436">
        <f>AJ268</f>
        <v>0</v>
      </c>
      <c r="AJ268" s="885"/>
      <c r="AK268" s="436"/>
      <c r="AL268" s="436"/>
      <c r="AM268" s="436"/>
      <c r="AN268" s="436">
        <f>AO268</f>
        <v>5</v>
      </c>
      <c r="AO268" s="885">
        <v>5</v>
      </c>
      <c r="AP268" s="436"/>
      <c r="AQ268" s="886">
        <v>3.4929999999999999</v>
      </c>
      <c r="AR268" s="855"/>
      <c r="AS268" s="436">
        <f>AT268</f>
        <v>0</v>
      </c>
      <c r="AT268" s="870"/>
      <c r="AU268" s="855"/>
      <c r="AV268" s="855"/>
      <c r="AW268" s="855"/>
      <c r="AX268" s="436">
        <f>AY268</f>
        <v>0</v>
      </c>
      <c r="AY268" s="870"/>
      <c r="AZ268" s="870"/>
      <c r="BA268" s="870"/>
      <c r="BB268" s="870"/>
      <c r="BC268" s="362"/>
    </row>
    <row r="269" spans="1:55" s="23" customFormat="1" hidden="1" outlineLevel="1">
      <c r="A269" s="229" t="s">
        <v>162</v>
      </c>
      <c r="B269" s="132"/>
      <c r="C269" s="885">
        <v>-1</v>
      </c>
      <c r="D269" s="885"/>
      <c r="E269" s="885"/>
      <c r="F269" s="885"/>
      <c r="G269" s="436"/>
      <c r="H269" s="436"/>
      <c r="I269" s="436"/>
      <c r="J269" s="436">
        <v>-3.9E-2</v>
      </c>
      <c r="K269" s="885">
        <v>-3.9E-2</v>
      </c>
      <c r="L269" s="436"/>
      <c r="M269" s="436">
        <v>-8.3000000000000004E-2</v>
      </c>
      <c r="N269" s="436">
        <v>-0.47699999999999998</v>
      </c>
      <c r="O269" s="436">
        <v>-4.9710000000000001</v>
      </c>
      <c r="P269" s="885">
        <v>-4.9710000000000001</v>
      </c>
      <c r="Q269" s="436"/>
      <c r="R269" s="436">
        <v>-1.268</v>
      </c>
      <c r="S269" s="436">
        <v>-1.5760000000000001</v>
      </c>
      <c r="T269" s="436">
        <v>-1.7509999999999999</v>
      </c>
      <c r="U269" s="885">
        <v>-1.7509999999999999</v>
      </c>
      <c r="V269" s="436"/>
      <c r="W269" s="436"/>
      <c r="X269" s="436"/>
      <c r="Y269" s="436">
        <f>Z269</f>
        <v>0</v>
      </c>
      <c r="Z269" s="885"/>
      <c r="AA269" s="436"/>
      <c r="AB269" s="436"/>
      <c r="AC269" s="436"/>
      <c r="AD269" s="436">
        <f>AE269</f>
        <v>0</v>
      </c>
      <c r="AE269" s="885"/>
      <c r="AF269" s="436"/>
      <c r="AG269" s="436"/>
      <c r="AH269" s="436"/>
      <c r="AI269" s="436">
        <f>AJ269</f>
        <v>0</v>
      </c>
      <c r="AJ269" s="885"/>
      <c r="AK269" s="436"/>
      <c r="AL269" s="436"/>
      <c r="AM269" s="436"/>
      <c r="AN269" s="436">
        <f>AO269</f>
        <v>0</v>
      </c>
      <c r="AO269" s="885"/>
      <c r="AP269" s="436"/>
      <c r="AQ269" s="886">
        <v>1.45</v>
      </c>
      <c r="AR269" s="855"/>
      <c r="AS269" s="436">
        <f>AT269</f>
        <v>0</v>
      </c>
      <c r="AT269" s="870"/>
      <c r="AU269" s="855"/>
      <c r="AV269" s="855"/>
      <c r="AW269" s="855"/>
      <c r="AX269" s="436">
        <f>AY269</f>
        <v>0</v>
      </c>
      <c r="AY269" s="870"/>
      <c r="AZ269" s="870"/>
      <c r="BA269" s="870"/>
      <c r="BB269" s="870"/>
      <c r="BC269" s="362"/>
    </row>
    <row r="270" spans="1:55" s="23" customFormat="1" hidden="1" outlineLevel="1">
      <c r="A270" s="229" t="s">
        <v>163</v>
      </c>
      <c r="B270" s="132"/>
      <c r="C270" s="885">
        <v>-0.10900000000000001</v>
      </c>
      <c r="D270" s="885">
        <v>6.7000000000000004E-2</v>
      </c>
      <c r="E270" s="885">
        <v>-0.22</v>
      </c>
      <c r="F270" s="885">
        <v>0.154</v>
      </c>
      <c r="G270" s="436">
        <v>-0.27700000000000002</v>
      </c>
      <c r="H270" s="436">
        <v>-0.376</v>
      </c>
      <c r="I270" s="436">
        <v>-0.86299999999999999</v>
      </c>
      <c r="J270" s="436">
        <v>-0.57799999999999996</v>
      </c>
      <c r="K270" s="885">
        <v>-0.57799999999999996</v>
      </c>
      <c r="L270" s="436">
        <v>-0.879</v>
      </c>
      <c r="M270" s="436">
        <v>-0.56499999999999995</v>
      </c>
      <c r="N270" s="436">
        <v>-0.61799999999999999</v>
      </c>
      <c r="O270" s="436">
        <v>0.26800000000000002</v>
      </c>
      <c r="P270" s="885">
        <v>0.26800000000000002</v>
      </c>
      <c r="Q270" s="436">
        <v>0.11</v>
      </c>
      <c r="R270" s="436">
        <v>0.158</v>
      </c>
      <c r="S270" s="436">
        <v>2.1000000000000001E-2</v>
      </c>
      <c r="T270" s="436">
        <v>-0.29399999999999998</v>
      </c>
      <c r="U270" s="885">
        <v>-0.29399999999999998</v>
      </c>
      <c r="V270" s="436">
        <v>0.11899999999999999</v>
      </c>
      <c r="W270" s="436">
        <v>0.32</v>
      </c>
      <c r="X270" s="436">
        <v>0.40100000000000002</v>
      </c>
      <c r="Y270" s="436">
        <f>Z270</f>
        <v>0.16500000000000001</v>
      </c>
      <c r="Z270" s="885">
        <v>0.16500000000000001</v>
      </c>
      <c r="AA270" s="436">
        <v>-0.29099999999999998</v>
      </c>
      <c r="AB270" s="436">
        <v>-0.80400000000000005</v>
      </c>
      <c r="AC270" s="436">
        <v>-0.65700000000000003</v>
      </c>
      <c r="AD270" s="436">
        <f>AE270</f>
        <v>-0.93700000000000006</v>
      </c>
      <c r="AE270" s="885">
        <v>-0.93700000000000006</v>
      </c>
      <c r="AF270" s="436">
        <v>-0.46700000000000003</v>
      </c>
      <c r="AG270" s="436">
        <v>-0.43099999999999999</v>
      </c>
      <c r="AH270" s="436">
        <v>-0.50700000000000001</v>
      </c>
      <c r="AI270" s="436">
        <f>AJ270</f>
        <v>-0.66800000000000004</v>
      </c>
      <c r="AJ270" s="885">
        <v>-0.66800000000000004</v>
      </c>
      <c r="AK270" s="888">
        <v>0.252</v>
      </c>
      <c r="AL270" s="436">
        <v>0.26300000000000001</v>
      </c>
      <c r="AM270" s="436">
        <v>-0.79200000000000004</v>
      </c>
      <c r="AN270" s="436">
        <f>AO270</f>
        <v>5.8179999999999996</v>
      </c>
      <c r="AO270" s="885">
        <v>5.8179999999999996</v>
      </c>
      <c r="AP270" s="888">
        <v>0.96799999999999997</v>
      </c>
      <c r="AQ270" s="886">
        <v>4.4589999999999996</v>
      </c>
      <c r="AR270" s="855"/>
      <c r="AS270" s="436">
        <f>AT270</f>
        <v>0</v>
      </c>
      <c r="AT270" s="870"/>
      <c r="AU270" s="855"/>
      <c r="AV270" s="855"/>
      <c r="AW270" s="855"/>
      <c r="AX270" s="436">
        <f>AY270</f>
        <v>0</v>
      </c>
      <c r="AY270" s="870"/>
      <c r="AZ270" s="870"/>
      <c r="BA270" s="870"/>
      <c r="BB270" s="870"/>
      <c r="BC270" s="362"/>
    </row>
    <row r="271" spans="1:55" s="4" customFormat="1" hidden="1" outlineLevel="1">
      <c r="A271" s="402" t="s">
        <v>50</v>
      </c>
      <c r="B271" s="429"/>
      <c r="C271" s="858">
        <f t="shared" ref="C271:AH271" si="155">SUM(C257:C270)</f>
        <v>15.685</v>
      </c>
      <c r="D271" s="858">
        <f t="shared" si="155"/>
        <v>23.299000000000003</v>
      </c>
      <c r="E271" s="858">
        <f t="shared" si="155"/>
        <v>31.099999999999998</v>
      </c>
      <c r="F271" s="858">
        <f t="shared" si="155"/>
        <v>30.372</v>
      </c>
      <c r="G271" s="402">
        <f t="shared" si="155"/>
        <v>11.493000000000002</v>
      </c>
      <c r="H271" s="402">
        <f t="shared" si="155"/>
        <v>19.126999999999999</v>
      </c>
      <c r="I271" s="402">
        <f t="shared" si="155"/>
        <v>29.099000000000004</v>
      </c>
      <c r="J271" s="402">
        <f t="shared" si="155"/>
        <v>38.585999999999991</v>
      </c>
      <c r="K271" s="858">
        <f t="shared" si="155"/>
        <v>38.585999999999991</v>
      </c>
      <c r="L271" s="402">
        <f t="shared" si="155"/>
        <v>11.355999999999998</v>
      </c>
      <c r="M271" s="402">
        <f t="shared" si="155"/>
        <v>28.923000000000005</v>
      </c>
      <c r="N271" s="402">
        <f t="shared" si="155"/>
        <v>55.243000000000002</v>
      </c>
      <c r="O271" s="402">
        <f t="shared" si="155"/>
        <v>77.733000000000004</v>
      </c>
      <c r="P271" s="858">
        <f t="shared" si="155"/>
        <v>77.733000000000004</v>
      </c>
      <c r="Q271" s="402">
        <f t="shared" si="155"/>
        <v>17.311999999999998</v>
      </c>
      <c r="R271" s="402">
        <f t="shared" si="155"/>
        <v>41.332000000000001</v>
      </c>
      <c r="S271" s="402">
        <f t="shared" si="155"/>
        <v>73.353000000000009</v>
      </c>
      <c r="T271" s="402">
        <f t="shared" si="155"/>
        <v>95.447000000000003</v>
      </c>
      <c r="U271" s="858">
        <f t="shared" si="155"/>
        <v>95.447000000000003</v>
      </c>
      <c r="V271" s="402">
        <f t="shared" si="155"/>
        <v>18.841999999999999</v>
      </c>
      <c r="W271" s="402">
        <f t="shared" si="155"/>
        <v>41.135000000000005</v>
      </c>
      <c r="X271" s="402">
        <f t="shared" si="155"/>
        <v>58.300000000000004</v>
      </c>
      <c r="Y271" s="402">
        <f t="shared" si="155"/>
        <v>74.308000000000007</v>
      </c>
      <c r="Z271" s="858">
        <f t="shared" si="155"/>
        <v>74.308000000000007</v>
      </c>
      <c r="AA271" s="402">
        <f t="shared" si="155"/>
        <v>18.268999999999995</v>
      </c>
      <c r="AB271" s="402">
        <f t="shared" si="155"/>
        <v>32.893000000000001</v>
      </c>
      <c r="AC271" s="402">
        <f t="shared" si="155"/>
        <v>46.17</v>
      </c>
      <c r="AD271" s="402">
        <f t="shared" si="155"/>
        <v>62.119</v>
      </c>
      <c r="AE271" s="858">
        <f t="shared" si="155"/>
        <v>62.119</v>
      </c>
      <c r="AF271" s="402">
        <f t="shared" si="155"/>
        <v>13.034999999999998</v>
      </c>
      <c r="AG271" s="402">
        <f t="shared" si="155"/>
        <v>38.412000000000006</v>
      </c>
      <c r="AH271" s="402">
        <f t="shared" si="155"/>
        <v>63.812000000000005</v>
      </c>
      <c r="AI271" s="402">
        <f t="shared" ref="AI271:BB271" si="156">SUM(AI257:AI270)</f>
        <v>84.85599999999998</v>
      </c>
      <c r="AJ271" s="858">
        <f t="shared" si="156"/>
        <v>84.85599999999998</v>
      </c>
      <c r="AK271" s="402">
        <f t="shared" si="156"/>
        <v>6.634000000000019</v>
      </c>
      <c r="AL271" s="402">
        <f t="shared" si="156"/>
        <v>24.185000000000013</v>
      </c>
      <c r="AM271" s="402">
        <f t="shared" si="156"/>
        <v>34.407999999999987</v>
      </c>
      <c r="AN271" s="402">
        <f t="shared" si="156"/>
        <v>60.728999999999999</v>
      </c>
      <c r="AO271" s="858">
        <f t="shared" si="156"/>
        <v>60.728999999999999</v>
      </c>
      <c r="AP271" s="402">
        <f t="shared" si="156"/>
        <v>22.219000000000012</v>
      </c>
      <c r="AQ271" s="891">
        <f t="shared" si="156"/>
        <v>36.125999999999991</v>
      </c>
      <c r="AR271" s="402">
        <f t="shared" si="156"/>
        <v>0</v>
      </c>
      <c r="AS271" s="402">
        <f t="shared" si="156"/>
        <v>0</v>
      </c>
      <c r="AT271" s="858">
        <f t="shared" si="156"/>
        <v>0</v>
      </c>
      <c r="AU271" s="402">
        <f t="shared" si="156"/>
        <v>0</v>
      </c>
      <c r="AV271" s="402">
        <f t="shared" si="156"/>
        <v>0</v>
      </c>
      <c r="AW271" s="402">
        <f t="shared" si="156"/>
        <v>0</v>
      </c>
      <c r="AX271" s="402">
        <f t="shared" si="156"/>
        <v>0</v>
      </c>
      <c r="AY271" s="858">
        <f t="shared" si="156"/>
        <v>0</v>
      </c>
      <c r="AZ271" s="858">
        <f t="shared" si="156"/>
        <v>0</v>
      </c>
      <c r="BA271" s="858">
        <f t="shared" si="156"/>
        <v>0</v>
      </c>
      <c r="BB271" s="858">
        <f t="shared" si="156"/>
        <v>0</v>
      </c>
      <c r="BC271" s="363"/>
    </row>
    <row r="272" spans="1:55" s="23" customFormat="1" hidden="1" outlineLevel="1">
      <c r="A272" s="229" t="s">
        <v>164</v>
      </c>
      <c r="B272" s="132"/>
      <c r="C272" s="885">
        <v>12.407</v>
      </c>
      <c r="D272" s="885">
        <v>-0.28999999999999998</v>
      </c>
      <c r="E272" s="885">
        <v>-3.0419999999999998</v>
      </c>
      <c r="F272" s="885">
        <v>-8.0969999999999995</v>
      </c>
      <c r="G272" s="436">
        <v>5.8630000000000004</v>
      </c>
      <c r="H272" s="436">
        <v>2.504</v>
      </c>
      <c r="I272" s="436">
        <v>4.8040000000000003</v>
      </c>
      <c r="J272" s="436">
        <v>3.4929999999999999</v>
      </c>
      <c r="K272" s="885">
        <v>3.4929999999999999</v>
      </c>
      <c r="L272" s="436">
        <v>-37.631999999999998</v>
      </c>
      <c r="M272" s="436">
        <v>-33.722999999999999</v>
      </c>
      <c r="N272" s="436">
        <v>-41.561999999999998</v>
      </c>
      <c r="O272" s="436">
        <v>-18.850000000000001</v>
      </c>
      <c r="P272" s="885">
        <v>-18.850000000000001</v>
      </c>
      <c r="Q272" s="436">
        <v>18.562999999999999</v>
      </c>
      <c r="R272" s="436">
        <v>-3.7970000000000002</v>
      </c>
      <c r="S272" s="436">
        <v>-29.795999999999999</v>
      </c>
      <c r="T272" s="436">
        <v>-0.72899999999999998</v>
      </c>
      <c r="U272" s="885">
        <v>-0.72899999999999998</v>
      </c>
      <c r="V272" s="436">
        <v>-10.384</v>
      </c>
      <c r="W272" s="436">
        <v>-10.86</v>
      </c>
      <c r="X272" s="436">
        <v>-23.707000000000001</v>
      </c>
      <c r="Y272" s="436">
        <f t="shared" ref="Y272:Y278" si="157">Z272</f>
        <v>-14.622</v>
      </c>
      <c r="Z272" s="885">
        <v>-14.622</v>
      </c>
      <c r="AA272" s="436">
        <v>-3.2679999999999998</v>
      </c>
      <c r="AB272" s="436">
        <v>-7.0759999999999996</v>
      </c>
      <c r="AC272" s="436">
        <v>-1.5149999999999999</v>
      </c>
      <c r="AD272" s="436">
        <f t="shared" ref="AD272:AD278" si="158">AE272</f>
        <v>-9.8439999999999994</v>
      </c>
      <c r="AE272" s="885">
        <v>-9.8439999999999994</v>
      </c>
      <c r="AF272" s="436">
        <v>-20.867999999999999</v>
      </c>
      <c r="AG272" s="436">
        <v>-33.347000000000001</v>
      </c>
      <c r="AH272" s="436">
        <v>-52.89</v>
      </c>
      <c r="AI272" s="436">
        <f t="shared" ref="AI272:AI278" si="159">AJ272</f>
        <v>-47.290999999999997</v>
      </c>
      <c r="AJ272" s="885">
        <v>-47.290999999999997</v>
      </c>
      <c r="AK272" s="436">
        <v>-6.4139999999999997</v>
      </c>
      <c r="AL272" s="436">
        <v>5.266</v>
      </c>
      <c r="AM272" s="436">
        <v>23.422999999999998</v>
      </c>
      <c r="AN272" s="436">
        <f t="shared" ref="AN272:AN278" si="160">AO272</f>
        <v>34.082999999999998</v>
      </c>
      <c r="AO272" s="885">
        <v>34.082999999999998</v>
      </c>
      <c r="AP272" s="436">
        <v>13.644</v>
      </c>
      <c r="AQ272" s="886">
        <v>43.417000000000002</v>
      </c>
      <c r="AR272" s="855"/>
      <c r="AS272" s="436">
        <f t="shared" ref="AS272:AS281" si="161">AT272</f>
        <v>0</v>
      </c>
      <c r="AT272" s="870"/>
      <c r="AU272" s="855"/>
      <c r="AV272" s="855"/>
      <c r="AW272" s="855"/>
      <c r="AX272" s="436">
        <f t="shared" ref="AX272:AX281" si="162">AY272</f>
        <v>0</v>
      </c>
      <c r="AY272" s="870"/>
      <c r="AZ272" s="870"/>
      <c r="BA272" s="870"/>
      <c r="BB272" s="870"/>
      <c r="BC272" s="362"/>
    </row>
    <row r="273" spans="1:55" s="23" customFormat="1" hidden="1" outlineLevel="1">
      <c r="A273" s="229" t="s">
        <v>141</v>
      </c>
      <c r="B273" s="132"/>
      <c r="C273" s="885">
        <v>6.1849999999999996</v>
      </c>
      <c r="D273" s="885">
        <v>-6.891</v>
      </c>
      <c r="E273" s="885">
        <v>-0.88300000000000001</v>
      </c>
      <c r="F273" s="885">
        <v>-9.33</v>
      </c>
      <c r="G273" s="436">
        <v>-1.115</v>
      </c>
      <c r="H273" s="436">
        <v>-5.1639999999999997</v>
      </c>
      <c r="I273" s="436">
        <v>-3.6680000000000001</v>
      </c>
      <c r="J273" s="436">
        <v>-5.2220000000000004</v>
      </c>
      <c r="K273" s="885">
        <v>-5.2220000000000004</v>
      </c>
      <c r="L273" s="436">
        <v>8.6989999999999998</v>
      </c>
      <c r="M273" s="436">
        <v>17.736000000000001</v>
      </c>
      <c r="N273" s="436">
        <v>16.184000000000001</v>
      </c>
      <c r="O273" s="436">
        <v>25.731999999999999</v>
      </c>
      <c r="P273" s="885">
        <v>25.731999999999999</v>
      </c>
      <c r="Q273" s="436">
        <v>-3.4740000000000002</v>
      </c>
      <c r="R273" s="436">
        <v>-16.786000000000001</v>
      </c>
      <c r="S273" s="436">
        <v>-4.8049999999999997</v>
      </c>
      <c r="T273" s="436">
        <v>-2.5369999999999999</v>
      </c>
      <c r="U273" s="885">
        <v>-2.5369999999999999</v>
      </c>
      <c r="V273" s="436">
        <v>-3.117</v>
      </c>
      <c r="W273" s="436">
        <v>-4.1449999999999996</v>
      </c>
      <c r="X273" s="436">
        <v>-5.1130000000000004</v>
      </c>
      <c r="Y273" s="436">
        <f t="shared" si="157"/>
        <v>-2.6709999999999998</v>
      </c>
      <c r="Z273" s="885">
        <v>-2.6709999999999998</v>
      </c>
      <c r="AA273" s="436">
        <v>-5.9569999999999999</v>
      </c>
      <c r="AB273" s="436">
        <v>-10.452999999999999</v>
      </c>
      <c r="AC273" s="436">
        <v>-18.48</v>
      </c>
      <c r="AD273" s="436">
        <f t="shared" si="158"/>
        <v>-18.116</v>
      </c>
      <c r="AE273" s="885">
        <v>-18.116</v>
      </c>
      <c r="AF273" s="436">
        <v>-18.204000000000001</v>
      </c>
      <c r="AG273" s="436">
        <v>-19.760999999999999</v>
      </c>
      <c r="AH273" s="436">
        <v>-15.768000000000001</v>
      </c>
      <c r="AI273" s="436">
        <f t="shared" si="159"/>
        <v>-14.695</v>
      </c>
      <c r="AJ273" s="885">
        <v>-14.695</v>
      </c>
      <c r="AK273" s="436">
        <v>-5.9429999999999996</v>
      </c>
      <c r="AL273" s="436">
        <v>-11.276</v>
      </c>
      <c r="AM273" s="436">
        <v>-18.963000000000001</v>
      </c>
      <c r="AN273" s="436">
        <f t="shared" si="160"/>
        <v>-12.711</v>
      </c>
      <c r="AO273" s="885">
        <v>-12.711</v>
      </c>
      <c r="AP273" s="436">
        <v>-7.2240000000000002</v>
      </c>
      <c r="AQ273" s="886">
        <v>-12.778</v>
      </c>
      <c r="AR273" s="855"/>
      <c r="AS273" s="436">
        <f t="shared" si="161"/>
        <v>0</v>
      </c>
      <c r="AT273" s="870"/>
      <c r="AU273" s="855"/>
      <c r="AV273" s="855"/>
      <c r="AW273" s="855"/>
      <c r="AX273" s="436">
        <f t="shared" si="162"/>
        <v>0</v>
      </c>
      <c r="AY273" s="870"/>
      <c r="AZ273" s="870"/>
      <c r="BA273" s="870"/>
      <c r="BB273" s="870"/>
      <c r="BC273" s="362"/>
    </row>
    <row r="274" spans="1:55" s="23" customFormat="1" hidden="1" outlineLevel="1">
      <c r="A274" s="229" t="s">
        <v>149</v>
      </c>
      <c r="B274" s="132"/>
      <c r="C274" s="885">
        <v>-6.0609999999999999</v>
      </c>
      <c r="D274" s="885">
        <v>3.1560000000000001</v>
      </c>
      <c r="E274" s="885">
        <v>-0.34899999999999998</v>
      </c>
      <c r="F274" s="885">
        <v>-0.53700000000000003</v>
      </c>
      <c r="G274" s="436">
        <v>1.7370000000000001</v>
      </c>
      <c r="H274" s="436">
        <v>4.4740000000000002</v>
      </c>
      <c r="I274" s="436">
        <v>3.79</v>
      </c>
      <c r="J274" s="436">
        <v>5.8310000000000004</v>
      </c>
      <c r="K274" s="885">
        <v>5.8310000000000004</v>
      </c>
      <c r="L274" s="436">
        <v>9.52</v>
      </c>
      <c r="M274" s="436">
        <v>3.702</v>
      </c>
      <c r="N274" s="436">
        <v>7.923</v>
      </c>
      <c r="O274" s="436">
        <v>-8.0050000000000008</v>
      </c>
      <c r="P274" s="885">
        <v>-8.0050000000000008</v>
      </c>
      <c r="Q274" s="436">
        <v>5.5170000000000003</v>
      </c>
      <c r="R274" s="436">
        <v>9.1920000000000002</v>
      </c>
      <c r="S274" s="436">
        <v>-1.6559999999999999</v>
      </c>
      <c r="T274" s="436">
        <v>-2.1680000000000001</v>
      </c>
      <c r="U274" s="885">
        <v>-2.1680000000000001</v>
      </c>
      <c r="V274" s="436">
        <v>2.7549999999999999</v>
      </c>
      <c r="W274" s="436">
        <v>-0.01</v>
      </c>
      <c r="X274" s="436">
        <v>0.21099999999999999</v>
      </c>
      <c r="Y274" s="436">
        <f t="shared" si="157"/>
        <v>-2</v>
      </c>
      <c r="Z274" s="885">
        <v>-2</v>
      </c>
      <c r="AA274" s="436">
        <v>4.3970000000000002</v>
      </c>
      <c r="AB274" s="436">
        <v>3.3490000000000002</v>
      </c>
      <c r="AC274" s="436">
        <v>8.2669999999999995</v>
      </c>
      <c r="AD274" s="436">
        <f t="shared" si="158"/>
        <v>10.439</v>
      </c>
      <c r="AE274" s="885">
        <v>10.439</v>
      </c>
      <c r="AF274" s="436">
        <v>19.417999999999999</v>
      </c>
      <c r="AG274" s="436">
        <v>7.9809999999999999</v>
      </c>
      <c r="AH274" s="436">
        <v>0.57099999999999995</v>
      </c>
      <c r="AI274" s="436">
        <f t="shared" si="159"/>
        <v>9.1709999999999994</v>
      </c>
      <c r="AJ274" s="885">
        <v>9.1709999999999994</v>
      </c>
      <c r="AK274" s="436">
        <v>-2.032</v>
      </c>
      <c r="AL274" s="436">
        <v>-7.6849999999999996</v>
      </c>
      <c r="AM274" s="436">
        <v>-5.4939999999999998</v>
      </c>
      <c r="AN274" s="436">
        <f t="shared" si="160"/>
        <v>-16.617000000000001</v>
      </c>
      <c r="AO274" s="885">
        <v>-16.617000000000001</v>
      </c>
      <c r="AP274" s="436">
        <v>6.2949999999999999</v>
      </c>
      <c r="AQ274" s="886">
        <v>-0.44600000000000001</v>
      </c>
      <c r="AR274" s="855"/>
      <c r="AS274" s="436">
        <f t="shared" si="161"/>
        <v>0</v>
      </c>
      <c r="AT274" s="870"/>
      <c r="AU274" s="855"/>
      <c r="AV274" s="855"/>
      <c r="AW274" s="855"/>
      <c r="AX274" s="436">
        <f t="shared" si="162"/>
        <v>0</v>
      </c>
      <c r="AY274" s="870"/>
      <c r="AZ274" s="870"/>
      <c r="BA274" s="870"/>
      <c r="BB274" s="870"/>
      <c r="BC274" s="362"/>
    </row>
    <row r="275" spans="1:55" s="23" customFormat="1" hidden="1" outlineLevel="1">
      <c r="A275" s="229" t="s">
        <v>165</v>
      </c>
      <c r="B275" s="132"/>
      <c r="C275" s="885">
        <v>0.94299999999999995</v>
      </c>
      <c r="D275" s="885">
        <v>0.318</v>
      </c>
      <c r="E275" s="885">
        <v>0.63800000000000001</v>
      </c>
      <c r="F275" s="885">
        <v>3.3740000000000001</v>
      </c>
      <c r="G275" s="436"/>
      <c r="H275" s="436"/>
      <c r="I275" s="436"/>
      <c r="J275" s="436">
        <v>3.5590000000000002</v>
      </c>
      <c r="K275" s="885">
        <v>3.5590000000000002</v>
      </c>
      <c r="L275" s="436">
        <v>-1.2749999999999999</v>
      </c>
      <c r="M275" s="436">
        <v>0.76</v>
      </c>
      <c r="N275" s="436">
        <v>7.66</v>
      </c>
      <c r="O275" s="436">
        <v>6.8259999999999996</v>
      </c>
      <c r="P275" s="885">
        <v>6.8259999999999996</v>
      </c>
      <c r="Q275" s="436">
        <v>-4.5350000000000001</v>
      </c>
      <c r="R275" s="436">
        <v>-0.85699999999999998</v>
      </c>
      <c r="S275" s="436">
        <v>5.6619999999999999</v>
      </c>
      <c r="T275" s="436">
        <v>3.738</v>
      </c>
      <c r="U275" s="885">
        <v>3.738</v>
      </c>
      <c r="V275" s="436">
        <v>-8.5220000000000002</v>
      </c>
      <c r="W275" s="436">
        <v>-3.6429999999999998</v>
      </c>
      <c r="X275" s="436">
        <v>-0.78600000000000003</v>
      </c>
      <c r="Y275" s="436">
        <f t="shared" si="157"/>
        <v>-0.17399999999999999</v>
      </c>
      <c r="Z275" s="885">
        <v>-0.17399999999999999</v>
      </c>
      <c r="AA275" s="436">
        <v>-8.4770000000000003</v>
      </c>
      <c r="AB275" s="436">
        <v>-7.1059999999999999</v>
      </c>
      <c r="AC275" s="436">
        <v>-5.4829999999999997</v>
      </c>
      <c r="AD275" s="436">
        <f t="shared" si="158"/>
        <v>-0.70199999999999996</v>
      </c>
      <c r="AE275" s="885">
        <v>-0.70199999999999996</v>
      </c>
      <c r="AF275" s="436">
        <v>-3.194</v>
      </c>
      <c r="AG275" s="436">
        <v>5.2999999999999999E-2</v>
      </c>
      <c r="AH275" s="436">
        <v>4.9770000000000003</v>
      </c>
      <c r="AI275" s="436">
        <f t="shared" si="159"/>
        <v>9.1769999999999996</v>
      </c>
      <c r="AJ275" s="885">
        <v>9.1769999999999996</v>
      </c>
      <c r="AK275" s="436">
        <v>-9.2829999999999995</v>
      </c>
      <c r="AL275" s="436">
        <v>-9.141</v>
      </c>
      <c r="AM275" s="436">
        <v>-5.867</v>
      </c>
      <c r="AN275" s="436">
        <f t="shared" si="160"/>
        <v>-10.737</v>
      </c>
      <c r="AO275" s="885">
        <v>-10.737</v>
      </c>
      <c r="AP275" s="436">
        <v>-5.73</v>
      </c>
      <c r="AQ275" s="886">
        <v>-12.473000000000001</v>
      </c>
      <c r="AR275" s="855"/>
      <c r="AS275" s="436">
        <f t="shared" si="161"/>
        <v>0</v>
      </c>
      <c r="AT275" s="870"/>
      <c r="AU275" s="855"/>
      <c r="AV275" s="855"/>
      <c r="AW275" s="855"/>
      <c r="AX275" s="436">
        <f t="shared" si="162"/>
        <v>0</v>
      </c>
      <c r="AY275" s="870"/>
      <c r="AZ275" s="870"/>
      <c r="BA275" s="870"/>
      <c r="BB275" s="870"/>
      <c r="BC275" s="362"/>
    </row>
    <row r="276" spans="1:55" s="23" customFormat="1" hidden="1" outlineLevel="1">
      <c r="A276" s="229" t="s">
        <v>166</v>
      </c>
      <c r="B276" s="132"/>
      <c r="C276" s="885">
        <v>0.22</v>
      </c>
      <c r="D276" s="885">
        <v>-0.65</v>
      </c>
      <c r="E276" s="885">
        <v>0.29099999999999998</v>
      </c>
      <c r="F276" s="885">
        <v>0.33500000000000002</v>
      </c>
      <c r="G276" s="436">
        <v>-2.9369999999999998</v>
      </c>
      <c r="H276" s="436">
        <v>-2.9260000000000002</v>
      </c>
      <c r="I276" s="436">
        <v>-0.59</v>
      </c>
      <c r="J276" s="436">
        <f>K276</f>
        <v>0.38</v>
      </c>
      <c r="K276" s="885">
        <v>0.38</v>
      </c>
      <c r="L276" s="436">
        <v>-0.38200000000000001</v>
      </c>
      <c r="M276" s="436">
        <v>-1.319</v>
      </c>
      <c r="N276" s="436">
        <v>-2.4609999999999999</v>
      </c>
      <c r="O276" s="436">
        <f>P276</f>
        <v>-2.806</v>
      </c>
      <c r="P276" s="885">
        <v>-2.806</v>
      </c>
      <c r="Q276" s="436">
        <v>-0.63300000000000001</v>
      </c>
      <c r="R276" s="436">
        <v>-0.35199999999999998</v>
      </c>
      <c r="S276" s="436">
        <v>-0.498</v>
      </c>
      <c r="T276" s="436">
        <f>U276</f>
        <v>-0.79900000000000004</v>
      </c>
      <c r="U276" s="885">
        <v>-0.79900000000000004</v>
      </c>
      <c r="V276" s="436">
        <v>0.214</v>
      </c>
      <c r="W276" s="436">
        <v>3.2000000000000001E-2</v>
      </c>
      <c r="X276" s="436">
        <v>-0.46</v>
      </c>
      <c r="Y276" s="436">
        <f t="shared" si="157"/>
        <v>0.108</v>
      </c>
      <c r="Z276" s="885">
        <v>0.108</v>
      </c>
      <c r="AA276" s="436">
        <v>-0.94199999999999995</v>
      </c>
      <c r="AB276" s="436">
        <v>-2.6680000000000001</v>
      </c>
      <c r="AC276" s="436">
        <v>-4.556</v>
      </c>
      <c r="AD276" s="436">
        <f t="shared" si="158"/>
        <v>-2.1320000000000001</v>
      </c>
      <c r="AE276" s="885">
        <v>-2.1320000000000001</v>
      </c>
      <c r="AF276" s="436">
        <v>-3.4740000000000002</v>
      </c>
      <c r="AG276" s="436">
        <v>-0.40400000000000003</v>
      </c>
      <c r="AH276" s="436">
        <v>-1.62</v>
      </c>
      <c r="AI276" s="436">
        <f t="shared" si="159"/>
        <v>0.46400000000000002</v>
      </c>
      <c r="AJ276" s="885">
        <v>0.46400000000000002</v>
      </c>
      <c r="AK276" s="436">
        <v>-2.86</v>
      </c>
      <c r="AL276" s="436">
        <v>-0.97499999999999998</v>
      </c>
      <c r="AM276" s="436">
        <v>-0.69699999999999995</v>
      </c>
      <c r="AN276" s="436">
        <f t="shared" si="160"/>
        <v>-1.1599999999999999</v>
      </c>
      <c r="AO276" s="885">
        <v>-1.1599999999999999</v>
      </c>
      <c r="AP276" s="436">
        <v>-0.55700000000000005</v>
      </c>
      <c r="AQ276" s="886">
        <v>-1.9830000000000001</v>
      </c>
      <c r="AR276" s="855"/>
      <c r="AS276" s="436">
        <f t="shared" si="161"/>
        <v>0</v>
      </c>
      <c r="AT276" s="870"/>
      <c r="AU276" s="855"/>
      <c r="AV276" s="855"/>
      <c r="AW276" s="855"/>
      <c r="AX276" s="436">
        <f t="shared" si="162"/>
        <v>0</v>
      </c>
      <c r="AY276" s="870"/>
      <c r="AZ276" s="870"/>
      <c r="BA276" s="870"/>
      <c r="BB276" s="870"/>
      <c r="BC276" s="362"/>
    </row>
    <row r="277" spans="1:55" s="23" customFormat="1" hidden="1" outlineLevel="1">
      <c r="A277" s="229" t="s">
        <v>167</v>
      </c>
      <c r="B277" s="132"/>
      <c r="C277" s="885">
        <v>-0.28499999999999998</v>
      </c>
      <c r="D277" s="885">
        <v>-1.099</v>
      </c>
      <c r="E277" s="885">
        <v>1.9430000000000001</v>
      </c>
      <c r="F277" s="885">
        <v>6.49</v>
      </c>
      <c r="G277" s="436">
        <v>-2.3210000000000002</v>
      </c>
      <c r="H277" s="436">
        <v>-2.3620000000000001</v>
      </c>
      <c r="I277" s="436">
        <v>-1.579</v>
      </c>
      <c r="J277" s="436">
        <f>K277</f>
        <v>-0.35899999999999999</v>
      </c>
      <c r="K277" s="885">
        <v>-0.35899999999999999</v>
      </c>
      <c r="L277" s="436">
        <v>9.2029999999999994</v>
      </c>
      <c r="M277" s="436">
        <v>3.8519999999999999</v>
      </c>
      <c r="N277" s="436">
        <v>22.593</v>
      </c>
      <c r="O277" s="436">
        <v>22.055</v>
      </c>
      <c r="P277" s="885">
        <v>22.055</v>
      </c>
      <c r="Q277" s="436">
        <v>-8.7959999999999994</v>
      </c>
      <c r="R277" s="436">
        <v>-13.287000000000001</v>
      </c>
      <c r="S277" s="436">
        <v>-5.3959999999999999</v>
      </c>
      <c r="T277" s="436">
        <v>-7.4850000000000003</v>
      </c>
      <c r="U277" s="885">
        <v>-7.4850000000000003</v>
      </c>
      <c r="V277" s="436">
        <v>-3.831</v>
      </c>
      <c r="W277" s="436">
        <v>-9.9920000000000009</v>
      </c>
      <c r="X277" s="436">
        <v>-11.281000000000001</v>
      </c>
      <c r="Y277" s="436">
        <f t="shared" si="157"/>
        <v>-15.539</v>
      </c>
      <c r="Z277" s="885">
        <v>-15.539</v>
      </c>
      <c r="AA277" s="436">
        <v>-2.0720000000000001</v>
      </c>
      <c r="AB277" s="436">
        <v>-4.1429999999999998</v>
      </c>
      <c r="AC277" s="436">
        <v>-2.3359999999999999</v>
      </c>
      <c r="AD277" s="436">
        <f t="shared" si="158"/>
        <v>-4.9180000000000001</v>
      </c>
      <c r="AE277" s="885">
        <v>-4.9180000000000001</v>
      </c>
      <c r="AF277" s="436">
        <v>10.481999999999999</v>
      </c>
      <c r="AG277" s="436">
        <v>14.468999999999999</v>
      </c>
      <c r="AH277" s="436">
        <v>19.241</v>
      </c>
      <c r="AI277" s="436">
        <f t="shared" si="159"/>
        <v>15.734999999999999</v>
      </c>
      <c r="AJ277" s="885">
        <v>15.734999999999999</v>
      </c>
      <c r="AK277" s="436">
        <v>4.0549999999999997</v>
      </c>
      <c r="AL277" s="436">
        <v>-1.234</v>
      </c>
      <c r="AM277" s="436">
        <v>-3.266</v>
      </c>
      <c r="AN277" s="436">
        <f t="shared" si="160"/>
        <v>-11.919</v>
      </c>
      <c r="AO277" s="885">
        <v>-11.919</v>
      </c>
      <c r="AP277" s="436">
        <v>-0.49</v>
      </c>
      <c r="AQ277" s="886">
        <v>-4.2210000000000001</v>
      </c>
      <c r="AR277" s="855"/>
      <c r="AS277" s="436">
        <f t="shared" si="161"/>
        <v>0</v>
      </c>
      <c r="AT277" s="870"/>
      <c r="AU277" s="855"/>
      <c r="AV277" s="855"/>
      <c r="AW277" s="855"/>
      <c r="AX277" s="436">
        <f t="shared" si="162"/>
        <v>0</v>
      </c>
      <c r="AY277" s="870"/>
      <c r="AZ277" s="870"/>
      <c r="BA277" s="870"/>
      <c r="BB277" s="870"/>
      <c r="BC277" s="362"/>
    </row>
    <row r="278" spans="1:55" s="23" customFormat="1" hidden="1" outlineLevel="1">
      <c r="A278" s="229" t="s">
        <v>154</v>
      </c>
      <c r="B278" s="132"/>
      <c r="C278" s="885">
        <v>0.9</v>
      </c>
      <c r="D278" s="885">
        <v>-0.66</v>
      </c>
      <c r="E278" s="885">
        <v>-1.2549999999999999</v>
      </c>
      <c r="F278" s="885">
        <v>-7.5999999999999998E-2</v>
      </c>
      <c r="G278" s="436">
        <v>0.11600000000000001</v>
      </c>
      <c r="H278" s="436"/>
      <c r="I278" s="436"/>
      <c r="J278" s="436">
        <v>-0.188</v>
      </c>
      <c r="K278" s="885">
        <v>-0.188</v>
      </c>
      <c r="L278" s="436"/>
      <c r="M278" s="436"/>
      <c r="N278" s="436"/>
      <c r="O278" s="436">
        <v>0</v>
      </c>
      <c r="P278" s="885"/>
      <c r="Q278" s="436"/>
      <c r="R278" s="436"/>
      <c r="S278" s="436"/>
      <c r="T278" s="436">
        <v>0</v>
      </c>
      <c r="U278" s="885"/>
      <c r="V278" s="436"/>
      <c r="W278" s="436"/>
      <c r="X278" s="436">
        <v>0</v>
      </c>
      <c r="Y278" s="436">
        <f t="shared" si="157"/>
        <v>0</v>
      </c>
      <c r="Z278" s="885"/>
      <c r="AA278" s="436"/>
      <c r="AB278" s="436"/>
      <c r="AC278" s="436"/>
      <c r="AD278" s="436">
        <f t="shared" si="158"/>
        <v>0</v>
      </c>
      <c r="AE278" s="885"/>
      <c r="AF278" s="436"/>
      <c r="AG278" s="436"/>
      <c r="AH278" s="436"/>
      <c r="AI278" s="436">
        <f t="shared" si="159"/>
        <v>0</v>
      </c>
      <c r="AJ278" s="885"/>
      <c r="AK278" s="436"/>
      <c r="AL278" s="436"/>
      <c r="AM278" s="436"/>
      <c r="AN278" s="436">
        <f t="shared" si="160"/>
        <v>0</v>
      </c>
      <c r="AO278" s="885"/>
      <c r="AP278" s="436"/>
      <c r="AQ278" s="886"/>
      <c r="AR278" s="855"/>
      <c r="AS278" s="436">
        <f t="shared" si="161"/>
        <v>0</v>
      </c>
      <c r="AT278" s="870"/>
      <c r="AU278" s="855"/>
      <c r="AV278" s="855"/>
      <c r="AW278" s="855"/>
      <c r="AX278" s="436">
        <f t="shared" si="162"/>
        <v>0</v>
      </c>
      <c r="AY278" s="870"/>
      <c r="AZ278" s="870"/>
      <c r="BA278" s="870"/>
      <c r="BB278" s="870"/>
      <c r="BC278" s="362"/>
    </row>
    <row r="279" spans="1:55" s="23" customFormat="1" hidden="1" outlineLevel="1">
      <c r="A279" s="229" t="s">
        <v>487</v>
      </c>
      <c r="B279" s="132"/>
      <c r="C279" s="885"/>
      <c r="D279" s="885"/>
      <c r="E279" s="885"/>
      <c r="F279" s="885"/>
      <c r="G279" s="436"/>
      <c r="H279" s="436"/>
      <c r="I279" s="436"/>
      <c r="J279" s="436"/>
      <c r="K279" s="885"/>
      <c r="L279" s="436"/>
      <c r="M279" s="436"/>
      <c r="N279" s="436"/>
      <c r="O279" s="436"/>
      <c r="P279" s="885"/>
      <c r="Q279" s="436"/>
      <c r="R279" s="436"/>
      <c r="S279" s="436"/>
      <c r="T279" s="436"/>
      <c r="U279" s="885"/>
      <c r="V279" s="436"/>
      <c r="W279" s="436"/>
      <c r="X279" s="436"/>
      <c r="Y279" s="436"/>
      <c r="Z279" s="885"/>
      <c r="AA279" s="436"/>
      <c r="AB279" s="436"/>
      <c r="AC279" s="436"/>
      <c r="AD279" s="436"/>
      <c r="AE279" s="885"/>
      <c r="AF279" s="436"/>
      <c r="AG279" s="436"/>
      <c r="AH279" s="436"/>
      <c r="AI279" s="436"/>
      <c r="AJ279" s="885"/>
      <c r="AK279" s="436"/>
      <c r="AL279" s="436"/>
      <c r="AM279" s="436"/>
      <c r="AN279" s="436"/>
      <c r="AO279" s="885"/>
      <c r="AP279" s="436">
        <v>-1.2170000000000001</v>
      </c>
      <c r="AQ279" s="886">
        <v>-2.222</v>
      </c>
      <c r="AR279" s="855"/>
      <c r="AS279" s="436">
        <f t="shared" si="161"/>
        <v>0</v>
      </c>
      <c r="AT279" s="870"/>
      <c r="AU279" s="855"/>
      <c r="AV279" s="855"/>
      <c r="AW279" s="855"/>
      <c r="AX279" s="436">
        <f t="shared" si="162"/>
        <v>0</v>
      </c>
      <c r="AY279" s="870"/>
      <c r="AZ279" s="870"/>
      <c r="BA279" s="870"/>
      <c r="BB279" s="870"/>
      <c r="BC279" s="362"/>
    </row>
    <row r="280" spans="1:55" s="23" customFormat="1" hidden="1" outlineLevel="1">
      <c r="A280" s="229" t="s">
        <v>168</v>
      </c>
      <c r="B280" s="132"/>
      <c r="C280" s="885">
        <v>0.85899999999999999</v>
      </c>
      <c r="D280" s="885">
        <v>-0.34699999999999998</v>
      </c>
      <c r="E280" s="885">
        <v>-0.40400000000000003</v>
      </c>
      <c r="F280" s="885">
        <v>0.66900000000000004</v>
      </c>
      <c r="G280" s="436">
        <v>1.208</v>
      </c>
      <c r="H280" s="436">
        <v>1.079</v>
      </c>
      <c r="I280" s="436">
        <v>1.454</v>
      </c>
      <c r="J280" s="436">
        <v>2.2709999999999999</v>
      </c>
      <c r="K280" s="885">
        <v>2.2709999999999999</v>
      </c>
      <c r="L280" s="436">
        <v>2.7759999999999998</v>
      </c>
      <c r="M280" s="436">
        <v>2.6840000000000002</v>
      </c>
      <c r="N280" s="436">
        <v>2.048</v>
      </c>
      <c r="O280" s="436">
        <v>-4.0839999999999996</v>
      </c>
      <c r="P280" s="885">
        <v>-4.0839999999999996</v>
      </c>
      <c r="Q280" s="436">
        <v>2.4159999999999999</v>
      </c>
      <c r="R280" s="436">
        <v>4.6100000000000003</v>
      </c>
      <c r="S280" s="436">
        <v>5.0720000000000001</v>
      </c>
      <c r="T280" s="436">
        <v>-9.266</v>
      </c>
      <c r="U280" s="885">
        <v>-9.266</v>
      </c>
      <c r="V280" s="436">
        <v>4.2450000000000001</v>
      </c>
      <c r="W280" s="436">
        <v>10.106999999999999</v>
      </c>
      <c r="X280" s="436">
        <v>6.86</v>
      </c>
      <c r="Y280" s="436">
        <f>Z280</f>
        <v>7.9260000000000002</v>
      </c>
      <c r="Z280" s="885">
        <v>7.9260000000000002</v>
      </c>
      <c r="AA280" s="436">
        <v>4.0380000000000003</v>
      </c>
      <c r="AB280" s="436">
        <v>-1.028</v>
      </c>
      <c r="AC280" s="436">
        <v>-0.88300000000000001</v>
      </c>
      <c r="AD280" s="436">
        <f>AE280</f>
        <v>-0.376</v>
      </c>
      <c r="AE280" s="885">
        <v>-0.376</v>
      </c>
      <c r="AF280" s="436">
        <v>1.3029999999999999</v>
      </c>
      <c r="AG280" s="436">
        <v>-0.189</v>
      </c>
      <c r="AH280" s="436">
        <v>-4.3150000000000004</v>
      </c>
      <c r="AI280" s="436">
        <f>AJ280</f>
        <v>-4.46</v>
      </c>
      <c r="AJ280" s="885">
        <v>-4.46</v>
      </c>
      <c r="AK280" s="436">
        <v>26.824000000000002</v>
      </c>
      <c r="AL280" s="436">
        <v>9.1809999999999992</v>
      </c>
      <c r="AM280" s="436">
        <v>5.5810000000000004</v>
      </c>
      <c r="AN280" s="436">
        <f>AO280</f>
        <v>3.371</v>
      </c>
      <c r="AO280" s="885">
        <v>3.371</v>
      </c>
      <c r="AP280" s="436">
        <v>-3.5910000000000002</v>
      </c>
      <c r="AQ280" s="886">
        <v>-3.6669999999999998</v>
      </c>
      <c r="AR280" s="855"/>
      <c r="AS280" s="436">
        <f t="shared" si="161"/>
        <v>0</v>
      </c>
      <c r="AT280" s="870"/>
      <c r="AU280" s="855"/>
      <c r="AV280" s="855"/>
      <c r="AW280" s="855"/>
      <c r="AX280" s="436">
        <f t="shared" si="162"/>
        <v>0</v>
      </c>
      <c r="AY280" s="870"/>
      <c r="AZ280" s="870"/>
      <c r="BA280" s="870"/>
      <c r="BB280" s="870"/>
      <c r="BC280" s="362"/>
    </row>
    <row r="281" spans="1:55" s="23" customFormat="1" hidden="1" outlineLevel="1">
      <c r="A281" s="229" t="s">
        <v>169</v>
      </c>
      <c r="B281" s="132"/>
      <c r="C281" s="885">
        <v>0.23499999999999999</v>
      </c>
      <c r="D281" s="885">
        <v>-0.33300000000000002</v>
      </c>
      <c r="E281" s="885">
        <v>-0.13100000000000001</v>
      </c>
      <c r="F281" s="885">
        <v>0.97799999999999998</v>
      </c>
      <c r="G281" s="436">
        <v>0.28199999999999997</v>
      </c>
      <c r="H281" s="436">
        <v>0.58699999999999997</v>
      </c>
      <c r="I281" s="436">
        <v>0.83799999999999997</v>
      </c>
      <c r="J281" s="436">
        <v>1.198</v>
      </c>
      <c r="K281" s="885">
        <v>1.198</v>
      </c>
      <c r="L281" s="436">
        <v>0.308</v>
      </c>
      <c r="M281" s="436">
        <v>0.61499999999999999</v>
      </c>
      <c r="N281" s="436">
        <v>0.92100000000000004</v>
      </c>
      <c r="O281" s="436">
        <v>1.2729999999999999</v>
      </c>
      <c r="P281" s="885">
        <v>1.2729999999999999</v>
      </c>
      <c r="Q281" s="436">
        <v>0.40899999999999997</v>
      </c>
      <c r="R281" s="436">
        <v>0.82</v>
      </c>
      <c r="S281" s="436">
        <v>1.238</v>
      </c>
      <c r="T281" s="436">
        <v>2.2999999999999998</v>
      </c>
      <c r="U281" s="885">
        <v>2.2999999999999998</v>
      </c>
      <c r="V281" s="436">
        <v>0.34100000000000003</v>
      </c>
      <c r="W281" s="436">
        <v>0.69499999999999995</v>
      </c>
      <c r="X281" s="436">
        <v>1.1259999999999999</v>
      </c>
      <c r="Y281" s="436">
        <f>Z281</f>
        <v>1.518</v>
      </c>
      <c r="Z281" s="885">
        <v>1.518</v>
      </c>
      <c r="AA281" s="436">
        <v>0.38200000000000001</v>
      </c>
      <c r="AB281" s="436">
        <v>0.75800000000000001</v>
      </c>
      <c r="AC281" s="436">
        <v>1.129</v>
      </c>
      <c r="AD281" s="436">
        <f>AE281</f>
        <v>1.3129999999999999</v>
      </c>
      <c r="AE281" s="885">
        <v>1.3129999999999999</v>
      </c>
      <c r="AF281" s="436">
        <v>0.44800000000000001</v>
      </c>
      <c r="AG281" s="436">
        <v>0.89600000000000002</v>
      </c>
      <c r="AH281" s="436">
        <v>1.351</v>
      </c>
      <c r="AI281" s="436">
        <f>AJ281</f>
        <v>1.9239999999999999</v>
      </c>
      <c r="AJ281" s="885">
        <v>1.9239999999999999</v>
      </c>
      <c r="AK281" s="888">
        <v>0.373</v>
      </c>
      <c r="AL281" s="436">
        <v>0.73499999999999999</v>
      </c>
      <c r="AM281" s="436">
        <v>1.1160000000000001</v>
      </c>
      <c r="AN281" s="436">
        <f>AO281</f>
        <v>-2.35</v>
      </c>
      <c r="AO281" s="885">
        <v>-2.35</v>
      </c>
      <c r="AP281" s="888">
        <v>-9.9000000000000005E-2</v>
      </c>
      <c r="AQ281" s="886">
        <v>-0.20399999999999999</v>
      </c>
      <c r="AR281" s="855"/>
      <c r="AS281" s="436">
        <f t="shared" si="161"/>
        <v>0</v>
      </c>
      <c r="AT281" s="870"/>
      <c r="AU281" s="855"/>
      <c r="AV281" s="855"/>
      <c r="AW281" s="855"/>
      <c r="AX281" s="436">
        <f t="shared" si="162"/>
        <v>0</v>
      </c>
      <c r="AY281" s="870"/>
      <c r="AZ281" s="870"/>
      <c r="BA281" s="870"/>
      <c r="BB281" s="870"/>
      <c r="BC281" s="362"/>
    </row>
    <row r="282" spans="1:55" s="4" customFormat="1" hidden="1" outlineLevel="1">
      <c r="A282" s="402" t="s">
        <v>59</v>
      </c>
      <c r="B282" s="429"/>
      <c r="C282" s="858">
        <f t="shared" ref="C282:AH282" si="163">SUM(C271:C281)</f>
        <v>31.088000000000001</v>
      </c>
      <c r="D282" s="858">
        <f t="shared" si="163"/>
        <v>16.503000000000004</v>
      </c>
      <c r="E282" s="858">
        <f t="shared" si="163"/>
        <v>27.908000000000005</v>
      </c>
      <c r="F282" s="858">
        <f t="shared" si="163"/>
        <v>24.178000000000001</v>
      </c>
      <c r="G282" s="402">
        <f t="shared" si="163"/>
        <v>14.326000000000002</v>
      </c>
      <c r="H282" s="402">
        <f t="shared" si="163"/>
        <v>17.318999999999999</v>
      </c>
      <c r="I282" s="402">
        <f t="shared" si="163"/>
        <v>34.148000000000003</v>
      </c>
      <c r="J282" s="402">
        <f t="shared" si="163"/>
        <v>49.548999999999992</v>
      </c>
      <c r="K282" s="858">
        <f t="shared" si="163"/>
        <v>49.548999999999992</v>
      </c>
      <c r="L282" s="402">
        <f t="shared" si="163"/>
        <v>2.5730000000000004</v>
      </c>
      <c r="M282" s="402">
        <f t="shared" si="163"/>
        <v>23.230000000000008</v>
      </c>
      <c r="N282" s="402">
        <f t="shared" si="163"/>
        <v>68.549000000000021</v>
      </c>
      <c r="O282" s="402">
        <f t="shared" si="163"/>
        <v>99.873999999999995</v>
      </c>
      <c r="P282" s="858">
        <f t="shared" si="163"/>
        <v>99.873999999999995</v>
      </c>
      <c r="Q282" s="402">
        <f t="shared" si="163"/>
        <v>26.778999999999993</v>
      </c>
      <c r="R282" s="402">
        <f t="shared" si="163"/>
        <v>20.875000000000004</v>
      </c>
      <c r="S282" s="402">
        <f t="shared" si="163"/>
        <v>43.174000000000014</v>
      </c>
      <c r="T282" s="402">
        <f t="shared" si="163"/>
        <v>78.500999999999976</v>
      </c>
      <c r="U282" s="858">
        <f t="shared" si="163"/>
        <v>78.500999999999976</v>
      </c>
      <c r="V282" s="402">
        <f t="shared" si="163"/>
        <v>0.54299999999999815</v>
      </c>
      <c r="W282" s="402">
        <f t="shared" si="163"/>
        <v>23.319000000000003</v>
      </c>
      <c r="X282" s="402">
        <f t="shared" si="163"/>
        <v>25.150000000000002</v>
      </c>
      <c r="Y282" s="402">
        <f t="shared" si="163"/>
        <v>48.854000000000006</v>
      </c>
      <c r="Z282" s="858">
        <f t="shared" si="163"/>
        <v>48.854000000000006</v>
      </c>
      <c r="AA282" s="402">
        <f t="shared" si="163"/>
        <v>6.369999999999993</v>
      </c>
      <c r="AB282" s="402">
        <f t="shared" si="163"/>
        <v>4.5259999999999998</v>
      </c>
      <c r="AC282" s="402">
        <f t="shared" si="163"/>
        <v>22.313000000000002</v>
      </c>
      <c r="AD282" s="402">
        <f t="shared" si="163"/>
        <v>37.783000000000008</v>
      </c>
      <c r="AE282" s="858">
        <f t="shared" si="163"/>
        <v>37.783000000000008</v>
      </c>
      <c r="AF282" s="402">
        <f t="shared" si="163"/>
        <v>-1.0539999999999998</v>
      </c>
      <c r="AG282" s="402">
        <f t="shared" si="163"/>
        <v>8.1100000000000048</v>
      </c>
      <c r="AH282" s="402">
        <f t="shared" si="163"/>
        <v>15.359000000000002</v>
      </c>
      <c r="AI282" s="402">
        <f t="shared" ref="AI282:BB282" si="164">SUM(AI271:AI281)</f>
        <v>54.880999999999979</v>
      </c>
      <c r="AJ282" s="858">
        <f t="shared" si="164"/>
        <v>54.880999999999979</v>
      </c>
      <c r="AK282" s="402">
        <f t="shared" si="164"/>
        <v>11.354000000000022</v>
      </c>
      <c r="AL282" s="402">
        <f t="shared" si="164"/>
        <v>9.0560000000000151</v>
      </c>
      <c r="AM282" s="402">
        <f t="shared" si="164"/>
        <v>30.240999999999989</v>
      </c>
      <c r="AN282" s="402">
        <f t="shared" si="164"/>
        <v>42.688999999999993</v>
      </c>
      <c r="AO282" s="858">
        <f t="shared" si="164"/>
        <v>42.688999999999993</v>
      </c>
      <c r="AP282" s="402">
        <f t="shared" si="164"/>
        <v>23.250000000000014</v>
      </c>
      <c r="AQ282" s="891">
        <f t="shared" si="164"/>
        <v>41.548999999999992</v>
      </c>
      <c r="AR282" s="402">
        <f t="shared" si="164"/>
        <v>0</v>
      </c>
      <c r="AS282" s="402">
        <f t="shared" si="164"/>
        <v>0</v>
      </c>
      <c r="AT282" s="858">
        <f t="shared" si="164"/>
        <v>0</v>
      </c>
      <c r="AU282" s="402">
        <f t="shared" si="164"/>
        <v>0</v>
      </c>
      <c r="AV282" s="402">
        <f t="shared" si="164"/>
        <v>0</v>
      </c>
      <c r="AW282" s="402">
        <f t="shared" si="164"/>
        <v>0</v>
      </c>
      <c r="AX282" s="402">
        <f t="shared" si="164"/>
        <v>0</v>
      </c>
      <c r="AY282" s="858">
        <f t="shared" si="164"/>
        <v>0</v>
      </c>
      <c r="AZ282" s="858">
        <f t="shared" si="164"/>
        <v>0</v>
      </c>
      <c r="BA282" s="858">
        <f t="shared" si="164"/>
        <v>0</v>
      </c>
      <c r="BB282" s="858">
        <f t="shared" si="164"/>
        <v>0</v>
      </c>
      <c r="BC282" s="363"/>
    </row>
    <row r="283" spans="1:55" s="4" customFormat="1" hidden="1" outlineLevel="1">
      <c r="A283" s="403"/>
      <c r="B283" s="345"/>
      <c r="C283" s="852"/>
      <c r="D283" s="852"/>
      <c r="E283" s="852"/>
      <c r="F283" s="852"/>
      <c r="G283" s="418"/>
      <c r="H283" s="418"/>
      <c r="I283" s="418"/>
      <c r="J283" s="418"/>
      <c r="K283" s="852"/>
      <c r="L283" s="418"/>
      <c r="M283" s="418"/>
      <c r="N283" s="418"/>
      <c r="O283" s="418"/>
      <c r="P283" s="852"/>
      <c r="Q283" s="418"/>
      <c r="R283" s="418"/>
      <c r="S283" s="418"/>
      <c r="T283" s="418"/>
      <c r="U283" s="852"/>
      <c r="V283" s="418"/>
      <c r="W283" s="418"/>
      <c r="X283" s="418"/>
      <c r="Y283" s="418"/>
      <c r="Z283" s="852"/>
      <c r="AA283" s="418"/>
      <c r="AB283" s="418"/>
      <c r="AC283" s="418"/>
      <c r="AD283" s="418"/>
      <c r="AE283" s="852"/>
      <c r="AF283" s="418"/>
      <c r="AG283" s="418"/>
      <c r="AH283" s="418"/>
      <c r="AI283" s="418"/>
      <c r="AJ283" s="852"/>
      <c r="AK283" s="418"/>
      <c r="AL283" s="418"/>
      <c r="AM283" s="418"/>
      <c r="AN283" s="418"/>
      <c r="AO283" s="852"/>
      <c r="AP283" s="418"/>
      <c r="AQ283" s="895"/>
      <c r="AR283" s="896"/>
      <c r="AS283" s="896"/>
      <c r="AT283" s="897"/>
      <c r="AU283" s="896"/>
      <c r="AV283" s="896"/>
      <c r="AW283" s="896"/>
      <c r="AX283" s="896"/>
      <c r="AY283" s="897"/>
      <c r="AZ283" s="897"/>
      <c r="BA283" s="897"/>
      <c r="BB283" s="897"/>
      <c r="BC283" s="363"/>
    </row>
    <row r="284" spans="1:55" s="4" customFormat="1" hidden="1" outlineLevel="1">
      <c r="A284" s="403" t="s">
        <v>6</v>
      </c>
      <c r="B284" s="345"/>
      <c r="C284" s="852"/>
      <c r="D284" s="852"/>
      <c r="E284" s="852"/>
      <c r="F284" s="852"/>
      <c r="G284" s="418"/>
      <c r="H284" s="418"/>
      <c r="I284" s="418"/>
      <c r="J284" s="418"/>
      <c r="K284" s="852"/>
      <c r="L284" s="418"/>
      <c r="M284" s="418"/>
      <c r="N284" s="418"/>
      <c r="O284" s="418"/>
      <c r="P284" s="852"/>
      <c r="Q284" s="418"/>
      <c r="R284" s="418"/>
      <c r="S284" s="418"/>
      <c r="T284" s="418"/>
      <c r="U284" s="852"/>
      <c r="V284" s="418"/>
      <c r="W284" s="418"/>
      <c r="X284" s="418"/>
      <c r="Y284" s="418"/>
      <c r="Z284" s="852"/>
      <c r="AA284" s="418"/>
      <c r="AB284" s="418"/>
      <c r="AC284" s="418"/>
      <c r="AD284" s="418"/>
      <c r="AE284" s="852"/>
      <c r="AF284" s="418"/>
      <c r="AG284" s="418"/>
      <c r="AH284" s="418"/>
      <c r="AI284" s="418"/>
      <c r="AJ284" s="852"/>
      <c r="AK284" s="418"/>
      <c r="AL284" s="418"/>
      <c r="AM284" s="418"/>
      <c r="AN284" s="418"/>
      <c r="AO284" s="852"/>
      <c r="AP284" s="418"/>
      <c r="AQ284" s="895"/>
      <c r="AR284" s="896"/>
      <c r="AS284" s="896"/>
      <c r="AT284" s="897"/>
      <c r="AU284" s="896"/>
      <c r="AV284" s="896"/>
      <c r="AW284" s="896"/>
      <c r="AX284" s="896"/>
      <c r="AY284" s="897"/>
      <c r="AZ284" s="897"/>
      <c r="BA284" s="897"/>
      <c r="BB284" s="897"/>
      <c r="BC284" s="363"/>
    </row>
    <row r="285" spans="1:55" s="23" customFormat="1" hidden="1" outlineLevel="1">
      <c r="A285" s="229" t="s">
        <v>170</v>
      </c>
      <c r="B285" s="132"/>
      <c r="C285" s="885">
        <v>-40.655000000000001</v>
      </c>
      <c r="D285" s="885"/>
      <c r="E285" s="885">
        <v>-23.925999999999998</v>
      </c>
      <c r="F285" s="885">
        <v>-10.659000000000001</v>
      </c>
      <c r="G285" s="436"/>
      <c r="H285" s="436"/>
      <c r="I285" s="436">
        <v>-135.898</v>
      </c>
      <c r="J285" s="436">
        <v>-159.761</v>
      </c>
      <c r="K285" s="885">
        <v>-159.761</v>
      </c>
      <c r="L285" s="436">
        <v>-70.275000000000006</v>
      </c>
      <c r="M285" s="436">
        <v>-67.850999999999999</v>
      </c>
      <c r="N285" s="436">
        <v>-70.028000000000006</v>
      </c>
      <c r="O285" s="436">
        <v>-68.200999999999993</v>
      </c>
      <c r="P285" s="885">
        <v>-68.200999999999993</v>
      </c>
      <c r="Q285" s="436">
        <v>-52.615000000000002</v>
      </c>
      <c r="R285" s="436">
        <v>-52.615000000000002</v>
      </c>
      <c r="S285" s="436">
        <v>-52.606000000000002</v>
      </c>
      <c r="T285" s="436">
        <v>-52.276000000000003</v>
      </c>
      <c r="U285" s="885">
        <v>-52.276000000000003</v>
      </c>
      <c r="V285" s="436">
        <v>0</v>
      </c>
      <c r="W285" s="436">
        <v>0</v>
      </c>
      <c r="X285" s="436">
        <v>0</v>
      </c>
      <c r="Y285" s="436"/>
      <c r="Z285" s="885"/>
      <c r="AA285" s="436"/>
      <c r="AB285" s="436">
        <v>-10.223000000000001</v>
      </c>
      <c r="AC285" s="436">
        <v>-10.199</v>
      </c>
      <c r="AD285" s="436">
        <f>AE285</f>
        <v>-114.039</v>
      </c>
      <c r="AE285" s="885">
        <v>-114.039</v>
      </c>
      <c r="AF285" s="436"/>
      <c r="AG285" s="436"/>
      <c r="AH285" s="436"/>
      <c r="AI285" s="436">
        <f>AJ285</f>
        <v>0</v>
      </c>
      <c r="AJ285" s="885"/>
      <c r="AK285" s="436"/>
      <c r="AL285" s="436"/>
      <c r="AM285" s="436">
        <v>-21.785</v>
      </c>
      <c r="AN285" s="436">
        <f>AO285</f>
        <v>-28.907</v>
      </c>
      <c r="AO285" s="885">
        <v>-28.907</v>
      </c>
      <c r="AP285" s="436"/>
      <c r="AQ285" s="886"/>
      <c r="AR285" s="855"/>
      <c r="AS285" s="436">
        <f>AT285</f>
        <v>0</v>
      </c>
      <c r="AT285" s="870"/>
      <c r="AU285" s="855"/>
      <c r="AV285" s="855"/>
      <c r="AW285" s="855"/>
      <c r="AX285" s="436">
        <f>AY285</f>
        <v>0</v>
      </c>
      <c r="AY285" s="870"/>
      <c r="AZ285" s="870"/>
      <c r="BA285" s="870"/>
      <c r="BB285" s="870"/>
      <c r="BC285" s="362"/>
    </row>
    <row r="286" spans="1:55" s="23" customFormat="1" hidden="1" outlineLevel="1">
      <c r="A286" s="229" t="s">
        <v>394</v>
      </c>
      <c r="B286" s="132"/>
      <c r="C286" s="885"/>
      <c r="D286" s="885"/>
      <c r="E286" s="885"/>
      <c r="F286" s="885"/>
      <c r="G286" s="436"/>
      <c r="H286" s="436"/>
      <c r="I286" s="436"/>
      <c r="J286" s="436"/>
      <c r="K286" s="885"/>
      <c r="L286" s="436"/>
      <c r="M286" s="436"/>
      <c r="N286" s="436"/>
      <c r="O286" s="436"/>
      <c r="P286" s="885"/>
      <c r="Q286" s="436"/>
      <c r="R286" s="436"/>
      <c r="S286" s="436"/>
      <c r="T286" s="436"/>
      <c r="U286" s="885"/>
      <c r="V286" s="436"/>
      <c r="W286" s="436"/>
      <c r="X286" s="436"/>
      <c r="Y286" s="436"/>
      <c r="Z286" s="885"/>
      <c r="AA286" s="436"/>
      <c r="AB286" s="436"/>
      <c r="AC286" s="436"/>
      <c r="AD286" s="436"/>
      <c r="AE286" s="885"/>
      <c r="AF286" s="436"/>
      <c r="AG286" s="436"/>
      <c r="AH286" s="436"/>
      <c r="AI286" s="436"/>
      <c r="AJ286" s="885"/>
      <c r="AK286" s="436">
        <v>103.79300000000001</v>
      </c>
      <c r="AL286" s="436">
        <v>103.79300000000001</v>
      </c>
      <c r="AM286" s="436">
        <v>104.792</v>
      </c>
      <c r="AN286" s="436">
        <f>AO286</f>
        <v>104.877</v>
      </c>
      <c r="AO286" s="885">
        <v>104.877</v>
      </c>
      <c r="AP286" s="436"/>
      <c r="AQ286" s="886"/>
      <c r="AR286" s="855"/>
      <c r="AS286" s="436">
        <f>AT286</f>
        <v>0</v>
      </c>
      <c r="AT286" s="870"/>
      <c r="AU286" s="855"/>
      <c r="AV286" s="855"/>
      <c r="AW286" s="855"/>
      <c r="AX286" s="436">
        <f>AY286</f>
        <v>0</v>
      </c>
      <c r="AY286" s="870"/>
      <c r="AZ286" s="870"/>
      <c r="BA286" s="870"/>
      <c r="BB286" s="870"/>
      <c r="BC286" s="362"/>
    </row>
    <row r="287" spans="1:55" s="23" customFormat="1" hidden="1" outlineLevel="1">
      <c r="A287" s="229" t="s">
        <v>171</v>
      </c>
      <c r="B287" s="132"/>
      <c r="C287" s="885">
        <v>-2.4660000000000002</v>
      </c>
      <c r="D287" s="885">
        <v>-3.5680000000000001</v>
      </c>
      <c r="E287" s="885">
        <v>-14.281000000000001</v>
      </c>
      <c r="F287" s="885">
        <v>-16.72</v>
      </c>
      <c r="G287" s="436">
        <v>-1.8280000000000001</v>
      </c>
      <c r="H287" s="436">
        <v>-3.6709999999999998</v>
      </c>
      <c r="I287" s="436">
        <v>-4.8330000000000002</v>
      </c>
      <c r="J287" s="436">
        <v>-6.8680000000000003</v>
      </c>
      <c r="K287" s="885">
        <v>-6.8680000000000003</v>
      </c>
      <c r="L287" s="436">
        <v>-16.905999999999999</v>
      </c>
      <c r="M287" s="436">
        <v>-23.091000000000001</v>
      </c>
      <c r="N287" s="436">
        <v>-29.971</v>
      </c>
      <c r="O287" s="436">
        <v>-40.881999999999998</v>
      </c>
      <c r="P287" s="885">
        <v>-40.881999999999998</v>
      </c>
      <c r="Q287" s="436">
        <v>-7.0590000000000002</v>
      </c>
      <c r="R287" s="436">
        <v>-12.276999999999999</v>
      </c>
      <c r="S287" s="436">
        <v>-15.856999999999999</v>
      </c>
      <c r="T287" s="436">
        <v>-18.640999999999998</v>
      </c>
      <c r="U287" s="885">
        <v>-18.640999999999998</v>
      </c>
      <c r="V287" s="436">
        <v>-2.4500000000000002</v>
      </c>
      <c r="W287" s="436">
        <v>-6.1760000000000002</v>
      </c>
      <c r="X287" s="436">
        <v>-9.8689999999999998</v>
      </c>
      <c r="Y287" s="436">
        <f>Z287</f>
        <v>-13.037000000000001</v>
      </c>
      <c r="Z287" s="885">
        <v>-13.037000000000001</v>
      </c>
      <c r="AA287" s="436">
        <v>-2.7669999999999999</v>
      </c>
      <c r="AB287" s="436">
        <v>-5.75</v>
      </c>
      <c r="AC287" s="436">
        <v>-9.7149999999999999</v>
      </c>
      <c r="AD287" s="436">
        <f>AE287</f>
        <v>-13.478</v>
      </c>
      <c r="AE287" s="885">
        <v>-13.478</v>
      </c>
      <c r="AF287" s="436">
        <v>-4.3460000000000001</v>
      </c>
      <c r="AG287" s="436">
        <v>-8.4949999999999992</v>
      </c>
      <c r="AH287" s="436">
        <v>-12.416</v>
      </c>
      <c r="AI287" s="436">
        <f>AJ287</f>
        <v>-16.317</v>
      </c>
      <c r="AJ287" s="885">
        <v>-16.317</v>
      </c>
      <c r="AK287" s="436">
        <v>-3.4740000000000002</v>
      </c>
      <c r="AL287" s="436">
        <v>-6.9169999999999998</v>
      </c>
      <c r="AM287" s="436">
        <v>-8.85</v>
      </c>
      <c r="AN287" s="436">
        <f>AO287</f>
        <v>-12.083</v>
      </c>
      <c r="AO287" s="885">
        <v>-12.083</v>
      </c>
      <c r="AP287" s="436">
        <v>-2.7930000000000001</v>
      </c>
      <c r="AQ287" s="886">
        <v>-3.9049999999999998</v>
      </c>
      <c r="AR287" s="855"/>
      <c r="AS287" s="436">
        <f>AT287</f>
        <v>0</v>
      </c>
      <c r="AT287" s="870"/>
      <c r="AU287" s="855"/>
      <c r="AV287" s="855"/>
      <c r="AW287" s="855"/>
      <c r="AX287" s="436">
        <f>AY287</f>
        <v>0</v>
      </c>
      <c r="AY287" s="870"/>
      <c r="AZ287" s="870"/>
      <c r="BA287" s="870"/>
      <c r="BB287" s="870"/>
      <c r="BC287" s="362"/>
    </row>
    <row r="288" spans="1:55" s="23" customFormat="1" hidden="1" outlineLevel="1">
      <c r="A288" s="229" t="s">
        <v>185</v>
      </c>
      <c r="B288" s="132"/>
      <c r="C288" s="885">
        <v>0.42499999999999999</v>
      </c>
      <c r="D288" s="885"/>
      <c r="E288" s="885"/>
      <c r="F288" s="885"/>
      <c r="G288" s="436"/>
      <c r="H288" s="436"/>
      <c r="I288" s="436"/>
      <c r="J288" s="436"/>
      <c r="K288" s="885"/>
      <c r="L288" s="436"/>
      <c r="M288" s="436"/>
      <c r="N288" s="436"/>
      <c r="O288" s="436"/>
      <c r="P288" s="885"/>
      <c r="Q288" s="436"/>
      <c r="R288" s="436"/>
      <c r="S288" s="436"/>
      <c r="T288" s="436"/>
      <c r="U288" s="885"/>
      <c r="V288" s="436"/>
      <c r="W288" s="436"/>
      <c r="X288" s="436">
        <v>0</v>
      </c>
      <c r="Y288" s="436">
        <f>Z288</f>
        <v>0</v>
      </c>
      <c r="Z288" s="885"/>
      <c r="AA288" s="436"/>
      <c r="AB288" s="436"/>
      <c r="AC288" s="436"/>
      <c r="AD288" s="436">
        <f>AE288</f>
        <v>0</v>
      </c>
      <c r="AE288" s="885"/>
      <c r="AF288" s="436"/>
      <c r="AG288" s="436"/>
      <c r="AH288" s="436"/>
      <c r="AI288" s="436">
        <f>AJ288</f>
        <v>0</v>
      </c>
      <c r="AJ288" s="885"/>
      <c r="AK288" s="436"/>
      <c r="AL288" s="436"/>
      <c r="AM288" s="436"/>
      <c r="AN288" s="436">
        <f>AO288</f>
        <v>0</v>
      </c>
      <c r="AO288" s="885"/>
      <c r="AP288" s="436"/>
      <c r="AQ288" s="886">
        <v>1.6</v>
      </c>
      <c r="AR288" s="855"/>
      <c r="AS288" s="436">
        <f>AT288</f>
        <v>0</v>
      </c>
      <c r="AT288" s="870"/>
      <c r="AU288" s="855"/>
      <c r="AV288" s="855"/>
      <c r="AW288" s="855"/>
      <c r="AX288" s="436">
        <f>AY288</f>
        <v>0</v>
      </c>
      <c r="AY288" s="870"/>
      <c r="AZ288" s="870"/>
      <c r="BA288" s="870"/>
      <c r="BB288" s="870"/>
      <c r="BC288" s="362"/>
    </row>
    <row r="289" spans="1:55" s="23" customFormat="1" hidden="1" outlineLevel="1">
      <c r="A289" s="229" t="s">
        <v>172</v>
      </c>
      <c r="B289" s="132"/>
      <c r="C289" s="885">
        <v>-6.0000000000000001E-3</v>
      </c>
      <c r="D289" s="885">
        <v>-4.5999999999999999E-2</v>
      </c>
      <c r="E289" s="885">
        <v>7.4999999999999997E-2</v>
      </c>
      <c r="F289" s="885"/>
      <c r="G289" s="436"/>
      <c r="H289" s="436"/>
      <c r="I289" s="436"/>
      <c r="J289" s="436">
        <v>0</v>
      </c>
      <c r="K289" s="885"/>
      <c r="L289" s="436"/>
      <c r="M289" s="436">
        <v>0</v>
      </c>
      <c r="N289" s="436">
        <v>0</v>
      </c>
      <c r="O289" s="436">
        <v>-3.6999999999999998E-2</v>
      </c>
      <c r="P289" s="885">
        <v>-3.6999999999999998E-2</v>
      </c>
      <c r="Q289" s="436">
        <v>-0.3</v>
      </c>
      <c r="R289" s="436">
        <v>-2.6779999999999999</v>
      </c>
      <c r="S289" s="436">
        <v>-2.677</v>
      </c>
      <c r="T289" s="436">
        <v>-2.669</v>
      </c>
      <c r="U289" s="885">
        <v>-2.669</v>
      </c>
      <c r="V289" s="436">
        <v>0</v>
      </c>
      <c r="W289" s="436">
        <v>-0.85</v>
      </c>
      <c r="X289" s="436">
        <v>-1.585</v>
      </c>
      <c r="Y289" s="436">
        <f>Z289</f>
        <v>-1.585</v>
      </c>
      <c r="Z289" s="885">
        <v>-1.585</v>
      </c>
      <c r="AA289" s="436"/>
      <c r="AB289" s="436">
        <v>0.186</v>
      </c>
      <c r="AC289" s="436">
        <v>-2.0699999999999998</v>
      </c>
      <c r="AD289" s="436">
        <f>AE289</f>
        <v>-2.044</v>
      </c>
      <c r="AE289" s="885">
        <v>-2.044</v>
      </c>
      <c r="AF289" s="436"/>
      <c r="AG289" s="436"/>
      <c r="AH289" s="436">
        <v>-3.3759999999999999</v>
      </c>
      <c r="AI289" s="436">
        <f>AJ289</f>
        <v>-3.35</v>
      </c>
      <c r="AJ289" s="885">
        <v>-3.35</v>
      </c>
      <c r="AK289" s="436"/>
      <c r="AL289" s="436"/>
      <c r="AM289" s="436"/>
      <c r="AN289" s="436">
        <f>AO289</f>
        <v>0.74299999999999999</v>
      </c>
      <c r="AO289" s="885">
        <v>0.74299999999999999</v>
      </c>
      <c r="AP289" s="436"/>
      <c r="AQ289" s="886"/>
      <c r="AR289" s="855"/>
      <c r="AS289" s="436">
        <f>AT289</f>
        <v>0</v>
      </c>
      <c r="AT289" s="870"/>
      <c r="AU289" s="855"/>
      <c r="AV289" s="855"/>
      <c r="AW289" s="855"/>
      <c r="AX289" s="436">
        <f>AY289</f>
        <v>0</v>
      </c>
      <c r="AY289" s="870"/>
      <c r="AZ289" s="870"/>
      <c r="BA289" s="870"/>
      <c r="BB289" s="870"/>
      <c r="BC289" s="362"/>
    </row>
    <row r="290" spans="1:55" s="4" customFormat="1" hidden="1" outlineLevel="1">
      <c r="A290" s="402" t="s">
        <v>60</v>
      </c>
      <c r="B290" s="429"/>
      <c r="C290" s="858">
        <f t="shared" ref="C290:AH290" si="165">SUM(C285:C289)</f>
        <v>-42.702000000000005</v>
      </c>
      <c r="D290" s="858">
        <f t="shared" si="165"/>
        <v>-3.6139999999999999</v>
      </c>
      <c r="E290" s="858">
        <f t="shared" si="165"/>
        <v>-38.131999999999998</v>
      </c>
      <c r="F290" s="858">
        <f t="shared" si="165"/>
        <v>-27.378999999999998</v>
      </c>
      <c r="G290" s="402">
        <f t="shared" si="165"/>
        <v>-1.8280000000000001</v>
      </c>
      <c r="H290" s="402">
        <f t="shared" si="165"/>
        <v>-3.6709999999999998</v>
      </c>
      <c r="I290" s="402">
        <f t="shared" si="165"/>
        <v>-140.73099999999999</v>
      </c>
      <c r="J290" s="402">
        <f t="shared" si="165"/>
        <v>-166.62899999999999</v>
      </c>
      <c r="K290" s="858">
        <f t="shared" si="165"/>
        <v>-166.62899999999999</v>
      </c>
      <c r="L290" s="402">
        <f t="shared" si="165"/>
        <v>-87.181000000000012</v>
      </c>
      <c r="M290" s="402">
        <f t="shared" si="165"/>
        <v>-90.942000000000007</v>
      </c>
      <c r="N290" s="402">
        <f t="shared" si="165"/>
        <v>-99.999000000000009</v>
      </c>
      <c r="O290" s="402">
        <f t="shared" si="165"/>
        <v>-109.12</v>
      </c>
      <c r="P290" s="858">
        <f t="shared" si="165"/>
        <v>-109.12</v>
      </c>
      <c r="Q290" s="402">
        <f t="shared" si="165"/>
        <v>-59.973999999999997</v>
      </c>
      <c r="R290" s="402">
        <f t="shared" si="165"/>
        <v>-67.569999999999993</v>
      </c>
      <c r="S290" s="402">
        <f t="shared" si="165"/>
        <v>-71.14</v>
      </c>
      <c r="T290" s="402">
        <f t="shared" si="165"/>
        <v>-73.585999999999999</v>
      </c>
      <c r="U290" s="858">
        <f t="shared" si="165"/>
        <v>-73.585999999999999</v>
      </c>
      <c r="V290" s="402">
        <f t="shared" si="165"/>
        <v>-2.4500000000000002</v>
      </c>
      <c r="W290" s="402">
        <f t="shared" si="165"/>
        <v>-7.0259999999999998</v>
      </c>
      <c r="X290" s="402">
        <f t="shared" si="165"/>
        <v>-11.454000000000001</v>
      </c>
      <c r="Y290" s="402">
        <f t="shared" si="165"/>
        <v>-14.622</v>
      </c>
      <c r="Z290" s="858">
        <f t="shared" si="165"/>
        <v>-14.622</v>
      </c>
      <c r="AA290" s="402">
        <f t="shared" si="165"/>
        <v>-2.7669999999999999</v>
      </c>
      <c r="AB290" s="402">
        <f t="shared" si="165"/>
        <v>-15.787000000000001</v>
      </c>
      <c r="AC290" s="402">
        <f t="shared" si="165"/>
        <v>-21.984000000000002</v>
      </c>
      <c r="AD290" s="402">
        <f t="shared" si="165"/>
        <v>-129.56100000000001</v>
      </c>
      <c r="AE290" s="858">
        <f t="shared" si="165"/>
        <v>-129.56100000000001</v>
      </c>
      <c r="AF290" s="402">
        <f t="shared" si="165"/>
        <v>-4.3460000000000001</v>
      </c>
      <c r="AG290" s="402">
        <f t="shared" si="165"/>
        <v>-8.4949999999999992</v>
      </c>
      <c r="AH290" s="402">
        <f t="shared" si="165"/>
        <v>-15.792</v>
      </c>
      <c r="AI290" s="402">
        <f t="shared" ref="AI290:BB290" si="166">SUM(AI285:AI289)</f>
        <v>-19.667000000000002</v>
      </c>
      <c r="AJ290" s="858">
        <f t="shared" si="166"/>
        <v>-19.667000000000002</v>
      </c>
      <c r="AK290" s="402">
        <f t="shared" si="166"/>
        <v>100.319</v>
      </c>
      <c r="AL290" s="402">
        <f t="shared" si="166"/>
        <v>96.876000000000005</v>
      </c>
      <c r="AM290" s="402">
        <f t="shared" si="166"/>
        <v>74.157000000000011</v>
      </c>
      <c r="AN290" s="402">
        <f t="shared" si="166"/>
        <v>64.63</v>
      </c>
      <c r="AO290" s="858">
        <f t="shared" si="166"/>
        <v>64.63</v>
      </c>
      <c r="AP290" s="402">
        <f t="shared" si="166"/>
        <v>-2.7930000000000001</v>
      </c>
      <c r="AQ290" s="891">
        <f t="shared" si="166"/>
        <v>-2.3049999999999997</v>
      </c>
      <c r="AR290" s="402">
        <f t="shared" si="166"/>
        <v>0</v>
      </c>
      <c r="AS290" s="402">
        <f t="shared" si="166"/>
        <v>0</v>
      </c>
      <c r="AT290" s="858">
        <f t="shared" si="166"/>
        <v>0</v>
      </c>
      <c r="AU290" s="402">
        <f t="shared" si="166"/>
        <v>0</v>
      </c>
      <c r="AV290" s="402">
        <f t="shared" si="166"/>
        <v>0</v>
      </c>
      <c r="AW290" s="402">
        <f t="shared" si="166"/>
        <v>0</v>
      </c>
      <c r="AX290" s="402">
        <f t="shared" si="166"/>
        <v>0</v>
      </c>
      <c r="AY290" s="858">
        <f t="shared" si="166"/>
        <v>0</v>
      </c>
      <c r="AZ290" s="858">
        <f t="shared" si="166"/>
        <v>0</v>
      </c>
      <c r="BA290" s="858">
        <f t="shared" si="166"/>
        <v>0</v>
      </c>
      <c r="BB290" s="858">
        <f t="shared" si="166"/>
        <v>0</v>
      </c>
      <c r="BC290" s="363"/>
    </row>
    <row r="291" spans="1:55" s="4" customFormat="1" hidden="1" outlineLevel="1">
      <c r="A291" s="403"/>
      <c r="B291" s="345"/>
      <c r="C291" s="852"/>
      <c r="D291" s="852"/>
      <c r="E291" s="852"/>
      <c r="F291" s="852"/>
      <c r="G291" s="418"/>
      <c r="H291" s="418"/>
      <c r="I291" s="418"/>
      <c r="J291" s="418"/>
      <c r="K291" s="852"/>
      <c r="L291" s="418"/>
      <c r="M291" s="418"/>
      <c r="N291" s="418"/>
      <c r="O291" s="418"/>
      <c r="P291" s="852"/>
      <c r="Q291" s="418"/>
      <c r="R291" s="418"/>
      <c r="S291" s="418"/>
      <c r="T291" s="418"/>
      <c r="U291" s="852"/>
      <c r="V291" s="418"/>
      <c r="W291" s="418"/>
      <c r="X291" s="418"/>
      <c r="Y291" s="418"/>
      <c r="Z291" s="852"/>
      <c r="AA291" s="418"/>
      <c r="AB291" s="418"/>
      <c r="AC291" s="418"/>
      <c r="AD291" s="418"/>
      <c r="AE291" s="852"/>
      <c r="AF291" s="418"/>
      <c r="AG291" s="418"/>
      <c r="AH291" s="418"/>
      <c r="AI291" s="418"/>
      <c r="AJ291" s="852"/>
      <c r="AK291" s="418"/>
      <c r="AL291" s="418"/>
      <c r="AM291" s="418"/>
      <c r="AN291" s="418"/>
      <c r="AO291" s="852"/>
      <c r="AP291" s="418"/>
      <c r="AQ291" s="895"/>
      <c r="AR291" s="896"/>
      <c r="AS291" s="896"/>
      <c r="AT291" s="897"/>
      <c r="AU291" s="896"/>
      <c r="AV291" s="896"/>
      <c r="AW291" s="896"/>
      <c r="AX291" s="896"/>
      <c r="AY291" s="897"/>
      <c r="AZ291" s="897"/>
      <c r="BA291" s="897"/>
      <c r="BB291" s="897"/>
      <c r="BC291" s="363"/>
    </row>
    <row r="292" spans="1:55" s="4" customFormat="1" hidden="1" outlineLevel="1">
      <c r="A292" s="403" t="s">
        <v>7</v>
      </c>
      <c r="B292" s="345"/>
      <c r="C292" s="852"/>
      <c r="D292" s="852"/>
      <c r="E292" s="852"/>
      <c r="F292" s="852"/>
      <c r="G292" s="418"/>
      <c r="H292" s="418"/>
      <c r="I292" s="418"/>
      <c r="J292" s="418"/>
      <c r="K292" s="852"/>
      <c r="L292" s="418"/>
      <c r="M292" s="418"/>
      <c r="N292" s="418"/>
      <c r="O292" s="418"/>
      <c r="P292" s="852"/>
      <c r="Q292" s="418"/>
      <c r="R292" s="418"/>
      <c r="S292" s="418"/>
      <c r="T292" s="418"/>
      <c r="U292" s="852"/>
      <c r="V292" s="418"/>
      <c r="W292" s="418"/>
      <c r="X292" s="418"/>
      <c r="Y292" s="418"/>
      <c r="Z292" s="852"/>
      <c r="AA292" s="418"/>
      <c r="AB292" s="418"/>
      <c r="AC292" s="418"/>
      <c r="AD292" s="418"/>
      <c r="AE292" s="852"/>
      <c r="AF292" s="418"/>
      <c r="AG292" s="418"/>
      <c r="AH292" s="418"/>
      <c r="AI292" s="418"/>
      <c r="AJ292" s="852"/>
      <c r="AK292" s="418"/>
      <c r="AL292" s="418"/>
      <c r="AM292" s="418"/>
      <c r="AN292" s="418"/>
      <c r="AO292" s="852"/>
      <c r="AP292" s="418"/>
      <c r="AQ292" s="895"/>
      <c r="AR292" s="896"/>
      <c r="AS292" s="896"/>
      <c r="AT292" s="897"/>
      <c r="AU292" s="896"/>
      <c r="AV292" s="896"/>
      <c r="AW292" s="896"/>
      <c r="AX292" s="896"/>
      <c r="AY292" s="897"/>
      <c r="AZ292" s="897"/>
      <c r="BA292" s="897"/>
      <c r="BB292" s="897"/>
      <c r="BC292" s="363"/>
    </row>
    <row r="293" spans="1:55" s="23" customFormat="1" hidden="1" outlineLevel="1">
      <c r="A293" s="229" t="s">
        <v>173</v>
      </c>
      <c r="B293" s="132"/>
      <c r="C293" s="885">
        <v>40</v>
      </c>
      <c r="D293" s="885"/>
      <c r="E293" s="885"/>
      <c r="F293" s="885"/>
      <c r="G293" s="436"/>
      <c r="H293" s="436"/>
      <c r="I293" s="436">
        <v>190</v>
      </c>
      <c r="J293" s="436">
        <v>190</v>
      </c>
      <c r="K293" s="885">
        <v>190</v>
      </c>
      <c r="L293" s="436">
        <v>58</v>
      </c>
      <c r="M293" s="436">
        <v>58.15</v>
      </c>
      <c r="N293" s="436">
        <v>245.41399999999999</v>
      </c>
      <c r="O293" s="436">
        <v>245.89400000000001</v>
      </c>
      <c r="P293" s="885">
        <v>245.89400000000001</v>
      </c>
      <c r="Q293" s="436">
        <v>40</v>
      </c>
      <c r="R293" s="436">
        <v>55</v>
      </c>
      <c r="S293" s="436">
        <v>55</v>
      </c>
      <c r="T293" s="436">
        <v>55</v>
      </c>
      <c r="U293" s="885">
        <v>55</v>
      </c>
      <c r="V293" s="436">
        <v>10</v>
      </c>
      <c r="W293" s="436">
        <v>15</v>
      </c>
      <c r="X293" s="436">
        <v>20</v>
      </c>
      <c r="Y293" s="436">
        <f t="shared" ref="Y293:Y302" si="167">Z293</f>
        <v>20</v>
      </c>
      <c r="Z293" s="885">
        <v>20</v>
      </c>
      <c r="AA293" s="436"/>
      <c r="AB293" s="436">
        <v>22</v>
      </c>
      <c r="AC293" s="436">
        <v>42</v>
      </c>
      <c r="AD293" s="436">
        <f t="shared" ref="AD293:AD302" si="168">AE293</f>
        <v>147.08600000000001</v>
      </c>
      <c r="AE293" s="885">
        <v>147.08600000000001</v>
      </c>
      <c r="AF293" s="436">
        <v>15</v>
      </c>
      <c r="AG293" s="436">
        <v>30.015000000000001</v>
      </c>
      <c r="AH293" s="436">
        <v>35.015000000000001</v>
      </c>
      <c r="AI293" s="436">
        <f t="shared" ref="AI293:AI302" si="169">AJ293</f>
        <v>35.015000000000001</v>
      </c>
      <c r="AJ293" s="885">
        <v>35.015000000000001</v>
      </c>
      <c r="AK293" s="436">
        <v>10</v>
      </c>
      <c r="AL293" s="436">
        <v>27</v>
      </c>
      <c r="AM293" s="436">
        <v>99</v>
      </c>
      <c r="AN293" s="436">
        <f t="shared" ref="AN293:AN302" si="170">AO293</f>
        <v>117</v>
      </c>
      <c r="AO293" s="885">
        <v>117</v>
      </c>
      <c r="AP293" s="436">
        <v>150</v>
      </c>
      <c r="AQ293" s="886">
        <v>150</v>
      </c>
      <c r="AR293" s="855"/>
      <c r="AS293" s="436">
        <f t="shared" ref="AS293:AS302" si="171">AT293</f>
        <v>0</v>
      </c>
      <c r="AT293" s="870"/>
      <c r="AU293" s="855"/>
      <c r="AV293" s="855"/>
      <c r="AW293" s="855"/>
      <c r="AX293" s="436">
        <f t="shared" ref="AX293:AX302" si="172">AY293</f>
        <v>0</v>
      </c>
      <c r="AY293" s="870"/>
      <c r="AZ293" s="870"/>
      <c r="BA293" s="870"/>
      <c r="BB293" s="870"/>
      <c r="BC293" s="362"/>
    </row>
    <row r="294" spans="1:55" s="23" customFormat="1" hidden="1" outlineLevel="1">
      <c r="A294" s="229" t="s">
        <v>174</v>
      </c>
      <c r="B294" s="132"/>
      <c r="C294" s="885">
        <v>-14.965</v>
      </c>
      <c r="D294" s="885">
        <v>-6.2450000000000001</v>
      </c>
      <c r="E294" s="885">
        <v>-5.3019999999999996</v>
      </c>
      <c r="F294" s="885">
        <v>-10.307</v>
      </c>
      <c r="G294" s="436">
        <v>-2.0350000000000001</v>
      </c>
      <c r="H294" s="436">
        <v>-4.4779999999999998</v>
      </c>
      <c r="I294" s="436">
        <v>-21.294</v>
      </c>
      <c r="J294" s="436">
        <v>-19.498000000000001</v>
      </c>
      <c r="K294" s="885">
        <v>-19.498000000000001</v>
      </c>
      <c r="L294" s="436">
        <v>-0.40500000000000003</v>
      </c>
      <c r="M294" s="436">
        <v>-25.882999999999999</v>
      </c>
      <c r="N294" s="436">
        <v>-245.761</v>
      </c>
      <c r="O294" s="436">
        <v>-275.54399999999998</v>
      </c>
      <c r="P294" s="885">
        <v>-275.54399999999998</v>
      </c>
      <c r="Q294" s="436">
        <v>-5.6630000000000003</v>
      </c>
      <c r="R294" s="436">
        <v>-6.3310000000000004</v>
      </c>
      <c r="S294" s="436">
        <v>-29.007999999999999</v>
      </c>
      <c r="T294" s="436">
        <v>-67.694000000000003</v>
      </c>
      <c r="U294" s="885">
        <v>-67.694000000000003</v>
      </c>
      <c r="V294" s="436">
        <v>-7.6040000000000001</v>
      </c>
      <c r="W294" s="436">
        <v>-18.279</v>
      </c>
      <c r="X294" s="436">
        <v>-25.908999999999999</v>
      </c>
      <c r="Y294" s="436">
        <f t="shared" si="167"/>
        <v>-41.835000000000001</v>
      </c>
      <c r="Z294" s="885">
        <v>-41.835000000000001</v>
      </c>
      <c r="AA294" s="436">
        <v>-6.657</v>
      </c>
      <c r="AB294" s="436">
        <v>-7.3410000000000002</v>
      </c>
      <c r="AC294" s="436">
        <v>-13.031000000000001</v>
      </c>
      <c r="AD294" s="436">
        <f t="shared" si="168"/>
        <v>-23.72</v>
      </c>
      <c r="AE294" s="885">
        <v>-23.72</v>
      </c>
      <c r="AF294" s="436">
        <v>-10.705</v>
      </c>
      <c r="AG294" s="436">
        <v>-36.415999999999997</v>
      </c>
      <c r="AH294" s="436">
        <v>-47.116</v>
      </c>
      <c r="AI294" s="436">
        <f t="shared" si="169"/>
        <v>-72.834000000000003</v>
      </c>
      <c r="AJ294" s="885">
        <v>-72.834000000000003</v>
      </c>
      <c r="AK294" s="436">
        <v>-122.026</v>
      </c>
      <c r="AL294" s="436">
        <v>-132.053</v>
      </c>
      <c r="AM294" s="436">
        <v>-146.08000000000001</v>
      </c>
      <c r="AN294" s="436">
        <f t="shared" si="170"/>
        <v>-156.107</v>
      </c>
      <c r="AO294" s="885">
        <v>-156.107</v>
      </c>
      <c r="AP294" s="436">
        <v>-5</v>
      </c>
      <c r="AQ294" s="886">
        <v>-165</v>
      </c>
      <c r="AR294" s="855"/>
      <c r="AS294" s="436">
        <f t="shared" si="171"/>
        <v>0</v>
      </c>
      <c r="AT294" s="870"/>
      <c r="AU294" s="855"/>
      <c r="AV294" s="855"/>
      <c r="AW294" s="855"/>
      <c r="AX294" s="436">
        <f t="shared" si="172"/>
        <v>0</v>
      </c>
      <c r="AY294" s="870"/>
      <c r="AZ294" s="870"/>
      <c r="BA294" s="870"/>
      <c r="BB294" s="870"/>
      <c r="BC294" s="362"/>
    </row>
    <row r="295" spans="1:55" s="23" customFormat="1" hidden="1" outlineLevel="1">
      <c r="A295" s="229" t="s">
        <v>175</v>
      </c>
      <c r="B295" s="132"/>
      <c r="C295" s="885">
        <v>4.1760000000000002</v>
      </c>
      <c r="D295" s="885"/>
      <c r="E295" s="885"/>
      <c r="F295" s="885">
        <v>10</v>
      </c>
      <c r="G295" s="436"/>
      <c r="H295" s="436"/>
      <c r="I295" s="436"/>
      <c r="J295" s="436">
        <v>0</v>
      </c>
      <c r="K295" s="885"/>
      <c r="L295" s="436"/>
      <c r="M295" s="436"/>
      <c r="N295" s="436"/>
      <c r="O295" s="436">
        <v>0</v>
      </c>
      <c r="P295" s="885"/>
      <c r="Q295" s="436"/>
      <c r="R295" s="436"/>
      <c r="S295" s="436"/>
      <c r="T295" s="436">
        <v>0</v>
      </c>
      <c r="U295" s="885"/>
      <c r="V295" s="436"/>
      <c r="W295" s="436"/>
      <c r="X295" s="436"/>
      <c r="Y295" s="436">
        <f t="shared" si="167"/>
        <v>0</v>
      </c>
      <c r="Z295" s="885"/>
      <c r="AA295" s="436"/>
      <c r="AB295" s="436"/>
      <c r="AC295" s="436"/>
      <c r="AD295" s="436">
        <f t="shared" si="168"/>
        <v>0</v>
      </c>
      <c r="AE295" s="885"/>
      <c r="AF295" s="436"/>
      <c r="AG295" s="436"/>
      <c r="AH295" s="436"/>
      <c r="AI295" s="436">
        <f t="shared" si="169"/>
        <v>0</v>
      </c>
      <c r="AJ295" s="885"/>
      <c r="AK295" s="436"/>
      <c r="AL295" s="436"/>
      <c r="AM295" s="436"/>
      <c r="AN295" s="436">
        <f t="shared" si="170"/>
        <v>0</v>
      </c>
      <c r="AO295" s="885"/>
      <c r="AP295" s="436"/>
      <c r="AQ295" s="886"/>
      <c r="AR295" s="855"/>
      <c r="AS295" s="436">
        <f t="shared" si="171"/>
        <v>0</v>
      </c>
      <c r="AT295" s="870"/>
      <c r="AU295" s="855"/>
      <c r="AV295" s="855"/>
      <c r="AW295" s="855"/>
      <c r="AX295" s="436">
        <f t="shared" si="172"/>
        <v>0</v>
      </c>
      <c r="AY295" s="870"/>
      <c r="AZ295" s="870"/>
      <c r="BA295" s="870"/>
      <c r="BB295" s="870"/>
      <c r="BC295" s="362"/>
    </row>
    <row r="296" spans="1:55" s="23" customFormat="1" hidden="1" outlineLevel="1">
      <c r="A296" s="229" t="s">
        <v>176</v>
      </c>
      <c r="B296" s="132"/>
      <c r="C296" s="885">
        <v>-4.1760000000000002</v>
      </c>
      <c r="D296" s="885"/>
      <c r="E296" s="885"/>
      <c r="F296" s="885">
        <v>-3</v>
      </c>
      <c r="G296" s="436"/>
      <c r="H296" s="436"/>
      <c r="I296" s="436"/>
      <c r="J296" s="436">
        <v>-7</v>
      </c>
      <c r="K296" s="885">
        <v>-7</v>
      </c>
      <c r="L296" s="436"/>
      <c r="M296" s="436"/>
      <c r="N296" s="436"/>
      <c r="O296" s="436">
        <v>0</v>
      </c>
      <c r="P296" s="885">
        <v>0</v>
      </c>
      <c r="Q296" s="436"/>
      <c r="R296" s="436"/>
      <c r="S296" s="436"/>
      <c r="T296" s="436">
        <v>0</v>
      </c>
      <c r="U296" s="885">
        <v>0</v>
      </c>
      <c r="V296" s="436"/>
      <c r="W296" s="436"/>
      <c r="X296" s="436"/>
      <c r="Y296" s="436">
        <f t="shared" si="167"/>
        <v>0</v>
      </c>
      <c r="Z296" s="885"/>
      <c r="AA296" s="436"/>
      <c r="AB296" s="436"/>
      <c r="AC296" s="436"/>
      <c r="AD296" s="436">
        <f t="shared" si="168"/>
        <v>0</v>
      </c>
      <c r="AE296" s="885"/>
      <c r="AF296" s="436"/>
      <c r="AG296" s="436"/>
      <c r="AH296" s="436"/>
      <c r="AI296" s="436">
        <f t="shared" si="169"/>
        <v>0</v>
      </c>
      <c r="AJ296" s="885"/>
      <c r="AK296" s="436"/>
      <c r="AL296" s="436"/>
      <c r="AM296" s="436"/>
      <c r="AN296" s="436">
        <f t="shared" si="170"/>
        <v>0</v>
      </c>
      <c r="AO296" s="885"/>
      <c r="AP296" s="436"/>
      <c r="AQ296" s="886"/>
      <c r="AR296" s="855"/>
      <c r="AS296" s="436">
        <f t="shared" si="171"/>
        <v>0</v>
      </c>
      <c r="AT296" s="870"/>
      <c r="AU296" s="855"/>
      <c r="AV296" s="855"/>
      <c r="AW296" s="855"/>
      <c r="AX296" s="436">
        <f t="shared" si="172"/>
        <v>0</v>
      </c>
      <c r="AY296" s="870"/>
      <c r="AZ296" s="870"/>
      <c r="BA296" s="870"/>
      <c r="BB296" s="870"/>
      <c r="BC296" s="362"/>
    </row>
    <row r="297" spans="1:55" s="23" customFormat="1" hidden="1" outlineLevel="1">
      <c r="A297" s="229" t="s">
        <v>177</v>
      </c>
      <c r="B297" s="132"/>
      <c r="C297" s="885"/>
      <c r="D297" s="885"/>
      <c r="E297" s="885"/>
      <c r="F297" s="885"/>
      <c r="G297" s="436"/>
      <c r="H297" s="436"/>
      <c r="I297" s="436"/>
      <c r="J297" s="436">
        <v>0</v>
      </c>
      <c r="K297" s="885"/>
      <c r="L297" s="436"/>
      <c r="M297" s="436"/>
      <c r="N297" s="436"/>
      <c r="O297" s="436">
        <v>0</v>
      </c>
      <c r="P297" s="885"/>
      <c r="Q297" s="436">
        <v>0</v>
      </c>
      <c r="R297" s="436"/>
      <c r="S297" s="436"/>
      <c r="T297" s="436">
        <v>0</v>
      </c>
      <c r="U297" s="885"/>
      <c r="V297" s="436">
        <v>-4.2610000000000001</v>
      </c>
      <c r="W297" s="436">
        <v>-12.154</v>
      </c>
      <c r="X297" s="436">
        <v>-17.446000000000002</v>
      </c>
      <c r="Y297" s="436">
        <f t="shared" si="167"/>
        <v>-17.617999999999999</v>
      </c>
      <c r="Z297" s="885">
        <v>-17.617999999999999</v>
      </c>
      <c r="AA297" s="436">
        <v>-4.4130000000000003</v>
      </c>
      <c r="AB297" s="436">
        <v>-13.523999999999999</v>
      </c>
      <c r="AC297" s="436">
        <v>-32.381999999999998</v>
      </c>
      <c r="AD297" s="436">
        <f t="shared" si="168"/>
        <v>-32.381999999999998</v>
      </c>
      <c r="AE297" s="885">
        <v>-32.381999999999998</v>
      </c>
      <c r="AF297" s="436"/>
      <c r="AG297" s="436"/>
      <c r="AH297" s="436"/>
      <c r="AI297" s="436">
        <f t="shared" si="169"/>
        <v>0</v>
      </c>
      <c r="AJ297" s="885"/>
      <c r="AK297" s="436"/>
      <c r="AL297" s="436"/>
      <c r="AM297" s="436">
        <v>-50</v>
      </c>
      <c r="AN297" s="436">
        <f t="shared" si="170"/>
        <v>-50.783999999999999</v>
      </c>
      <c r="AO297" s="885">
        <v>-50.783999999999999</v>
      </c>
      <c r="AP297" s="436">
        <v>-7.7320000000000002</v>
      </c>
      <c r="AQ297" s="886">
        <v>-7.7320000000000002</v>
      </c>
      <c r="AR297" s="855"/>
      <c r="AS297" s="436">
        <f t="shared" si="171"/>
        <v>0</v>
      </c>
      <c r="AT297" s="870"/>
      <c r="AU297" s="855"/>
      <c r="AV297" s="855"/>
      <c r="AW297" s="855"/>
      <c r="AX297" s="436">
        <f t="shared" si="172"/>
        <v>0</v>
      </c>
      <c r="AY297" s="870"/>
      <c r="AZ297" s="870"/>
      <c r="BA297" s="870"/>
      <c r="BB297" s="870"/>
      <c r="BC297" s="362"/>
    </row>
    <row r="298" spans="1:55" s="23" customFormat="1" hidden="1" outlineLevel="1">
      <c r="A298" s="229" t="s">
        <v>178</v>
      </c>
      <c r="B298" s="132"/>
      <c r="C298" s="885">
        <v>-1.6819999999999999</v>
      </c>
      <c r="D298" s="885"/>
      <c r="E298" s="885">
        <v>-0.14299999999999999</v>
      </c>
      <c r="F298" s="885"/>
      <c r="G298" s="436">
        <v>-0.16</v>
      </c>
      <c r="H298" s="436">
        <v>-0.16</v>
      </c>
      <c r="I298" s="436">
        <v>-2.2879999999999998</v>
      </c>
      <c r="J298" s="436">
        <v>-2.2879999999999998</v>
      </c>
      <c r="K298" s="885">
        <v>-2.2879999999999998</v>
      </c>
      <c r="L298" s="436">
        <v>-0.28000000000000003</v>
      </c>
      <c r="M298" s="436">
        <v>-0.28000000000000003</v>
      </c>
      <c r="N298" s="436">
        <v>-0.57299999999999995</v>
      </c>
      <c r="O298" s="436">
        <v>-0.57299999999999995</v>
      </c>
      <c r="P298" s="885">
        <v>-0.57299999999999995</v>
      </c>
      <c r="Q298" s="436">
        <v>0</v>
      </c>
      <c r="R298" s="436">
        <v>0</v>
      </c>
      <c r="S298" s="436">
        <v>0</v>
      </c>
      <c r="T298" s="436">
        <v>0</v>
      </c>
      <c r="U298" s="885">
        <v>0</v>
      </c>
      <c r="V298" s="436">
        <v>-0.16400000000000001</v>
      </c>
      <c r="W298" s="436">
        <v>-0.16400000000000001</v>
      </c>
      <c r="X298" s="436">
        <v>-0.16400000000000001</v>
      </c>
      <c r="Y298" s="436">
        <f t="shared" si="167"/>
        <v>0</v>
      </c>
      <c r="Z298" s="885"/>
      <c r="AA298" s="436"/>
      <c r="AB298" s="436"/>
      <c r="AC298" s="436"/>
      <c r="AD298" s="436">
        <f t="shared" si="168"/>
        <v>0</v>
      </c>
      <c r="AE298" s="885"/>
      <c r="AF298" s="436">
        <v>-0.51600000000000001</v>
      </c>
      <c r="AG298" s="436">
        <v>-0.51600000000000001</v>
      </c>
      <c r="AH298" s="436">
        <v>-0.51600000000000001</v>
      </c>
      <c r="AI298" s="436">
        <f t="shared" si="169"/>
        <v>-0.51600000000000001</v>
      </c>
      <c r="AJ298" s="885">
        <v>-0.51600000000000001</v>
      </c>
      <c r="AK298" s="436"/>
      <c r="AL298" s="436"/>
      <c r="AM298" s="436"/>
      <c r="AN298" s="436">
        <f t="shared" si="170"/>
        <v>0</v>
      </c>
      <c r="AO298" s="885"/>
      <c r="AP298" s="436"/>
      <c r="AQ298" s="886"/>
      <c r="AR298" s="855"/>
      <c r="AS298" s="436">
        <f t="shared" si="171"/>
        <v>0</v>
      </c>
      <c r="AT298" s="870"/>
      <c r="AU298" s="855"/>
      <c r="AV298" s="855"/>
      <c r="AW298" s="855"/>
      <c r="AX298" s="436">
        <f t="shared" si="172"/>
        <v>0</v>
      </c>
      <c r="AY298" s="870"/>
      <c r="AZ298" s="870"/>
      <c r="BA298" s="870"/>
      <c r="BB298" s="870"/>
      <c r="BC298" s="362"/>
    </row>
    <row r="299" spans="1:55" s="23" customFormat="1" hidden="1" outlineLevel="1">
      <c r="A299" s="229" t="s">
        <v>179</v>
      </c>
      <c r="B299" s="132"/>
      <c r="C299" s="885"/>
      <c r="D299" s="885"/>
      <c r="E299" s="885"/>
      <c r="F299" s="885"/>
      <c r="G299" s="436">
        <v>-8.1000000000000003E-2</v>
      </c>
      <c r="H299" s="436">
        <v>-8.1000000000000003E-2</v>
      </c>
      <c r="I299" s="436">
        <v>-8.1000000000000003E-2</v>
      </c>
      <c r="J299" s="436">
        <v>-8.1000000000000003E-2</v>
      </c>
      <c r="K299" s="885">
        <v>-8.1000000000000003E-2</v>
      </c>
      <c r="L299" s="436">
        <v>-5.2999999999999999E-2</v>
      </c>
      <c r="M299" s="436">
        <v>-4.2000000000000003E-2</v>
      </c>
      <c r="N299" s="436">
        <v>-3.6999999999999998E-2</v>
      </c>
      <c r="O299" s="436">
        <v>0</v>
      </c>
      <c r="P299" s="885"/>
      <c r="Q299" s="436"/>
      <c r="R299" s="436">
        <v>-2E-3</v>
      </c>
      <c r="S299" s="436">
        <v>-2E-3</v>
      </c>
      <c r="T299" s="436">
        <v>0</v>
      </c>
      <c r="U299" s="885"/>
      <c r="V299" s="436"/>
      <c r="W299" s="436"/>
      <c r="X299" s="436"/>
      <c r="Y299" s="436">
        <f t="shared" si="167"/>
        <v>0</v>
      </c>
      <c r="Z299" s="885"/>
      <c r="AA299" s="436"/>
      <c r="AB299" s="436"/>
      <c r="AC299" s="436"/>
      <c r="AD299" s="436">
        <f t="shared" si="168"/>
        <v>0</v>
      </c>
      <c r="AE299" s="885"/>
      <c r="AF299" s="436"/>
      <c r="AG299" s="436"/>
      <c r="AH299" s="436"/>
      <c r="AI299" s="436">
        <f t="shared" si="169"/>
        <v>0</v>
      </c>
      <c r="AJ299" s="885"/>
      <c r="AK299" s="436"/>
      <c r="AL299" s="436"/>
      <c r="AM299" s="436"/>
      <c r="AN299" s="436">
        <f t="shared" si="170"/>
        <v>0</v>
      </c>
      <c r="AO299" s="885"/>
      <c r="AP299" s="436"/>
      <c r="AQ299" s="886"/>
      <c r="AR299" s="855"/>
      <c r="AS299" s="436">
        <f t="shared" si="171"/>
        <v>0</v>
      </c>
      <c r="AT299" s="870"/>
      <c r="AU299" s="855"/>
      <c r="AV299" s="855"/>
      <c r="AW299" s="855"/>
      <c r="AX299" s="436">
        <f t="shared" si="172"/>
        <v>0</v>
      </c>
      <c r="AY299" s="870"/>
      <c r="AZ299" s="870"/>
      <c r="BA299" s="870"/>
      <c r="BB299" s="870"/>
      <c r="BC299" s="362"/>
    </row>
    <row r="300" spans="1:55" s="23" customFormat="1" hidden="1" outlineLevel="1">
      <c r="A300" s="229" t="s">
        <v>186</v>
      </c>
      <c r="B300" s="132"/>
      <c r="C300" s="885">
        <v>0.13600000000000001</v>
      </c>
      <c r="D300" s="885"/>
      <c r="E300" s="885"/>
      <c r="F300" s="885"/>
      <c r="G300" s="436"/>
      <c r="H300" s="436"/>
      <c r="I300" s="436"/>
      <c r="J300" s="436"/>
      <c r="K300" s="885"/>
      <c r="L300" s="436"/>
      <c r="M300" s="436"/>
      <c r="N300" s="436"/>
      <c r="O300" s="436"/>
      <c r="P300" s="885"/>
      <c r="Q300" s="436"/>
      <c r="R300" s="436"/>
      <c r="S300" s="436"/>
      <c r="T300" s="436"/>
      <c r="U300" s="885"/>
      <c r="V300" s="436"/>
      <c r="W300" s="436"/>
      <c r="X300" s="436"/>
      <c r="Y300" s="436">
        <f t="shared" si="167"/>
        <v>0</v>
      </c>
      <c r="Z300" s="885"/>
      <c r="AA300" s="436"/>
      <c r="AB300" s="436"/>
      <c r="AC300" s="436"/>
      <c r="AD300" s="436">
        <f t="shared" si="168"/>
        <v>0</v>
      </c>
      <c r="AE300" s="885"/>
      <c r="AF300" s="436"/>
      <c r="AG300" s="436"/>
      <c r="AH300" s="436"/>
      <c r="AI300" s="436">
        <f t="shared" si="169"/>
        <v>0</v>
      </c>
      <c r="AJ300" s="885"/>
      <c r="AK300" s="436"/>
      <c r="AL300" s="436"/>
      <c r="AM300" s="436"/>
      <c r="AN300" s="436">
        <f t="shared" si="170"/>
        <v>0</v>
      </c>
      <c r="AO300" s="885"/>
      <c r="AP300" s="436"/>
      <c r="AQ300" s="886"/>
      <c r="AR300" s="855"/>
      <c r="AS300" s="436">
        <f t="shared" si="171"/>
        <v>0</v>
      </c>
      <c r="AT300" s="870"/>
      <c r="AU300" s="855"/>
      <c r="AV300" s="855"/>
      <c r="AW300" s="855"/>
      <c r="AX300" s="436">
        <f t="shared" si="172"/>
        <v>0</v>
      </c>
      <c r="AY300" s="870"/>
      <c r="AZ300" s="870"/>
      <c r="BA300" s="870"/>
      <c r="BB300" s="870"/>
      <c r="BC300" s="362"/>
    </row>
    <row r="301" spans="1:55" s="23" customFormat="1" hidden="1" outlineLevel="1">
      <c r="A301" s="229" t="s">
        <v>180</v>
      </c>
      <c r="B301" s="132"/>
      <c r="C301" s="885">
        <v>1.6E-2</v>
      </c>
      <c r="D301" s="885">
        <v>1.0920000000000001</v>
      </c>
      <c r="E301" s="885">
        <v>2.266</v>
      </c>
      <c r="F301" s="885">
        <v>1.714</v>
      </c>
      <c r="G301" s="436">
        <v>0.13700000000000001</v>
      </c>
      <c r="H301" s="436">
        <v>0.17499999999999999</v>
      </c>
      <c r="I301" s="436">
        <v>0.40799999999999997</v>
      </c>
      <c r="J301" s="436">
        <v>1.9219999999999999</v>
      </c>
      <c r="K301" s="885">
        <v>1.9219999999999999</v>
      </c>
      <c r="L301" s="436">
        <v>0.58799999999999997</v>
      </c>
      <c r="M301" s="436">
        <v>0.80400000000000005</v>
      </c>
      <c r="N301" s="436">
        <v>1.29</v>
      </c>
      <c r="O301" s="436">
        <v>1.8480000000000001</v>
      </c>
      <c r="P301" s="885">
        <v>1.8480000000000001</v>
      </c>
      <c r="Q301" s="436">
        <v>0.40200000000000002</v>
      </c>
      <c r="R301" s="436">
        <v>0.63800000000000001</v>
      </c>
      <c r="S301" s="436">
        <v>3.3079999999999998</v>
      </c>
      <c r="T301" s="436">
        <v>2.996</v>
      </c>
      <c r="U301" s="885">
        <v>2.996</v>
      </c>
      <c r="V301" s="436">
        <v>0.45100000000000001</v>
      </c>
      <c r="W301" s="436">
        <v>0.55700000000000005</v>
      </c>
      <c r="X301" s="436">
        <v>3.9020000000000001</v>
      </c>
      <c r="Y301" s="436">
        <f t="shared" si="167"/>
        <v>3.8130000000000002</v>
      </c>
      <c r="Z301" s="885">
        <v>3.8130000000000002</v>
      </c>
      <c r="AA301" s="436">
        <v>0.29499999999999998</v>
      </c>
      <c r="AB301" s="436">
        <v>0.317</v>
      </c>
      <c r="AC301" s="436">
        <v>0.34899999999999998</v>
      </c>
      <c r="AD301" s="436">
        <f t="shared" si="168"/>
        <v>0.441</v>
      </c>
      <c r="AE301" s="885">
        <v>0.441</v>
      </c>
      <c r="AF301" s="436">
        <v>0.16</v>
      </c>
      <c r="AG301" s="436">
        <v>0.28100000000000003</v>
      </c>
      <c r="AH301" s="436">
        <v>0.28299999999999997</v>
      </c>
      <c r="AI301" s="436">
        <f t="shared" si="169"/>
        <v>2.2010000000000001</v>
      </c>
      <c r="AJ301" s="885">
        <v>2.2010000000000001</v>
      </c>
      <c r="AK301" s="436">
        <v>0.159</v>
      </c>
      <c r="AL301" s="436">
        <v>0.41599999999999998</v>
      </c>
      <c r="AM301" s="436">
        <v>0.42299999999999999</v>
      </c>
      <c r="AN301" s="436">
        <f t="shared" si="170"/>
        <v>-0.54500000000000004</v>
      </c>
      <c r="AO301" s="885">
        <v>-0.54500000000000004</v>
      </c>
      <c r="AP301" s="436">
        <v>3.3000000000000002E-2</v>
      </c>
      <c r="AQ301" s="886">
        <v>3.4000000000000002E-2</v>
      </c>
      <c r="AR301" s="855"/>
      <c r="AS301" s="436">
        <f t="shared" si="171"/>
        <v>0</v>
      </c>
      <c r="AT301" s="870"/>
      <c r="AU301" s="855"/>
      <c r="AV301" s="855"/>
      <c r="AW301" s="855"/>
      <c r="AX301" s="436">
        <f t="shared" si="172"/>
        <v>0</v>
      </c>
      <c r="AY301" s="870"/>
      <c r="AZ301" s="870"/>
      <c r="BA301" s="870"/>
      <c r="BB301" s="870"/>
      <c r="BC301" s="362"/>
    </row>
    <row r="302" spans="1:55" s="23" customFormat="1" hidden="1" outlineLevel="1">
      <c r="A302" s="229" t="s">
        <v>58</v>
      </c>
      <c r="B302" s="132"/>
      <c r="C302" s="885"/>
      <c r="D302" s="885"/>
      <c r="E302" s="885"/>
      <c r="F302" s="885"/>
      <c r="G302" s="436"/>
      <c r="H302" s="436"/>
      <c r="I302" s="436"/>
      <c r="J302" s="436"/>
      <c r="K302" s="885"/>
      <c r="L302" s="436"/>
      <c r="M302" s="436"/>
      <c r="N302" s="436"/>
      <c r="O302" s="436"/>
      <c r="P302" s="885"/>
      <c r="Q302" s="436"/>
      <c r="R302" s="436"/>
      <c r="S302" s="436"/>
      <c r="T302" s="436"/>
      <c r="U302" s="885"/>
      <c r="V302" s="436"/>
      <c r="W302" s="436"/>
      <c r="X302" s="436"/>
      <c r="Y302" s="436">
        <f t="shared" si="167"/>
        <v>0</v>
      </c>
      <c r="Z302" s="885"/>
      <c r="AA302" s="436"/>
      <c r="AB302" s="436"/>
      <c r="AC302" s="436"/>
      <c r="AD302" s="436">
        <f t="shared" si="168"/>
        <v>0</v>
      </c>
      <c r="AE302" s="885"/>
      <c r="AF302" s="436"/>
      <c r="AG302" s="436"/>
      <c r="AH302" s="436"/>
      <c r="AI302" s="436">
        <f t="shared" si="169"/>
        <v>0</v>
      </c>
      <c r="AJ302" s="885"/>
      <c r="AK302" s="436"/>
      <c r="AL302" s="436"/>
      <c r="AM302" s="436"/>
      <c r="AN302" s="436">
        <f t="shared" si="170"/>
        <v>0</v>
      </c>
      <c r="AO302" s="885"/>
      <c r="AP302" s="436"/>
      <c r="AQ302" s="886"/>
      <c r="AR302" s="855"/>
      <c r="AS302" s="436">
        <f t="shared" si="171"/>
        <v>0</v>
      </c>
      <c r="AT302" s="870"/>
      <c r="AU302" s="855"/>
      <c r="AV302" s="855"/>
      <c r="AW302" s="855"/>
      <c r="AX302" s="436">
        <f t="shared" si="172"/>
        <v>0</v>
      </c>
      <c r="AY302" s="870"/>
      <c r="AZ302" s="870"/>
      <c r="BA302" s="870"/>
      <c r="BB302" s="870"/>
      <c r="BC302" s="362"/>
    </row>
    <row r="303" spans="1:55" s="23" customFormat="1" hidden="1" outlineLevel="1">
      <c r="A303" s="229" t="s">
        <v>163</v>
      </c>
      <c r="B303" s="132"/>
      <c r="C303" s="885"/>
      <c r="D303" s="885"/>
      <c r="E303" s="885"/>
      <c r="F303" s="885"/>
      <c r="G303" s="436"/>
      <c r="H303" s="436"/>
      <c r="I303" s="436"/>
      <c r="J303" s="436"/>
      <c r="K303" s="885"/>
      <c r="L303" s="436"/>
      <c r="M303" s="436"/>
      <c r="N303" s="436"/>
      <c r="O303" s="436"/>
      <c r="P303" s="885"/>
      <c r="Q303" s="436"/>
      <c r="R303" s="436"/>
      <c r="S303" s="436"/>
      <c r="T303" s="436"/>
      <c r="U303" s="885"/>
      <c r="V303" s="436"/>
      <c r="W303" s="436"/>
      <c r="X303" s="436"/>
      <c r="Y303" s="436"/>
      <c r="Z303" s="885"/>
      <c r="AA303" s="436"/>
      <c r="AB303" s="436"/>
      <c r="AC303" s="436"/>
      <c r="AD303" s="436"/>
      <c r="AE303" s="885"/>
      <c r="AF303" s="436"/>
      <c r="AG303" s="436"/>
      <c r="AH303" s="436"/>
      <c r="AI303" s="436"/>
      <c r="AJ303" s="885"/>
      <c r="AK303" s="436"/>
      <c r="AL303" s="436"/>
      <c r="AM303" s="436"/>
      <c r="AN303" s="436"/>
      <c r="AO303" s="885"/>
      <c r="AP303" s="436"/>
      <c r="AQ303" s="886">
        <v>-0.36</v>
      </c>
      <c r="AR303" s="855"/>
      <c r="AS303" s="436"/>
      <c r="AT303" s="870"/>
      <c r="AU303" s="855"/>
      <c r="AV303" s="855"/>
      <c r="AW303" s="855"/>
      <c r="AX303" s="436"/>
      <c r="AY303" s="870"/>
      <c r="AZ303" s="870"/>
      <c r="BA303" s="870"/>
      <c r="BB303" s="870"/>
      <c r="BC303" s="362"/>
    </row>
    <row r="304" spans="1:55" s="23" customFormat="1" hidden="1" outlineLevel="1">
      <c r="A304" s="229" t="s">
        <v>181</v>
      </c>
      <c r="B304" s="132"/>
      <c r="C304" s="885">
        <v>1.4999999999999999E-2</v>
      </c>
      <c r="D304" s="885">
        <v>2.1999999999999999E-2</v>
      </c>
      <c r="E304" s="885">
        <v>1.6140000000000001</v>
      </c>
      <c r="F304" s="885">
        <v>1.252</v>
      </c>
      <c r="G304" s="436">
        <v>5.7000000000000002E-2</v>
      </c>
      <c r="H304" s="436">
        <v>5.7000000000000002E-2</v>
      </c>
      <c r="I304" s="436">
        <v>0.64900000000000002</v>
      </c>
      <c r="J304" s="436">
        <v>1.198</v>
      </c>
      <c r="K304" s="885">
        <v>1.198</v>
      </c>
      <c r="L304" s="436">
        <v>1.2609999999999999</v>
      </c>
      <c r="M304" s="436">
        <v>1.2609999999999999</v>
      </c>
      <c r="N304" s="436">
        <v>2.0409999999999999</v>
      </c>
      <c r="O304" s="436">
        <v>5.2619999999999996</v>
      </c>
      <c r="P304" s="885">
        <v>5.2619999999999996</v>
      </c>
      <c r="Q304" s="436">
        <v>0.70799999999999996</v>
      </c>
      <c r="R304" s="436">
        <v>0.70799999999999996</v>
      </c>
      <c r="S304" s="436">
        <v>0.61899999999999999</v>
      </c>
      <c r="T304" s="436">
        <v>2.9729999999999999</v>
      </c>
      <c r="U304" s="885">
        <v>2.9729999999999999</v>
      </c>
      <c r="V304" s="436">
        <v>0.52900000000000003</v>
      </c>
      <c r="W304" s="436">
        <v>0.52900000000000003</v>
      </c>
      <c r="X304" s="436">
        <v>0.52900000000000003</v>
      </c>
      <c r="Y304" s="436">
        <f>Z304</f>
        <v>0.83399999999999996</v>
      </c>
      <c r="Z304" s="885">
        <v>0.83399999999999996</v>
      </c>
      <c r="AA304" s="436"/>
      <c r="AB304" s="436"/>
      <c r="AC304" s="436"/>
      <c r="AD304" s="436">
        <f>AE304</f>
        <v>0</v>
      </c>
      <c r="AE304" s="885"/>
      <c r="AF304" s="436"/>
      <c r="AG304" s="436"/>
      <c r="AH304" s="436"/>
      <c r="AI304" s="436">
        <f>AJ304</f>
        <v>0</v>
      </c>
      <c r="AJ304" s="885"/>
      <c r="AK304" s="436"/>
      <c r="AL304" s="436"/>
      <c r="AM304" s="436"/>
      <c r="AN304" s="436">
        <f>AO304</f>
        <v>0</v>
      </c>
      <c r="AO304" s="885"/>
      <c r="AP304" s="436"/>
      <c r="AQ304" s="886"/>
      <c r="AR304" s="855"/>
      <c r="AS304" s="436">
        <f>AT304</f>
        <v>0</v>
      </c>
      <c r="AT304" s="870"/>
      <c r="AU304" s="855"/>
      <c r="AV304" s="855"/>
      <c r="AW304" s="855"/>
      <c r="AX304" s="436">
        <f>AY304</f>
        <v>0</v>
      </c>
      <c r="AY304" s="870"/>
      <c r="AZ304" s="870"/>
      <c r="BA304" s="870"/>
      <c r="BB304" s="870"/>
      <c r="BC304" s="362"/>
    </row>
    <row r="305" spans="1:55" s="23" customFormat="1" hidden="1" outlineLevel="1">
      <c r="A305" s="229" t="s">
        <v>395</v>
      </c>
      <c r="B305" s="132"/>
      <c r="C305" s="885"/>
      <c r="D305" s="885"/>
      <c r="E305" s="885"/>
      <c r="F305" s="885"/>
      <c r="G305" s="436"/>
      <c r="H305" s="436"/>
      <c r="I305" s="436"/>
      <c r="J305" s="436"/>
      <c r="K305" s="885"/>
      <c r="L305" s="436"/>
      <c r="M305" s="436"/>
      <c r="N305" s="436"/>
      <c r="O305" s="436"/>
      <c r="P305" s="885"/>
      <c r="Q305" s="436"/>
      <c r="R305" s="436"/>
      <c r="S305" s="436"/>
      <c r="T305" s="436"/>
      <c r="U305" s="885"/>
      <c r="V305" s="436"/>
      <c r="W305" s="436"/>
      <c r="X305" s="436"/>
      <c r="Y305" s="436"/>
      <c r="Z305" s="885"/>
      <c r="AA305" s="436"/>
      <c r="AB305" s="436"/>
      <c r="AC305" s="436"/>
      <c r="AD305" s="436"/>
      <c r="AE305" s="885"/>
      <c r="AF305" s="436"/>
      <c r="AG305" s="436"/>
      <c r="AH305" s="436"/>
      <c r="AI305" s="436"/>
      <c r="AJ305" s="885"/>
      <c r="AK305" s="888">
        <v>-0.39500000000000002</v>
      </c>
      <c r="AL305" s="436">
        <v>-0.83399999999999996</v>
      </c>
      <c r="AM305" s="436">
        <v>-1.284</v>
      </c>
      <c r="AN305" s="436">
        <f>AO305</f>
        <v>-1.746</v>
      </c>
      <c r="AO305" s="885">
        <v>-1.746</v>
      </c>
      <c r="AP305" s="888">
        <v>-0.46100000000000002</v>
      </c>
      <c r="AQ305" s="886">
        <v>-0.93899999999999995</v>
      </c>
      <c r="AR305" s="855"/>
      <c r="AS305" s="436">
        <f>AT305</f>
        <v>0</v>
      </c>
      <c r="AT305" s="870"/>
      <c r="AU305" s="855"/>
      <c r="AV305" s="855"/>
      <c r="AW305" s="855"/>
      <c r="AX305" s="436">
        <f>AY305</f>
        <v>0</v>
      </c>
      <c r="AY305" s="870"/>
      <c r="AZ305" s="870"/>
      <c r="BA305" s="870"/>
      <c r="BB305" s="870"/>
      <c r="BC305" s="362"/>
    </row>
    <row r="306" spans="1:55" s="4" customFormat="1" hidden="1" outlineLevel="1">
      <c r="A306" s="402" t="s">
        <v>71</v>
      </c>
      <c r="B306" s="429"/>
      <c r="C306" s="858">
        <f t="shared" ref="C306:AH306" si="173">SUM(C293:C305)</f>
        <v>23.519999999999996</v>
      </c>
      <c r="D306" s="858">
        <f t="shared" si="173"/>
        <v>-5.1310000000000002</v>
      </c>
      <c r="E306" s="858">
        <f t="shared" si="173"/>
        <v>-1.5649999999999993</v>
      </c>
      <c r="F306" s="858">
        <f t="shared" si="173"/>
        <v>-0.34100000000000041</v>
      </c>
      <c r="G306" s="402">
        <f t="shared" si="173"/>
        <v>-2.0820000000000003</v>
      </c>
      <c r="H306" s="402">
        <f t="shared" si="173"/>
        <v>-4.4870000000000001</v>
      </c>
      <c r="I306" s="402">
        <f t="shared" si="173"/>
        <v>167.39399999999998</v>
      </c>
      <c r="J306" s="402">
        <f t="shared" si="173"/>
        <v>164.25300000000001</v>
      </c>
      <c r="K306" s="858">
        <f t="shared" si="173"/>
        <v>164.25300000000001</v>
      </c>
      <c r="L306" s="402">
        <f t="shared" si="173"/>
        <v>59.111000000000004</v>
      </c>
      <c r="M306" s="402">
        <f t="shared" si="173"/>
        <v>34.01</v>
      </c>
      <c r="N306" s="402">
        <f t="shared" si="173"/>
        <v>2.3739999999999917</v>
      </c>
      <c r="O306" s="402">
        <f t="shared" si="173"/>
        <v>-23.112999999999978</v>
      </c>
      <c r="P306" s="858">
        <f t="shared" si="173"/>
        <v>-23.112999999999978</v>
      </c>
      <c r="Q306" s="402">
        <f t="shared" si="173"/>
        <v>35.447000000000003</v>
      </c>
      <c r="R306" s="402">
        <f t="shared" si="173"/>
        <v>50.012999999999991</v>
      </c>
      <c r="S306" s="402">
        <f t="shared" si="173"/>
        <v>29.917000000000002</v>
      </c>
      <c r="T306" s="402">
        <f t="shared" si="173"/>
        <v>-6.7250000000000023</v>
      </c>
      <c r="U306" s="858">
        <f t="shared" si="173"/>
        <v>-6.7250000000000023</v>
      </c>
      <c r="V306" s="402">
        <f t="shared" si="173"/>
        <v>-1.0490000000000004</v>
      </c>
      <c r="W306" s="402">
        <f t="shared" si="173"/>
        <v>-14.510999999999999</v>
      </c>
      <c r="X306" s="402">
        <f t="shared" si="173"/>
        <v>-19.088000000000001</v>
      </c>
      <c r="Y306" s="402">
        <f t="shared" si="173"/>
        <v>-34.805999999999997</v>
      </c>
      <c r="Z306" s="858">
        <f t="shared" si="173"/>
        <v>-34.805999999999997</v>
      </c>
      <c r="AA306" s="402">
        <f t="shared" si="173"/>
        <v>-10.775</v>
      </c>
      <c r="AB306" s="402">
        <f t="shared" si="173"/>
        <v>1.4519999999999997</v>
      </c>
      <c r="AC306" s="402">
        <f t="shared" si="173"/>
        <v>-3.0639999999999965</v>
      </c>
      <c r="AD306" s="402">
        <f t="shared" si="173"/>
        <v>91.425000000000011</v>
      </c>
      <c r="AE306" s="858">
        <f t="shared" si="173"/>
        <v>91.425000000000011</v>
      </c>
      <c r="AF306" s="402">
        <f t="shared" si="173"/>
        <v>3.9390000000000001</v>
      </c>
      <c r="AG306" s="402">
        <f t="shared" si="173"/>
        <v>-6.6359999999999966</v>
      </c>
      <c r="AH306" s="402">
        <f t="shared" si="173"/>
        <v>-12.334</v>
      </c>
      <c r="AI306" s="402">
        <f t="shared" ref="AI306:BB306" si="174">SUM(AI293:AI305)</f>
        <v>-36.134</v>
      </c>
      <c r="AJ306" s="858">
        <f t="shared" si="174"/>
        <v>-36.134</v>
      </c>
      <c r="AK306" s="402">
        <f t="shared" si="174"/>
        <v>-112.26199999999999</v>
      </c>
      <c r="AL306" s="402">
        <f t="shared" si="174"/>
        <v>-105.471</v>
      </c>
      <c r="AM306" s="402">
        <f t="shared" si="174"/>
        <v>-97.941000000000017</v>
      </c>
      <c r="AN306" s="402">
        <f t="shared" si="174"/>
        <v>-92.181999999999988</v>
      </c>
      <c r="AO306" s="858">
        <f t="shared" si="174"/>
        <v>-92.181999999999988</v>
      </c>
      <c r="AP306" s="402">
        <f t="shared" si="174"/>
        <v>136.83999999999997</v>
      </c>
      <c r="AQ306" s="891">
        <f t="shared" si="174"/>
        <v>-23.997</v>
      </c>
      <c r="AR306" s="402">
        <f t="shared" si="174"/>
        <v>0</v>
      </c>
      <c r="AS306" s="402">
        <f t="shared" si="174"/>
        <v>0</v>
      </c>
      <c r="AT306" s="858">
        <f t="shared" si="174"/>
        <v>0</v>
      </c>
      <c r="AU306" s="402">
        <f t="shared" si="174"/>
        <v>0</v>
      </c>
      <c r="AV306" s="402">
        <f t="shared" si="174"/>
        <v>0</v>
      </c>
      <c r="AW306" s="402">
        <f t="shared" si="174"/>
        <v>0</v>
      </c>
      <c r="AX306" s="402">
        <f t="shared" si="174"/>
        <v>0</v>
      </c>
      <c r="AY306" s="858">
        <f t="shared" si="174"/>
        <v>0</v>
      </c>
      <c r="AZ306" s="858">
        <f t="shared" si="174"/>
        <v>0</v>
      </c>
      <c r="BA306" s="858">
        <f t="shared" si="174"/>
        <v>0</v>
      </c>
      <c r="BB306" s="858">
        <f t="shared" si="174"/>
        <v>0</v>
      </c>
      <c r="BC306" s="363"/>
    </row>
    <row r="307" spans="1:55" s="4" customFormat="1" hidden="1" outlineLevel="1">
      <c r="A307" s="403"/>
      <c r="B307" s="345"/>
      <c r="C307" s="852"/>
      <c r="D307" s="852"/>
      <c r="E307" s="852"/>
      <c r="F307" s="852"/>
      <c r="G307" s="418"/>
      <c r="H307" s="418"/>
      <c r="I307" s="418"/>
      <c r="J307" s="418"/>
      <c r="K307" s="852"/>
      <c r="L307" s="418"/>
      <c r="M307" s="418"/>
      <c r="N307" s="418"/>
      <c r="O307" s="418"/>
      <c r="P307" s="852"/>
      <c r="Q307" s="418"/>
      <c r="R307" s="418"/>
      <c r="S307" s="418"/>
      <c r="T307" s="418"/>
      <c r="U307" s="852"/>
      <c r="V307" s="418"/>
      <c r="W307" s="418"/>
      <c r="X307" s="418"/>
      <c r="Y307" s="418"/>
      <c r="Z307" s="852"/>
      <c r="AA307" s="418"/>
      <c r="AB307" s="418"/>
      <c r="AC307" s="418"/>
      <c r="AD307" s="418"/>
      <c r="AE307" s="852"/>
      <c r="AF307" s="418"/>
      <c r="AG307" s="418"/>
      <c r="AH307" s="418"/>
      <c r="AI307" s="418"/>
      <c r="AJ307" s="852"/>
      <c r="AK307" s="418"/>
      <c r="AL307" s="418"/>
      <c r="AM307" s="418"/>
      <c r="AN307" s="418"/>
      <c r="AO307" s="852"/>
      <c r="AP307" s="418"/>
      <c r="AQ307" s="895"/>
      <c r="AR307" s="896"/>
      <c r="AS307" s="896"/>
      <c r="AT307" s="897"/>
      <c r="AU307" s="896"/>
      <c r="AV307" s="896"/>
      <c r="AW307" s="896"/>
      <c r="AX307" s="896"/>
      <c r="AY307" s="897"/>
      <c r="AZ307" s="897"/>
      <c r="BA307" s="897"/>
      <c r="BB307" s="897"/>
      <c r="BC307" s="363"/>
    </row>
    <row r="308" spans="1:55" s="4" customFormat="1" hidden="1" outlineLevel="1">
      <c r="A308" s="403" t="s">
        <v>8</v>
      </c>
      <c r="B308" s="345"/>
      <c r="C308" s="852">
        <v>5.0000000000000001E-3</v>
      </c>
      <c r="D308" s="852">
        <v>2E-3</v>
      </c>
      <c r="E308" s="852">
        <v>-1E-3</v>
      </c>
      <c r="F308" s="852">
        <v>3.0000000000000001E-3</v>
      </c>
      <c r="G308" s="418">
        <v>2E-3</v>
      </c>
      <c r="H308" s="418">
        <v>-6.0000000000000001E-3</v>
      </c>
      <c r="I308" s="418">
        <v>-5.0000000000000001E-3</v>
      </c>
      <c r="J308" s="418">
        <v>8.2000000000000003E-2</v>
      </c>
      <c r="K308" s="852">
        <v>8.2000000000000003E-2</v>
      </c>
      <c r="L308" s="418">
        <v>-2.1000000000000001E-2</v>
      </c>
      <c r="M308" s="418">
        <v>-0.108</v>
      </c>
      <c r="N308" s="418">
        <v>-0.63100000000000001</v>
      </c>
      <c r="O308" s="418">
        <v>-1.079</v>
      </c>
      <c r="P308" s="852">
        <v>-1.079</v>
      </c>
      <c r="Q308" s="418">
        <v>-0.88600000000000001</v>
      </c>
      <c r="R308" s="418">
        <v>-0.748</v>
      </c>
      <c r="S308" s="418">
        <v>-0.71499999999999997</v>
      </c>
      <c r="T308" s="418">
        <v>-0.82599999999999996</v>
      </c>
      <c r="U308" s="852">
        <v>-0.82599999999999996</v>
      </c>
      <c r="V308" s="418">
        <v>0.186</v>
      </c>
      <c r="W308" s="418">
        <v>6.8000000000000005E-2</v>
      </c>
      <c r="X308" s="418">
        <v>0.109</v>
      </c>
      <c r="Y308" s="418">
        <f>Z308</f>
        <v>-8.5999999999999993E-2</v>
      </c>
      <c r="Z308" s="852">
        <v>-8.5999999999999993E-2</v>
      </c>
      <c r="AA308" s="418">
        <v>3.4000000000000002E-2</v>
      </c>
      <c r="AB308" s="418">
        <v>0.17599999999999999</v>
      </c>
      <c r="AC308" s="418">
        <v>0.21099999999999999</v>
      </c>
      <c r="AD308" s="418">
        <f>AE308</f>
        <v>0.36599999999999999</v>
      </c>
      <c r="AE308" s="852">
        <v>0.36599999999999999</v>
      </c>
      <c r="AF308" s="418">
        <v>-6.6000000000000003E-2</v>
      </c>
      <c r="AG308" s="418">
        <v>-0.28499999999999998</v>
      </c>
      <c r="AH308" s="418">
        <v>-0.254</v>
      </c>
      <c r="AI308" s="418">
        <f>AJ308</f>
        <v>-0.372</v>
      </c>
      <c r="AJ308" s="852">
        <v>-0.372</v>
      </c>
      <c r="AK308" s="418">
        <v>-6.7000000000000004E-2</v>
      </c>
      <c r="AL308" s="418">
        <v>2.3E-2</v>
      </c>
      <c r="AM308" s="418">
        <v>-0.28399999999999997</v>
      </c>
      <c r="AN308" s="418">
        <f>AO308</f>
        <v>0.14699999999999999</v>
      </c>
      <c r="AO308" s="852">
        <v>0.14699999999999999</v>
      </c>
      <c r="AP308" s="418">
        <v>-0.83899999999999997</v>
      </c>
      <c r="AQ308" s="895">
        <v>-0.51400000000000001</v>
      </c>
      <c r="AR308" s="896"/>
      <c r="AS308" s="418">
        <f>AT308</f>
        <v>0</v>
      </c>
      <c r="AT308" s="897"/>
      <c r="AU308" s="896"/>
      <c r="AV308" s="896"/>
      <c r="AW308" s="896"/>
      <c r="AX308" s="418">
        <f>AY308</f>
        <v>0</v>
      </c>
      <c r="AY308" s="897"/>
      <c r="AZ308" s="897"/>
      <c r="BA308" s="897"/>
      <c r="BB308" s="897"/>
      <c r="BC308" s="363"/>
    </row>
    <row r="309" spans="1:55" s="4" customFormat="1" hidden="1" outlineLevel="1">
      <c r="A309" s="403" t="s">
        <v>72</v>
      </c>
      <c r="B309" s="345"/>
      <c r="C309" s="852">
        <f t="shared" ref="C309:AH309" si="175">C306+C290+C282+C308</f>
        <v>11.910999999999992</v>
      </c>
      <c r="D309" s="852">
        <f t="shared" si="175"/>
        <v>7.7600000000000025</v>
      </c>
      <c r="E309" s="852">
        <f t="shared" si="175"/>
        <v>-11.78999999999999</v>
      </c>
      <c r="F309" s="852">
        <f t="shared" si="175"/>
        <v>-3.5389999999999979</v>
      </c>
      <c r="G309" s="418">
        <f t="shared" si="175"/>
        <v>10.418000000000003</v>
      </c>
      <c r="H309" s="418">
        <f t="shared" si="175"/>
        <v>9.1549999999999994</v>
      </c>
      <c r="I309" s="418">
        <f t="shared" si="175"/>
        <v>60.805999999999983</v>
      </c>
      <c r="J309" s="418">
        <f t="shared" si="175"/>
        <v>47.255000000000017</v>
      </c>
      <c r="K309" s="852">
        <f t="shared" si="175"/>
        <v>47.255000000000017</v>
      </c>
      <c r="L309" s="418">
        <f t="shared" si="175"/>
        <v>-25.518000000000008</v>
      </c>
      <c r="M309" s="418">
        <f t="shared" si="175"/>
        <v>-33.809999999999995</v>
      </c>
      <c r="N309" s="418">
        <f t="shared" si="175"/>
        <v>-29.706999999999994</v>
      </c>
      <c r="O309" s="418">
        <f t="shared" si="175"/>
        <v>-33.437999999999981</v>
      </c>
      <c r="P309" s="852">
        <f t="shared" si="175"/>
        <v>-33.437999999999981</v>
      </c>
      <c r="Q309" s="418">
        <f t="shared" si="175"/>
        <v>1.3659999999999988</v>
      </c>
      <c r="R309" s="418">
        <f t="shared" si="175"/>
        <v>2.5700000000000012</v>
      </c>
      <c r="S309" s="418">
        <f t="shared" si="175"/>
        <v>1.2360000000000149</v>
      </c>
      <c r="T309" s="418">
        <f t="shared" si="175"/>
        <v>-2.6360000000000308</v>
      </c>
      <c r="U309" s="852">
        <f t="shared" si="175"/>
        <v>-2.6360000000000308</v>
      </c>
      <c r="V309" s="418">
        <f t="shared" si="175"/>
        <v>-2.7700000000000022</v>
      </c>
      <c r="W309" s="418">
        <f t="shared" si="175"/>
        <v>1.8500000000000036</v>
      </c>
      <c r="X309" s="418">
        <f t="shared" si="175"/>
        <v>-5.2829999999999995</v>
      </c>
      <c r="Y309" s="418">
        <f t="shared" si="175"/>
        <v>-0.65999999999999093</v>
      </c>
      <c r="Z309" s="852">
        <f t="shared" si="175"/>
        <v>-0.65999999999999093</v>
      </c>
      <c r="AA309" s="418">
        <f t="shared" si="175"/>
        <v>-7.138000000000007</v>
      </c>
      <c r="AB309" s="418">
        <f t="shared" si="175"/>
        <v>-9.6330000000000009</v>
      </c>
      <c r="AC309" s="418">
        <f t="shared" si="175"/>
        <v>-2.523999999999996</v>
      </c>
      <c r="AD309" s="418">
        <f t="shared" si="175"/>
        <v>1.3000000000012668E-2</v>
      </c>
      <c r="AE309" s="852">
        <f t="shared" si="175"/>
        <v>1.3000000000012668E-2</v>
      </c>
      <c r="AF309" s="418">
        <f t="shared" si="175"/>
        <v>-1.5269999999999999</v>
      </c>
      <c r="AG309" s="418">
        <f t="shared" si="175"/>
        <v>-7.3059999999999921</v>
      </c>
      <c r="AH309" s="418">
        <f t="shared" si="175"/>
        <v>-13.020999999999995</v>
      </c>
      <c r="AI309" s="418">
        <f t="shared" ref="AI309:BB309" si="176">AI306+AI290+AI282+AI308</f>
        <v>-1.2920000000000229</v>
      </c>
      <c r="AJ309" s="852">
        <f t="shared" si="176"/>
        <v>-1.2920000000000229</v>
      </c>
      <c r="AK309" s="418">
        <f t="shared" si="176"/>
        <v>-0.65599999999996128</v>
      </c>
      <c r="AL309" s="418">
        <f t="shared" si="176"/>
        <v>0.48400000000001631</v>
      </c>
      <c r="AM309" s="418">
        <f t="shared" si="176"/>
        <v>6.1729999999999832</v>
      </c>
      <c r="AN309" s="418">
        <f t="shared" si="176"/>
        <v>15.284000000000001</v>
      </c>
      <c r="AO309" s="852">
        <f t="shared" si="176"/>
        <v>15.284000000000001</v>
      </c>
      <c r="AP309" s="418">
        <f t="shared" si="176"/>
        <v>156.45799999999997</v>
      </c>
      <c r="AQ309" s="895">
        <f t="shared" si="176"/>
        <v>14.732999999999993</v>
      </c>
      <c r="AR309" s="418">
        <f t="shared" si="176"/>
        <v>0</v>
      </c>
      <c r="AS309" s="418">
        <f t="shared" si="176"/>
        <v>0</v>
      </c>
      <c r="AT309" s="852">
        <f t="shared" si="176"/>
        <v>0</v>
      </c>
      <c r="AU309" s="418">
        <f t="shared" si="176"/>
        <v>0</v>
      </c>
      <c r="AV309" s="418">
        <f t="shared" si="176"/>
        <v>0</v>
      </c>
      <c r="AW309" s="418">
        <f t="shared" si="176"/>
        <v>0</v>
      </c>
      <c r="AX309" s="418">
        <f t="shared" si="176"/>
        <v>0</v>
      </c>
      <c r="AY309" s="852">
        <f t="shared" si="176"/>
        <v>0</v>
      </c>
      <c r="AZ309" s="852">
        <f t="shared" si="176"/>
        <v>0</v>
      </c>
      <c r="BA309" s="852">
        <f t="shared" si="176"/>
        <v>0</v>
      </c>
      <c r="BB309" s="852">
        <f t="shared" si="176"/>
        <v>0</v>
      </c>
      <c r="BC309" s="363"/>
    </row>
    <row r="310" spans="1:55" s="4" customFormat="1" hidden="1" outlineLevel="1">
      <c r="A310" s="403"/>
      <c r="B310" s="345"/>
      <c r="C310" s="852"/>
      <c r="D310" s="852"/>
      <c r="E310" s="852"/>
      <c r="F310" s="852"/>
      <c r="G310" s="418"/>
      <c r="H310" s="418"/>
      <c r="I310" s="418"/>
      <c r="J310" s="418"/>
      <c r="K310" s="852"/>
      <c r="L310" s="418"/>
      <c r="M310" s="418"/>
      <c r="N310" s="418"/>
      <c r="O310" s="418"/>
      <c r="P310" s="852"/>
      <c r="Q310" s="418"/>
      <c r="R310" s="418"/>
      <c r="S310" s="418"/>
      <c r="T310" s="418"/>
      <c r="U310" s="852"/>
      <c r="V310" s="418"/>
      <c r="W310" s="418"/>
      <c r="X310" s="418"/>
      <c r="Y310" s="418"/>
      <c r="Z310" s="852"/>
      <c r="AA310" s="418"/>
      <c r="AB310" s="418"/>
      <c r="AC310" s="418"/>
      <c r="AD310" s="418"/>
      <c r="AE310" s="852"/>
      <c r="AF310" s="418"/>
      <c r="AG310" s="418"/>
      <c r="AH310" s="418"/>
      <c r="AI310" s="418"/>
      <c r="AJ310" s="852"/>
      <c r="AK310" s="418"/>
      <c r="AL310" s="418"/>
      <c r="AM310" s="418"/>
      <c r="AN310" s="418"/>
      <c r="AO310" s="852"/>
      <c r="AP310" s="418"/>
      <c r="AQ310" s="895"/>
      <c r="AR310" s="896"/>
      <c r="AS310" s="896"/>
      <c r="AT310" s="897"/>
      <c r="AU310" s="896"/>
      <c r="AV310" s="896"/>
      <c r="AW310" s="896"/>
      <c r="AX310" s="896"/>
      <c r="AY310" s="897"/>
      <c r="AZ310" s="897"/>
      <c r="BA310" s="897"/>
      <c r="BB310" s="897"/>
      <c r="BC310" s="363"/>
    </row>
    <row r="311" spans="1:55" s="4" customFormat="1" hidden="1" outlineLevel="1">
      <c r="A311" s="403" t="s">
        <v>52</v>
      </c>
      <c r="B311" s="345"/>
      <c r="C311" s="852">
        <v>3.0379999999999998</v>
      </c>
      <c r="D311" s="852">
        <v>14.949</v>
      </c>
      <c r="E311" s="852">
        <f>D312</f>
        <v>22.709000000000003</v>
      </c>
      <c r="F311" s="852">
        <f>E312</f>
        <v>10.919000000000013</v>
      </c>
      <c r="G311" s="418">
        <f>F312</f>
        <v>7.380000000000015</v>
      </c>
      <c r="H311" s="418">
        <f>G311</f>
        <v>7.380000000000015</v>
      </c>
      <c r="I311" s="418">
        <f>H311</f>
        <v>7.380000000000015</v>
      </c>
      <c r="J311" s="418">
        <f>I311</f>
        <v>7.380000000000015</v>
      </c>
      <c r="K311" s="852">
        <f>J311</f>
        <v>7.380000000000015</v>
      </c>
      <c r="L311" s="418">
        <f>K312</f>
        <v>54.635000000000034</v>
      </c>
      <c r="M311" s="418">
        <f>L311</f>
        <v>54.635000000000034</v>
      </c>
      <c r="N311" s="418">
        <f>M311</f>
        <v>54.635000000000034</v>
      </c>
      <c r="O311" s="418">
        <f>N311</f>
        <v>54.635000000000034</v>
      </c>
      <c r="P311" s="852">
        <f>O311</f>
        <v>54.635000000000034</v>
      </c>
      <c r="Q311" s="418">
        <f>P312</f>
        <v>21.197000000000052</v>
      </c>
      <c r="R311" s="418">
        <f>Q311</f>
        <v>21.197000000000052</v>
      </c>
      <c r="S311" s="418">
        <f>R311</f>
        <v>21.197000000000052</v>
      </c>
      <c r="T311" s="418">
        <f>S311</f>
        <v>21.197000000000052</v>
      </c>
      <c r="U311" s="852">
        <f>T311</f>
        <v>21.197000000000052</v>
      </c>
      <c r="V311" s="418">
        <f>U312</f>
        <v>18.561000000000021</v>
      </c>
      <c r="W311" s="418">
        <v>18.561</v>
      </c>
      <c r="X311" s="418">
        <v>18.561</v>
      </c>
      <c r="Y311" s="418">
        <f>X311</f>
        <v>18.561</v>
      </c>
      <c r="Z311" s="852">
        <f>Y311</f>
        <v>18.561</v>
      </c>
      <c r="AA311" s="418">
        <f>Z312</f>
        <v>17.90100000000001</v>
      </c>
      <c r="AB311" s="418">
        <f>+AA311</f>
        <v>17.90100000000001</v>
      </c>
      <c r="AC311" s="418">
        <f>AB311</f>
        <v>17.90100000000001</v>
      </c>
      <c r="AD311" s="418">
        <f>AC311</f>
        <v>17.90100000000001</v>
      </c>
      <c r="AE311" s="852">
        <f>AD311</f>
        <v>17.90100000000001</v>
      </c>
      <c r="AF311" s="418">
        <f>AE312</f>
        <v>17.914000000000023</v>
      </c>
      <c r="AG311" s="418">
        <f>+AF311</f>
        <v>17.914000000000023</v>
      </c>
      <c r="AH311" s="418">
        <f>AG311</f>
        <v>17.914000000000023</v>
      </c>
      <c r="AI311" s="418">
        <f>AH311</f>
        <v>17.914000000000023</v>
      </c>
      <c r="AJ311" s="852">
        <f>AI311</f>
        <v>17.914000000000023</v>
      </c>
      <c r="AK311" s="418">
        <f>AJ312</f>
        <v>16.622</v>
      </c>
      <c r="AL311" s="418">
        <f>+AK311</f>
        <v>16.622</v>
      </c>
      <c r="AM311" s="418">
        <f>AL311</f>
        <v>16.622</v>
      </c>
      <c r="AN311" s="418">
        <f>AM311</f>
        <v>16.622</v>
      </c>
      <c r="AO311" s="852">
        <f>AN311</f>
        <v>16.622</v>
      </c>
      <c r="AP311" s="418">
        <f>AO312</f>
        <v>31.905999999999999</v>
      </c>
      <c r="AQ311" s="895">
        <f>+AP311</f>
        <v>31.905999999999999</v>
      </c>
      <c r="AR311" s="896"/>
      <c r="AS311" s="896"/>
      <c r="AT311" s="897"/>
      <c r="AU311" s="896"/>
      <c r="AV311" s="896"/>
      <c r="AW311" s="896"/>
      <c r="AX311" s="896"/>
      <c r="AY311" s="897"/>
      <c r="AZ311" s="897"/>
      <c r="BA311" s="897"/>
      <c r="BB311" s="897"/>
      <c r="BC311" s="363"/>
    </row>
    <row r="312" spans="1:55" s="4" customFormat="1" hidden="1" outlineLevel="1">
      <c r="A312" s="403" t="s">
        <v>53</v>
      </c>
      <c r="B312" s="345"/>
      <c r="C312" s="852">
        <f t="shared" ref="C312:AQ312" si="177">C309+C311</f>
        <v>14.948999999999993</v>
      </c>
      <c r="D312" s="852">
        <f t="shared" si="177"/>
        <v>22.709000000000003</v>
      </c>
      <c r="E312" s="852">
        <f t="shared" si="177"/>
        <v>10.919000000000013</v>
      </c>
      <c r="F312" s="852">
        <f t="shared" si="177"/>
        <v>7.380000000000015</v>
      </c>
      <c r="G312" s="418">
        <f t="shared" si="177"/>
        <v>17.798000000000016</v>
      </c>
      <c r="H312" s="418">
        <f t="shared" si="177"/>
        <v>16.535000000000014</v>
      </c>
      <c r="I312" s="418">
        <f t="shared" si="177"/>
        <v>68.185999999999993</v>
      </c>
      <c r="J312" s="418">
        <f t="shared" si="177"/>
        <v>54.635000000000034</v>
      </c>
      <c r="K312" s="852">
        <f t="shared" si="177"/>
        <v>54.635000000000034</v>
      </c>
      <c r="L312" s="418">
        <f t="shared" si="177"/>
        <v>29.117000000000026</v>
      </c>
      <c r="M312" s="418">
        <f t="shared" si="177"/>
        <v>20.825000000000038</v>
      </c>
      <c r="N312" s="418">
        <f t="shared" si="177"/>
        <v>24.92800000000004</v>
      </c>
      <c r="O312" s="418">
        <f t="shared" si="177"/>
        <v>21.197000000000052</v>
      </c>
      <c r="P312" s="852">
        <f t="shared" si="177"/>
        <v>21.197000000000052</v>
      </c>
      <c r="Q312" s="418">
        <f t="shared" si="177"/>
        <v>22.563000000000052</v>
      </c>
      <c r="R312" s="418">
        <f t="shared" si="177"/>
        <v>23.767000000000053</v>
      </c>
      <c r="S312" s="418">
        <f t="shared" si="177"/>
        <v>22.433000000000067</v>
      </c>
      <c r="T312" s="418">
        <f t="shared" si="177"/>
        <v>18.561000000000021</v>
      </c>
      <c r="U312" s="852">
        <f t="shared" si="177"/>
        <v>18.561000000000021</v>
      </c>
      <c r="V312" s="418">
        <f t="shared" si="177"/>
        <v>15.791000000000018</v>
      </c>
      <c r="W312" s="418">
        <f t="shared" si="177"/>
        <v>20.411000000000005</v>
      </c>
      <c r="X312" s="418">
        <f t="shared" si="177"/>
        <v>13.278</v>
      </c>
      <c r="Y312" s="418">
        <f t="shared" si="177"/>
        <v>17.90100000000001</v>
      </c>
      <c r="Z312" s="852">
        <f t="shared" si="177"/>
        <v>17.90100000000001</v>
      </c>
      <c r="AA312" s="418">
        <f t="shared" si="177"/>
        <v>10.763000000000003</v>
      </c>
      <c r="AB312" s="418">
        <f t="shared" si="177"/>
        <v>8.2680000000000096</v>
      </c>
      <c r="AC312" s="418">
        <f t="shared" si="177"/>
        <v>15.377000000000015</v>
      </c>
      <c r="AD312" s="418">
        <f t="shared" si="177"/>
        <v>17.914000000000023</v>
      </c>
      <c r="AE312" s="852">
        <f t="shared" si="177"/>
        <v>17.914000000000023</v>
      </c>
      <c r="AF312" s="418">
        <f t="shared" si="177"/>
        <v>16.387000000000022</v>
      </c>
      <c r="AG312" s="418">
        <f t="shared" si="177"/>
        <v>10.608000000000031</v>
      </c>
      <c r="AH312" s="418">
        <f t="shared" si="177"/>
        <v>4.8930000000000273</v>
      </c>
      <c r="AI312" s="418">
        <f t="shared" si="177"/>
        <v>16.622</v>
      </c>
      <c r="AJ312" s="852">
        <f t="shared" si="177"/>
        <v>16.622</v>
      </c>
      <c r="AK312" s="418">
        <f t="shared" si="177"/>
        <v>15.966000000000038</v>
      </c>
      <c r="AL312" s="418">
        <f t="shared" si="177"/>
        <v>17.106000000000016</v>
      </c>
      <c r="AM312" s="418">
        <f t="shared" si="177"/>
        <v>22.794999999999984</v>
      </c>
      <c r="AN312" s="418">
        <f t="shared" si="177"/>
        <v>31.905999999999999</v>
      </c>
      <c r="AO312" s="852">
        <f t="shared" si="177"/>
        <v>31.905999999999999</v>
      </c>
      <c r="AP312" s="418">
        <f t="shared" si="177"/>
        <v>188.36399999999998</v>
      </c>
      <c r="AQ312" s="895">
        <f t="shared" si="177"/>
        <v>46.638999999999996</v>
      </c>
      <c r="AR312" s="896"/>
      <c r="AS312" s="896"/>
      <c r="AT312" s="897"/>
      <c r="AU312" s="896"/>
      <c r="AV312" s="896"/>
      <c r="AW312" s="896"/>
      <c r="AX312" s="896"/>
      <c r="AY312" s="897"/>
      <c r="AZ312" s="897"/>
      <c r="BA312" s="897"/>
      <c r="BB312" s="897"/>
      <c r="BC312" s="363"/>
    </row>
    <row r="313" spans="1:55" s="4" customFormat="1" ht="14.45" customHeight="1" collapsed="1">
      <c r="A313" s="403"/>
      <c r="B313" s="345"/>
      <c r="C313" s="852"/>
      <c r="D313" s="852"/>
      <c r="E313" s="852"/>
      <c r="F313" s="852"/>
      <c r="G313" s="418"/>
      <c r="H313" s="418"/>
      <c r="I313" s="418"/>
      <c r="J313" s="418"/>
      <c r="K313" s="852"/>
      <c r="L313" s="418"/>
      <c r="M313" s="418"/>
      <c r="N313" s="418"/>
      <c r="O313" s="418"/>
      <c r="P313" s="852"/>
      <c r="Q313" s="418"/>
      <c r="R313" s="418"/>
      <c r="S313" s="418"/>
      <c r="T313" s="418"/>
      <c r="U313" s="852"/>
      <c r="V313" s="418"/>
      <c r="W313" s="418"/>
      <c r="X313" s="418"/>
      <c r="Y313" s="418"/>
      <c r="Z313" s="852"/>
      <c r="AA313" s="418"/>
      <c r="AB313" s="418"/>
      <c r="AC313" s="418"/>
      <c r="AD313" s="418"/>
      <c r="AE313" s="852"/>
      <c r="AF313" s="418"/>
      <c r="AG313" s="418"/>
      <c r="AH313" s="418"/>
      <c r="AI313" s="418"/>
      <c r="AJ313" s="852"/>
      <c r="AK313" s="418"/>
      <c r="AL313" s="418"/>
      <c r="AM313" s="418"/>
      <c r="AN313" s="418"/>
      <c r="AO313" s="852"/>
      <c r="AP313" s="418"/>
      <c r="AQ313" s="895"/>
      <c r="AR313" s="896"/>
      <c r="AS313" s="896"/>
      <c r="AT313" s="897"/>
      <c r="AU313" s="896"/>
      <c r="AV313" s="896"/>
      <c r="AW313" s="896"/>
      <c r="AX313" s="896"/>
      <c r="AY313" s="897"/>
      <c r="AZ313" s="897"/>
      <c r="BA313" s="897"/>
      <c r="BB313" s="897"/>
      <c r="BC313" s="363"/>
    </row>
    <row r="314" spans="1:55" s="4" customFormat="1" ht="14.45" customHeight="1">
      <c r="A314" s="514" t="s">
        <v>54</v>
      </c>
      <c r="B314" s="514"/>
      <c r="C314" s="883"/>
      <c r="D314" s="883"/>
      <c r="E314" s="883"/>
      <c r="F314" s="883"/>
      <c r="G314" s="883"/>
      <c r="H314" s="883"/>
      <c r="I314" s="883"/>
      <c r="J314" s="883"/>
      <c r="K314" s="883"/>
      <c r="L314" s="883"/>
      <c r="M314" s="883"/>
      <c r="N314" s="883"/>
      <c r="O314" s="883"/>
      <c r="P314" s="883"/>
      <c r="Q314" s="883"/>
      <c r="R314" s="883"/>
      <c r="S314" s="883"/>
      <c r="T314" s="883"/>
      <c r="U314" s="883"/>
      <c r="V314" s="883"/>
      <c r="W314" s="883"/>
      <c r="X314" s="883"/>
      <c r="Y314" s="883"/>
      <c r="Z314" s="883"/>
      <c r="AA314" s="883"/>
      <c r="AB314" s="883"/>
      <c r="AC314" s="883"/>
      <c r="AD314" s="883"/>
      <c r="AE314" s="883"/>
      <c r="AF314" s="883"/>
      <c r="AG314" s="883"/>
      <c r="AH314" s="883"/>
      <c r="AI314" s="883"/>
      <c r="AJ314" s="883"/>
      <c r="AK314" s="883"/>
      <c r="AL314" s="883"/>
      <c r="AM314" s="883"/>
      <c r="AN314" s="883"/>
      <c r="AO314" s="883"/>
      <c r="AP314" s="883"/>
      <c r="AQ314" s="884"/>
      <c r="AR314" s="883"/>
      <c r="AS314" s="883"/>
      <c r="AT314" s="883"/>
      <c r="AU314" s="883"/>
      <c r="AV314" s="883"/>
      <c r="AW314" s="883"/>
      <c r="AX314" s="883"/>
      <c r="AY314" s="883"/>
      <c r="AZ314" s="883"/>
      <c r="BA314" s="883"/>
      <c r="BB314" s="883"/>
      <c r="BC314" s="363"/>
    </row>
    <row r="315" spans="1:55" s="4" customFormat="1" ht="14.45" customHeight="1">
      <c r="A315" s="403" t="str">
        <f t="shared" ref="A315:A341" si="178">A256</f>
        <v>CFO</v>
      </c>
      <c r="B315" s="345"/>
      <c r="C315" s="852"/>
      <c r="D315" s="852"/>
      <c r="E315" s="852"/>
      <c r="F315" s="852"/>
      <c r="G315" s="418"/>
      <c r="H315" s="418"/>
      <c r="I315" s="418"/>
      <c r="J315" s="418"/>
      <c r="K315" s="852"/>
      <c r="L315" s="418"/>
      <c r="M315" s="418"/>
      <c r="N315" s="418"/>
      <c r="O315" s="418"/>
      <c r="P315" s="852"/>
      <c r="Q315" s="418"/>
      <c r="R315" s="418"/>
      <c r="S315" s="418"/>
      <c r="T315" s="418"/>
      <c r="U315" s="852"/>
      <c r="V315" s="418"/>
      <c r="W315" s="418"/>
      <c r="X315" s="418"/>
      <c r="Y315" s="418"/>
      <c r="Z315" s="852"/>
      <c r="AA315" s="418"/>
      <c r="AB315" s="418"/>
      <c r="AC315" s="418"/>
      <c r="AD315" s="418"/>
      <c r="AE315" s="852"/>
      <c r="AF315" s="418"/>
      <c r="AG315" s="418"/>
      <c r="AH315" s="418"/>
      <c r="AI315" s="418"/>
      <c r="AJ315" s="852"/>
      <c r="AK315" s="418"/>
      <c r="AL315" s="418"/>
      <c r="AM315" s="418"/>
      <c r="AN315" s="418"/>
      <c r="AO315" s="852"/>
      <c r="AP315" s="418"/>
      <c r="AQ315" s="895"/>
      <c r="AR315" s="896"/>
      <c r="AS315" s="896"/>
      <c r="AT315" s="897"/>
      <c r="AU315" s="896"/>
      <c r="AV315" s="896"/>
      <c r="AW315" s="896"/>
      <c r="AX315" s="896"/>
      <c r="AY315" s="897"/>
      <c r="AZ315" s="897"/>
      <c r="BA315" s="897"/>
      <c r="BB315" s="897"/>
      <c r="BC315" s="363"/>
    </row>
    <row r="316" spans="1:55" s="23" customFormat="1" ht="14.45" customHeight="1">
      <c r="A316" s="229" t="str">
        <f t="shared" si="178"/>
        <v>Net Income</v>
      </c>
      <c r="B316" s="132"/>
      <c r="C316" s="885">
        <f t="shared" ref="C316:G329" si="179">C257</f>
        <v>-3.802</v>
      </c>
      <c r="D316" s="885">
        <f t="shared" si="179"/>
        <v>14.948</v>
      </c>
      <c r="E316" s="885">
        <f t="shared" si="179"/>
        <v>21.591000000000001</v>
      </c>
      <c r="F316" s="885">
        <f t="shared" si="179"/>
        <v>21.873999999999999</v>
      </c>
      <c r="G316" s="436">
        <f t="shared" si="179"/>
        <v>8.5640000000000001</v>
      </c>
      <c r="H316" s="436">
        <f t="shared" ref="H316:J329" si="180">H257-G257</f>
        <v>5.1579999999999995</v>
      </c>
      <c r="I316" s="436">
        <f t="shared" si="180"/>
        <v>7.1549999999999994</v>
      </c>
      <c r="J316" s="436">
        <f t="shared" si="180"/>
        <v>6.3889999999999993</v>
      </c>
      <c r="K316" s="885">
        <f t="shared" ref="K316:L329" si="181">K257</f>
        <v>27.265999999999998</v>
      </c>
      <c r="L316" s="436">
        <f t="shared" si="181"/>
        <v>7.5069999999999997</v>
      </c>
      <c r="M316" s="436">
        <f t="shared" ref="M316:O329" si="182">M257-L257</f>
        <v>13.144</v>
      </c>
      <c r="N316" s="436">
        <f t="shared" si="182"/>
        <v>17.080000000000002</v>
      </c>
      <c r="O316" s="436">
        <f t="shared" si="182"/>
        <v>18.439</v>
      </c>
      <c r="P316" s="885">
        <f t="shared" ref="P316:Q329" si="183">P257</f>
        <v>56.17</v>
      </c>
      <c r="Q316" s="436">
        <f t="shared" si="183"/>
        <v>10.683</v>
      </c>
      <c r="R316" s="436">
        <f t="shared" ref="R316:T329" si="184">R257-Q257</f>
        <v>17.690000000000001</v>
      </c>
      <c r="S316" s="436">
        <f t="shared" si="184"/>
        <v>24.693999999999999</v>
      </c>
      <c r="T316" s="436">
        <f t="shared" si="184"/>
        <v>13.907000000000004</v>
      </c>
      <c r="U316" s="885">
        <f t="shared" ref="U316:V329" si="185">U257</f>
        <v>66.974000000000004</v>
      </c>
      <c r="V316" s="436">
        <f t="shared" si="185"/>
        <v>11.484999999999999</v>
      </c>
      <c r="W316" s="436">
        <f t="shared" ref="W316:Y329" si="186">W257-V257</f>
        <v>14.98</v>
      </c>
      <c r="X316" s="436">
        <f t="shared" si="186"/>
        <v>12.074000000000002</v>
      </c>
      <c r="Y316" s="436">
        <f t="shared" si="186"/>
        <v>9.884999999999998</v>
      </c>
      <c r="Z316" s="885">
        <f t="shared" ref="Z316:AA329" si="187">Z257</f>
        <v>48.423999999999999</v>
      </c>
      <c r="AA316" s="436">
        <f t="shared" si="187"/>
        <v>11.587</v>
      </c>
      <c r="AB316" s="436">
        <f t="shared" ref="AB316:AD329" si="188">AB257-AA257</f>
        <v>7.6849999999999987</v>
      </c>
      <c r="AC316" s="436">
        <f t="shared" si="188"/>
        <v>6.0600000000000023</v>
      </c>
      <c r="AD316" s="436">
        <f t="shared" si="188"/>
        <v>-5.6530000000000022</v>
      </c>
      <c r="AE316" s="885">
        <f t="shared" ref="AE316:AF329" si="189">AE257</f>
        <v>19.678999999999998</v>
      </c>
      <c r="AF316" s="436">
        <f t="shared" si="189"/>
        <v>3.294</v>
      </c>
      <c r="AG316" s="436">
        <f t="shared" ref="AG316:AI329" si="190">AG257-AF257</f>
        <v>14.024999999999999</v>
      </c>
      <c r="AH316" s="436">
        <f t="shared" si="190"/>
        <v>16.998999999999999</v>
      </c>
      <c r="AI316" s="436">
        <f t="shared" si="190"/>
        <v>12.484999999999999</v>
      </c>
      <c r="AJ316" s="885">
        <f t="shared" ref="AJ316:AK329" si="191">AJ257</f>
        <v>46.802999999999997</v>
      </c>
      <c r="AK316" s="436">
        <f t="shared" si="191"/>
        <v>78.146000000000001</v>
      </c>
      <c r="AL316" s="436">
        <f t="shared" ref="AL316:AN329" si="192">AL257-AK257</f>
        <v>6.7259999999999991</v>
      </c>
      <c r="AM316" s="436">
        <f t="shared" si="192"/>
        <v>1.2099999999999937</v>
      </c>
      <c r="AN316" s="436">
        <f t="shared" si="192"/>
        <v>-34.064999999999991</v>
      </c>
      <c r="AO316" s="885">
        <f t="shared" ref="AO316:AP329" si="193">AO257</f>
        <v>52.017000000000003</v>
      </c>
      <c r="AP316" s="436">
        <f t="shared" si="193"/>
        <v>-66.962999999999994</v>
      </c>
      <c r="AQ316" s="886">
        <f t="shared" ref="AQ316:AQ329" si="194">AQ257-AP257</f>
        <v>-23.579000000000008</v>
      </c>
      <c r="AR316" s="436">
        <f>AR171</f>
        <v>-3.4459075901639316</v>
      </c>
      <c r="AS316" s="436">
        <f ca="1">AS171</f>
        <v>-0.60971701271721046</v>
      </c>
      <c r="AT316" s="885">
        <f t="shared" ref="AT316:AT329" ca="1" si="195">SUM(AP316,AQ316,AR316,AS316)</f>
        <v>-94.59762460288114</v>
      </c>
      <c r="AU316" s="436">
        <f ca="1">AU171</f>
        <v>9.6224058408561035</v>
      </c>
      <c r="AV316" s="436">
        <f ca="1">AV171</f>
        <v>14.913088527267213</v>
      </c>
      <c r="AW316" s="436">
        <f ca="1">AW171</f>
        <v>16.255691544529657</v>
      </c>
      <c r="AX316" s="436">
        <f ca="1">AX171</f>
        <v>14.460509227292007</v>
      </c>
      <c r="AY316" s="885">
        <f t="shared" ref="AY316:AY329" ca="1" si="196">SUM(AU316,AV316,AW316,AX316)</f>
        <v>55.251695139944985</v>
      </c>
      <c r="AZ316" s="885">
        <f ca="1">AZ171</f>
        <v>46.142950733557086</v>
      </c>
      <c r="BA316" s="885">
        <f ca="1">BA171</f>
        <v>82.155841907990407</v>
      </c>
      <c r="BB316" s="885">
        <f ca="1">BB171</f>
        <v>27.014261694265308</v>
      </c>
      <c r="BC316" s="362"/>
    </row>
    <row r="317" spans="1:55" s="23" customFormat="1" ht="14.45" customHeight="1">
      <c r="A317" s="229" t="str">
        <f t="shared" si="178"/>
        <v>Depreciation and Amortization</v>
      </c>
      <c r="B317" s="132"/>
      <c r="C317" s="885">
        <f t="shared" si="179"/>
        <v>7.3419999999999996</v>
      </c>
      <c r="D317" s="885">
        <f t="shared" si="179"/>
        <v>4.8810000000000002</v>
      </c>
      <c r="E317" s="885">
        <f t="shared" si="179"/>
        <v>4.9429999999999996</v>
      </c>
      <c r="F317" s="885">
        <f t="shared" si="179"/>
        <v>6.9050000000000002</v>
      </c>
      <c r="G317" s="436">
        <f t="shared" si="179"/>
        <v>1.7490000000000001</v>
      </c>
      <c r="H317" s="436">
        <f t="shared" si="180"/>
        <v>1.7210000000000001</v>
      </c>
      <c r="I317" s="436">
        <f t="shared" si="180"/>
        <v>3.0769999999999995</v>
      </c>
      <c r="J317" s="436">
        <f t="shared" si="180"/>
        <v>4.5119999999999996</v>
      </c>
      <c r="K317" s="885">
        <f t="shared" si="181"/>
        <v>11.058999999999999</v>
      </c>
      <c r="L317" s="436">
        <f t="shared" si="181"/>
        <v>4.8380000000000001</v>
      </c>
      <c r="M317" s="436">
        <f t="shared" si="182"/>
        <v>5.4709999999999992</v>
      </c>
      <c r="N317" s="436">
        <f t="shared" si="182"/>
        <v>10.859</v>
      </c>
      <c r="O317" s="436">
        <f t="shared" si="182"/>
        <v>6.0860000000000021</v>
      </c>
      <c r="P317" s="885">
        <f t="shared" si="183"/>
        <v>27.254000000000001</v>
      </c>
      <c r="Q317" s="436">
        <f t="shared" si="183"/>
        <v>6.1269999999999998</v>
      </c>
      <c r="R317" s="436">
        <f t="shared" si="184"/>
        <v>6.4180000000000001</v>
      </c>
      <c r="S317" s="436">
        <f t="shared" si="184"/>
        <v>6.2859999999999996</v>
      </c>
      <c r="T317" s="436">
        <f t="shared" si="184"/>
        <v>6.4780000000000015</v>
      </c>
      <c r="U317" s="885">
        <f t="shared" si="185"/>
        <v>25.309000000000001</v>
      </c>
      <c r="V317" s="436">
        <f t="shared" si="185"/>
        <v>6.5460000000000003</v>
      </c>
      <c r="W317" s="436">
        <f t="shared" si="186"/>
        <v>6.6000000000000005</v>
      </c>
      <c r="X317" s="436">
        <f t="shared" si="186"/>
        <v>6.3109999999999999</v>
      </c>
      <c r="Y317" s="436">
        <f t="shared" si="186"/>
        <v>6.3329999999999984</v>
      </c>
      <c r="Z317" s="885">
        <f t="shared" si="187"/>
        <v>25.79</v>
      </c>
      <c r="AA317" s="436">
        <f t="shared" si="187"/>
        <v>6.298</v>
      </c>
      <c r="AB317" s="436">
        <f t="shared" si="188"/>
        <v>6.2889999999999997</v>
      </c>
      <c r="AC317" s="436">
        <f t="shared" si="188"/>
        <v>6.6819999999999986</v>
      </c>
      <c r="AD317" s="436">
        <f t="shared" si="188"/>
        <v>7.7940000000000005</v>
      </c>
      <c r="AE317" s="885">
        <f t="shared" si="189"/>
        <v>27.062999999999999</v>
      </c>
      <c r="AF317" s="436">
        <f t="shared" si="189"/>
        <v>9.8409999999999993</v>
      </c>
      <c r="AG317" s="436">
        <f t="shared" si="190"/>
        <v>8.7430000000000003</v>
      </c>
      <c r="AH317" s="436">
        <f t="shared" si="190"/>
        <v>8.1720000000000006</v>
      </c>
      <c r="AI317" s="436">
        <f t="shared" si="190"/>
        <v>8.2759999999999962</v>
      </c>
      <c r="AJ317" s="885">
        <f t="shared" si="191"/>
        <v>35.031999999999996</v>
      </c>
      <c r="AK317" s="436">
        <f t="shared" si="191"/>
        <v>8.0760000000000005</v>
      </c>
      <c r="AL317" s="436">
        <f t="shared" si="192"/>
        <v>7.9039999999999999</v>
      </c>
      <c r="AM317" s="436">
        <f t="shared" si="192"/>
        <v>8.2029999999999994</v>
      </c>
      <c r="AN317" s="436">
        <f t="shared" si="192"/>
        <v>8.8659999999999997</v>
      </c>
      <c r="AO317" s="885">
        <f t="shared" si="193"/>
        <v>33.048999999999999</v>
      </c>
      <c r="AP317" s="436">
        <f t="shared" si="193"/>
        <v>7.9710000000000001</v>
      </c>
      <c r="AQ317" s="886">
        <f t="shared" si="194"/>
        <v>8.0809999999999995</v>
      </c>
      <c r="AR317" s="436">
        <f>AR160</f>
        <v>8.5</v>
      </c>
      <c r="AS317" s="436">
        <f>AS160</f>
        <v>8.5</v>
      </c>
      <c r="AT317" s="885">
        <f t="shared" si="195"/>
        <v>33.052</v>
      </c>
      <c r="AU317" s="436">
        <f>AU160</f>
        <v>8.5</v>
      </c>
      <c r="AV317" s="436">
        <f>AV160</f>
        <v>8.5</v>
      </c>
      <c r="AW317" s="436">
        <f>AW160</f>
        <v>8.5</v>
      </c>
      <c r="AX317" s="436">
        <f>AX160</f>
        <v>8.5</v>
      </c>
      <c r="AY317" s="885">
        <f t="shared" si="196"/>
        <v>34</v>
      </c>
      <c r="AZ317" s="885">
        <f>AZ160</f>
        <v>34</v>
      </c>
      <c r="BA317" s="885">
        <f>BA160</f>
        <v>34</v>
      </c>
      <c r="BB317" s="885">
        <f>BB160</f>
        <v>34</v>
      </c>
      <c r="BC317" s="362"/>
    </row>
    <row r="318" spans="1:55" s="23" customFormat="1" ht="14.45" customHeight="1">
      <c r="A318" s="229" t="str">
        <f t="shared" si="178"/>
        <v>Provisions for Non-Cash Losses on Inventory and Receivables</v>
      </c>
      <c r="B318" s="132"/>
      <c r="C318" s="885">
        <f t="shared" si="179"/>
        <v>1.014</v>
      </c>
      <c r="D318" s="885">
        <f t="shared" si="179"/>
        <v>1.1339999999999999</v>
      </c>
      <c r="E318" s="885">
        <f t="shared" si="179"/>
        <v>0.80200000000000005</v>
      </c>
      <c r="F318" s="885">
        <f t="shared" si="179"/>
        <v>1.6319999999999999</v>
      </c>
      <c r="G318" s="436">
        <f t="shared" si="179"/>
        <v>0.11600000000000001</v>
      </c>
      <c r="H318" s="436">
        <f t="shared" si="180"/>
        <v>0.39900000000000002</v>
      </c>
      <c r="I318" s="436">
        <f t="shared" si="180"/>
        <v>-0.13400000000000001</v>
      </c>
      <c r="J318" s="436">
        <f t="shared" si="180"/>
        <v>-0.16500000000000001</v>
      </c>
      <c r="K318" s="885">
        <f t="shared" si="181"/>
        <v>0.216</v>
      </c>
      <c r="L318" s="436">
        <f t="shared" si="181"/>
        <v>0.312</v>
      </c>
      <c r="M318" s="436">
        <f t="shared" si="182"/>
        <v>0.19800000000000001</v>
      </c>
      <c r="N318" s="436">
        <f t="shared" si="182"/>
        <v>0.22299999999999998</v>
      </c>
      <c r="O318" s="436">
        <f t="shared" si="182"/>
        <v>1.226</v>
      </c>
      <c r="P318" s="885">
        <f t="shared" si="183"/>
        <v>1.9590000000000001</v>
      </c>
      <c r="Q318" s="436">
        <f t="shared" si="183"/>
        <v>-7.3999999999999996E-2</v>
      </c>
      <c r="R318" s="436">
        <f t="shared" si="184"/>
        <v>1.0309999999999999</v>
      </c>
      <c r="S318" s="436">
        <f t="shared" si="184"/>
        <v>0.55599999999999994</v>
      </c>
      <c r="T318" s="436">
        <f t="shared" si="184"/>
        <v>1.6739999999999999</v>
      </c>
      <c r="U318" s="885">
        <f t="shared" si="185"/>
        <v>3.1869999999999998</v>
      </c>
      <c r="V318" s="436">
        <f t="shared" si="185"/>
        <v>0.56299999999999994</v>
      </c>
      <c r="W318" s="436">
        <f t="shared" si="186"/>
        <v>0.3650000000000001</v>
      </c>
      <c r="X318" s="436">
        <f t="shared" si="186"/>
        <v>0.626</v>
      </c>
      <c r="Y318" s="436">
        <f t="shared" si="186"/>
        <v>0.84999999999999987</v>
      </c>
      <c r="Z318" s="885">
        <f t="shared" si="187"/>
        <v>2.4039999999999999</v>
      </c>
      <c r="AA318" s="436">
        <f t="shared" si="187"/>
        <v>0.53500000000000003</v>
      </c>
      <c r="AB318" s="436">
        <f t="shared" si="188"/>
        <v>0.38300000000000001</v>
      </c>
      <c r="AC318" s="436">
        <f t="shared" si="188"/>
        <v>2.4999999999999911E-2</v>
      </c>
      <c r="AD318" s="436">
        <f t="shared" si="188"/>
        <v>2.0299999999999998</v>
      </c>
      <c r="AE318" s="885">
        <f t="shared" si="189"/>
        <v>2.9729999999999999</v>
      </c>
      <c r="AF318" s="436">
        <f t="shared" si="189"/>
        <v>0.56399999999999995</v>
      </c>
      <c r="AG318" s="436">
        <f t="shared" si="190"/>
        <v>1.2549999999999999</v>
      </c>
      <c r="AH318" s="436">
        <f t="shared" si="190"/>
        <v>0.61299999999999999</v>
      </c>
      <c r="AI318" s="436">
        <f t="shared" si="190"/>
        <v>0.83899999999999997</v>
      </c>
      <c r="AJ318" s="885">
        <f t="shared" si="191"/>
        <v>3.2709999999999999</v>
      </c>
      <c r="AK318" s="436">
        <f t="shared" si="191"/>
        <v>2.4980000000000002</v>
      </c>
      <c r="AL318" s="436">
        <f t="shared" si="192"/>
        <v>1.931</v>
      </c>
      <c r="AM318" s="436">
        <f t="shared" si="192"/>
        <v>0.18400000000000016</v>
      </c>
      <c r="AN318" s="436">
        <f t="shared" si="192"/>
        <v>12.334</v>
      </c>
      <c r="AO318" s="885">
        <f t="shared" si="193"/>
        <v>16.946999999999999</v>
      </c>
      <c r="AP318" s="436">
        <f t="shared" si="193"/>
        <v>0.872</v>
      </c>
      <c r="AQ318" s="886">
        <f t="shared" si="194"/>
        <v>2.4250000000000003</v>
      </c>
      <c r="AR318" s="855"/>
      <c r="AS318" s="855"/>
      <c r="AT318" s="885">
        <f t="shared" si="195"/>
        <v>3.2970000000000002</v>
      </c>
      <c r="AU318" s="855"/>
      <c r="AV318" s="855"/>
      <c r="AW318" s="855"/>
      <c r="AX318" s="855"/>
      <c r="AY318" s="885">
        <f t="shared" si="196"/>
        <v>0</v>
      </c>
      <c r="AZ318" s="870"/>
      <c r="BA318" s="870"/>
      <c r="BB318" s="870"/>
      <c r="BC318" s="362"/>
    </row>
    <row r="319" spans="1:55" s="23" customFormat="1" ht="14.45" customHeight="1">
      <c r="A319" s="229" t="str">
        <f t="shared" si="178"/>
        <v>Stock Compensation Expense</v>
      </c>
      <c r="B319" s="132"/>
      <c r="C319" s="885">
        <f t="shared" si="179"/>
        <v>0.77300000000000002</v>
      </c>
      <c r="D319" s="885">
        <f t="shared" si="179"/>
        <v>0.88400000000000001</v>
      </c>
      <c r="E319" s="885">
        <f t="shared" si="179"/>
        <v>1.0609999999999999</v>
      </c>
      <c r="F319" s="885">
        <f t="shared" si="179"/>
        <v>1.351</v>
      </c>
      <c r="G319" s="436">
        <f t="shared" si="179"/>
        <v>0.32600000000000001</v>
      </c>
      <c r="H319" s="436">
        <f t="shared" si="180"/>
        <v>0.38299999999999995</v>
      </c>
      <c r="I319" s="436">
        <f t="shared" si="180"/>
        <v>0.33900000000000008</v>
      </c>
      <c r="J319" s="436">
        <f t="shared" si="180"/>
        <v>0.33599999999999985</v>
      </c>
      <c r="K319" s="885">
        <f t="shared" si="181"/>
        <v>1.3839999999999999</v>
      </c>
      <c r="L319" s="436">
        <f t="shared" si="181"/>
        <v>0.39400000000000002</v>
      </c>
      <c r="M319" s="436">
        <f t="shared" si="182"/>
        <v>0.47199999999999998</v>
      </c>
      <c r="N319" s="436">
        <f t="shared" si="182"/>
        <v>0.43800000000000006</v>
      </c>
      <c r="O319" s="436">
        <f t="shared" si="182"/>
        <v>0.42599999999999993</v>
      </c>
      <c r="P319" s="885">
        <f t="shared" si="183"/>
        <v>1.73</v>
      </c>
      <c r="Q319" s="436">
        <f t="shared" si="183"/>
        <v>0.50600000000000001</v>
      </c>
      <c r="R319" s="436">
        <f t="shared" si="184"/>
        <v>0.63700000000000001</v>
      </c>
      <c r="S319" s="436">
        <f t="shared" si="184"/>
        <v>0.59699999999999998</v>
      </c>
      <c r="T319" s="436">
        <f t="shared" si="184"/>
        <v>0.53400000000000003</v>
      </c>
      <c r="U319" s="885">
        <f t="shared" si="185"/>
        <v>2.274</v>
      </c>
      <c r="V319" s="436">
        <f t="shared" si="185"/>
        <v>0.59699999999999998</v>
      </c>
      <c r="W319" s="436">
        <f t="shared" si="186"/>
        <v>0.65900000000000003</v>
      </c>
      <c r="X319" s="436">
        <f t="shared" si="186"/>
        <v>0.61999999999999988</v>
      </c>
      <c r="Y319" s="436">
        <f t="shared" si="186"/>
        <v>0.40500000000000025</v>
      </c>
      <c r="Z319" s="885">
        <f t="shared" si="187"/>
        <v>2.2810000000000001</v>
      </c>
      <c r="AA319" s="436">
        <f t="shared" si="187"/>
        <v>0.65600000000000003</v>
      </c>
      <c r="AB319" s="436">
        <f t="shared" si="188"/>
        <v>0.79999999999999993</v>
      </c>
      <c r="AC319" s="436">
        <f t="shared" si="188"/>
        <v>0.74699999999999989</v>
      </c>
      <c r="AD319" s="436">
        <f t="shared" si="188"/>
        <v>0.39500000000000002</v>
      </c>
      <c r="AE319" s="885">
        <f t="shared" si="189"/>
        <v>2.5979999999999999</v>
      </c>
      <c r="AF319" s="436">
        <f t="shared" si="189"/>
        <v>0.93100000000000005</v>
      </c>
      <c r="AG319" s="436">
        <f t="shared" si="190"/>
        <v>0.70599999999999996</v>
      </c>
      <c r="AH319" s="436">
        <f t="shared" si="190"/>
        <v>0.71200000000000019</v>
      </c>
      <c r="AI319" s="436">
        <f t="shared" si="190"/>
        <v>0.74899999999999967</v>
      </c>
      <c r="AJ319" s="885">
        <f t="shared" si="191"/>
        <v>3.0979999999999999</v>
      </c>
      <c r="AK319" s="436">
        <f t="shared" si="191"/>
        <v>1.1930000000000001</v>
      </c>
      <c r="AL319" s="436">
        <f t="shared" si="192"/>
        <v>0.95199999999999996</v>
      </c>
      <c r="AM319" s="436">
        <f t="shared" si="192"/>
        <v>0.79800000000000004</v>
      </c>
      <c r="AN319" s="436">
        <f t="shared" si="192"/>
        <v>0.89999999999999991</v>
      </c>
      <c r="AO319" s="885">
        <f t="shared" si="193"/>
        <v>3.843</v>
      </c>
      <c r="AP319" s="436">
        <f t="shared" si="193"/>
        <v>1.7030000000000001</v>
      </c>
      <c r="AQ319" s="886">
        <f t="shared" si="194"/>
        <v>1.103</v>
      </c>
      <c r="AR319" s="436">
        <f>AR161</f>
        <v>1.2</v>
      </c>
      <c r="AS319" s="436">
        <f>AS161</f>
        <v>1.2</v>
      </c>
      <c r="AT319" s="885">
        <f t="shared" si="195"/>
        <v>5.2060000000000004</v>
      </c>
      <c r="AU319" s="436">
        <f>AU161</f>
        <v>1.2</v>
      </c>
      <c r="AV319" s="436">
        <f>AV161</f>
        <v>1.2</v>
      </c>
      <c r="AW319" s="436">
        <f>AW161</f>
        <v>1.2</v>
      </c>
      <c r="AX319" s="436">
        <f>AX161</f>
        <v>1.2</v>
      </c>
      <c r="AY319" s="885">
        <f t="shared" si="196"/>
        <v>4.8</v>
      </c>
      <c r="AZ319" s="885">
        <f>AZ161</f>
        <v>4.8</v>
      </c>
      <c r="BA319" s="885">
        <f>BA161</f>
        <v>4.8</v>
      </c>
      <c r="BB319" s="885">
        <f>BB161</f>
        <v>4.8</v>
      </c>
      <c r="BC319" s="362"/>
    </row>
    <row r="320" spans="1:55" s="23" customFormat="1" ht="14.45" customHeight="1">
      <c r="A320" s="229" t="str">
        <f t="shared" si="178"/>
        <v>Deferred Tax Benefit</v>
      </c>
      <c r="B320" s="132"/>
      <c r="C320" s="885">
        <f t="shared" si="179"/>
        <v>-7.9139999999999997</v>
      </c>
      <c r="D320" s="885">
        <f t="shared" si="179"/>
        <v>1.385</v>
      </c>
      <c r="E320" s="885">
        <f t="shared" si="179"/>
        <v>0.42299999999999999</v>
      </c>
      <c r="F320" s="885">
        <f t="shared" si="179"/>
        <v>-1.544</v>
      </c>
      <c r="G320" s="436">
        <f t="shared" si="179"/>
        <v>1.0149999999999999</v>
      </c>
      <c r="H320" s="436">
        <f t="shared" si="180"/>
        <v>7.2000000000000064E-2</v>
      </c>
      <c r="I320" s="436">
        <f t="shared" si="180"/>
        <v>2.200000000000002E-2</v>
      </c>
      <c r="J320" s="436">
        <f t="shared" si="180"/>
        <v>-1.831</v>
      </c>
      <c r="K320" s="885">
        <f t="shared" si="181"/>
        <v>-0.72199999999999998</v>
      </c>
      <c r="L320" s="436">
        <f t="shared" si="181"/>
        <v>-0.81599999999999995</v>
      </c>
      <c r="M320" s="436">
        <f t="shared" si="182"/>
        <v>-1.9490000000000003</v>
      </c>
      <c r="N320" s="436">
        <f t="shared" si="182"/>
        <v>-1.8329999999999997</v>
      </c>
      <c r="O320" s="436">
        <f t="shared" si="182"/>
        <v>-7.8999999999999737E-2</v>
      </c>
      <c r="P320" s="885">
        <f t="shared" si="183"/>
        <v>-4.6769999999999996</v>
      </c>
      <c r="Q320" s="436">
        <f t="shared" si="183"/>
        <v>-0.04</v>
      </c>
      <c r="R320" s="436">
        <f t="shared" si="184"/>
        <v>-0.53599999999999992</v>
      </c>
      <c r="S320" s="436">
        <f t="shared" si="184"/>
        <v>0.33299999999999996</v>
      </c>
      <c r="T320" s="436">
        <f t="shared" si="184"/>
        <v>-9.000000000000008E-3</v>
      </c>
      <c r="U320" s="885">
        <f t="shared" si="185"/>
        <v>-0.252</v>
      </c>
      <c r="V320" s="436">
        <f t="shared" si="185"/>
        <v>-0.46800000000000003</v>
      </c>
      <c r="W320" s="436">
        <f t="shared" si="186"/>
        <v>-0.51200000000000001</v>
      </c>
      <c r="X320" s="436">
        <f t="shared" si="186"/>
        <v>-2.5470000000000002</v>
      </c>
      <c r="Y320" s="436">
        <f t="shared" si="186"/>
        <v>-1.2290000000000001</v>
      </c>
      <c r="Z320" s="885">
        <f t="shared" si="187"/>
        <v>-4.7560000000000002</v>
      </c>
      <c r="AA320" s="436">
        <f t="shared" si="187"/>
        <v>-0.51600000000000001</v>
      </c>
      <c r="AB320" s="436">
        <f t="shared" si="188"/>
        <v>-2.0000000000000018E-2</v>
      </c>
      <c r="AC320" s="436">
        <f t="shared" si="188"/>
        <v>-0.38400000000000001</v>
      </c>
      <c r="AD320" s="436">
        <f t="shared" si="188"/>
        <v>-4.5739999999999998</v>
      </c>
      <c r="AE320" s="885">
        <f t="shared" si="189"/>
        <v>-5.4939999999999998</v>
      </c>
      <c r="AF320" s="436">
        <f t="shared" si="189"/>
        <v>-1.1279999999999999</v>
      </c>
      <c r="AG320" s="436">
        <f t="shared" si="190"/>
        <v>0.61199999999999988</v>
      </c>
      <c r="AH320" s="436">
        <f t="shared" si="190"/>
        <v>-1.02</v>
      </c>
      <c r="AI320" s="436">
        <f t="shared" si="190"/>
        <v>-1.1440000000000001</v>
      </c>
      <c r="AJ320" s="885">
        <f t="shared" si="191"/>
        <v>-2.68</v>
      </c>
      <c r="AK320" s="436">
        <f t="shared" si="191"/>
        <v>-3.3980000000000001</v>
      </c>
      <c r="AL320" s="436">
        <f t="shared" si="192"/>
        <v>2.7000000000000135E-2</v>
      </c>
      <c r="AM320" s="436">
        <f t="shared" si="192"/>
        <v>-0.44899999999999984</v>
      </c>
      <c r="AN320" s="436">
        <f t="shared" si="192"/>
        <v>-10.565</v>
      </c>
      <c r="AO320" s="885">
        <f t="shared" si="193"/>
        <v>-14.385</v>
      </c>
      <c r="AP320" s="436">
        <f t="shared" si="193"/>
        <v>2.0499999999999998</v>
      </c>
      <c r="AQ320" s="886">
        <f t="shared" si="194"/>
        <v>-0.85999999999999988</v>
      </c>
      <c r="AR320" s="436">
        <f>AR170</f>
        <v>0</v>
      </c>
      <c r="AS320" s="436">
        <f ca="1">AS170</f>
        <v>-3.3873167373178359E-2</v>
      </c>
      <c r="AT320" s="885">
        <f t="shared" ca="1" si="195"/>
        <v>1.1561268326268217</v>
      </c>
      <c r="AU320" s="436">
        <f ca="1">AU170</f>
        <v>0</v>
      </c>
      <c r="AV320" s="436">
        <f ca="1">AV170</f>
        <v>0</v>
      </c>
      <c r="AW320" s="436">
        <f ca="1">AW170</f>
        <v>0</v>
      </c>
      <c r="AX320" s="436">
        <f ca="1">AX170</f>
        <v>0</v>
      </c>
      <c r="AY320" s="885">
        <f t="shared" ca="1" si="196"/>
        <v>0</v>
      </c>
      <c r="AZ320" s="885">
        <f ca="1">AZ170</f>
        <v>0</v>
      </c>
      <c r="BA320" s="885">
        <f ca="1">BA170</f>
        <v>0</v>
      </c>
      <c r="BB320" s="885">
        <f ca="1">BB170</f>
        <v>0</v>
      </c>
      <c r="BC320" s="362"/>
    </row>
    <row r="321" spans="1:55" s="23" customFormat="1" ht="14.45" customHeight="1">
      <c r="A321" s="229" t="str">
        <f t="shared" si="178"/>
        <v>Impairment Loss</v>
      </c>
      <c r="B321" s="132"/>
      <c r="C321" s="885">
        <f t="shared" si="179"/>
        <v>19.381</v>
      </c>
      <c r="D321" s="885">
        <f t="shared" si="179"/>
        <v>0</v>
      </c>
      <c r="E321" s="885">
        <f t="shared" si="179"/>
        <v>2.5</v>
      </c>
      <c r="F321" s="885">
        <f t="shared" si="179"/>
        <v>0</v>
      </c>
      <c r="G321" s="436">
        <f t="shared" si="179"/>
        <v>0</v>
      </c>
      <c r="H321" s="436">
        <f t="shared" si="180"/>
        <v>0</v>
      </c>
      <c r="I321" s="436">
        <f t="shared" si="180"/>
        <v>0</v>
      </c>
      <c r="J321" s="436">
        <f t="shared" si="180"/>
        <v>0</v>
      </c>
      <c r="K321" s="885">
        <f t="shared" si="181"/>
        <v>0</v>
      </c>
      <c r="L321" s="436">
        <f t="shared" si="181"/>
        <v>0</v>
      </c>
      <c r="M321" s="436">
        <f t="shared" si="182"/>
        <v>0</v>
      </c>
      <c r="N321" s="436">
        <f t="shared" si="182"/>
        <v>0</v>
      </c>
      <c r="O321" s="436">
        <f t="shared" si="182"/>
        <v>0</v>
      </c>
      <c r="P321" s="885">
        <f t="shared" si="183"/>
        <v>0</v>
      </c>
      <c r="Q321" s="436">
        <f t="shared" si="183"/>
        <v>0</v>
      </c>
      <c r="R321" s="436">
        <f t="shared" si="184"/>
        <v>0</v>
      </c>
      <c r="S321" s="436">
        <f t="shared" si="184"/>
        <v>0</v>
      </c>
      <c r="T321" s="436">
        <f t="shared" si="184"/>
        <v>0</v>
      </c>
      <c r="U321" s="885">
        <f t="shared" si="185"/>
        <v>0</v>
      </c>
      <c r="V321" s="436">
        <f t="shared" si="185"/>
        <v>0</v>
      </c>
      <c r="W321" s="436">
        <f t="shared" si="186"/>
        <v>0</v>
      </c>
      <c r="X321" s="436">
        <f t="shared" si="186"/>
        <v>0</v>
      </c>
      <c r="Y321" s="436">
        <f t="shared" si="186"/>
        <v>0</v>
      </c>
      <c r="Z321" s="885">
        <f t="shared" si="187"/>
        <v>0</v>
      </c>
      <c r="AA321" s="436">
        <f t="shared" si="187"/>
        <v>0</v>
      </c>
      <c r="AB321" s="436">
        <f t="shared" si="188"/>
        <v>0</v>
      </c>
      <c r="AC321" s="436">
        <f t="shared" si="188"/>
        <v>0</v>
      </c>
      <c r="AD321" s="436">
        <f t="shared" si="188"/>
        <v>16.236999999999998</v>
      </c>
      <c r="AE321" s="885">
        <f t="shared" si="189"/>
        <v>16.236999999999998</v>
      </c>
      <c r="AF321" s="436">
        <f t="shared" si="189"/>
        <v>0</v>
      </c>
      <c r="AG321" s="436">
        <f t="shared" si="190"/>
        <v>0</v>
      </c>
      <c r="AH321" s="436">
        <f t="shared" si="190"/>
        <v>0</v>
      </c>
      <c r="AI321" s="436">
        <f t="shared" si="190"/>
        <v>0</v>
      </c>
      <c r="AJ321" s="885">
        <f t="shared" si="191"/>
        <v>0</v>
      </c>
      <c r="AK321" s="436">
        <f t="shared" si="191"/>
        <v>0</v>
      </c>
      <c r="AL321" s="436">
        <f t="shared" si="192"/>
        <v>0</v>
      </c>
      <c r="AM321" s="436">
        <f t="shared" si="192"/>
        <v>0</v>
      </c>
      <c r="AN321" s="436">
        <f t="shared" si="192"/>
        <v>11.083</v>
      </c>
      <c r="AO321" s="885">
        <f t="shared" si="193"/>
        <v>11.083</v>
      </c>
      <c r="AP321" s="436">
        <f t="shared" si="193"/>
        <v>74.408000000000001</v>
      </c>
      <c r="AQ321" s="886">
        <f t="shared" si="194"/>
        <v>12.608000000000004</v>
      </c>
      <c r="AR321" s="855"/>
      <c r="AS321" s="855"/>
      <c r="AT321" s="885">
        <f t="shared" si="195"/>
        <v>87.016000000000005</v>
      </c>
      <c r="AU321" s="855"/>
      <c r="AV321" s="855"/>
      <c r="AW321" s="855"/>
      <c r="AX321" s="855"/>
      <c r="AY321" s="885">
        <f t="shared" si="196"/>
        <v>0</v>
      </c>
      <c r="AZ321" s="870"/>
      <c r="BA321" s="870"/>
      <c r="BB321" s="870"/>
      <c r="BC321" s="362"/>
    </row>
    <row r="322" spans="1:55" s="23" customFormat="1" ht="14.45" customHeight="1">
      <c r="A322" s="229" t="str">
        <f t="shared" si="178"/>
        <v>Operating lease amortization expense</v>
      </c>
      <c r="B322" s="132"/>
      <c r="C322" s="885">
        <f t="shared" si="179"/>
        <v>0</v>
      </c>
      <c r="D322" s="885">
        <f t="shared" si="179"/>
        <v>0</v>
      </c>
      <c r="E322" s="885">
        <f t="shared" si="179"/>
        <v>0</v>
      </c>
      <c r="F322" s="885">
        <f t="shared" si="179"/>
        <v>0</v>
      </c>
      <c r="G322" s="436">
        <f t="shared" si="179"/>
        <v>0</v>
      </c>
      <c r="H322" s="436">
        <f t="shared" si="180"/>
        <v>0</v>
      </c>
      <c r="I322" s="436">
        <f t="shared" si="180"/>
        <v>0</v>
      </c>
      <c r="J322" s="436">
        <f t="shared" si="180"/>
        <v>0</v>
      </c>
      <c r="K322" s="885">
        <f t="shared" si="181"/>
        <v>0</v>
      </c>
      <c r="L322" s="436">
        <f t="shared" si="181"/>
        <v>0</v>
      </c>
      <c r="M322" s="436">
        <f t="shared" si="182"/>
        <v>0</v>
      </c>
      <c r="N322" s="436">
        <f t="shared" si="182"/>
        <v>0</v>
      </c>
      <c r="O322" s="436">
        <f t="shared" si="182"/>
        <v>0</v>
      </c>
      <c r="P322" s="885">
        <f t="shared" si="183"/>
        <v>0</v>
      </c>
      <c r="Q322" s="436">
        <f t="shared" si="183"/>
        <v>0</v>
      </c>
      <c r="R322" s="436">
        <f t="shared" si="184"/>
        <v>0</v>
      </c>
      <c r="S322" s="436">
        <f t="shared" si="184"/>
        <v>0</v>
      </c>
      <c r="T322" s="436">
        <f t="shared" si="184"/>
        <v>0</v>
      </c>
      <c r="U322" s="885">
        <f t="shared" si="185"/>
        <v>0</v>
      </c>
      <c r="V322" s="436">
        <f t="shared" si="185"/>
        <v>0</v>
      </c>
      <c r="W322" s="436">
        <f t="shared" si="186"/>
        <v>0</v>
      </c>
      <c r="X322" s="436">
        <f t="shared" si="186"/>
        <v>0</v>
      </c>
      <c r="Y322" s="436">
        <f t="shared" si="186"/>
        <v>0</v>
      </c>
      <c r="Z322" s="885">
        <f t="shared" si="187"/>
        <v>0</v>
      </c>
      <c r="AA322" s="436">
        <f t="shared" si="187"/>
        <v>0</v>
      </c>
      <c r="AB322" s="436">
        <f t="shared" si="188"/>
        <v>0</v>
      </c>
      <c r="AC322" s="436">
        <f t="shared" si="188"/>
        <v>0</v>
      </c>
      <c r="AD322" s="436">
        <f t="shared" si="188"/>
        <v>0</v>
      </c>
      <c r="AE322" s="885">
        <f t="shared" si="189"/>
        <v>0</v>
      </c>
      <c r="AF322" s="436">
        <f t="shared" si="189"/>
        <v>0</v>
      </c>
      <c r="AG322" s="436">
        <f t="shared" si="190"/>
        <v>0</v>
      </c>
      <c r="AH322" s="436">
        <f t="shared" si="190"/>
        <v>0</v>
      </c>
      <c r="AI322" s="436">
        <f t="shared" si="190"/>
        <v>0</v>
      </c>
      <c r="AJ322" s="885">
        <f t="shared" si="191"/>
        <v>0</v>
      </c>
      <c r="AK322" s="436">
        <f t="shared" si="191"/>
        <v>0</v>
      </c>
      <c r="AL322" s="436">
        <f t="shared" si="192"/>
        <v>0</v>
      </c>
      <c r="AM322" s="436">
        <f t="shared" si="192"/>
        <v>0</v>
      </c>
      <c r="AN322" s="436">
        <f t="shared" si="192"/>
        <v>0</v>
      </c>
      <c r="AO322" s="885">
        <f t="shared" si="193"/>
        <v>0</v>
      </c>
      <c r="AP322" s="436">
        <f t="shared" si="193"/>
        <v>1.21</v>
      </c>
      <c r="AQ322" s="886">
        <f t="shared" si="194"/>
        <v>1.0260000000000002</v>
      </c>
      <c r="AR322" s="855"/>
      <c r="AS322" s="855"/>
      <c r="AT322" s="885">
        <f t="shared" si="195"/>
        <v>2.2360000000000002</v>
      </c>
      <c r="AU322" s="855"/>
      <c r="AV322" s="855"/>
      <c r="AW322" s="855"/>
      <c r="AX322" s="855"/>
      <c r="AY322" s="885">
        <f t="shared" si="196"/>
        <v>0</v>
      </c>
      <c r="AZ322" s="870"/>
      <c r="BA322" s="870"/>
      <c r="BB322" s="870"/>
      <c r="BC322" s="362"/>
    </row>
    <row r="323" spans="1:55" s="23" customFormat="1" ht="14.45" customHeight="1">
      <c r="A323" s="229" t="str">
        <f t="shared" si="178"/>
        <v>Gain on Sale of Business, Before Taxes</v>
      </c>
      <c r="B323" s="132"/>
      <c r="C323" s="885">
        <f t="shared" si="179"/>
        <v>0</v>
      </c>
      <c r="D323" s="885">
        <f t="shared" si="179"/>
        <v>0</v>
      </c>
      <c r="E323" s="885">
        <f t="shared" si="179"/>
        <v>0</v>
      </c>
      <c r="F323" s="885">
        <f t="shared" si="179"/>
        <v>0</v>
      </c>
      <c r="G323" s="436">
        <f t="shared" si="179"/>
        <v>0</v>
      </c>
      <c r="H323" s="436">
        <f t="shared" si="180"/>
        <v>0</v>
      </c>
      <c r="I323" s="436">
        <f t="shared" si="180"/>
        <v>0</v>
      </c>
      <c r="J323" s="436">
        <f t="shared" si="180"/>
        <v>0</v>
      </c>
      <c r="K323" s="885">
        <f t="shared" si="181"/>
        <v>0</v>
      </c>
      <c r="L323" s="436">
        <f t="shared" si="181"/>
        <v>0</v>
      </c>
      <c r="M323" s="436">
        <f t="shared" si="182"/>
        <v>0</v>
      </c>
      <c r="N323" s="436">
        <f t="shared" si="182"/>
        <v>0</v>
      </c>
      <c r="O323" s="436">
        <f t="shared" si="182"/>
        <v>0</v>
      </c>
      <c r="P323" s="885">
        <f t="shared" si="183"/>
        <v>0</v>
      </c>
      <c r="Q323" s="436">
        <f t="shared" si="183"/>
        <v>0</v>
      </c>
      <c r="R323" s="436">
        <f t="shared" si="184"/>
        <v>0</v>
      </c>
      <c r="S323" s="436">
        <f t="shared" si="184"/>
        <v>0</v>
      </c>
      <c r="T323" s="436">
        <f t="shared" si="184"/>
        <v>0</v>
      </c>
      <c r="U323" s="885">
        <f t="shared" si="185"/>
        <v>0</v>
      </c>
      <c r="V323" s="436">
        <f t="shared" si="185"/>
        <v>0</v>
      </c>
      <c r="W323" s="436">
        <f t="shared" si="186"/>
        <v>0</v>
      </c>
      <c r="X323" s="436">
        <f t="shared" si="186"/>
        <v>0</v>
      </c>
      <c r="Y323" s="436">
        <f t="shared" si="186"/>
        <v>0</v>
      </c>
      <c r="Z323" s="885">
        <f t="shared" si="187"/>
        <v>0</v>
      </c>
      <c r="AA323" s="436">
        <f t="shared" si="187"/>
        <v>0</v>
      </c>
      <c r="AB323" s="436">
        <f t="shared" si="188"/>
        <v>0</v>
      </c>
      <c r="AC323" s="436">
        <f t="shared" si="188"/>
        <v>0</v>
      </c>
      <c r="AD323" s="436">
        <f t="shared" si="188"/>
        <v>0</v>
      </c>
      <c r="AE323" s="885">
        <f t="shared" si="189"/>
        <v>0</v>
      </c>
      <c r="AF323" s="436">
        <f t="shared" si="189"/>
        <v>0</v>
      </c>
      <c r="AG323" s="436">
        <f t="shared" si="190"/>
        <v>0</v>
      </c>
      <c r="AH323" s="436">
        <f t="shared" si="190"/>
        <v>0</v>
      </c>
      <c r="AI323" s="436">
        <f t="shared" si="190"/>
        <v>0</v>
      </c>
      <c r="AJ323" s="885">
        <f t="shared" si="191"/>
        <v>0</v>
      </c>
      <c r="AK323" s="436">
        <f t="shared" si="191"/>
        <v>-80.132999999999996</v>
      </c>
      <c r="AL323" s="436">
        <f t="shared" si="192"/>
        <v>0</v>
      </c>
      <c r="AM323" s="436">
        <f t="shared" si="192"/>
        <v>1.3319999999999936</v>
      </c>
      <c r="AN323" s="436">
        <f t="shared" si="192"/>
        <v>0</v>
      </c>
      <c r="AO323" s="885">
        <f t="shared" si="193"/>
        <v>-78.801000000000002</v>
      </c>
      <c r="AP323" s="436">
        <f t="shared" si="193"/>
        <v>0</v>
      </c>
      <c r="AQ323" s="886">
        <f t="shared" si="194"/>
        <v>0</v>
      </c>
      <c r="AR323" s="855"/>
      <c r="AS323" s="855"/>
      <c r="AT323" s="885">
        <f t="shared" si="195"/>
        <v>0</v>
      </c>
      <c r="AU323" s="855"/>
      <c r="AV323" s="855"/>
      <c r="AW323" s="855"/>
      <c r="AX323" s="855"/>
      <c r="AY323" s="885">
        <f t="shared" si="196"/>
        <v>0</v>
      </c>
      <c r="AZ323" s="870"/>
      <c r="BA323" s="870"/>
      <c r="BB323" s="870"/>
      <c r="BC323" s="362"/>
    </row>
    <row r="324" spans="1:55" s="23" customFormat="1" ht="14.45" customHeight="1">
      <c r="A324" s="229" t="str">
        <f t="shared" si="178"/>
        <v>Accrued Legal Reserve</v>
      </c>
      <c r="B324" s="132"/>
      <c r="C324" s="885">
        <f t="shared" si="179"/>
        <v>0</v>
      </c>
      <c r="D324" s="885">
        <f t="shared" si="179"/>
        <v>0</v>
      </c>
      <c r="E324" s="885">
        <f t="shared" si="179"/>
        <v>0</v>
      </c>
      <c r="F324" s="885">
        <f t="shared" si="179"/>
        <v>0</v>
      </c>
      <c r="G324" s="436">
        <f t="shared" si="179"/>
        <v>0</v>
      </c>
      <c r="H324" s="436">
        <f t="shared" si="180"/>
        <v>0</v>
      </c>
      <c r="I324" s="436">
        <f t="shared" si="180"/>
        <v>0</v>
      </c>
      <c r="J324" s="436">
        <f t="shared" si="180"/>
        <v>0</v>
      </c>
      <c r="K324" s="885">
        <f t="shared" si="181"/>
        <v>0</v>
      </c>
      <c r="L324" s="436">
        <f t="shared" si="181"/>
        <v>0</v>
      </c>
      <c r="M324" s="436">
        <f t="shared" si="182"/>
        <v>0</v>
      </c>
      <c r="N324" s="436">
        <f t="shared" si="182"/>
        <v>0</v>
      </c>
      <c r="O324" s="436">
        <f t="shared" si="182"/>
        <v>0</v>
      </c>
      <c r="P324" s="885">
        <f t="shared" si="183"/>
        <v>0</v>
      </c>
      <c r="Q324" s="436">
        <f t="shared" si="183"/>
        <v>0</v>
      </c>
      <c r="R324" s="436">
        <f t="shared" si="184"/>
        <v>0</v>
      </c>
      <c r="S324" s="436">
        <f t="shared" si="184"/>
        <v>0</v>
      </c>
      <c r="T324" s="436">
        <f t="shared" si="184"/>
        <v>0</v>
      </c>
      <c r="U324" s="885">
        <f t="shared" si="185"/>
        <v>0</v>
      </c>
      <c r="V324" s="436">
        <f t="shared" si="185"/>
        <v>0</v>
      </c>
      <c r="W324" s="436">
        <f t="shared" si="186"/>
        <v>0</v>
      </c>
      <c r="X324" s="436">
        <f t="shared" si="186"/>
        <v>0</v>
      </c>
      <c r="Y324" s="436">
        <f t="shared" si="186"/>
        <v>0</v>
      </c>
      <c r="Z324" s="885">
        <f t="shared" si="187"/>
        <v>0</v>
      </c>
      <c r="AA324" s="436">
        <f t="shared" si="187"/>
        <v>0</v>
      </c>
      <c r="AB324" s="436">
        <f t="shared" si="188"/>
        <v>0</v>
      </c>
      <c r="AC324" s="436">
        <f t="shared" si="188"/>
        <v>0</v>
      </c>
      <c r="AD324" s="436">
        <f t="shared" si="188"/>
        <v>0</v>
      </c>
      <c r="AE324" s="885">
        <f t="shared" si="189"/>
        <v>0</v>
      </c>
      <c r="AF324" s="436">
        <f t="shared" si="189"/>
        <v>0</v>
      </c>
      <c r="AG324" s="436">
        <f t="shared" si="190"/>
        <v>0</v>
      </c>
      <c r="AH324" s="436">
        <f t="shared" si="190"/>
        <v>0</v>
      </c>
      <c r="AI324" s="436">
        <f t="shared" si="190"/>
        <v>0</v>
      </c>
      <c r="AJ324" s="885">
        <f t="shared" si="191"/>
        <v>0</v>
      </c>
      <c r="AK324" s="436">
        <f t="shared" si="191"/>
        <v>0</v>
      </c>
      <c r="AL324" s="436">
        <f t="shared" si="192"/>
        <v>0</v>
      </c>
      <c r="AM324" s="436">
        <f t="shared" si="192"/>
        <v>0</v>
      </c>
      <c r="AN324" s="436">
        <f t="shared" si="192"/>
        <v>19.619</v>
      </c>
      <c r="AO324" s="885">
        <f t="shared" si="193"/>
        <v>19.619</v>
      </c>
      <c r="AP324" s="436">
        <f t="shared" si="193"/>
        <v>0</v>
      </c>
      <c r="AQ324" s="886">
        <f t="shared" si="194"/>
        <v>0</v>
      </c>
      <c r="AR324" s="855"/>
      <c r="AS324" s="855"/>
      <c r="AT324" s="885">
        <f t="shared" si="195"/>
        <v>0</v>
      </c>
      <c r="AU324" s="855"/>
      <c r="AV324" s="855"/>
      <c r="AW324" s="855"/>
      <c r="AX324" s="855"/>
      <c r="AY324" s="885">
        <f t="shared" si="196"/>
        <v>0</v>
      </c>
      <c r="AZ324" s="870"/>
      <c r="BA324" s="870"/>
      <c r="BB324" s="870"/>
      <c r="BC324" s="362"/>
    </row>
    <row r="325" spans="1:55" s="23" customFormat="1" ht="14.45" customHeight="1">
      <c r="A325" s="229" t="str">
        <f t="shared" si="178"/>
        <v>Non-cash severance</v>
      </c>
      <c r="B325" s="132"/>
      <c r="C325" s="885">
        <f t="shared" si="179"/>
        <v>0</v>
      </c>
      <c r="D325" s="885">
        <f t="shared" si="179"/>
        <v>0</v>
      </c>
      <c r="E325" s="885">
        <f t="shared" si="179"/>
        <v>0</v>
      </c>
      <c r="F325" s="885">
        <f t="shared" si="179"/>
        <v>0</v>
      </c>
      <c r="G325" s="436">
        <f t="shared" si="179"/>
        <v>0</v>
      </c>
      <c r="H325" s="436">
        <f t="shared" si="180"/>
        <v>0</v>
      </c>
      <c r="I325" s="436">
        <f t="shared" si="180"/>
        <v>0</v>
      </c>
      <c r="J325" s="436">
        <f t="shared" si="180"/>
        <v>0</v>
      </c>
      <c r="K325" s="885">
        <f t="shared" si="181"/>
        <v>0</v>
      </c>
      <c r="L325" s="436">
        <f t="shared" si="181"/>
        <v>0</v>
      </c>
      <c r="M325" s="436">
        <f t="shared" si="182"/>
        <v>0</v>
      </c>
      <c r="N325" s="436">
        <f t="shared" si="182"/>
        <v>0</v>
      </c>
      <c r="O325" s="436">
        <f t="shared" si="182"/>
        <v>0</v>
      </c>
      <c r="P325" s="885">
        <f t="shared" si="183"/>
        <v>0</v>
      </c>
      <c r="Q325" s="436">
        <f t="shared" si="183"/>
        <v>0</v>
      </c>
      <c r="R325" s="436">
        <f t="shared" si="184"/>
        <v>0</v>
      </c>
      <c r="S325" s="436">
        <f t="shared" si="184"/>
        <v>0</v>
      </c>
      <c r="T325" s="436">
        <f t="shared" si="184"/>
        <v>0</v>
      </c>
      <c r="U325" s="885">
        <f t="shared" si="185"/>
        <v>0</v>
      </c>
      <c r="V325" s="436">
        <f t="shared" si="185"/>
        <v>0</v>
      </c>
      <c r="W325" s="436">
        <f t="shared" si="186"/>
        <v>0</v>
      </c>
      <c r="X325" s="436">
        <f t="shared" si="186"/>
        <v>0</v>
      </c>
      <c r="Y325" s="436">
        <f t="shared" si="186"/>
        <v>0</v>
      </c>
      <c r="Z325" s="885">
        <f t="shared" si="187"/>
        <v>0</v>
      </c>
      <c r="AA325" s="436">
        <f t="shared" si="187"/>
        <v>0</v>
      </c>
      <c r="AB325" s="436">
        <f t="shared" si="188"/>
        <v>0</v>
      </c>
      <c r="AC325" s="436">
        <f t="shared" si="188"/>
        <v>0</v>
      </c>
      <c r="AD325" s="436">
        <f t="shared" si="188"/>
        <v>0</v>
      </c>
      <c r="AE325" s="885">
        <f t="shared" si="189"/>
        <v>0</v>
      </c>
      <c r="AF325" s="436">
        <f t="shared" si="189"/>
        <v>0</v>
      </c>
      <c r="AG325" s="436">
        <f t="shared" si="190"/>
        <v>0</v>
      </c>
      <c r="AH325" s="436">
        <f t="shared" si="190"/>
        <v>0</v>
      </c>
      <c r="AI325" s="436">
        <f t="shared" si="190"/>
        <v>0</v>
      </c>
      <c r="AJ325" s="885">
        <f t="shared" si="191"/>
        <v>0</v>
      </c>
      <c r="AK325" s="436">
        <f t="shared" si="191"/>
        <v>0</v>
      </c>
      <c r="AL325" s="436">
        <f t="shared" si="192"/>
        <v>0</v>
      </c>
      <c r="AM325" s="436">
        <f t="shared" si="192"/>
        <v>0</v>
      </c>
      <c r="AN325" s="436">
        <f t="shared" si="192"/>
        <v>0</v>
      </c>
      <c r="AO325" s="885">
        <f t="shared" si="193"/>
        <v>0</v>
      </c>
      <c r="AP325" s="436">
        <f t="shared" si="193"/>
        <v>0</v>
      </c>
      <c r="AQ325" s="886">
        <f t="shared" si="194"/>
        <v>4.6689999999999996</v>
      </c>
      <c r="AR325" s="855"/>
      <c r="AS325" s="855"/>
      <c r="AT325" s="885">
        <f t="shared" si="195"/>
        <v>4.6689999999999996</v>
      </c>
      <c r="AU325" s="855"/>
      <c r="AV325" s="855"/>
      <c r="AW325" s="855"/>
      <c r="AX325" s="855"/>
      <c r="AY325" s="885">
        <f t="shared" si="196"/>
        <v>0</v>
      </c>
      <c r="AZ325" s="870"/>
      <c r="BA325" s="870"/>
      <c r="BB325" s="870"/>
      <c r="BC325" s="362"/>
    </row>
    <row r="326" spans="1:55" s="23" customFormat="1" ht="14.45" customHeight="1">
      <c r="A326" s="229" t="str">
        <f t="shared" si="178"/>
        <v>Restructuring Activities</v>
      </c>
      <c r="B326" s="132"/>
      <c r="C326" s="885">
        <f t="shared" si="179"/>
        <v>0</v>
      </c>
      <c r="D326" s="885">
        <f t="shared" si="179"/>
        <v>0</v>
      </c>
      <c r="E326" s="885">
        <f t="shared" si="179"/>
        <v>0</v>
      </c>
      <c r="F326" s="885">
        <f t="shared" si="179"/>
        <v>0</v>
      </c>
      <c r="G326" s="436">
        <f t="shared" si="179"/>
        <v>0</v>
      </c>
      <c r="H326" s="436">
        <f t="shared" si="180"/>
        <v>0</v>
      </c>
      <c r="I326" s="436">
        <f t="shared" si="180"/>
        <v>0</v>
      </c>
      <c r="J326" s="436">
        <f t="shared" si="180"/>
        <v>0</v>
      </c>
      <c r="K326" s="885">
        <f t="shared" si="181"/>
        <v>0</v>
      </c>
      <c r="L326" s="436">
        <f t="shared" si="181"/>
        <v>0</v>
      </c>
      <c r="M326" s="436">
        <f t="shared" si="182"/>
        <v>0</v>
      </c>
      <c r="N326" s="436">
        <f t="shared" si="182"/>
        <v>0</v>
      </c>
      <c r="O326" s="436">
        <f t="shared" si="182"/>
        <v>0</v>
      </c>
      <c r="P326" s="885">
        <f t="shared" si="183"/>
        <v>0</v>
      </c>
      <c r="Q326" s="436">
        <f t="shared" si="183"/>
        <v>0</v>
      </c>
      <c r="R326" s="436">
        <f t="shared" si="184"/>
        <v>0</v>
      </c>
      <c r="S326" s="436">
        <f t="shared" si="184"/>
        <v>0</v>
      </c>
      <c r="T326" s="436">
        <f t="shared" si="184"/>
        <v>0</v>
      </c>
      <c r="U326" s="885">
        <f t="shared" si="185"/>
        <v>0</v>
      </c>
      <c r="V326" s="436">
        <f t="shared" si="185"/>
        <v>0</v>
      </c>
      <c r="W326" s="436">
        <f t="shared" si="186"/>
        <v>0</v>
      </c>
      <c r="X326" s="436">
        <f t="shared" si="186"/>
        <v>0</v>
      </c>
      <c r="Y326" s="436">
        <f t="shared" si="186"/>
        <v>0</v>
      </c>
      <c r="Z326" s="885">
        <f t="shared" si="187"/>
        <v>0</v>
      </c>
      <c r="AA326" s="436">
        <f t="shared" si="187"/>
        <v>0</v>
      </c>
      <c r="AB326" s="436">
        <f t="shared" si="188"/>
        <v>0</v>
      </c>
      <c r="AC326" s="436">
        <f t="shared" si="188"/>
        <v>0</v>
      </c>
      <c r="AD326" s="436">
        <f t="shared" si="188"/>
        <v>0</v>
      </c>
      <c r="AE326" s="885">
        <f t="shared" si="189"/>
        <v>0</v>
      </c>
      <c r="AF326" s="436">
        <f t="shared" si="189"/>
        <v>0</v>
      </c>
      <c r="AG326" s="436">
        <f t="shared" si="190"/>
        <v>0</v>
      </c>
      <c r="AH326" s="436">
        <f t="shared" si="190"/>
        <v>0</v>
      </c>
      <c r="AI326" s="436">
        <f t="shared" si="190"/>
        <v>0</v>
      </c>
      <c r="AJ326" s="885">
        <f t="shared" si="191"/>
        <v>0</v>
      </c>
      <c r="AK326" s="436">
        <f t="shared" si="191"/>
        <v>0</v>
      </c>
      <c r="AL326" s="436">
        <f t="shared" si="192"/>
        <v>0</v>
      </c>
      <c r="AM326" s="436">
        <f t="shared" si="192"/>
        <v>0</v>
      </c>
      <c r="AN326" s="436">
        <f t="shared" si="192"/>
        <v>6.5389999999999997</v>
      </c>
      <c r="AO326" s="885">
        <f t="shared" si="193"/>
        <v>6.5389999999999997</v>
      </c>
      <c r="AP326" s="436">
        <f t="shared" si="193"/>
        <v>0</v>
      </c>
      <c r="AQ326" s="886">
        <f t="shared" si="194"/>
        <v>0</v>
      </c>
      <c r="AR326" s="855"/>
      <c r="AS326" s="855"/>
      <c r="AT326" s="885">
        <f t="shared" si="195"/>
        <v>0</v>
      </c>
      <c r="AU326" s="855"/>
      <c r="AV326" s="855"/>
      <c r="AW326" s="855"/>
      <c r="AX326" s="855"/>
      <c r="AY326" s="885">
        <f t="shared" si="196"/>
        <v>0</v>
      </c>
      <c r="AZ326" s="870"/>
      <c r="BA326" s="870"/>
      <c r="BB326" s="870"/>
      <c r="BC326" s="362"/>
    </row>
    <row r="327" spans="1:55" s="23" customFormat="1" ht="14.45" customHeight="1">
      <c r="A327" s="229" t="str">
        <f t="shared" si="178"/>
        <v>Equity Investment Impairment</v>
      </c>
      <c r="B327" s="132"/>
      <c r="C327" s="885">
        <f t="shared" si="179"/>
        <v>0</v>
      </c>
      <c r="D327" s="885">
        <f t="shared" si="179"/>
        <v>0</v>
      </c>
      <c r="E327" s="885">
        <f t="shared" si="179"/>
        <v>0</v>
      </c>
      <c r="F327" s="885">
        <f t="shared" si="179"/>
        <v>0</v>
      </c>
      <c r="G327" s="436">
        <f t="shared" si="179"/>
        <v>0</v>
      </c>
      <c r="H327" s="436">
        <f t="shared" si="180"/>
        <v>0</v>
      </c>
      <c r="I327" s="436">
        <f t="shared" si="180"/>
        <v>0</v>
      </c>
      <c r="J327" s="436">
        <f t="shared" si="180"/>
        <v>0</v>
      </c>
      <c r="K327" s="885">
        <f t="shared" si="181"/>
        <v>0</v>
      </c>
      <c r="L327" s="436">
        <f t="shared" si="181"/>
        <v>0</v>
      </c>
      <c r="M327" s="436">
        <f t="shared" si="182"/>
        <v>0</v>
      </c>
      <c r="N327" s="436">
        <f t="shared" si="182"/>
        <v>0</v>
      </c>
      <c r="O327" s="436">
        <f t="shared" si="182"/>
        <v>0</v>
      </c>
      <c r="P327" s="885">
        <f t="shared" si="183"/>
        <v>0</v>
      </c>
      <c r="Q327" s="436">
        <f t="shared" si="183"/>
        <v>0</v>
      </c>
      <c r="R327" s="436">
        <f t="shared" si="184"/>
        <v>0</v>
      </c>
      <c r="S327" s="436">
        <f t="shared" si="184"/>
        <v>0</v>
      </c>
      <c r="T327" s="436">
        <f t="shared" si="184"/>
        <v>0</v>
      </c>
      <c r="U327" s="885">
        <f t="shared" si="185"/>
        <v>0</v>
      </c>
      <c r="V327" s="436">
        <f t="shared" si="185"/>
        <v>0</v>
      </c>
      <c r="W327" s="436">
        <f t="shared" si="186"/>
        <v>0</v>
      </c>
      <c r="X327" s="436">
        <f t="shared" si="186"/>
        <v>0</v>
      </c>
      <c r="Y327" s="436">
        <f t="shared" si="186"/>
        <v>0</v>
      </c>
      <c r="Z327" s="885">
        <f t="shared" si="187"/>
        <v>0</v>
      </c>
      <c r="AA327" s="436">
        <f t="shared" si="187"/>
        <v>0</v>
      </c>
      <c r="AB327" s="436">
        <f t="shared" si="188"/>
        <v>0</v>
      </c>
      <c r="AC327" s="436">
        <f t="shared" si="188"/>
        <v>0</v>
      </c>
      <c r="AD327" s="436">
        <f t="shared" si="188"/>
        <v>0</v>
      </c>
      <c r="AE327" s="885">
        <f t="shared" si="189"/>
        <v>0</v>
      </c>
      <c r="AF327" s="436">
        <f t="shared" si="189"/>
        <v>0</v>
      </c>
      <c r="AG327" s="436">
        <f t="shared" si="190"/>
        <v>0</v>
      </c>
      <c r="AH327" s="436">
        <f t="shared" si="190"/>
        <v>0</v>
      </c>
      <c r="AI327" s="436">
        <f t="shared" si="190"/>
        <v>0</v>
      </c>
      <c r="AJ327" s="885">
        <f t="shared" si="191"/>
        <v>0</v>
      </c>
      <c r="AK327" s="436">
        <f t="shared" si="191"/>
        <v>0</v>
      </c>
      <c r="AL327" s="436">
        <f t="shared" si="192"/>
        <v>0</v>
      </c>
      <c r="AM327" s="436">
        <f t="shared" si="192"/>
        <v>0</v>
      </c>
      <c r="AN327" s="436">
        <f t="shared" si="192"/>
        <v>5</v>
      </c>
      <c r="AO327" s="885">
        <f t="shared" si="193"/>
        <v>5</v>
      </c>
      <c r="AP327" s="436">
        <f t="shared" si="193"/>
        <v>0</v>
      </c>
      <c r="AQ327" s="886">
        <f t="shared" si="194"/>
        <v>3.4929999999999999</v>
      </c>
      <c r="AR327" s="855"/>
      <c r="AS327" s="855"/>
      <c r="AT327" s="885">
        <f t="shared" si="195"/>
        <v>3.4929999999999999</v>
      </c>
      <c r="AU327" s="855"/>
      <c r="AV327" s="855"/>
      <c r="AW327" s="855"/>
      <c r="AX327" s="855"/>
      <c r="AY327" s="885">
        <f t="shared" si="196"/>
        <v>0</v>
      </c>
      <c r="AZ327" s="870"/>
      <c r="BA327" s="870"/>
      <c r="BB327" s="870"/>
      <c r="BC327" s="362"/>
    </row>
    <row r="328" spans="1:55" s="23" customFormat="1" ht="14.45" customHeight="1">
      <c r="A328" s="229" t="str">
        <f t="shared" si="178"/>
        <v>Non-cash Adjustment to Contingent Consideration</v>
      </c>
      <c r="B328" s="132"/>
      <c r="C328" s="885">
        <f t="shared" si="179"/>
        <v>-1</v>
      </c>
      <c r="D328" s="885">
        <f t="shared" si="179"/>
        <v>0</v>
      </c>
      <c r="E328" s="885">
        <f t="shared" si="179"/>
        <v>0</v>
      </c>
      <c r="F328" s="885">
        <f t="shared" si="179"/>
        <v>0</v>
      </c>
      <c r="G328" s="436">
        <f t="shared" si="179"/>
        <v>0</v>
      </c>
      <c r="H328" s="436">
        <f t="shared" si="180"/>
        <v>0</v>
      </c>
      <c r="I328" s="436">
        <f t="shared" si="180"/>
        <v>0</v>
      </c>
      <c r="J328" s="436">
        <f t="shared" si="180"/>
        <v>-3.9E-2</v>
      </c>
      <c r="K328" s="885">
        <f t="shared" si="181"/>
        <v>-3.9E-2</v>
      </c>
      <c r="L328" s="436">
        <f t="shared" si="181"/>
        <v>0</v>
      </c>
      <c r="M328" s="436">
        <f t="shared" si="182"/>
        <v>-8.3000000000000004E-2</v>
      </c>
      <c r="N328" s="436">
        <f t="shared" si="182"/>
        <v>-0.39399999999999996</v>
      </c>
      <c r="O328" s="436">
        <f t="shared" si="182"/>
        <v>-4.4939999999999998</v>
      </c>
      <c r="P328" s="885">
        <f t="shared" si="183"/>
        <v>-4.9710000000000001</v>
      </c>
      <c r="Q328" s="436">
        <f t="shared" si="183"/>
        <v>0</v>
      </c>
      <c r="R328" s="436">
        <f t="shared" si="184"/>
        <v>-1.268</v>
      </c>
      <c r="S328" s="436">
        <f t="shared" si="184"/>
        <v>-0.30800000000000005</v>
      </c>
      <c r="T328" s="436">
        <f t="shared" si="184"/>
        <v>-0.17499999999999982</v>
      </c>
      <c r="U328" s="885">
        <f t="shared" si="185"/>
        <v>-1.7509999999999999</v>
      </c>
      <c r="V328" s="436">
        <f t="shared" si="185"/>
        <v>0</v>
      </c>
      <c r="W328" s="436">
        <f t="shared" si="186"/>
        <v>0</v>
      </c>
      <c r="X328" s="436">
        <f t="shared" si="186"/>
        <v>0</v>
      </c>
      <c r="Y328" s="436">
        <f t="shared" si="186"/>
        <v>0</v>
      </c>
      <c r="Z328" s="885">
        <f t="shared" si="187"/>
        <v>0</v>
      </c>
      <c r="AA328" s="436">
        <f t="shared" si="187"/>
        <v>0</v>
      </c>
      <c r="AB328" s="436">
        <f t="shared" si="188"/>
        <v>0</v>
      </c>
      <c r="AC328" s="436">
        <f t="shared" si="188"/>
        <v>0</v>
      </c>
      <c r="AD328" s="436">
        <f t="shared" si="188"/>
        <v>0</v>
      </c>
      <c r="AE328" s="885">
        <f t="shared" si="189"/>
        <v>0</v>
      </c>
      <c r="AF328" s="436">
        <f t="shared" si="189"/>
        <v>0</v>
      </c>
      <c r="AG328" s="436">
        <f t="shared" si="190"/>
        <v>0</v>
      </c>
      <c r="AH328" s="436">
        <f t="shared" si="190"/>
        <v>0</v>
      </c>
      <c r="AI328" s="436">
        <f t="shared" si="190"/>
        <v>0</v>
      </c>
      <c r="AJ328" s="885">
        <f t="shared" si="191"/>
        <v>0</v>
      </c>
      <c r="AK328" s="436">
        <f t="shared" si="191"/>
        <v>0</v>
      </c>
      <c r="AL328" s="436">
        <f t="shared" si="192"/>
        <v>0</v>
      </c>
      <c r="AM328" s="436">
        <f t="shared" si="192"/>
        <v>0</v>
      </c>
      <c r="AN328" s="436">
        <f t="shared" si="192"/>
        <v>0</v>
      </c>
      <c r="AO328" s="885">
        <f t="shared" si="193"/>
        <v>0</v>
      </c>
      <c r="AP328" s="436">
        <f t="shared" si="193"/>
        <v>0</v>
      </c>
      <c r="AQ328" s="886">
        <f t="shared" si="194"/>
        <v>1.45</v>
      </c>
      <c r="AR328" s="855"/>
      <c r="AS328" s="855"/>
      <c r="AT328" s="885">
        <f t="shared" si="195"/>
        <v>1.45</v>
      </c>
      <c r="AU328" s="855"/>
      <c r="AV328" s="855"/>
      <c r="AW328" s="855"/>
      <c r="AX328" s="855"/>
      <c r="AY328" s="885">
        <f t="shared" si="196"/>
        <v>0</v>
      </c>
      <c r="AZ328" s="870"/>
      <c r="BA328" s="870"/>
      <c r="BB328" s="870"/>
      <c r="BC328" s="362"/>
    </row>
    <row r="329" spans="1:55" s="23" customFormat="1" ht="14.45" customHeight="1">
      <c r="A329" s="229" t="str">
        <f t="shared" si="178"/>
        <v>Other</v>
      </c>
      <c r="B329" s="132"/>
      <c r="C329" s="887">
        <f t="shared" si="179"/>
        <v>-0.10900000000000001</v>
      </c>
      <c r="D329" s="887">
        <f t="shared" si="179"/>
        <v>6.7000000000000004E-2</v>
      </c>
      <c r="E329" s="887">
        <f t="shared" si="179"/>
        <v>-0.22</v>
      </c>
      <c r="F329" s="887">
        <f t="shared" si="179"/>
        <v>0.154</v>
      </c>
      <c r="G329" s="888">
        <f t="shared" si="179"/>
        <v>-0.27700000000000002</v>
      </c>
      <c r="H329" s="888">
        <f t="shared" si="180"/>
        <v>-9.8999999999999977E-2</v>
      </c>
      <c r="I329" s="888">
        <f t="shared" si="180"/>
        <v>-0.48699999999999999</v>
      </c>
      <c r="J329" s="888">
        <f t="shared" si="180"/>
        <v>0.28500000000000003</v>
      </c>
      <c r="K329" s="887">
        <f t="shared" si="181"/>
        <v>-0.57799999999999996</v>
      </c>
      <c r="L329" s="888">
        <f t="shared" si="181"/>
        <v>-0.879</v>
      </c>
      <c r="M329" s="888">
        <f t="shared" si="182"/>
        <v>0.31400000000000006</v>
      </c>
      <c r="N329" s="888">
        <f t="shared" si="182"/>
        <v>-5.3000000000000047E-2</v>
      </c>
      <c r="O329" s="888">
        <f t="shared" si="182"/>
        <v>0.88600000000000001</v>
      </c>
      <c r="P329" s="887">
        <f t="shared" si="183"/>
        <v>0.26800000000000002</v>
      </c>
      <c r="Q329" s="888">
        <f t="shared" si="183"/>
        <v>0.11</v>
      </c>
      <c r="R329" s="888">
        <f t="shared" si="184"/>
        <v>4.8000000000000001E-2</v>
      </c>
      <c r="S329" s="888">
        <f t="shared" si="184"/>
        <v>-0.13700000000000001</v>
      </c>
      <c r="T329" s="888">
        <f t="shared" si="184"/>
        <v>-0.315</v>
      </c>
      <c r="U329" s="887">
        <f t="shared" si="185"/>
        <v>-0.29399999999999998</v>
      </c>
      <c r="V329" s="888">
        <f t="shared" si="185"/>
        <v>0.11899999999999999</v>
      </c>
      <c r="W329" s="888">
        <f t="shared" si="186"/>
        <v>0.20100000000000001</v>
      </c>
      <c r="X329" s="888">
        <f t="shared" si="186"/>
        <v>8.1000000000000016E-2</v>
      </c>
      <c r="Y329" s="888">
        <f t="shared" si="186"/>
        <v>-0.23600000000000002</v>
      </c>
      <c r="Z329" s="887">
        <f t="shared" si="187"/>
        <v>0.16500000000000001</v>
      </c>
      <c r="AA329" s="888">
        <f t="shared" si="187"/>
        <v>-0.29099999999999998</v>
      </c>
      <c r="AB329" s="888">
        <f t="shared" si="188"/>
        <v>-0.51300000000000012</v>
      </c>
      <c r="AC329" s="888">
        <f t="shared" si="188"/>
        <v>0.14700000000000002</v>
      </c>
      <c r="AD329" s="888">
        <f t="shared" si="188"/>
        <v>-0.28000000000000003</v>
      </c>
      <c r="AE329" s="887">
        <f t="shared" si="189"/>
        <v>-0.93700000000000006</v>
      </c>
      <c r="AF329" s="888">
        <f t="shared" si="189"/>
        <v>-0.46700000000000003</v>
      </c>
      <c r="AG329" s="888">
        <f t="shared" si="190"/>
        <v>3.6000000000000032E-2</v>
      </c>
      <c r="AH329" s="888">
        <f t="shared" si="190"/>
        <v>-7.6000000000000012E-2</v>
      </c>
      <c r="AI329" s="888">
        <f t="shared" si="190"/>
        <v>-0.16100000000000003</v>
      </c>
      <c r="AJ329" s="887">
        <f t="shared" si="191"/>
        <v>-0.66800000000000004</v>
      </c>
      <c r="AK329" s="888">
        <f t="shared" si="191"/>
        <v>0.252</v>
      </c>
      <c r="AL329" s="888">
        <f t="shared" si="192"/>
        <v>1.100000000000001E-2</v>
      </c>
      <c r="AM329" s="888">
        <f t="shared" si="192"/>
        <v>-1.0550000000000002</v>
      </c>
      <c r="AN329" s="888">
        <f t="shared" si="192"/>
        <v>6.6099999999999994</v>
      </c>
      <c r="AO329" s="887">
        <f t="shared" si="193"/>
        <v>5.8179999999999996</v>
      </c>
      <c r="AP329" s="888">
        <f t="shared" si="193"/>
        <v>0.96799999999999997</v>
      </c>
      <c r="AQ329" s="889">
        <f t="shared" si="194"/>
        <v>3.4909999999999997</v>
      </c>
      <c r="AR329" s="890"/>
      <c r="AS329" s="890"/>
      <c r="AT329" s="887">
        <f t="shared" si="195"/>
        <v>4.4589999999999996</v>
      </c>
      <c r="AU329" s="890"/>
      <c r="AV329" s="890"/>
      <c r="AW329" s="890"/>
      <c r="AX329" s="890"/>
      <c r="AY329" s="887">
        <f t="shared" si="196"/>
        <v>0</v>
      </c>
      <c r="AZ329" s="872"/>
      <c r="BA329" s="872"/>
      <c r="BB329" s="872"/>
      <c r="BC329" s="362"/>
    </row>
    <row r="330" spans="1:55" s="4" customFormat="1" ht="14.45" customHeight="1">
      <c r="A330" s="402" t="str">
        <f t="shared" si="178"/>
        <v>CFO before WC</v>
      </c>
      <c r="B330" s="429"/>
      <c r="C330" s="858">
        <f t="shared" ref="C330:AH330" si="197">SUM(C316:C329)</f>
        <v>15.685</v>
      </c>
      <c r="D330" s="858">
        <f t="shared" si="197"/>
        <v>23.299000000000003</v>
      </c>
      <c r="E330" s="858">
        <f t="shared" si="197"/>
        <v>31.099999999999998</v>
      </c>
      <c r="F330" s="858">
        <f t="shared" si="197"/>
        <v>30.372</v>
      </c>
      <c r="G330" s="402">
        <f t="shared" si="197"/>
        <v>11.493000000000002</v>
      </c>
      <c r="H330" s="402">
        <f t="shared" si="197"/>
        <v>7.6339999999999995</v>
      </c>
      <c r="I330" s="402">
        <f t="shared" si="197"/>
        <v>9.9719999999999995</v>
      </c>
      <c r="J330" s="402">
        <f t="shared" si="197"/>
        <v>9.4870000000000019</v>
      </c>
      <c r="K330" s="858">
        <f t="shared" si="197"/>
        <v>38.585999999999991</v>
      </c>
      <c r="L330" s="402">
        <f t="shared" si="197"/>
        <v>11.355999999999998</v>
      </c>
      <c r="M330" s="402">
        <f t="shared" si="197"/>
        <v>17.567</v>
      </c>
      <c r="N330" s="402">
        <f t="shared" si="197"/>
        <v>26.32</v>
      </c>
      <c r="O330" s="402">
        <f t="shared" si="197"/>
        <v>22.49</v>
      </c>
      <c r="P330" s="858">
        <f t="shared" si="197"/>
        <v>77.733000000000004</v>
      </c>
      <c r="Q330" s="402">
        <f t="shared" si="197"/>
        <v>17.311999999999998</v>
      </c>
      <c r="R330" s="402">
        <f t="shared" si="197"/>
        <v>24.019999999999996</v>
      </c>
      <c r="S330" s="402">
        <f t="shared" si="197"/>
        <v>32.020999999999994</v>
      </c>
      <c r="T330" s="402">
        <f t="shared" si="197"/>
        <v>22.094000000000001</v>
      </c>
      <c r="U330" s="858">
        <f t="shared" si="197"/>
        <v>95.447000000000003</v>
      </c>
      <c r="V330" s="402">
        <f t="shared" si="197"/>
        <v>18.841999999999999</v>
      </c>
      <c r="W330" s="402">
        <f t="shared" si="197"/>
        <v>22.292999999999999</v>
      </c>
      <c r="X330" s="402">
        <f t="shared" si="197"/>
        <v>17.165000000000003</v>
      </c>
      <c r="Y330" s="402">
        <f t="shared" si="197"/>
        <v>16.007999999999999</v>
      </c>
      <c r="Z330" s="858">
        <f t="shared" si="197"/>
        <v>74.308000000000007</v>
      </c>
      <c r="AA330" s="402">
        <f t="shared" si="197"/>
        <v>18.268999999999995</v>
      </c>
      <c r="AB330" s="402">
        <f t="shared" si="197"/>
        <v>14.624000000000001</v>
      </c>
      <c r="AC330" s="402">
        <f t="shared" si="197"/>
        <v>13.277000000000001</v>
      </c>
      <c r="AD330" s="402">
        <f t="shared" si="197"/>
        <v>15.948999999999996</v>
      </c>
      <c r="AE330" s="858">
        <f t="shared" si="197"/>
        <v>62.119</v>
      </c>
      <c r="AF330" s="402">
        <f t="shared" si="197"/>
        <v>13.034999999999998</v>
      </c>
      <c r="AG330" s="402">
        <f t="shared" si="197"/>
        <v>25.376999999999999</v>
      </c>
      <c r="AH330" s="402">
        <f t="shared" si="197"/>
        <v>25.4</v>
      </c>
      <c r="AI330" s="402">
        <f t="shared" ref="AI330:BB330" si="198">SUM(AI316:AI329)</f>
        <v>21.04399999999999</v>
      </c>
      <c r="AJ330" s="858">
        <f t="shared" si="198"/>
        <v>84.85599999999998</v>
      </c>
      <c r="AK330" s="402">
        <f t="shared" si="198"/>
        <v>6.634000000000019</v>
      </c>
      <c r="AL330" s="402">
        <f t="shared" si="198"/>
        <v>17.550999999999998</v>
      </c>
      <c r="AM330" s="402">
        <f t="shared" si="198"/>
        <v>10.222999999999988</v>
      </c>
      <c r="AN330" s="402">
        <f t="shared" si="198"/>
        <v>26.321000000000009</v>
      </c>
      <c r="AO330" s="858">
        <f t="shared" si="198"/>
        <v>60.728999999999999</v>
      </c>
      <c r="AP330" s="402">
        <f t="shared" si="198"/>
        <v>22.219000000000012</v>
      </c>
      <c r="AQ330" s="891">
        <f t="shared" si="198"/>
        <v>13.906999999999996</v>
      </c>
      <c r="AR330" s="402">
        <f t="shared" si="198"/>
        <v>6.2540924098360682</v>
      </c>
      <c r="AS330" s="402">
        <f t="shared" ca="1" si="198"/>
        <v>9.0564098199096108</v>
      </c>
      <c r="AT330" s="858">
        <f t="shared" ca="1" si="198"/>
        <v>51.436502229745685</v>
      </c>
      <c r="AU330" s="402">
        <f t="shared" ca="1" si="198"/>
        <v>19.322405840856103</v>
      </c>
      <c r="AV330" s="402">
        <f t="shared" ca="1" si="198"/>
        <v>24.613088527267212</v>
      </c>
      <c r="AW330" s="402">
        <f t="shared" ca="1" si="198"/>
        <v>25.955691544529657</v>
      </c>
      <c r="AX330" s="402">
        <f t="shared" ca="1" si="198"/>
        <v>24.160509227292007</v>
      </c>
      <c r="AY330" s="858">
        <f t="shared" ca="1" si="198"/>
        <v>94.051695139944982</v>
      </c>
      <c r="AZ330" s="858">
        <f t="shared" ca="1" si="198"/>
        <v>84.942950733557083</v>
      </c>
      <c r="BA330" s="858">
        <f t="shared" ca="1" si="198"/>
        <v>120.9558419079904</v>
      </c>
      <c r="BB330" s="858">
        <f t="shared" ca="1" si="198"/>
        <v>65.814261694265312</v>
      </c>
      <c r="BC330" s="363"/>
    </row>
    <row r="331" spans="1:55" s="23" customFormat="1" ht="14.45" customHeight="1">
      <c r="A331" s="229" t="str">
        <f t="shared" si="178"/>
        <v>Accounts Receivable</v>
      </c>
      <c r="B331" s="132"/>
      <c r="C331" s="885">
        <f t="shared" ref="C331:G340" si="199">C272</f>
        <v>12.407</v>
      </c>
      <c r="D331" s="885">
        <f t="shared" si="199"/>
        <v>-0.28999999999999998</v>
      </c>
      <c r="E331" s="885">
        <f t="shared" si="199"/>
        <v>-3.0419999999999998</v>
      </c>
      <c r="F331" s="885">
        <f t="shared" si="199"/>
        <v>-8.0969999999999995</v>
      </c>
      <c r="G331" s="436">
        <f t="shared" si="199"/>
        <v>5.8630000000000004</v>
      </c>
      <c r="H331" s="436">
        <f t="shared" ref="H331:J340" si="200">H272-G272</f>
        <v>-3.3590000000000004</v>
      </c>
      <c r="I331" s="436">
        <f t="shared" si="200"/>
        <v>2.3000000000000003</v>
      </c>
      <c r="J331" s="436">
        <f t="shared" si="200"/>
        <v>-1.3110000000000004</v>
      </c>
      <c r="K331" s="885">
        <f t="shared" ref="K331:L340" si="201">K272</f>
        <v>3.4929999999999999</v>
      </c>
      <c r="L331" s="436">
        <f t="shared" si="201"/>
        <v>-37.631999999999998</v>
      </c>
      <c r="M331" s="436">
        <f t="shared" ref="M331:O340" si="202">M272-L272</f>
        <v>3.9089999999999989</v>
      </c>
      <c r="N331" s="436">
        <f t="shared" si="202"/>
        <v>-7.8389999999999986</v>
      </c>
      <c r="O331" s="436">
        <f t="shared" si="202"/>
        <v>22.711999999999996</v>
      </c>
      <c r="P331" s="885">
        <f t="shared" ref="P331:Q340" si="203">P272</f>
        <v>-18.850000000000001</v>
      </c>
      <c r="Q331" s="436">
        <f t="shared" si="203"/>
        <v>18.562999999999999</v>
      </c>
      <c r="R331" s="436">
        <f t="shared" ref="R331:T340" si="204">R272-Q272</f>
        <v>-22.36</v>
      </c>
      <c r="S331" s="436">
        <f t="shared" si="204"/>
        <v>-25.998999999999999</v>
      </c>
      <c r="T331" s="436">
        <f t="shared" si="204"/>
        <v>29.067</v>
      </c>
      <c r="U331" s="885">
        <f t="shared" ref="U331:V340" si="205">U272</f>
        <v>-0.72899999999999998</v>
      </c>
      <c r="V331" s="436">
        <f t="shared" si="205"/>
        <v>-10.384</v>
      </c>
      <c r="W331" s="436">
        <f t="shared" ref="W331:Y340" si="206">W272-V272</f>
        <v>-0.47599999999999909</v>
      </c>
      <c r="X331" s="436">
        <f t="shared" si="206"/>
        <v>-12.847000000000001</v>
      </c>
      <c r="Y331" s="436">
        <f t="shared" si="206"/>
        <v>9.0850000000000009</v>
      </c>
      <c r="Z331" s="885">
        <f t="shared" ref="Z331:AA340" si="207">Z272</f>
        <v>-14.622</v>
      </c>
      <c r="AA331" s="436">
        <f t="shared" si="207"/>
        <v>-3.2679999999999998</v>
      </c>
      <c r="AB331" s="436">
        <f t="shared" ref="AB331:AD340" si="208">AB272-AA272</f>
        <v>-3.8079999999999998</v>
      </c>
      <c r="AC331" s="436">
        <f t="shared" si="208"/>
        <v>5.5609999999999999</v>
      </c>
      <c r="AD331" s="436">
        <f t="shared" si="208"/>
        <v>-8.3289999999999988</v>
      </c>
      <c r="AE331" s="885">
        <f t="shared" ref="AE331:AF340" si="209">AE272</f>
        <v>-9.8439999999999994</v>
      </c>
      <c r="AF331" s="436">
        <f t="shared" si="209"/>
        <v>-20.867999999999999</v>
      </c>
      <c r="AG331" s="436">
        <f t="shared" ref="AG331:AI340" si="210">AG272-AF272</f>
        <v>-12.479000000000003</v>
      </c>
      <c r="AH331" s="436">
        <f t="shared" si="210"/>
        <v>-19.542999999999999</v>
      </c>
      <c r="AI331" s="436">
        <f t="shared" si="210"/>
        <v>5.5990000000000038</v>
      </c>
      <c r="AJ331" s="885">
        <f t="shared" ref="AJ331:AK340" si="211">AJ272</f>
        <v>-47.290999999999997</v>
      </c>
      <c r="AK331" s="436">
        <f t="shared" si="211"/>
        <v>-6.4139999999999997</v>
      </c>
      <c r="AL331" s="436">
        <f t="shared" ref="AL331:AN340" si="212">AL272-AK272</f>
        <v>11.68</v>
      </c>
      <c r="AM331" s="436">
        <f t="shared" si="212"/>
        <v>18.156999999999996</v>
      </c>
      <c r="AN331" s="436">
        <f t="shared" si="212"/>
        <v>10.66</v>
      </c>
      <c r="AO331" s="885">
        <f t="shared" ref="AO331:AP340" si="213">AO272</f>
        <v>34.082999999999998</v>
      </c>
      <c r="AP331" s="436">
        <f t="shared" si="213"/>
        <v>13.644</v>
      </c>
      <c r="AQ331" s="886">
        <f t="shared" ref="AQ331:AQ340" si="214">AQ272-AP272</f>
        <v>29.773000000000003</v>
      </c>
      <c r="AR331" s="436">
        <f>AQ387-AR387</f>
        <v>-18.513287112699672</v>
      </c>
      <c r="AS331" s="436">
        <f>AR387-AS387</f>
        <v>17.298147612607792</v>
      </c>
      <c r="AT331" s="885">
        <f t="shared" ref="AT331:AT340" si="215">SUM(AP331,AQ331,AR331,AS331)</f>
        <v>42.201860499908122</v>
      </c>
      <c r="AU331" s="436">
        <f t="shared" ref="AU331:AX332" si="216">AT387-AU387</f>
        <v>-0.23222175799554634</v>
      </c>
      <c r="AV331" s="436">
        <f t="shared" si="216"/>
        <v>1.9644392907290182</v>
      </c>
      <c r="AW331" s="436">
        <f t="shared" si="216"/>
        <v>-52.671789613333758</v>
      </c>
      <c r="AX331" s="436">
        <f t="shared" si="216"/>
        <v>3.2254328713136431</v>
      </c>
      <c r="AY331" s="885">
        <f t="shared" ref="AY331:AY340" si="217">SUM(AU331,AV331,AW331,AX331)</f>
        <v>-47.714139209286643</v>
      </c>
      <c r="AZ331" s="885">
        <f t="shared" ref="AZ331:BB332" si="218">AY387-AZ387</f>
        <v>4.1795454310403954</v>
      </c>
      <c r="BA331" s="885">
        <f t="shared" si="218"/>
        <v>-60.389692277468271</v>
      </c>
      <c r="BB331" s="885">
        <f t="shared" si="218"/>
        <v>93.6297394871048</v>
      </c>
      <c r="BC331" s="362"/>
    </row>
    <row r="332" spans="1:55" s="23" customFormat="1" ht="14.45" customHeight="1">
      <c r="A332" s="229" t="str">
        <f t="shared" si="178"/>
        <v>Inventories</v>
      </c>
      <c r="B332" s="132"/>
      <c r="C332" s="885">
        <f t="shared" si="199"/>
        <v>6.1849999999999996</v>
      </c>
      <c r="D332" s="885">
        <f t="shared" si="199"/>
        <v>-6.891</v>
      </c>
      <c r="E332" s="885">
        <f t="shared" si="199"/>
        <v>-0.88300000000000001</v>
      </c>
      <c r="F332" s="885">
        <f t="shared" si="199"/>
        <v>-9.33</v>
      </c>
      <c r="G332" s="436">
        <f t="shared" si="199"/>
        <v>-1.115</v>
      </c>
      <c r="H332" s="436">
        <f t="shared" si="200"/>
        <v>-4.0489999999999995</v>
      </c>
      <c r="I332" s="436">
        <f t="shared" si="200"/>
        <v>1.4959999999999996</v>
      </c>
      <c r="J332" s="436">
        <f t="shared" si="200"/>
        <v>-1.5540000000000003</v>
      </c>
      <c r="K332" s="885">
        <f t="shared" si="201"/>
        <v>-5.2220000000000004</v>
      </c>
      <c r="L332" s="436">
        <f t="shared" si="201"/>
        <v>8.6989999999999998</v>
      </c>
      <c r="M332" s="436">
        <f t="shared" si="202"/>
        <v>9.0370000000000008</v>
      </c>
      <c r="N332" s="436">
        <f t="shared" si="202"/>
        <v>-1.5519999999999996</v>
      </c>
      <c r="O332" s="436">
        <f t="shared" si="202"/>
        <v>9.5479999999999983</v>
      </c>
      <c r="P332" s="885">
        <f t="shared" si="203"/>
        <v>25.731999999999999</v>
      </c>
      <c r="Q332" s="436">
        <f t="shared" si="203"/>
        <v>-3.4740000000000002</v>
      </c>
      <c r="R332" s="436">
        <f t="shared" si="204"/>
        <v>-13.312000000000001</v>
      </c>
      <c r="S332" s="436">
        <f t="shared" si="204"/>
        <v>11.981000000000002</v>
      </c>
      <c r="T332" s="436">
        <f t="shared" si="204"/>
        <v>2.2679999999999998</v>
      </c>
      <c r="U332" s="885">
        <f t="shared" si="205"/>
        <v>-2.5369999999999999</v>
      </c>
      <c r="V332" s="436">
        <f t="shared" si="205"/>
        <v>-3.117</v>
      </c>
      <c r="W332" s="436">
        <f t="shared" si="206"/>
        <v>-1.0279999999999996</v>
      </c>
      <c r="X332" s="436">
        <f t="shared" si="206"/>
        <v>-0.96800000000000086</v>
      </c>
      <c r="Y332" s="436">
        <f t="shared" si="206"/>
        <v>2.4420000000000006</v>
      </c>
      <c r="Z332" s="885">
        <f t="shared" si="207"/>
        <v>-2.6709999999999998</v>
      </c>
      <c r="AA332" s="436">
        <f t="shared" si="207"/>
        <v>-5.9569999999999999</v>
      </c>
      <c r="AB332" s="436">
        <f t="shared" si="208"/>
        <v>-4.4959999999999996</v>
      </c>
      <c r="AC332" s="436">
        <f t="shared" si="208"/>
        <v>-8.027000000000001</v>
      </c>
      <c r="AD332" s="436">
        <f t="shared" si="208"/>
        <v>0.36400000000000077</v>
      </c>
      <c r="AE332" s="885">
        <f t="shared" si="209"/>
        <v>-18.116</v>
      </c>
      <c r="AF332" s="436">
        <f t="shared" si="209"/>
        <v>-18.204000000000001</v>
      </c>
      <c r="AG332" s="436">
        <f t="shared" si="210"/>
        <v>-1.5569999999999986</v>
      </c>
      <c r="AH332" s="436">
        <f t="shared" si="210"/>
        <v>3.9929999999999986</v>
      </c>
      <c r="AI332" s="436">
        <f t="shared" si="210"/>
        <v>1.0730000000000004</v>
      </c>
      <c r="AJ332" s="885">
        <f t="shared" si="211"/>
        <v>-14.695</v>
      </c>
      <c r="AK332" s="436">
        <f t="shared" si="211"/>
        <v>-5.9429999999999996</v>
      </c>
      <c r="AL332" s="436">
        <f t="shared" si="212"/>
        <v>-5.3330000000000002</v>
      </c>
      <c r="AM332" s="436">
        <f t="shared" si="212"/>
        <v>-7.6870000000000012</v>
      </c>
      <c r="AN332" s="436">
        <f t="shared" si="212"/>
        <v>6.2520000000000007</v>
      </c>
      <c r="AO332" s="885">
        <f t="shared" si="213"/>
        <v>-12.711</v>
      </c>
      <c r="AP332" s="436">
        <f t="shared" si="213"/>
        <v>-7.2240000000000002</v>
      </c>
      <c r="AQ332" s="886">
        <f t="shared" si="214"/>
        <v>-5.5540000000000003</v>
      </c>
      <c r="AR332" s="436">
        <f>AQ388-AR388</f>
        <v>43.069810536961214</v>
      </c>
      <c r="AS332" s="436">
        <f>AR388-AS388</f>
        <v>11.191866355294792</v>
      </c>
      <c r="AT332" s="885">
        <f t="shared" si="215"/>
        <v>41.483676892256007</v>
      </c>
      <c r="AU332" s="436">
        <f t="shared" si="216"/>
        <v>-15.850529648615151</v>
      </c>
      <c r="AV332" s="436">
        <f t="shared" si="216"/>
        <v>-37.622457049277486</v>
      </c>
      <c r="AW332" s="436">
        <f t="shared" si="216"/>
        <v>10.765836428591626</v>
      </c>
      <c r="AX332" s="436">
        <f t="shared" si="216"/>
        <v>-4.2941687546335743</v>
      </c>
      <c r="AY332" s="885">
        <f t="shared" si="217"/>
        <v>-47.001319023934585</v>
      </c>
      <c r="AZ332" s="885">
        <f t="shared" si="218"/>
        <v>4.1171055673393369</v>
      </c>
      <c r="BA332" s="885">
        <f t="shared" si="218"/>
        <v>-59.487507047765973</v>
      </c>
      <c r="BB332" s="885">
        <f t="shared" si="218"/>
        <v>92.230968192857645</v>
      </c>
      <c r="BC332" s="362"/>
    </row>
    <row r="333" spans="1:55" s="23" customFormat="1" ht="14.45" customHeight="1">
      <c r="A333" s="229" t="str">
        <f t="shared" si="178"/>
        <v>Accounts Payable</v>
      </c>
      <c r="B333" s="132"/>
      <c r="C333" s="885">
        <f t="shared" si="199"/>
        <v>-6.0609999999999999</v>
      </c>
      <c r="D333" s="885">
        <f t="shared" si="199"/>
        <v>3.1560000000000001</v>
      </c>
      <c r="E333" s="885">
        <f t="shared" si="199"/>
        <v>-0.34899999999999998</v>
      </c>
      <c r="F333" s="885">
        <f t="shared" si="199"/>
        <v>-0.53700000000000003</v>
      </c>
      <c r="G333" s="436">
        <f t="shared" si="199"/>
        <v>1.7370000000000001</v>
      </c>
      <c r="H333" s="436">
        <f t="shared" si="200"/>
        <v>2.7370000000000001</v>
      </c>
      <c r="I333" s="436">
        <f t="shared" si="200"/>
        <v>-0.68400000000000016</v>
      </c>
      <c r="J333" s="436">
        <f t="shared" si="200"/>
        <v>2.0410000000000004</v>
      </c>
      <c r="K333" s="885">
        <f t="shared" si="201"/>
        <v>5.8310000000000004</v>
      </c>
      <c r="L333" s="436">
        <f t="shared" si="201"/>
        <v>9.52</v>
      </c>
      <c r="M333" s="436">
        <f t="shared" si="202"/>
        <v>-5.8179999999999996</v>
      </c>
      <c r="N333" s="436">
        <f t="shared" si="202"/>
        <v>4.2210000000000001</v>
      </c>
      <c r="O333" s="436">
        <f t="shared" si="202"/>
        <v>-15.928000000000001</v>
      </c>
      <c r="P333" s="885">
        <f t="shared" si="203"/>
        <v>-8.0050000000000008</v>
      </c>
      <c r="Q333" s="436">
        <f t="shared" si="203"/>
        <v>5.5170000000000003</v>
      </c>
      <c r="R333" s="436">
        <f t="shared" si="204"/>
        <v>3.6749999999999998</v>
      </c>
      <c r="S333" s="436">
        <f t="shared" si="204"/>
        <v>-10.848000000000001</v>
      </c>
      <c r="T333" s="436">
        <f t="shared" si="204"/>
        <v>-0.51200000000000023</v>
      </c>
      <c r="U333" s="885">
        <f t="shared" si="205"/>
        <v>-2.1680000000000001</v>
      </c>
      <c r="V333" s="436">
        <f t="shared" si="205"/>
        <v>2.7549999999999999</v>
      </c>
      <c r="W333" s="436">
        <f t="shared" si="206"/>
        <v>-2.7649999999999997</v>
      </c>
      <c r="X333" s="436">
        <f t="shared" si="206"/>
        <v>0.221</v>
      </c>
      <c r="Y333" s="436">
        <f t="shared" si="206"/>
        <v>-2.2109999999999999</v>
      </c>
      <c r="Z333" s="885">
        <f t="shared" si="207"/>
        <v>-2</v>
      </c>
      <c r="AA333" s="436">
        <f t="shared" si="207"/>
        <v>4.3970000000000002</v>
      </c>
      <c r="AB333" s="436">
        <f t="shared" si="208"/>
        <v>-1.048</v>
      </c>
      <c r="AC333" s="436">
        <f t="shared" si="208"/>
        <v>4.9179999999999993</v>
      </c>
      <c r="AD333" s="436">
        <f t="shared" si="208"/>
        <v>2.1720000000000006</v>
      </c>
      <c r="AE333" s="885">
        <f t="shared" si="209"/>
        <v>10.439</v>
      </c>
      <c r="AF333" s="436">
        <f t="shared" si="209"/>
        <v>19.417999999999999</v>
      </c>
      <c r="AG333" s="436">
        <f t="shared" si="210"/>
        <v>-11.436999999999999</v>
      </c>
      <c r="AH333" s="436">
        <f t="shared" si="210"/>
        <v>-7.41</v>
      </c>
      <c r="AI333" s="436">
        <f t="shared" si="210"/>
        <v>8.6</v>
      </c>
      <c r="AJ333" s="885">
        <f t="shared" si="211"/>
        <v>9.1709999999999994</v>
      </c>
      <c r="AK333" s="436">
        <f t="shared" si="211"/>
        <v>-2.032</v>
      </c>
      <c r="AL333" s="436">
        <f t="shared" si="212"/>
        <v>-5.6529999999999996</v>
      </c>
      <c r="AM333" s="436">
        <f t="shared" si="212"/>
        <v>2.1909999999999998</v>
      </c>
      <c r="AN333" s="436">
        <f t="shared" si="212"/>
        <v>-11.123000000000001</v>
      </c>
      <c r="AO333" s="885">
        <f t="shared" si="213"/>
        <v>-16.617000000000001</v>
      </c>
      <c r="AP333" s="436">
        <f t="shared" si="213"/>
        <v>6.2949999999999999</v>
      </c>
      <c r="AQ333" s="886">
        <f t="shared" si="214"/>
        <v>-6.7409999999999997</v>
      </c>
      <c r="AR333" s="436">
        <f>AR407-AQ407</f>
        <v>-0.43690406416824601</v>
      </c>
      <c r="AS333" s="436">
        <f>AS407-AR407</f>
        <v>-9.7779660694667108</v>
      </c>
      <c r="AT333" s="885">
        <f t="shared" si="215"/>
        <v>-10.660870133634957</v>
      </c>
      <c r="AU333" s="436">
        <f>AU407-AT407</f>
        <v>7.602626138243668</v>
      </c>
      <c r="AV333" s="436">
        <f>AV407-AU407</f>
        <v>2.4340855573335887</v>
      </c>
      <c r="AW333" s="436">
        <f>AW407-AV407</f>
        <v>9.440111907954396</v>
      </c>
      <c r="AX333" s="436">
        <f>AX407-AW407</f>
        <v>-7.9214635477251463</v>
      </c>
      <c r="AY333" s="885">
        <f t="shared" si="217"/>
        <v>11.555360055806506</v>
      </c>
      <c r="AZ333" s="885">
        <f>AZ407-AY407</f>
        <v>-1.012197917129626</v>
      </c>
      <c r="BA333" s="885">
        <f>BA407-AZ407</f>
        <v>14.625112167792935</v>
      </c>
      <c r="BB333" s="885">
        <f>BB407-BA407</f>
        <v>-22.67515184459797</v>
      </c>
      <c r="BC333" s="362"/>
    </row>
    <row r="334" spans="1:55" s="23" customFormat="1" ht="14.45" customHeight="1">
      <c r="A334" s="229" t="str">
        <f t="shared" si="178"/>
        <v>Accrued Expenses</v>
      </c>
      <c r="B334" s="132"/>
      <c r="C334" s="885">
        <f t="shared" si="199"/>
        <v>0.94299999999999995</v>
      </c>
      <c r="D334" s="885">
        <f t="shared" si="199"/>
        <v>0.318</v>
      </c>
      <c r="E334" s="885">
        <f t="shared" si="199"/>
        <v>0.63800000000000001</v>
      </c>
      <c r="F334" s="885">
        <f t="shared" si="199"/>
        <v>3.3740000000000001</v>
      </c>
      <c r="G334" s="436">
        <f t="shared" si="199"/>
        <v>0</v>
      </c>
      <c r="H334" s="436">
        <f t="shared" si="200"/>
        <v>0</v>
      </c>
      <c r="I334" s="436">
        <f t="shared" si="200"/>
        <v>0</v>
      </c>
      <c r="J334" s="436">
        <f t="shared" si="200"/>
        <v>3.5590000000000002</v>
      </c>
      <c r="K334" s="885">
        <f t="shared" si="201"/>
        <v>3.5590000000000002</v>
      </c>
      <c r="L334" s="436">
        <f t="shared" si="201"/>
        <v>-1.2749999999999999</v>
      </c>
      <c r="M334" s="436">
        <f t="shared" si="202"/>
        <v>2.0350000000000001</v>
      </c>
      <c r="N334" s="436">
        <f t="shared" si="202"/>
        <v>6.9</v>
      </c>
      <c r="O334" s="436">
        <f t="shared" si="202"/>
        <v>-0.83400000000000052</v>
      </c>
      <c r="P334" s="885">
        <f t="shared" si="203"/>
        <v>6.8259999999999996</v>
      </c>
      <c r="Q334" s="436">
        <f t="shared" si="203"/>
        <v>-4.5350000000000001</v>
      </c>
      <c r="R334" s="436">
        <f t="shared" si="204"/>
        <v>3.6779999999999999</v>
      </c>
      <c r="S334" s="436">
        <f t="shared" si="204"/>
        <v>6.5190000000000001</v>
      </c>
      <c r="T334" s="436">
        <f t="shared" si="204"/>
        <v>-1.9239999999999999</v>
      </c>
      <c r="U334" s="885">
        <f t="shared" si="205"/>
        <v>3.738</v>
      </c>
      <c r="V334" s="436">
        <f t="shared" si="205"/>
        <v>-8.5220000000000002</v>
      </c>
      <c r="W334" s="436">
        <f t="shared" si="206"/>
        <v>4.8790000000000004</v>
      </c>
      <c r="X334" s="436">
        <f t="shared" si="206"/>
        <v>2.8569999999999998</v>
      </c>
      <c r="Y334" s="436">
        <f t="shared" si="206"/>
        <v>0.6120000000000001</v>
      </c>
      <c r="Z334" s="885">
        <f t="shared" si="207"/>
        <v>-0.17399999999999999</v>
      </c>
      <c r="AA334" s="436">
        <f t="shared" si="207"/>
        <v>-8.4770000000000003</v>
      </c>
      <c r="AB334" s="436">
        <f t="shared" si="208"/>
        <v>1.3710000000000004</v>
      </c>
      <c r="AC334" s="436">
        <f t="shared" si="208"/>
        <v>1.6230000000000002</v>
      </c>
      <c r="AD334" s="436">
        <f t="shared" si="208"/>
        <v>4.7809999999999997</v>
      </c>
      <c r="AE334" s="885">
        <f t="shared" si="209"/>
        <v>-0.70199999999999996</v>
      </c>
      <c r="AF334" s="436">
        <f t="shared" si="209"/>
        <v>-3.194</v>
      </c>
      <c r="AG334" s="436">
        <f t="shared" si="210"/>
        <v>3.2469999999999999</v>
      </c>
      <c r="AH334" s="436">
        <f t="shared" si="210"/>
        <v>4.9240000000000004</v>
      </c>
      <c r="AI334" s="436">
        <f t="shared" si="210"/>
        <v>4.1999999999999993</v>
      </c>
      <c r="AJ334" s="885">
        <f t="shared" si="211"/>
        <v>9.1769999999999996</v>
      </c>
      <c r="AK334" s="436">
        <f t="shared" si="211"/>
        <v>-9.2829999999999995</v>
      </c>
      <c r="AL334" s="436">
        <f t="shared" si="212"/>
        <v>0.14199999999999946</v>
      </c>
      <c r="AM334" s="436">
        <f t="shared" si="212"/>
        <v>3.274</v>
      </c>
      <c r="AN334" s="436">
        <f t="shared" si="212"/>
        <v>-4.87</v>
      </c>
      <c r="AO334" s="885">
        <f t="shared" si="213"/>
        <v>-10.737</v>
      </c>
      <c r="AP334" s="436">
        <f t="shared" si="213"/>
        <v>-5.73</v>
      </c>
      <c r="AQ334" s="886">
        <f t="shared" si="214"/>
        <v>-6.7430000000000003</v>
      </c>
      <c r="AR334" s="855"/>
      <c r="AS334" s="855"/>
      <c r="AT334" s="885">
        <f t="shared" si="215"/>
        <v>-12.473000000000001</v>
      </c>
      <c r="AU334" s="855"/>
      <c r="AV334" s="855"/>
      <c r="AW334" s="855"/>
      <c r="AX334" s="855"/>
      <c r="AY334" s="885">
        <f t="shared" si="217"/>
        <v>0</v>
      </c>
      <c r="AZ334" s="870"/>
      <c r="BA334" s="870"/>
      <c r="BB334" s="870"/>
      <c r="BC334" s="362"/>
    </row>
    <row r="335" spans="1:55" s="23" customFormat="1" ht="14.45" customHeight="1">
      <c r="A335" s="229" t="str">
        <f t="shared" si="178"/>
        <v>Other Current Assets and Liabilities</v>
      </c>
      <c r="B335" s="132"/>
      <c r="C335" s="885">
        <f t="shared" si="199"/>
        <v>0.22</v>
      </c>
      <c r="D335" s="885">
        <f t="shared" si="199"/>
        <v>-0.65</v>
      </c>
      <c r="E335" s="885">
        <f t="shared" si="199"/>
        <v>0.29099999999999998</v>
      </c>
      <c r="F335" s="885">
        <f t="shared" si="199"/>
        <v>0.33500000000000002</v>
      </c>
      <c r="G335" s="436">
        <f t="shared" si="199"/>
        <v>-2.9369999999999998</v>
      </c>
      <c r="H335" s="436">
        <f t="shared" si="200"/>
        <v>1.0999999999999677E-2</v>
      </c>
      <c r="I335" s="436">
        <f t="shared" si="200"/>
        <v>2.3360000000000003</v>
      </c>
      <c r="J335" s="436">
        <f t="shared" si="200"/>
        <v>0.97</v>
      </c>
      <c r="K335" s="885">
        <f t="shared" si="201"/>
        <v>0.38</v>
      </c>
      <c r="L335" s="436">
        <f t="shared" si="201"/>
        <v>-0.38200000000000001</v>
      </c>
      <c r="M335" s="436">
        <f t="shared" si="202"/>
        <v>-0.93699999999999994</v>
      </c>
      <c r="N335" s="436">
        <f t="shared" si="202"/>
        <v>-1.1419999999999999</v>
      </c>
      <c r="O335" s="436">
        <f t="shared" si="202"/>
        <v>-0.3450000000000002</v>
      </c>
      <c r="P335" s="885">
        <f t="shared" si="203"/>
        <v>-2.806</v>
      </c>
      <c r="Q335" s="436">
        <f t="shared" si="203"/>
        <v>-0.63300000000000001</v>
      </c>
      <c r="R335" s="436">
        <f t="shared" si="204"/>
        <v>0.28100000000000003</v>
      </c>
      <c r="S335" s="436">
        <f t="shared" si="204"/>
        <v>-0.14600000000000002</v>
      </c>
      <c r="T335" s="436">
        <f t="shared" si="204"/>
        <v>-0.30100000000000005</v>
      </c>
      <c r="U335" s="885">
        <f t="shared" si="205"/>
        <v>-0.79900000000000004</v>
      </c>
      <c r="V335" s="436">
        <f t="shared" si="205"/>
        <v>0.214</v>
      </c>
      <c r="W335" s="436">
        <f t="shared" si="206"/>
        <v>-0.182</v>
      </c>
      <c r="X335" s="436">
        <f t="shared" si="206"/>
        <v>-0.49199999999999999</v>
      </c>
      <c r="Y335" s="436">
        <f t="shared" si="206"/>
        <v>0.56800000000000006</v>
      </c>
      <c r="Z335" s="885">
        <f t="shared" si="207"/>
        <v>0.108</v>
      </c>
      <c r="AA335" s="436">
        <f t="shared" si="207"/>
        <v>-0.94199999999999995</v>
      </c>
      <c r="AB335" s="436">
        <f t="shared" si="208"/>
        <v>-1.7260000000000002</v>
      </c>
      <c r="AC335" s="436">
        <f t="shared" si="208"/>
        <v>-1.8879999999999999</v>
      </c>
      <c r="AD335" s="436">
        <f t="shared" si="208"/>
        <v>2.4239999999999999</v>
      </c>
      <c r="AE335" s="885">
        <f t="shared" si="209"/>
        <v>-2.1320000000000001</v>
      </c>
      <c r="AF335" s="436">
        <f t="shared" si="209"/>
        <v>-3.4740000000000002</v>
      </c>
      <c r="AG335" s="436">
        <f t="shared" si="210"/>
        <v>3.0700000000000003</v>
      </c>
      <c r="AH335" s="436">
        <f t="shared" si="210"/>
        <v>-1.2160000000000002</v>
      </c>
      <c r="AI335" s="436">
        <f t="shared" si="210"/>
        <v>2.0840000000000001</v>
      </c>
      <c r="AJ335" s="885">
        <f t="shared" si="211"/>
        <v>0.46400000000000002</v>
      </c>
      <c r="AK335" s="436">
        <f t="shared" si="211"/>
        <v>-2.86</v>
      </c>
      <c r="AL335" s="436">
        <f t="shared" si="212"/>
        <v>1.8849999999999998</v>
      </c>
      <c r="AM335" s="436">
        <f t="shared" si="212"/>
        <v>0.27800000000000002</v>
      </c>
      <c r="AN335" s="436">
        <f t="shared" si="212"/>
        <v>-0.46299999999999997</v>
      </c>
      <c r="AO335" s="885">
        <f t="shared" si="213"/>
        <v>-1.1599999999999999</v>
      </c>
      <c r="AP335" s="436">
        <f t="shared" si="213"/>
        <v>-0.55700000000000005</v>
      </c>
      <c r="AQ335" s="886">
        <f t="shared" si="214"/>
        <v>-1.4260000000000002</v>
      </c>
      <c r="AR335" s="855"/>
      <c r="AS335" s="855"/>
      <c r="AT335" s="885">
        <f t="shared" si="215"/>
        <v>-1.9830000000000001</v>
      </c>
      <c r="AU335" s="855"/>
      <c r="AV335" s="855"/>
      <c r="AW335" s="855"/>
      <c r="AX335" s="855"/>
      <c r="AY335" s="885">
        <f t="shared" si="217"/>
        <v>0</v>
      </c>
      <c r="AZ335" s="870"/>
      <c r="BA335" s="870"/>
      <c r="BB335" s="870"/>
      <c r="BC335" s="362"/>
    </row>
    <row r="336" spans="1:55" s="23" customFormat="1" ht="14.45" customHeight="1">
      <c r="A336" s="229" t="str">
        <f t="shared" si="178"/>
        <v>Customer Advanced Payments and Deferred Revenue</v>
      </c>
      <c r="B336" s="132"/>
      <c r="C336" s="885">
        <f t="shared" si="199"/>
        <v>-0.28499999999999998</v>
      </c>
      <c r="D336" s="885">
        <f t="shared" si="199"/>
        <v>-1.099</v>
      </c>
      <c r="E336" s="885">
        <f t="shared" si="199"/>
        <v>1.9430000000000001</v>
      </c>
      <c r="F336" s="885">
        <f t="shared" si="199"/>
        <v>6.49</v>
      </c>
      <c r="G336" s="436">
        <f t="shared" si="199"/>
        <v>-2.3210000000000002</v>
      </c>
      <c r="H336" s="436">
        <f t="shared" si="200"/>
        <v>-4.0999999999999925E-2</v>
      </c>
      <c r="I336" s="436">
        <f t="shared" si="200"/>
        <v>0.78300000000000014</v>
      </c>
      <c r="J336" s="436">
        <f t="shared" si="200"/>
        <v>1.22</v>
      </c>
      <c r="K336" s="885">
        <f t="shared" si="201"/>
        <v>-0.35899999999999999</v>
      </c>
      <c r="L336" s="436">
        <f t="shared" si="201"/>
        <v>9.2029999999999994</v>
      </c>
      <c r="M336" s="436">
        <f t="shared" si="202"/>
        <v>-5.3509999999999991</v>
      </c>
      <c r="N336" s="436">
        <f t="shared" si="202"/>
        <v>18.741</v>
      </c>
      <c r="O336" s="436">
        <f t="shared" si="202"/>
        <v>-0.53800000000000026</v>
      </c>
      <c r="P336" s="885">
        <f t="shared" si="203"/>
        <v>22.055</v>
      </c>
      <c r="Q336" s="436">
        <f t="shared" si="203"/>
        <v>-8.7959999999999994</v>
      </c>
      <c r="R336" s="436">
        <f t="shared" si="204"/>
        <v>-4.4910000000000014</v>
      </c>
      <c r="S336" s="436">
        <f t="shared" si="204"/>
        <v>7.8910000000000009</v>
      </c>
      <c r="T336" s="436">
        <f t="shared" si="204"/>
        <v>-2.0890000000000004</v>
      </c>
      <c r="U336" s="885">
        <f t="shared" si="205"/>
        <v>-7.4850000000000003</v>
      </c>
      <c r="V336" s="436">
        <f t="shared" si="205"/>
        <v>-3.831</v>
      </c>
      <c r="W336" s="436">
        <f t="shared" si="206"/>
        <v>-6.1610000000000014</v>
      </c>
      <c r="X336" s="436">
        <f t="shared" si="206"/>
        <v>-1.2889999999999997</v>
      </c>
      <c r="Y336" s="436">
        <f t="shared" si="206"/>
        <v>-4.2579999999999991</v>
      </c>
      <c r="Z336" s="885">
        <f t="shared" si="207"/>
        <v>-15.539</v>
      </c>
      <c r="AA336" s="436">
        <f t="shared" si="207"/>
        <v>-2.0720000000000001</v>
      </c>
      <c r="AB336" s="436">
        <f t="shared" si="208"/>
        <v>-2.0709999999999997</v>
      </c>
      <c r="AC336" s="436">
        <f t="shared" si="208"/>
        <v>1.8069999999999999</v>
      </c>
      <c r="AD336" s="436">
        <f t="shared" si="208"/>
        <v>-2.5820000000000003</v>
      </c>
      <c r="AE336" s="885">
        <f t="shared" si="209"/>
        <v>-4.9180000000000001</v>
      </c>
      <c r="AF336" s="436">
        <f t="shared" si="209"/>
        <v>10.481999999999999</v>
      </c>
      <c r="AG336" s="436">
        <f t="shared" si="210"/>
        <v>3.9870000000000001</v>
      </c>
      <c r="AH336" s="436">
        <f t="shared" si="210"/>
        <v>4.7720000000000002</v>
      </c>
      <c r="AI336" s="436">
        <f t="shared" si="210"/>
        <v>-3.5060000000000002</v>
      </c>
      <c r="AJ336" s="885">
        <f t="shared" si="211"/>
        <v>15.734999999999999</v>
      </c>
      <c r="AK336" s="436">
        <f t="shared" si="211"/>
        <v>4.0549999999999997</v>
      </c>
      <c r="AL336" s="436">
        <f t="shared" si="212"/>
        <v>-5.2889999999999997</v>
      </c>
      <c r="AM336" s="436">
        <f t="shared" si="212"/>
        <v>-2.032</v>
      </c>
      <c r="AN336" s="436">
        <f t="shared" si="212"/>
        <v>-8.6530000000000005</v>
      </c>
      <c r="AO336" s="885">
        <f t="shared" si="213"/>
        <v>-11.919</v>
      </c>
      <c r="AP336" s="436">
        <f t="shared" si="213"/>
        <v>-0.49</v>
      </c>
      <c r="AQ336" s="886">
        <f t="shared" si="214"/>
        <v>-3.7309999999999999</v>
      </c>
      <c r="AR336" s="855"/>
      <c r="AS336" s="855"/>
      <c r="AT336" s="885">
        <f t="shared" si="215"/>
        <v>-4.2210000000000001</v>
      </c>
      <c r="AU336" s="855"/>
      <c r="AV336" s="855"/>
      <c r="AW336" s="855"/>
      <c r="AX336" s="855"/>
      <c r="AY336" s="885">
        <f t="shared" si="217"/>
        <v>0</v>
      </c>
      <c r="AZ336" s="870"/>
      <c r="BA336" s="870"/>
      <c r="BB336" s="870"/>
      <c r="BC336" s="362"/>
    </row>
    <row r="337" spans="1:55" s="23" customFormat="1" ht="14.45" customHeight="1">
      <c r="A337" s="229" t="str">
        <f t="shared" si="178"/>
        <v>Billings in Excess of Recoverable Costs and Accrued Profits on Uncompleted Contracts</v>
      </c>
      <c r="B337" s="132"/>
      <c r="C337" s="885">
        <f t="shared" si="199"/>
        <v>0.9</v>
      </c>
      <c r="D337" s="885">
        <f t="shared" si="199"/>
        <v>-0.66</v>
      </c>
      <c r="E337" s="885">
        <f t="shared" si="199"/>
        <v>-1.2549999999999999</v>
      </c>
      <c r="F337" s="885">
        <f t="shared" si="199"/>
        <v>-7.5999999999999998E-2</v>
      </c>
      <c r="G337" s="436">
        <f t="shared" si="199"/>
        <v>0.11600000000000001</v>
      </c>
      <c r="H337" s="436">
        <f t="shared" si="200"/>
        <v>-0.11600000000000001</v>
      </c>
      <c r="I337" s="436">
        <f t="shared" si="200"/>
        <v>0</v>
      </c>
      <c r="J337" s="436">
        <f t="shared" si="200"/>
        <v>-0.188</v>
      </c>
      <c r="K337" s="885">
        <f t="shared" si="201"/>
        <v>-0.188</v>
      </c>
      <c r="L337" s="436">
        <f t="shared" si="201"/>
        <v>0</v>
      </c>
      <c r="M337" s="436">
        <f t="shared" si="202"/>
        <v>0</v>
      </c>
      <c r="N337" s="436">
        <f t="shared" si="202"/>
        <v>0</v>
      </c>
      <c r="O337" s="436">
        <f t="shared" si="202"/>
        <v>0</v>
      </c>
      <c r="P337" s="885">
        <f t="shared" si="203"/>
        <v>0</v>
      </c>
      <c r="Q337" s="436">
        <f t="shared" si="203"/>
        <v>0</v>
      </c>
      <c r="R337" s="436">
        <f t="shared" si="204"/>
        <v>0</v>
      </c>
      <c r="S337" s="436">
        <f t="shared" si="204"/>
        <v>0</v>
      </c>
      <c r="T337" s="436">
        <f t="shared" si="204"/>
        <v>0</v>
      </c>
      <c r="U337" s="885">
        <f t="shared" si="205"/>
        <v>0</v>
      </c>
      <c r="V337" s="436">
        <f t="shared" si="205"/>
        <v>0</v>
      </c>
      <c r="W337" s="436">
        <f t="shared" si="206"/>
        <v>0</v>
      </c>
      <c r="X337" s="436">
        <f t="shared" si="206"/>
        <v>0</v>
      </c>
      <c r="Y337" s="436">
        <f t="shared" si="206"/>
        <v>0</v>
      </c>
      <c r="Z337" s="885">
        <f t="shared" si="207"/>
        <v>0</v>
      </c>
      <c r="AA337" s="436">
        <f t="shared" si="207"/>
        <v>0</v>
      </c>
      <c r="AB337" s="436">
        <f t="shared" si="208"/>
        <v>0</v>
      </c>
      <c r="AC337" s="436">
        <f t="shared" si="208"/>
        <v>0</v>
      </c>
      <c r="AD337" s="436">
        <f t="shared" si="208"/>
        <v>0</v>
      </c>
      <c r="AE337" s="885">
        <f t="shared" si="209"/>
        <v>0</v>
      </c>
      <c r="AF337" s="436">
        <f t="shared" si="209"/>
        <v>0</v>
      </c>
      <c r="AG337" s="436">
        <f t="shared" si="210"/>
        <v>0</v>
      </c>
      <c r="AH337" s="436">
        <f t="shared" si="210"/>
        <v>0</v>
      </c>
      <c r="AI337" s="436">
        <f t="shared" si="210"/>
        <v>0</v>
      </c>
      <c r="AJ337" s="885">
        <f t="shared" si="211"/>
        <v>0</v>
      </c>
      <c r="AK337" s="436">
        <f t="shared" si="211"/>
        <v>0</v>
      </c>
      <c r="AL337" s="436">
        <f t="shared" si="212"/>
        <v>0</v>
      </c>
      <c r="AM337" s="436">
        <f t="shared" si="212"/>
        <v>0</v>
      </c>
      <c r="AN337" s="436">
        <f t="shared" si="212"/>
        <v>0</v>
      </c>
      <c r="AO337" s="885">
        <f t="shared" si="213"/>
        <v>0</v>
      </c>
      <c r="AP337" s="436">
        <f t="shared" si="213"/>
        <v>0</v>
      </c>
      <c r="AQ337" s="886">
        <f t="shared" si="214"/>
        <v>0</v>
      </c>
      <c r="AR337" s="855"/>
      <c r="AS337" s="855"/>
      <c r="AT337" s="885">
        <f t="shared" si="215"/>
        <v>0</v>
      </c>
      <c r="AU337" s="855"/>
      <c r="AV337" s="855"/>
      <c r="AW337" s="855"/>
      <c r="AX337" s="855"/>
      <c r="AY337" s="885">
        <f t="shared" si="217"/>
        <v>0</v>
      </c>
      <c r="AZ337" s="870"/>
      <c r="BA337" s="870"/>
      <c r="BB337" s="870"/>
      <c r="BC337" s="362"/>
    </row>
    <row r="338" spans="1:55" s="23" customFormat="1" ht="14.45" customHeight="1">
      <c r="A338" s="229" t="str">
        <f t="shared" si="178"/>
        <v>Operating lease liabilities</v>
      </c>
      <c r="B338" s="132"/>
      <c r="C338" s="885">
        <f t="shared" si="199"/>
        <v>0</v>
      </c>
      <c r="D338" s="885">
        <f t="shared" si="199"/>
        <v>0</v>
      </c>
      <c r="E338" s="885">
        <f t="shared" si="199"/>
        <v>0</v>
      </c>
      <c r="F338" s="885">
        <f t="shared" si="199"/>
        <v>0</v>
      </c>
      <c r="G338" s="436">
        <f t="shared" si="199"/>
        <v>0</v>
      </c>
      <c r="H338" s="436">
        <f t="shared" si="200"/>
        <v>0</v>
      </c>
      <c r="I338" s="436">
        <f t="shared" si="200"/>
        <v>0</v>
      </c>
      <c r="J338" s="436">
        <f t="shared" si="200"/>
        <v>0</v>
      </c>
      <c r="K338" s="885">
        <f t="shared" si="201"/>
        <v>0</v>
      </c>
      <c r="L338" s="436">
        <f t="shared" si="201"/>
        <v>0</v>
      </c>
      <c r="M338" s="436">
        <f t="shared" si="202"/>
        <v>0</v>
      </c>
      <c r="N338" s="436">
        <f t="shared" si="202"/>
        <v>0</v>
      </c>
      <c r="O338" s="436">
        <f t="shared" si="202"/>
        <v>0</v>
      </c>
      <c r="P338" s="885">
        <f t="shared" si="203"/>
        <v>0</v>
      </c>
      <c r="Q338" s="436">
        <f t="shared" si="203"/>
        <v>0</v>
      </c>
      <c r="R338" s="436">
        <f t="shared" si="204"/>
        <v>0</v>
      </c>
      <c r="S338" s="436">
        <f t="shared" si="204"/>
        <v>0</v>
      </c>
      <c r="T338" s="436">
        <f t="shared" si="204"/>
        <v>0</v>
      </c>
      <c r="U338" s="885">
        <f t="shared" si="205"/>
        <v>0</v>
      </c>
      <c r="V338" s="436">
        <f t="shared" si="205"/>
        <v>0</v>
      </c>
      <c r="W338" s="436">
        <f t="shared" si="206"/>
        <v>0</v>
      </c>
      <c r="X338" s="436">
        <f t="shared" si="206"/>
        <v>0</v>
      </c>
      <c r="Y338" s="436">
        <f t="shared" si="206"/>
        <v>0</v>
      </c>
      <c r="Z338" s="885">
        <f t="shared" si="207"/>
        <v>0</v>
      </c>
      <c r="AA338" s="436">
        <f t="shared" si="207"/>
        <v>0</v>
      </c>
      <c r="AB338" s="436">
        <f t="shared" si="208"/>
        <v>0</v>
      </c>
      <c r="AC338" s="436">
        <f t="shared" si="208"/>
        <v>0</v>
      </c>
      <c r="AD338" s="436">
        <f t="shared" si="208"/>
        <v>0</v>
      </c>
      <c r="AE338" s="885">
        <f t="shared" si="209"/>
        <v>0</v>
      </c>
      <c r="AF338" s="436">
        <f t="shared" si="209"/>
        <v>0</v>
      </c>
      <c r="AG338" s="436">
        <f t="shared" si="210"/>
        <v>0</v>
      </c>
      <c r="AH338" s="436">
        <f t="shared" si="210"/>
        <v>0</v>
      </c>
      <c r="AI338" s="436">
        <f t="shared" si="210"/>
        <v>0</v>
      </c>
      <c r="AJ338" s="885">
        <f t="shared" si="211"/>
        <v>0</v>
      </c>
      <c r="AK338" s="436">
        <f t="shared" si="211"/>
        <v>0</v>
      </c>
      <c r="AL338" s="436">
        <f t="shared" si="212"/>
        <v>0</v>
      </c>
      <c r="AM338" s="436">
        <f t="shared" si="212"/>
        <v>0</v>
      </c>
      <c r="AN338" s="436">
        <f t="shared" si="212"/>
        <v>0</v>
      </c>
      <c r="AO338" s="885">
        <f t="shared" si="213"/>
        <v>0</v>
      </c>
      <c r="AP338" s="436">
        <f t="shared" si="213"/>
        <v>-1.2170000000000001</v>
      </c>
      <c r="AQ338" s="886">
        <f t="shared" si="214"/>
        <v>-1.0049999999999999</v>
      </c>
      <c r="AR338" s="855"/>
      <c r="AS338" s="855"/>
      <c r="AT338" s="885">
        <f t="shared" si="215"/>
        <v>-2.222</v>
      </c>
      <c r="AU338" s="855"/>
      <c r="AV338" s="855"/>
      <c r="AW338" s="855"/>
      <c r="AX338" s="855"/>
      <c r="AY338" s="885">
        <f t="shared" si="217"/>
        <v>0</v>
      </c>
      <c r="AZ338" s="870"/>
      <c r="BA338" s="870"/>
      <c r="BB338" s="870"/>
      <c r="BC338" s="362"/>
    </row>
    <row r="339" spans="1:55" s="23" customFormat="1" ht="14.45" customHeight="1">
      <c r="A339" s="229" t="str">
        <f t="shared" si="178"/>
        <v>Income Taxes</v>
      </c>
      <c r="B339" s="132"/>
      <c r="C339" s="885">
        <f t="shared" si="199"/>
        <v>0.85899999999999999</v>
      </c>
      <c r="D339" s="885">
        <f t="shared" si="199"/>
        <v>-0.34699999999999998</v>
      </c>
      <c r="E339" s="885">
        <f t="shared" si="199"/>
        <v>-0.40400000000000003</v>
      </c>
      <c r="F339" s="885">
        <f t="shared" si="199"/>
        <v>0.66900000000000004</v>
      </c>
      <c r="G339" s="436">
        <f t="shared" si="199"/>
        <v>1.208</v>
      </c>
      <c r="H339" s="436">
        <f t="shared" si="200"/>
        <v>-0.129</v>
      </c>
      <c r="I339" s="436">
        <f t="shared" si="200"/>
        <v>0.375</v>
      </c>
      <c r="J339" s="436">
        <f t="shared" si="200"/>
        <v>0.81699999999999995</v>
      </c>
      <c r="K339" s="885">
        <f t="shared" si="201"/>
        <v>2.2709999999999999</v>
      </c>
      <c r="L339" s="436">
        <f t="shared" si="201"/>
        <v>2.7759999999999998</v>
      </c>
      <c r="M339" s="436">
        <f t="shared" si="202"/>
        <v>-9.1999999999999638E-2</v>
      </c>
      <c r="N339" s="436">
        <f t="shared" si="202"/>
        <v>-0.63600000000000012</v>
      </c>
      <c r="O339" s="436">
        <f t="shared" si="202"/>
        <v>-6.1319999999999997</v>
      </c>
      <c r="P339" s="885">
        <f t="shared" si="203"/>
        <v>-4.0839999999999996</v>
      </c>
      <c r="Q339" s="436">
        <f t="shared" si="203"/>
        <v>2.4159999999999999</v>
      </c>
      <c r="R339" s="436">
        <f t="shared" si="204"/>
        <v>2.1940000000000004</v>
      </c>
      <c r="S339" s="436">
        <f t="shared" si="204"/>
        <v>0.46199999999999974</v>
      </c>
      <c r="T339" s="436">
        <f t="shared" si="204"/>
        <v>-14.338000000000001</v>
      </c>
      <c r="U339" s="885">
        <f t="shared" si="205"/>
        <v>-9.266</v>
      </c>
      <c r="V339" s="436">
        <f t="shared" si="205"/>
        <v>4.2450000000000001</v>
      </c>
      <c r="W339" s="436">
        <f t="shared" si="206"/>
        <v>5.8619999999999992</v>
      </c>
      <c r="X339" s="436">
        <f t="shared" si="206"/>
        <v>-3.246999999999999</v>
      </c>
      <c r="Y339" s="436">
        <f t="shared" si="206"/>
        <v>1.0659999999999998</v>
      </c>
      <c r="Z339" s="885">
        <f t="shared" si="207"/>
        <v>7.9260000000000002</v>
      </c>
      <c r="AA339" s="436">
        <f t="shared" si="207"/>
        <v>4.0380000000000003</v>
      </c>
      <c r="AB339" s="436">
        <f t="shared" si="208"/>
        <v>-5.0660000000000007</v>
      </c>
      <c r="AC339" s="436">
        <f t="shared" si="208"/>
        <v>0.14500000000000002</v>
      </c>
      <c r="AD339" s="436">
        <f t="shared" si="208"/>
        <v>0.50700000000000001</v>
      </c>
      <c r="AE339" s="885">
        <f t="shared" si="209"/>
        <v>-0.376</v>
      </c>
      <c r="AF339" s="436">
        <f t="shared" si="209"/>
        <v>1.3029999999999999</v>
      </c>
      <c r="AG339" s="436">
        <f t="shared" si="210"/>
        <v>-1.492</v>
      </c>
      <c r="AH339" s="436">
        <f t="shared" si="210"/>
        <v>-4.1260000000000003</v>
      </c>
      <c r="AI339" s="436">
        <f t="shared" si="210"/>
        <v>-0.14499999999999957</v>
      </c>
      <c r="AJ339" s="885">
        <f t="shared" si="211"/>
        <v>-4.46</v>
      </c>
      <c r="AK339" s="436">
        <f t="shared" si="211"/>
        <v>26.824000000000002</v>
      </c>
      <c r="AL339" s="436">
        <f t="shared" si="212"/>
        <v>-17.643000000000001</v>
      </c>
      <c r="AM339" s="436">
        <f t="shared" si="212"/>
        <v>-3.5999999999999988</v>
      </c>
      <c r="AN339" s="436">
        <f t="shared" si="212"/>
        <v>-2.2100000000000004</v>
      </c>
      <c r="AO339" s="885">
        <f t="shared" si="213"/>
        <v>3.371</v>
      </c>
      <c r="AP339" s="436">
        <f t="shared" si="213"/>
        <v>-3.5910000000000002</v>
      </c>
      <c r="AQ339" s="886">
        <f t="shared" si="214"/>
        <v>-7.5999999999999623E-2</v>
      </c>
      <c r="AR339" s="855"/>
      <c r="AS339" s="855"/>
      <c r="AT339" s="885">
        <f t="shared" si="215"/>
        <v>-3.6669999999999998</v>
      </c>
      <c r="AU339" s="855"/>
      <c r="AV339" s="855"/>
      <c r="AW339" s="855"/>
      <c r="AX339" s="855"/>
      <c r="AY339" s="885">
        <f t="shared" si="217"/>
        <v>0</v>
      </c>
      <c r="AZ339" s="870"/>
      <c r="BA339" s="870"/>
      <c r="BB339" s="870"/>
      <c r="BC339" s="362"/>
    </row>
    <row r="340" spans="1:55" s="23" customFormat="1" ht="14.45" customHeight="1">
      <c r="A340" s="229" t="str">
        <f t="shared" si="178"/>
        <v>Supplemental Retirement and Other Liabilities</v>
      </c>
      <c r="B340" s="132"/>
      <c r="C340" s="887">
        <f t="shared" si="199"/>
        <v>0.23499999999999999</v>
      </c>
      <c r="D340" s="887">
        <f t="shared" si="199"/>
        <v>-0.33300000000000002</v>
      </c>
      <c r="E340" s="887">
        <f t="shared" si="199"/>
        <v>-0.13100000000000001</v>
      </c>
      <c r="F340" s="887">
        <f t="shared" si="199"/>
        <v>0.97799999999999998</v>
      </c>
      <c r="G340" s="888">
        <f t="shared" si="199"/>
        <v>0.28199999999999997</v>
      </c>
      <c r="H340" s="888">
        <f t="shared" si="200"/>
        <v>0.30499999999999999</v>
      </c>
      <c r="I340" s="888">
        <f t="shared" si="200"/>
        <v>0.251</v>
      </c>
      <c r="J340" s="888">
        <f t="shared" si="200"/>
        <v>0.36</v>
      </c>
      <c r="K340" s="887">
        <f t="shared" si="201"/>
        <v>1.198</v>
      </c>
      <c r="L340" s="888">
        <f t="shared" si="201"/>
        <v>0.308</v>
      </c>
      <c r="M340" s="888">
        <f t="shared" si="202"/>
        <v>0.307</v>
      </c>
      <c r="N340" s="888">
        <f t="shared" si="202"/>
        <v>0.30600000000000005</v>
      </c>
      <c r="O340" s="888">
        <f t="shared" si="202"/>
        <v>0.35199999999999987</v>
      </c>
      <c r="P340" s="887">
        <f t="shared" si="203"/>
        <v>1.2729999999999999</v>
      </c>
      <c r="Q340" s="888">
        <f t="shared" si="203"/>
        <v>0.40899999999999997</v>
      </c>
      <c r="R340" s="888">
        <f t="shared" si="204"/>
        <v>0.41099999999999998</v>
      </c>
      <c r="S340" s="888">
        <f t="shared" si="204"/>
        <v>0.41800000000000004</v>
      </c>
      <c r="T340" s="888">
        <f t="shared" si="204"/>
        <v>1.0619999999999998</v>
      </c>
      <c r="U340" s="887">
        <f t="shared" si="205"/>
        <v>2.2999999999999998</v>
      </c>
      <c r="V340" s="888">
        <f t="shared" si="205"/>
        <v>0.34100000000000003</v>
      </c>
      <c r="W340" s="888">
        <f t="shared" si="206"/>
        <v>0.35399999999999993</v>
      </c>
      <c r="X340" s="888">
        <f t="shared" si="206"/>
        <v>0.43099999999999994</v>
      </c>
      <c r="Y340" s="888">
        <f t="shared" si="206"/>
        <v>0.39200000000000013</v>
      </c>
      <c r="Z340" s="887">
        <f t="shared" si="207"/>
        <v>1.518</v>
      </c>
      <c r="AA340" s="888">
        <f t="shared" si="207"/>
        <v>0.38200000000000001</v>
      </c>
      <c r="AB340" s="888">
        <f t="shared" si="208"/>
        <v>0.376</v>
      </c>
      <c r="AC340" s="888">
        <f t="shared" si="208"/>
        <v>0.371</v>
      </c>
      <c r="AD340" s="888">
        <f t="shared" si="208"/>
        <v>0.18399999999999994</v>
      </c>
      <c r="AE340" s="887">
        <f t="shared" si="209"/>
        <v>1.3129999999999999</v>
      </c>
      <c r="AF340" s="888">
        <f t="shared" si="209"/>
        <v>0.44800000000000001</v>
      </c>
      <c r="AG340" s="888">
        <f t="shared" si="210"/>
        <v>0.44800000000000001</v>
      </c>
      <c r="AH340" s="888">
        <f t="shared" si="210"/>
        <v>0.45499999999999996</v>
      </c>
      <c r="AI340" s="888">
        <f t="shared" si="210"/>
        <v>0.57299999999999995</v>
      </c>
      <c r="AJ340" s="887">
        <f t="shared" si="211"/>
        <v>1.9239999999999999</v>
      </c>
      <c r="AK340" s="888">
        <f t="shared" si="211"/>
        <v>0.373</v>
      </c>
      <c r="AL340" s="888">
        <f t="shared" si="212"/>
        <v>0.36199999999999999</v>
      </c>
      <c r="AM340" s="888">
        <f t="shared" si="212"/>
        <v>0.38100000000000012</v>
      </c>
      <c r="AN340" s="888">
        <f t="shared" si="212"/>
        <v>-3.4660000000000002</v>
      </c>
      <c r="AO340" s="887">
        <f t="shared" si="213"/>
        <v>-2.35</v>
      </c>
      <c r="AP340" s="888">
        <f t="shared" si="213"/>
        <v>-9.9000000000000005E-2</v>
      </c>
      <c r="AQ340" s="889">
        <f t="shared" si="214"/>
        <v>-0.10499999999999998</v>
      </c>
      <c r="AR340" s="890"/>
      <c r="AS340" s="890"/>
      <c r="AT340" s="887">
        <f t="shared" si="215"/>
        <v>-0.20399999999999999</v>
      </c>
      <c r="AU340" s="890"/>
      <c r="AV340" s="890"/>
      <c r="AW340" s="890"/>
      <c r="AX340" s="890"/>
      <c r="AY340" s="887">
        <f t="shared" si="217"/>
        <v>0</v>
      </c>
      <c r="AZ340" s="872"/>
      <c r="BA340" s="872"/>
      <c r="BB340" s="872"/>
      <c r="BC340" s="362"/>
    </row>
    <row r="341" spans="1:55" s="4" customFormat="1" ht="14.45" customHeight="1">
      <c r="A341" s="402" t="str">
        <f t="shared" si="178"/>
        <v>Net CFO</v>
      </c>
      <c r="B341" s="429"/>
      <c r="C341" s="858">
        <f t="shared" ref="C341:AH341" si="219">SUM(C330:C340)</f>
        <v>31.088000000000001</v>
      </c>
      <c r="D341" s="858">
        <f t="shared" si="219"/>
        <v>16.503000000000004</v>
      </c>
      <c r="E341" s="858">
        <f t="shared" si="219"/>
        <v>27.908000000000005</v>
      </c>
      <c r="F341" s="858">
        <f t="shared" si="219"/>
        <v>24.178000000000001</v>
      </c>
      <c r="G341" s="402">
        <f t="shared" si="219"/>
        <v>14.326000000000002</v>
      </c>
      <c r="H341" s="402">
        <f t="shared" si="219"/>
        <v>2.992999999999999</v>
      </c>
      <c r="I341" s="402">
        <f t="shared" si="219"/>
        <v>16.829000000000001</v>
      </c>
      <c r="J341" s="402">
        <f t="shared" si="219"/>
        <v>15.401000000000002</v>
      </c>
      <c r="K341" s="858">
        <f t="shared" si="219"/>
        <v>49.548999999999992</v>
      </c>
      <c r="L341" s="402">
        <f t="shared" si="219"/>
        <v>2.5730000000000004</v>
      </c>
      <c r="M341" s="402">
        <f t="shared" si="219"/>
        <v>20.657</v>
      </c>
      <c r="N341" s="402">
        <f t="shared" si="219"/>
        <v>45.318999999999996</v>
      </c>
      <c r="O341" s="402">
        <f t="shared" si="219"/>
        <v>31.325000000000006</v>
      </c>
      <c r="P341" s="858">
        <f t="shared" si="219"/>
        <v>99.873999999999995</v>
      </c>
      <c r="Q341" s="402">
        <f t="shared" si="219"/>
        <v>26.778999999999993</v>
      </c>
      <c r="R341" s="402">
        <f t="shared" si="219"/>
        <v>-5.904000000000007</v>
      </c>
      <c r="S341" s="402">
        <f t="shared" si="219"/>
        <v>22.298999999999996</v>
      </c>
      <c r="T341" s="402">
        <f t="shared" si="219"/>
        <v>35.326999999999998</v>
      </c>
      <c r="U341" s="858">
        <f t="shared" si="219"/>
        <v>78.500999999999976</v>
      </c>
      <c r="V341" s="402">
        <f t="shared" si="219"/>
        <v>0.54299999999999815</v>
      </c>
      <c r="W341" s="402">
        <f t="shared" si="219"/>
        <v>22.776</v>
      </c>
      <c r="X341" s="402">
        <f t="shared" si="219"/>
        <v>1.8310000000000022</v>
      </c>
      <c r="Y341" s="402">
        <f t="shared" si="219"/>
        <v>23.704000000000001</v>
      </c>
      <c r="Z341" s="858">
        <f t="shared" si="219"/>
        <v>48.854000000000006</v>
      </c>
      <c r="AA341" s="402">
        <f t="shared" si="219"/>
        <v>6.369999999999993</v>
      </c>
      <c r="AB341" s="402">
        <f t="shared" si="219"/>
        <v>-1.843999999999999</v>
      </c>
      <c r="AC341" s="402">
        <f t="shared" si="219"/>
        <v>17.786999999999999</v>
      </c>
      <c r="AD341" s="402">
        <f t="shared" si="219"/>
        <v>15.469999999999995</v>
      </c>
      <c r="AE341" s="858">
        <f t="shared" si="219"/>
        <v>37.783000000000008</v>
      </c>
      <c r="AF341" s="402">
        <f t="shared" si="219"/>
        <v>-1.0539999999999998</v>
      </c>
      <c r="AG341" s="402">
        <f t="shared" si="219"/>
        <v>9.1639999999999979</v>
      </c>
      <c r="AH341" s="402">
        <f t="shared" si="219"/>
        <v>7.2489999999999979</v>
      </c>
      <c r="AI341" s="402">
        <f t="shared" ref="AI341:BB341" si="220">SUM(AI330:AI340)</f>
        <v>39.521999999999998</v>
      </c>
      <c r="AJ341" s="858">
        <f t="shared" si="220"/>
        <v>54.880999999999979</v>
      </c>
      <c r="AK341" s="402">
        <f t="shared" si="220"/>
        <v>11.354000000000022</v>
      </c>
      <c r="AL341" s="402">
        <f t="shared" si="220"/>
        <v>-2.2980000000000018</v>
      </c>
      <c r="AM341" s="402">
        <f t="shared" si="220"/>
        <v>21.184999999999985</v>
      </c>
      <c r="AN341" s="402">
        <f t="shared" si="220"/>
        <v>12.448000000000008</v>
      </c>
      <c r="AO341" s="858">
        <f t="shared" si="220"/>
        <v>42.688999999999993</v>
      </c>
      <c r="AP341" s="402">
        <f t="shared" si="220"/>
        <v>23.250000000000014</v>
      </c>
      <c r="AQ341" s="891">
        <f t="shared" si="220"/>
        <v>18.298999999999992</v>
      </c>
      <c r="AR341" s="402">
        <f t="shared" si="220"/>
        <v>30.373711769929365</v>
      </c>
      <c r="AS341" s="402">
        <f t="shared" ca="1" si="220"/>
        <v>27.768457718345484</v>
      </c>
      <c r="AT341" s="858">
        <f t="shared" ca="1" si="220"/>
        <v>99.691169488274852</v>
      </c>
      <c r="AU341" s="402">
        <f t="shared" ca="1" si="220"/>
        <v>10.842280572489074</v>
      </c>
      <c r="AV341" s="402">
        <f t="shared" ca="1" si="220"/>
        <v>-8.6108436739476666</v>
      </c>
      <c r="AW341" s="402">
        <f t="shared" ca="1" si="220"/>
        <v>-6.5101497322580784</v>
      </c>
      <c r="AX341" s="402">
        <f t="shared" ca="1" si="220"/>
        <v>15.170309796246929</v>
      </c>
      <c r="AY341" s="858">
        <f t="shared" ca="1" si="220"/>
        <v>10.891596962530262</v>
      </c>
      <c r="AZ341" s="858">
        <f t="shared" ca="1" si="220"/>
        <v>92.22740381480719</v>
      </c>
      <c r="BA341" s="858">
        <f t="shared" ca="1" si="220"/>
        <v>15.703754750549095</v>
      </c>
      <c r="BB341" s="858">
        <f t="shared" ca="1" si="220"/>
        <v>228.99981752962981</v>
      </c>
      <c r="BC341" s="363"/>
    </row>
    <row r="342" spans="1:55" s="4" customFormat="1" ht="14.45" customHeight="1">
      <c r="A342" s="403"/>
      <c r="B342" s="345"/>
      <c r="C342" s="852"/>
      <c r="D342" s="852"/>
      <c r="E342" s="852"/>
      <c r="F342" s="852"/>
      <c r="G342" s="418"/>
      <c r="H342" s="418"/>
      <c r="I342" s="418"/>
      <c r="J342" s="418"/>
      <c r="K342" s="852"/>
      <c r="L342" s="418"/>
      <c r="M342" s="418"/>
      <c r="N342" s="418"/>
      <c r="O342" s="418"/>
      <c r="P342" s="852"/>
      <c r="Q342" s="418"/>
      <c r="R342" s="418"/>
      <c r="S342" s="418"/>
      <c r="T342" s="418"/>
      <c r="U342" s="852"/>
      <c r="V342" s="418"/>
      <c r="W342" s="418"/>
      <c r="X342" s="418"/>
      <c r="Y342" s="418"/>
      <c r="Z342" s="852"/>
      <c r="AA342" s="418"/>
      <c r="AB342" s="418"/>
      <c r="AC342" s="418"/>
      <c r="AD342" s="418"/>
      <c r="AE342" s="852"/>
      <c r="AF342" s="418"/>
      <c r="AG342" s="418"/>
      <c r="AH342" s="418"/>
      <c r="AI342" s="418"/>
      <c r="AJ342" s="852"/>
      <c r="AK342" s="418"/>
      <c r="AL342" s="418"/>
      <c r="AM342" s="418"/>
      <c r="AN342" s="418"/>
      <c r="AO342" s="852"/>
      <c r="AP342" s="418"/>
      <c r="AQ342" s="895"/>
      <c r="AR342" s="896"/>
      <c r="AS342" s="896"/>
      <c r="AT342" s="897"/>
      <c r="AU342" s="896"/>
      <c r="AV342" s="896"/>
      <c r="AW342" s="896"/>
      <c r="AX342" s="896"/>
      <c r="AY342" s="897"/>
      <c r="AZ342" s="897"/>
      <c r="BA342" s="897"/>
      <c r="BB342" s="897"/>
      <c r="BC342" s="363"/>
    </row>
    <row r="343" spans="1:55" s="4" customFormat="1" ht="14.45" customHeight="1">
      <c r="A343" s="403" t="str">
        <f t="shared" ref="A343:A349" si="221">A284</f>
        <v>CFI</v>
      </c>
      <c r="B343" s="345"/>
      <c r="C343" s="852"/>
      <c r="D343" s="852"/>
      <c r="E343" s="852"/>
      <c r="F343" s="852"/>
      <c r="G343" s="418"/>
      <c r="H343" s="418"/>
      <c r="I343" s="418"/>
      <c r="J343" s="418"/>
      <c r="K343" s="852"/>
      <c r="L343" s="418"/>
      <c r="M343" s="418"/>
      <c r="N343" s="418"/>
      <c r="O343" s="418"/>
      <c r="P343" s="852"/>
      <c r="Q343" s="418"/>
      <c r="R343" s="418"/>
      <c r="S343" s="418"/>
      <c r="T343" s="418"/>
      <c r="U343" s="852"/>
      <c r="V343" s="418"/>
      <c r="W343" s="418"/>
      <c r="X343" s="418"/>
      <c r="Y343" s="418"/>
      <c r="Z343" s="852"/>
      <c r="AA343" s="418"/>
      <c r="AB343" s="418"/>
      <c r="AC343" s="418"/>
      <c r="AD343" s="418"/>
      <c r="AE343" s="852"/>
      <c r="AF343" s="418"/>
      <c r="AG343" s="418"/>
      <c r="AH343" s="418"/>
      <c r="AI343" s="418"/>
      <c r="AJ343" s="852"/>
      <c r="AK343" s="418"/>
      <c r="AL343" s="418"/>
      <c r="AM343" s="418"/>
      <c r="AN343" s="418"/>
      <c r="AO343" s="852"/>
      <c r="AP343" s="418"/>
      <c r="AQ343" s="895"/>
      <c r="AR343" s="896"/>
      <c r="AS343" s="896"/>
      <c r="AT343" s="897"/>
      <c r="AU343" s="896"/>
      <c r="AV343" s="896"/>
      <c r="AW343" s="896"/>
      <c r="AX343" s="896"/>
      <c r="AY343" s="897"/>
      <c r="AZ343" s="897"/>
      <c r="BA343" s="897"/>
      <c r="BB343" s="897"/>
      <c r="BC343" s="363"/>
    </row>
    <row r="344" spans="1:55" s="23" customFormat="1" ht="14.45" customHeight="1">
      <c r="A344" s="229" t="str">
        <f t="shared" si="221"/>
        <v>Acquisition of Business, Net of Cash Acquired</v>
      </c>
      <c r="B344" s="520"/>
      <c r="C344" s="885">
        <f t="shared" ref="C344:G348" si="222">C285</f>
        <v>-40.655000000000001</v>
      </c>
      <c r="D344" s="885">
        <f t="shared" si="222"/>
        <v>0</v>
      </c>
      <c r="E344" s="885">
        <f t="shared" si="222"/>
        <v>-23.925999999999998</v>
      </c>
      <c r="F344" s="885">
        <f t="shared" si="222"/>
        <v>-10.659000000000001</v>
      </c>
      <c r="G344" s="436">
        <f t="shared" si="222"/>
        <v>0</v>
      </c>
      <c r="H344" s="436">
        <f t="shared" ref="H344:J348" si="223">H285-G285</f>
        <v>0</v>
      </c>
      <c r="I344" s="436">
        <f t="shared" si="223"/>
        <v>-135.898</v>
      </c>
      <c r="J344" s="436">
        <f t="shared" si="223"/>
        <v>-23.863</v>
      </c>
      <c r="K344" s="885">
        <f t="shared" ref="K344:L348" si="224">K285</f>
        <v>-159.761</v>
      </c>
      <c r="L344" s="436">
        <f t="shared" si="224"/>
        <v>-70.275000000000006</v>
      </c>
      <c r="M344" s="436">
        <f t="shared" ref="M344:O348" si="225">M285-L285</f>
        <v>2.4240000000000066</v>
      </c>
      <c r="N344" s="436">
        <f t="shared" si="225"/>
        <v>-2.1770000000000067</v>
      </c>
      <c r="O344" s="436">
        <f t="shared" si="225"/>
        <v>1.8270000000000124</v>
      </c>
      <c r="P344" s="885">
        <f t="shared" ref="P344:Q348" si="226">P285</f>
        <v>-68.200999999999993</v>
      </c>
      <c r="Q344" s="436">
        <f t="shared" si="226"/>
        <v>-52.615000000000002</v>
      </c>
      <c r="R344" s="436">
        <f t="shared" ref="R344:T348" si="227">R285-Q285</f>
        <v>0</v>
      </c>
      <c r="S344" s="436">
        <f t="shared" si="227"/>
        <v>9.0000000000003411E-3</v>
      </c>
      <c r="T344" s="436">
        <f t="shared" si="227"/>
        <v>0.32999999999999829</v>
      </c>
      <c r="U344" s="885">
        <f t="shared" ref="U344:V348" si="228">U285</f>
        <v>-52.276000000000003</v>
      </c>
      <c r="V344" s="436">
        <f t="shared" si="228"/>
        <v>0</v>
      </c>
      <c r="W344" s="436">
        <f t="shared" ref="W344:Y348" si="229">W285-V285</f>
        <v>0</v>
      </c>
      <c r="X344" s="436">
        <f t="shared" si="229"/>
        <v>0</v>
      </c>
      <c r="Y344" s="436">
        <f t="shared" si="229"/>
        <v>0</v>
      </c>
      <c r="Z344" s="885">
        <f t="shared" ref="Z344:AA348" si="230">Z285</f>
        <v>0</v>
      </c>
      <c r="AA344" s="436">
        <f t="shared" si="230"/>
        <v>0</v>
      </c>
      <c r="AB344" s="436">
        <f t="shared" ref="AB344:AD348" si="231">AB285-AA285</f>
        <v>-10.223000000000001</v>
      </c>
      <c r="AC344" s="436">
        <f t="shared" si="231"/>
        <v>2.4000000000000909E-2</v>
      </c>
      <c r="AD344" s="436">
        <f t="shared" si="231"/>
        <v>-103.84</v>
      </c>
      <c r="AE344" s="885">
        <f t="shared" ref="AE344:AF348" si="232">AE285</f>
        <v>-114.039</v>
      </c>
      <c r="AF344" s="436">
        <f t="shared" si="232"/>
        <v>0</v>
      </c>
      <c r="AG344" s="436">
        <f t="shared" ref="AG344:AI348" si="233">AG285-AF285</f>
        <v>0</v>
      </c>
      <c r="AH344" s="436">
        <f t="shared" si="233"/>
        <v>0</v>
      </c>
      <c r="AI344" s="436">
        <f t="shared" si="233"/>
        <v>0</v>
      </c>
      <c r="AJ344" s="885">
        <f t="shared" ref="AJ344:AK348" si="234">AJ285</f>
        <v>0</v>
      </c>
      <c r="AK344" s="436">
        <f t="shared" si="234"/>
        <v>0</v>
      </c>
      <c r="AL344" s="436">
        <f t="shared" ref="AL344:AN348" si="235">AL285-AK285</f>
        <v>0</v>
      </c>
      <c r="AM344" s="436">
        <f t="shared" si="235"/>
        <v>-21.785</v>
      </c>
      <c r="AN344" s="436">
        <f t="shared" si="235"/>
        <v>-7.1219999999999999</v>
      </c>
      <c r="AO344" s="885">
        <f t="shared" ref="AO344:AP348" si="236">AO285</f>
        <v>-28.907</v>
      </c>
      <c r="AP344" s="436">
        <f t="shared" si="236"/>
        <v>0</v>
      </c>
      <c r="AQ344" s="886">
        <f>AQ285-AP285</f>
        <v>0</v>
      </c>
      <c r="AR344" s="436">
        <f>AR200</f>
        <v>0</v>
      </c>
      <c r="AS344" s="436">
        <f>AS200</f>
        <v>0</v>
      </c>
      <c r="AT344" s="885">
        <f>SUM(AP344,AQ344,AR344,AS344)</f>
        <v>0</v>
      </c>
      <c r="AU344" s="436">
        <f>AU200</f>
        <v>0</v>
      </c>
      <c r="AV344" s="436">
        <f>AV200</f>
        <v>0</v>
      </c>
      <c r="AW344" s="436">
        <f>AW200</f>
        <v>0</v>
      </c>
      <c r="AX344" s="436">
        <f>AX200</f>
        <v>0</v>
      </c>
      <c r="AY344" s="885">
        <f>SUM(AU344,AV344,AW344,AX344)</f>
        <v>0</v>
      </c>
      <c r="AZ344" s="885">
        <f>AZ200</f>
        <v>0</v>
      </c>
      <c r="BA344" s="885">
        <f>BA200</f>
        <v>0</v>
      </c>
      <c r="BB344" s="885">
        <f>BB200</f>
        <v>0</v>
      </c>
      <c r="BC344" s="362"/>
    </row>
    <row r="345" spans="1:55" s="23" customFormat="1" ht="14.45" customHeight="1">
      <c r="A345" s="229" t="str">
        <f t="shared" si="221"/>
        <v>Proceeds on Sale of Business</v>
      </c>
      <c r="B345" s="520"/>
      <c r="C345" s="885">
        <f t="shared" si="222"/>
        <v>0</v>
      </c>
      <c r="D345" s="885">
        <f t="shared" si="222"/>
        <v>0</v>
      </c>
      <c r="E345" s="885">
        <f t="shared" si="222"/>
        <v>0</v>
      </c>
      <c r="F345" s="885">
        <f t="shared" si="222"/>
        <v>0</v>
      </c>
      <c r="G345" s="436">
        <f t="shared" si="222"/>
        <v>0</v>
      </c>
      <c r="H345" s="436">
        <f t="shared" si="223"/>
        <v>0</v>
      </c>
      <c r="I345" s="436">
        <f t="shared" si="223"/>
        <v>0</v>
      </c>
      <c r="J345" s="436">
        <f t="shared" si="223"/>
        <v>0</v>
      </c>
      <c r="K345" s="885">
        <f t="shared" si="224"/>
        <v>0</v>
      </c>
      <c r="L345" s="436">
        <f t="shared" si="224"/>
        <v>0</v>
      </c>
      <c r="M345" s="436">
        <f t="shared" si="225"/>
        <v>0</v>
      </c>
      <c r="N345" s="436">
        <f t="shared" si="225"/>
        <v>0</v>
      </c>
      <c r="O345" s="436">
        <f t="shared" si="225"/>
        <v>0</v>
      </c>
      <c r="P345" s="885">
        <f t="shared" si="226"/>
        <v>0</v>
      </c>
      <c r="Q345" s="436">
        <f t="shared" si="226"/>
        <v>0</v>
      </c>
      <c r="R345" s="436">
        <f t="shared" si="227"/>
        <v>0</v>
      </c>
      <c r="S345" s="436">
        <f t="shared" si="227"/>
        <v>0</v>
      </c>
      <c r="T345" s="436">
        <f t="shared" si="227"/>
        <v>0</v>
      </c>
      <c r="U345" s="885">
        <f t="shared" si="228"/>
        <v>0</v>
      </c>
      <c r="V345" s="436">
        <f t="shared" si="228"/>
        <v>0</v>
      </c>
      <c r="W345" s="436">
        <f t="shared" si="229"/>
        <v>0</v>
      </c>
      <c r="X345" s="436">
        <f t="shared" si="229"/>
        <v>0</v>
      </c>
      <c r="Y345" s="436">
        <f t="shared" si="229"/>
        <v>0</v>
      </c>
      <c r="Z345" s="885">
        <f t="shared" si="230"/>
        <v>0</v>
      </c>
      <c r="AA345" s="436">
        <f t="shared" si="230"/>
        <v>0</v>
      </c>
      <c r="AB345" s="436">
        <f t="shared" si="231"/>
        <v>0</v>
      </c>
      <c r="AC345" s="436">
        <f t="shared" si="231"/>
        <v>0</v>
      </c>
      <c r="AD345" s="436">
        <f t="shared" si="231"/>
        <v>0</v>
      </c>
      <c r="AE345" s="885">
        <f t="shared" si="232"/>
        <v>0</v>
      </c>
      <c r="AF345" s="436">
        <f t="shared" si="232"/>
        <v>0</v>
      </c>
      <c r="AG345" s="436">
        <f t="shared" si="233"/>
        <v>0</v>
      </c>
      <c r="AH345" s="436">
        <f t="shared" si="233"/>
        <v>0</v>
      </c>
      <c r="AI345" s="436">
        <f t="shared" si="233"/>
        <v>0</v>
      </c>
      <c r="AJ345" s="885">
        <f t="shared" si="234"/>
        <v>0</v>
      </c>
      <c r="AK345" s="436">
        <f t="shared" si="234"/>
        <v>103.79300000000001</v>
      </c>
      <c r="AL345" s="436">
        <f t="shared" si="235"/>
        <v>0</v>
      </c>
      <c r="AM345" s="436">
        <f t="shared" si="235"/>
        <v>0.99899999999999523</v>
      </c>
      <c r="AN345" s="436">
        <f t="shared" si="235"/>
        <v>8.4999999999993747E-2</v>
      </c>
      <c r="AO345" s="885">
        <f t="shared" si="236"/>
        <v>104.877</v>
      </c>
      <c r="AP345" s="436">
        <f t="shared" si="236"/>
        <v>0</v>
      </c>
      <c r="AQ345" s="886">
        <f>AQ286-AP286</f>
        <v>0</v>
      </c>
      <c r="AR345" s="855"/>
      <c r="AS345" s="855"/>
      <c r="AT345" s="885">
        <f>SUM(AP345,AQ345,AR345,AS345)</f>
        <v>0</v>
      </c>
      <c r="AU345" s="855"/>
      <c r="AV345" s="855"/>
      <c r="AW345" s="855"/>
      <c r="AX345" s="855"/>
      <c r="AY345" s="885">
        <f>SUM(AU345,AV345,AW345,AX345)</f>
        <v>0</v>
      </c>
      <c r="AZ345" s="870"/>
      <c r="BA345" s="870"/>
      <c r="BB345" s="870"/>
      <c r="BC345" s="362"/>
    </row>
    <row r="346" spans="1:55" s="23" customFormat="1" ht="14.45" customHeight="1">
      <c r="A346" s="229" t="str">
        <f t="shared" si="221"/>
        <v>Capital Expenditures</v>
      </c>
      <c r="B346" s="520"/>
      <c r="C346" s="885">
        <f t="shared" si="222"/>
        <v>-2.4660000000000002</v>
      </c>
      <c r="D346" s="885">
        <f t="shared" si="222"/>
        <v>-3.5680000000000001</v>
      </c>
      <c r="E346" s="885">
        <f t="shared" si="222"/>
        <v>-14.281000000000001</v>
      </c>
      <c r="F346" s="885">
        <f t="shared" si="222"/>
        <v>-16.72</v>
      </c>
      <c r="G346" s="436">
        <f t="shared" si="222"/>
        <v>-1.8280000000000001</v>
      </c>
      <c r="H346" s="436">
        <f t="shared" si="223"/>
        <v>-1.8429999999999997</v>
      </c>
      <c r="I346" s="436">
        <f t="shared" si="223"/>
        <v>-1.1620000000000004</v>
      </c>
      <c r="J346" s="436">
        <f t="shared" si="223"/>
        <v>-2.0350000000000001</v>
      </c>
      <c r="K346" s="885">
        <f t="shared" si="224"/>
        <v>-6.8680000000000003</v>
      </c>
      <c r="L346" s="436">
        <f t="shared" si="224"/>
        <v>-16.905999999999999</v>
      </c>
      <c r="M346" s="436">
        <f t="shared" si="225"/>
        <v>-6.1850000000000023</v>
      </c>
      <c r="N346" s="436">
        <f t="shared" si="225"/>
        <v>-6.879999999999999</v>
      </c>
      <c r="O346" s="436">
        <f t="shared" si="225"/>
        <v>-10.910999999999998</v>
      </c>
      <c r="P346" s="885">
        <f t="shared" si="226"/>
        <v>-40.881999999999998</v>
      </c>
      <c r="Q346" s="436">
        <f t="shared" si="226"/>
        <v>-7.0590000000000002</v>
      </c>
      <c r="R346" s="436">
        <f t="shared" si="227"/>
        <v>-5.2179999999999991</v>
      </c>
      <c r="S346" s="436">
        <f t="shared" si="227"/>
        <v>-3.58</v>
      </c>
      <c r="T346" s="436">
        <f t="shared" si="227"/>
        <v>-2.7839999999999989</v>
      </c>
      <c r="U346" s="885">
        <f t="shared" si="228"/>
        <v>-18.640999999999998</v>
      </c>
      <c r="V346" s="436">
        <f t="shared" si="228"/>
        <v>-2.4500000000000002</v>
      </c>
      <c r="W346" s="436">
        <f t="shared" si="229"/>
        <v>-3.726</v>
      </c>
      <c r="X346" s="436">
        <f t="shared" si="229"/>
        <v>-3.6929999999999996</v>
      </c>
      <c r="Y346" s="436">
        <f t="shared" si="229"/>
        <v>-3.168000000000001</v>
      </c>
      <c r="Z346" s="885">
        <f t="shared" si="230"/>
        <v>-13.037000000000001</v>
      </c>
      <c r="AA346" s="436">
        <f t="shared" si="230"/>
        <v>-2.7669999999999999</v>
      </c>
      <c r="AB346" s="436">
        <f t="shared" si="231"/>
        <v>-2.9830000000000001</v>
      </c>
      <c r="AC346" s="436">
        <f t="shared" si="231"/>
        <v>-3.9649999999999999</v>
      </c>
      <c r="AD346" s="436">
        <f t="shared" si="231"/>
        <v>-3.7629999999999999</v>
      </c>
      <c r="AE346" s="885">
        <f t="shared" si="232"/>
        <v>-13.478</v>
      </c>
      <c r="AF346" s="436">
        <f t="shared" si="232"/>
        <v>-4.3460000000000001</v>
      </c>
      <c r="AG346" s="436">
        <f t="shared" si="233"/>
        <v>-4.1489999999999991</v>
      </c>
      <c r="AH346" s="436">
        <f t="shared" si="233"/>
        <v>-3.9210000000000012</v>
      </c>
      <c r="AI346" s="436">
        <f t="shared" si="233"/>
        <v>-3.9009999999999998</v>
      </c>
      <c r="AJ346" s="885">
        <f t="shared" si="234"/>
        <v>-16.317</v>
      </c>
      <c r="AK346" s="436">
        <f t="shared" si="234"/>
        <v>-3.4740000000000002</v>
      </c>
      <c r="AL346" s="436">
        <f t="shared" si="235"/>
        <v>-3.4429999999999996</v>
      </c>
      <c r="AM346" s="436">
        <f t="shared" si="235"/>
        <v>-1.9329999999999998</v>
      </c>
      <c r="AN346" s="436">
        <f t="shared" si="235"/>
        <v>-3.2330000000000005</v>
      </c>
      <c r="AO346" s="885">
        <f t="shared" si="236"/>
        <v>-12.083</v>
      </c>
      <c r="AP346" s="436">
        <f t="shared" si="236"/>
        <v>-2.7930000000000001</v>
      </c>
      <c r="AQ346" s="886">
        <f>AQ287-AP287</f>
        <v>-1.1119999999999997</v>
      </c>
      <c r="AR346" s="436">
        <f>AR198</f>
        <v>-2.2999999999999998</v>
      </c>
      <c r="AS346" s="436">
        <f>AS198</f>
        <v>-1.8</v>
      </c>
      <c r="AT346" s="885">
        <f>SUM(AP346,AQ346,AR346,AS346)</f>
        <v>-8.0050000000000008</v>
      </c>
      <c r="AU346" s="436">
        <f>AU198</f>
        <v>-8</v>
      </c>
      <c r="AV346" s="436">
        <f>AV198</f>
        <v>-8</v>
      </c>
      <c r="AW346" s="436">
        <f>AW198</f>
        <v>-8</v>
      </c>
      <c r="AX346" s="436">
        <f>AX198</f>
        <v>-8</v>
      </c>
      <c r="AY346" s="885">
        <f>SUM(AU346,AV346,AW346,AX346)</f>
        <v>-32</v>
      </c>
      <c r="AZ346" s="885">
        <f>AZ198</f>
        <v>-32</v>
      </c>
      <c r="BA346" s="885">
        <f>BA198</f>
        <v>-32</v>
      </c>
      <c r="BB346" s="885">
        <f>BB198</f>
        <v>-32</v>
      </c>
      <c r="BC346" s="362"/>
    </row>
    <row r="347" spans="1:55" s="23" customFormat="1" ht="14.45" customHeight="1">
      <c r="A347" s="229" t="str">
        <f t="shared" si="221"/>
        <v>Proceeds from sale of fixed assets</v>
      </c>
      <c r="B347" s="520"/>
      <c r="C347" s="885">
        <f t="shared" si="222"/>
        <v>0.42499999999999999</v>
      </c>
      <c r="D347" s="885">
        <f t="shared" si="222"/>
        <v>0</v>
      </c>
      <c r="E347" s="885">
        <f t="shared" si="222"/>
        <v>0</v>
      </c>
      <c r="F347" s="885">
        <f t="shared" si="222"/>
        <v>0</v>
      </c>
      <c r="G347" s="436">
        <f t="shared" si="222"/>
        <v>0</v>
      </c>
      <c r="H347" s="436">
        <f t="shared" si="223"/>
        <v>0</v>
      </c>
      <c r="I347" s="436">
        <f t="shared" si="223"/>
        <v>0</v>
      </c>
      <c r="J347" s="436">
        <f t="shared" si="223"/>
        <v>0</v>
      </c>
      <c r="K347" s="885">
        <f t="shared" si="224"/>
        <v>0</v>
      </c>
      <c r="L347" s="436">
        <f t="shared" si="224"/>
        <v>0</v>
      </c>
      <c r="M347" s="436">
        <f t="shared" si="225"/>
        <v>0</v>
      </c>
      <c r="N347" s="436">
        <f t="shared" si="225"/>
        <v>0</v>
      </c>
      <c r="O347" s="436">
        <f t="shared" si="225"/>
        <v>0</v>
      </c>
      <c r="P347" s="885">
        <f t="shared" si="226"/>
        <v>0</v>
      </c>
      <c r="Q347" s="436">
        <f t="shared" si="226"/>
        <v>0</v>
      </c>
      <c r="R347" s="436">
        <f t="shared" si="227"/>
        <v>0</v>
      </c>
      <c r="S347" s="436">
        <f t="shared" si="227"/>
        <v>0</v>
      </c>
      <c r="T347" s="436">
        <f t="shared" si="227"/>
        <v>0</v>
      </c>
      <c r="U347" s="885">
        <f t="shared" si="228"/>
        <v>0</v>
      </c>
      <c r="V347" s="436">
        <f t="shared" si="228"/>
        <v>0</v>
      </c>
      <c r="W347" s="436">
        <f t="shared" si="229"/>
        <v>0</v>
      </c>
      <c r="X347" s="436">
        <f t="shared" si="229"/>
        <v>0</v>
      </c>
      <c r="Y347" s="436">
        <f t="shared" si="229"/>
        <v>0</v>
      </c>
      <c r="Z347" s="885">
        <f t="shared" si="230"/>
        <v>0</v>
      </c>
      <c r="AA347" s="436">
        <f t="shared" si="230"/>
        <v>0</v>
      </c>
      <c r="AB347" s="436">
        <f t="shared" si="231"/>
        <v>0</v>
      </c>
      <c r="AC347" s="436">
        <f t="shared" si="231"/>
        <v>0</v>
      </c>
      <c r="AD347" s="436">
        <f t="shared" si="231"/>
        <v>0</v>
      </c>
      <c r="AE347" s="885">
        <f t="shared" si="232"/>
        <v>0</v>
      </c>
      <c r="AF347" s="436">
        <f t="shared" si="232"/>
        <v>0</v>
      </c>
      <c r="AG347" s="436">
        <f t="shared" si="233"/>
        <v>0</v>
      </c>
      <c r="AH347" s="436">
        <f t="shared" si="233"/>
        <v>0</v>
      </c>
      <c r="AI347" s="436">
        <f t="shared" si="233"/>
        <v>0</v>
      </c>
      <c r="AJ347" s="885">
        <f t="shared" si="234"/>
        <v>0</v>
      </c>
      <c r="AK347" s="436">
        <f t="shared" si="234"/>
        <v>0</v>
      </c>
      <c r="AL347" s="436">
        <f t="shared" si="235"/>
        <v>0</v>
      </c>
      <c r="AM347" s="436">
        <f t="shared" si="235"/>
        <v>0</v>
      </c>
      <c r="AN347" s="436">
        <f t="shared" si="235"/>
        <v>0</v>
      </c>
      <c r="AO347" s="885">
        <f t="shared" si="236"/>
        <v>0</v>
      </c>
      <c r="AP347" s="436">
        <f t="shared" si="236"/>
        <v>0</v>
      </c>
      <c r="AQ347" s="886">
        <f>AQ288-AP288</f>
        <v>1.6</v>
      </c>
      <c r="AR347" s="436">
        <f>AR201</f>
        <v>0</v>
      </c>
      <c r="AS347" s="436">
        <f>AS201</f>
        <v>0</v>
      </c>
      <c r="AT347" s="885">
        <f>SUM(AP347,AQ347,AR347,AS347)</f>
        <v>1.6</v>
      </c>
      <c r="AU347" s="436">
        <f>AU201</f>
        <v>0</v>
      </c>
      <c r="AV347" s="436">
        <f>AV201</f>
        <v>0</v>
      </c>
      <c r="AW347" s="436">
        <f>AW201</f>
        <v>0</v>
      </c>
      <c r="AX347" s="436">
        <f>AX201</f>
        <v>0</v>
      </c>
      <c r="AY347" s="885">
        <f>SUM(AU347,AV347,AW347,AX347)</f>
        <v>0</v>
      </c>
      <c r="AZ347" s="885">
        <f>AZ201</f>
        <v>0</v>
      </c>
      <c r="BA347" s="885">
        <f>BA201</f>
        <v>0</v>
      </c>
      <c r="BB347" s="885">
        <f>BB201</f>
        <v>0</v>
      </c>
      <c r="BC347" s="362"/>
    </row>
    <row r="348" spans="1:55" s="23" customFormat="1" ht="14.45" customHeight="1">
      <c r="A348" s="229" t="str">
        <f t="shared" si="221"/>
        <v>Other Investing Activities</v>
      </c>
      <c r="B348" s="520"/>
      <c r="C348" s="887">
        <f t="shared" si="222"/>
        <v>-6.0000000000000001E-3</v>
      </c>
      <c r="D348" s="887">
        <f t="shared" si="222"/>
        <v>-4.5999999999999999E-2</v>
      </c>
      <c r="E348" s="887">
        <f t="shared" si="222"/>
        <v>7.4999999999999997E-2</v>
      </c>
      <c r="F348" s="887">
        <f t="shared" si="222"/>
        <v>0</v>
      </c>
      <c r="G348" s="888">
        <f t="shared" si="222"/>
        <v>0</v>
      </c>
      <c r="H348" s="888">
        <f t="shared" si="223"/>
        <v>0</v>
      </c>
      <c r="I348" s="888">
        <f t="shared" si="223"/>
        <v>0</v>
      </c>
      <c r="J348" s="888">
        <f t="shared" si="223"/>
        <v>0</v>
      </c>
      <c r="K348" s="887">
        <f t="shared" si="224"/>
        <v>0</v>
      </c>
      <c r="L348" s="888">
        <f t="shared" si="224"/>
        <v>0</v>
      </c>
      <c r="M348" s="888">
        <f t="shared" si="225"/>
        <v>0</v>
      </c>
      <c r="N348" s="888">
        <f t="shared" si="225"/>
        <v>0</v>
      </c>
      <c r="O348" s="888">
        <f t="shared" si="225"/>
        <v>-3.6999999999999998E-2</v>
      </c>
      <c r="P348" s="887">
        <f t="shared" si="226"/>
        <v>-3.6999999999999998E-2</v>
      </c>
      <c r="Q348" s="888">
        <f t="shared" si="226"/>
        <v>-0.3</v>
      </c>
      <c r="R348" s="888">
        <f t="shared" si="227"/>
        <v>-2.3780000000000001</v>
      </c>
      <c r="S348" s="888">
        <f t="shared" si="227"/>
        <v>9.9999999999988987E-4</v>
      </c>
      <c r="T348" s="888">
        <f t="shared" si="227"/>
        <v>8.0000000000000071E-3</v>
      </c>
      <c r="U348" s="887">
        <f t="shared" si="228"/>
        <v>-2.669</v>
      </c>
      <c r="V348" s="888">
        <f t="shared" si="228"/>
        <v>0</v>
      </c>
      <c r="W348" s="888">
        <f t="shared" si="229"/>
        <v>-0.85</v>
      </c>
      <c r="X348" s="888">
        <f t="shared" si="229"/>
        <v>-0.73499999999999999</v>
      </c>
      <c r="Y348" s="888">
        <f t="shared" si="229"/>
        <v>0</v>
      </c>
      <c r="Z348" s="887">
        <f t="shared" si="230"/>
        <v>-1.585</v>
      </c>
      <c r="AA348" s="888">
        <f t="shared" si="230"/>
        <v>0</v>
      </c>
      <c r="AB348" s="888">
        <f t="shared" si="231"/>
        <v>0.186</v>
      </c>
      <c r="AC348" s="888">
        <f t="shared" si="231"/>
        <v>-2.2559999999999998</v>
      </c>
      <c r="AD348" s="888">
        <f t="shared" si="231"/>
        <v>2.5999999999999801E-2</v>
      </c>
      <c r="AE348" s="887">
        <f t="shared" si="232"/>
        <v>-2.044</v>
      </c>
      <c r="AF348" s="888">
        <f t="shared" si="232"/>
        <v>0</v>
      </c>
      <c r="AG348" s="888">
        <f t="shared" si="233"/>
        <v>0</v>
      </c>
      <c r="AH348" s="888">
        <f t="shared" si="233"/>
        <v>-3.3759999999999999</v>
      </c>
      <c r="AI348" s="888">
        <f t="shared" si="233"/>
        <v>2.5999999999999801E-2</v>
      </c>
      <c r="AJ348" s="887">
        <f t="shared" si="234"/>
        <v>-3.35</v>
      </c>
      <c r="AK348" s="888">
        <f t="shared" si="234"/>
        <v>0</v>
      </c>
      <c r="AL348" s="888">
        <f t="shared" si="235"/>
        <v>0</v>
      </c>
      <c r="AM348" s="888">
        <f t="shared" si="235"/>
        <v>0</v>
      </c>
      <c r="AN348" s="888">
        <f t="shared" si="235"/>
        <v>0.74299999999999999</v>
      </c>
      <c r="AO348" s="887">
        <f t="shared" si="236"/>
        <v>0.74299999999999999</v>
      </c>
      <c r="AP348" s="888">
        <f t="shared" si="236"/>
        <v>0</v>
      </c>
      <c r="AQ348" s="889">
        <f>AQ289-AP289</f>
        <v>0</v>
      </c>
      <c r="AR348" s="890"/>
      <c r="AS348" s="890"/>
      <c r="AT348" s="887">
        <f>SUM(AP348,AQ348,AR348,AS348)</f>
        <v>0</v>
      </c>
      <c r="AU348" s="890"/>
      <c r="AV348" s="890"/>
      <c r="AW348" s="890"/>
      <c r="AX348" s="890"/>
      <c r="AY348" s="887">
        <f>SUM(AU348,AV348,AW348,AX348)</f>
        <v>0</v>
      </c>
      <c r="AZ348" s="872"/>
      <c r="BA348" s="872"/>
      <c r="BB348" s="872"/>
      <c r="BC348" s="362"/>
    </row>
    <row r="349" spans="1:55" s="4" customFormat="1" ht="14.45" customHeight="1">
      <c r="A349" s="402" t="str">
        <f t="shared" si="221"/>
        <v>Net CFI</v>
      </c>
      <c r="B349" s="429"/>
      <c r="C349" s="858">
        <f t="shared" ref="C349:AH349" si="237">SUM(C344:C348)</f>
        <v>-42.702000000000005</v>
      </c>
      <c r="D349" s="858">
        <f t="shared" si="237"/>
        <v>-3.6139999999999999</v>
      </c>
      <c r="E349" s="858">
        <f t="shared" si="237"/>
        <v>-38.131999999999998</v>
      </c>
      <c r="F349" s="858">
        <f t="shared" si="237"/>
        <v>-27.378999999999998</v>
      </c>
      <c r="G349" s="402">
        <f t="shared" si="237"/>
        <v>-1.8280000000000001</v>
      </c>
      <c r="H349" s="402">
        <f t="shared" si="237"/>
        <v>-1.8429999999999997</v>
      </c>
      <c r="I349" s="402">
        <f t="shared" si="237"/>
        <v>-137.06</v>
      </c>
      <c r="J349" s="402">
        <f t="shared" si="237"/>
        <v>-25.898</v>
      </c>
      <c r="K349" s="858">
        <f t="shared" si="237"/>
        <v>-166.62899999999999</v>
      </c>
      <c r="L349" s="402">
        <f t="shared" si="237"/>
        <v>-87.181000000000012</v>
      </c>
      <c r="M349" s="402">
        <f t="shared" si="237"/>
        <v>-3.7609999999999957</v>
      </c>
      <c r="N349" s="402">
        <f t="shared" si="237"/>
        <v>-9.0570000000000057</v>
      </c>
      <c r="O349" s="402">
        <f t="shared" si="237"/>
        <v>-9.1209999999999862</v>
      </c>
      <c r="P349" s="858">
        <f t="shared" si="237"/>
        <v>-109.12</v>
      </c>
      <c r="Q349" s="402">
        <f t="shared" si="237"/>
        <v>-59.973999999999997</v>
      </c>
      <c r="R349" s="402">
        <f t="shared" si="237"/>
        <v>-7.5959999999999992</v>
      </c>
      <c r="S349" s="402">
        <f t="shared" si="237"/>
        <v>-3.57</v>
      </c>
      <c r="T349" s="402">
        <f t="shared" si="237"/>
        <v>-2.4460000000000006</v>
      </c>
      <c r="U349" s="858">
        <f t="shared" si="237"/>
        <v>-73.585999999999999</v>
      </c>
      <c r="V349" s="402">
        <f t="shared" si="237"/>
        <v>-2.4500000000000002</v>
      </c>
      <c r="W349" s="402">
        <f t="shared" si="237"/>
        <v>-4.5759999999999996</v>
      </c>
      <c r="X349" s="402">
        <f t="shared" si="237"/>
        <v>-4.4279999999999999</v>
      </c>
      <c r="Y349" s="402">
        <f t="shared" si="237"/>
        <v>-3.168000000000001</v>
      </c>
      <c r="Z349" s="858">
        <f t="shared" si="237"/>
        <v>-14.622</v>
      </c>
      <c r="AA349" s="402">
        <f t="shared" si="237"/>
        <v>-2.7669999999999999</v>
      </c>
      <c r="AB349" s="402">
        <f t="shared" si="237"/>
        <v>-13.020000000000001</v>
      </c>
      <c r="AC349" s="402">
        <f t="shared" si="237"/>
        <v>-6.1969999999999992</v>
      </c>
      <c r="AD349" s="402">
        <f t="shared" si="237"/>
        <v>-107.57700000000001</v>
      </c>
      <c r="AE349" s="858">
        <f t="shared" si="237"/>
        <v>-129.56100000000001</v>
      </c>
      <c r="AF349" s="402">
        <f t="shared" si="237"/>
        <v>-4.3460000000000001</v>
      </c>
      <c r="AG349" s="402">
        <f t="shared" si="237"/>
        <v>-4.1489999999999991</v>
      </c>
      <c r="AH349" s="402">
        <f t="shared" si="237"/>
        <v>-7.2970000000000006</v>
      </c>
      <c r="AI349" s="402">
        <f t="shared" ref="AI349:BB349" si="238">SUM(AI344:AI348)</f>
        <v>-3.875</v>
      </c>
      <c r="AJ349" s="858">
        <f t="shared" si="238"/>
        <v>-19.667000000000002</v>
      </c>
      <c r="AK349" s="402">
        <f t="shared" si="238"/>
        <v>100.319</v>
      </c>
      <c r="AL349" s="402">
        <f t="shared" si="238"/>
        <v>-3.4429999999999996</v>
      </c>
      <c r="AM349" s="402">
        <f t="shared" si="238"/>
        <v>-22.719000000000005</v>
      </c>
      <c r="AN349" s="402">
        <f t="shared" si="238"/>
        <v>-9.5270000000000064</v>
      </c>
      <c r="AO349" s="858">
        <f t="shared" si="238"/>
        <v>64.63</v>
      </c>
      <c r="AP349" s="402">
        <f t="shared" si="238"/>
        <v>-2.7930000000000001</v>
      </c>
      <c r="AQ349" s="891">
        <f t="shared" si="238"/>
        <v>0.48800000000000043</v>
      </c>
      <c r="AR349" s="402">
        <f t="shared" si="238"/>
        <v>-2.2999999999999998</v>
      </c>
      <c r="AS349" s="402">
        <f t="shared" si="238"/>
        <v>-1.8</v>
      </c>
      <c r="AT349" s="858">
        <f t="shared" si="238"/>
        <v>-6.4050000000000011</v>
      </c>
      <c r="AU349" s="402">
        <f t="shared" si="238"/>
        <v>-8</v>
      </c>
      <c r="AV349" s="402">
        <f t="shared" si="238"/>
        <v>-8</v>
      </c>
      <c r="AW349" s="402">
        <f t="shared" si="238"/>
        <v>-8</v>
      </c>
      <c r="AX349" s="402">
        <f t="shared" si="238"/>
        <v>-8</v>
      </c>
      <c r="AY349" s="858">
        <f t="shared" si="238"/>
        <v>-32</v>
      </c>
      <c r="AZ349" s="858">
        <f t="shared" si="238"/>
        <v>-32</v>
      </c>
      <c r="BA349" s="858">
        <f t="shared" si="238"/>
        <v>-32</v>
      </c>
      <c r="BB349" s="858">
        <f t="shared" si="238"/>
        <v>-32</v>
      </c>
      <c r="BC349" s="363"/>
    </row>
    <row r="350" spans="1:55" s="4" customFormat="1" ht="14.45" customHeight="1">
      <c r="A350" s="403"/>
      <c r="B350" s="345"/>
      <c r="C350" s="852"/>
      <c r="D350" s="852"/>
      <c r="E350" s="852"/>
      <c r="F350" s="852"/>
      <c r="G350" s="418"/>
      <c r="H350" s="418"/>
      <c r="I350" s="418"/>
      <c r="J350" s="418"/>
      <c r="K350" s="852"/>
      <c r="L350" s="418"/>
      <c r="M350" s="418"/>
      <c r="N350" s="418"/>
      <c r="O350" s="418"/>
      <c r="P350" s="852"/>
      <c r="Q350" s="418"/>
      <c r="R350" s="418"/>
      <c r="S350" s="418"/>
      <c r="T350" s="418"/>
      <c r="U350" s="852"/>
      <c r="V350" s="418"/>
      <c r="W350" s="418"/>
      <c r="X350" s="418"/>
      <c r="Y350" s="418"/>
      <c r="Z350" s="852"/>
      <c r="AA350" s="418"/>
      <c r="AB350" s="418"/>
      <c r="AC350" s="418"/>
      <c r="AD350" s="418"/>
      <c r="AE350" s="852"/>
      <c r="AF350" s="418"/>
      <c r="AG350" s="418"/>
      <c r="AH350" s="418"/>
      <c r="AI350" s="418"/>
      <c r="AJ350" s="852"/>
      <c r="AK350" s="418"/>
      <c r="AL350" s="418"/>
      <c r="AM350" s="418"/>
      <c r="AN350" s="418"/>
      <c r="AO350" s="852"/>
      <c r="AP350" s="418"/>
      <c r="AQ350" s="895"/>
      <c r="AR350" s="896"/>
      <c r="AS350" s="896"/>
      <c r="AT350" s="897"/>
      <c r="AU350" s="896"/>
      <c r="AV350" s="896"/>
      <c r="AW350" s="896"/>
      <c r="AX350" s="896"/>
      <c r="AY350" s="897"/>
      <c r="AZ350" s="897"/>
      <c r="BA350" s="897"/>
      <c r="BB350" s="897"/>
      <c r="BC350" s="363"/>
    </row>
    <row r="351" spans="1:55" s="4" customFormat="1" ht="14.45" customHeight="1">
      <c r="A351" s="403" t="str">
        <f>A292</f>
        <v>CFF</v>
      </c>
      <c r="B351" s="345"/>
      <c r="C351" s="852"/>
      <c r="D351" s="852"/>
      <c r="E351" s="852"/>
      <c r="F351" s="852"/>
      <c r="G351" s="418"/>
      <c r="H351" s="418"/>
      <c r="I351" s="418"/>
      <c r="J351" s="418"/>
      <c r="K351" s="852"/>
      <c r="L351" s="418"/>
      <c r="M351" s="418"/>
      <c r="N351" s="418"/>
      <c r="O351" s="418"/>
      <c r="P351" s="852"/>
      <c r="Q351" s="418"/>
      <c r="R351" s="418"/>
      <c r="S351" s="418"/>
      <c r="T351" s="418"/>
      <c r="U351" s="852"/>
      <c r="V351" s="418"/>
      <c r="W351" s="418"/>
      <c r="X351" s="418"/>
      <c r="Y351" s="418"/>
      <c r="Z351" s="852"/>
      <c r="AA351" s="418"/>
      <c r="AB351" s="418"/>
      <c r="AC351" s="418"/>
      <c r="AD351" s="418"/>
      <c r="AE351" s="852"/>
      <c r="AF351" s="418"/>
      <c r="AG351" s="418"/>
      <c r="AH351" s="418"/>
      <c r="AI351" s="418"/>
      <c r="AJ351" s="852"/>
      <c r="AK351" s="418"/>
      <c r="AL351" s="418"/>
      <c r="AM351" s="418"/>
      <c r="AN351" s="418"/>
      <c r="AO351" s="852"/>
      <c r="AP351" s="418"/>
      <c r="AQ351" s="895"/>
      <c r="AR351" s="896"/>
      <c r="AS351" s="896"/>
      <c r="AT351" s="897"/>
      <c r="AU351" s="896"/>
      <c r="AV351" s="896"/>
      <c r="AW351" s="896"/>
      <c r="AX351" s="896"/>
      <c r="AY351" s="897"/>
      <c r="AZ351" s="897"/>
      <c r="BA351" s="897"/>
      <c r="BB351" s="897"/>
      <c r="BC351" s="363"/>
    </row>
    <row r="352" spans="1:55" s="23" customFormat="1" ht="14.45" customHeight="1">
      <c r="A352" s="229" t="s">
        <v>173</v>
      </c>
      <c r="B352" s="520"/>
      <c r="C352" s="885">
        <f t="shared" ref="C352:G364" si="239">C293</f>
        <v>40</v>
      </c>
      <c r="D352" s="885">
        <f t="shared" si="239"/>
        <v>0</v>
      </c>
      <c r="E352" s="885">
        <f t="shared" si="239"/>
        <v>0</v>
      </c>
      <c r="F352" s="885">
        <f t="shared" si="239"/>
        <v>0</v>
      </c>
      <c r="G352" s="436">
        <f t="shared" si="239"/>
        <v>0</v>
      </c>
      <c r="H352" s="436">
        <f t="shared" ref="H352:J364" si="240">H293-G293</f>
        <v>0</v>
      </c>
      <c r="I352" s="436">
        <f t="shared" si="240"/>
        <v>190</v>
      </c>
      <c r="J352" s="436">
        <f t="shared" si="240"/>
        <v>0</v>
      </c>
      <c r="K352" s="885">
        <f t="shared" ref="K352:L364" si="241">K293</f>
        <v>190</v>
      </c>
      <c r="L352" s="436">
        <f t="shared" si="241"/>
        <v>58</v>
      </c>
      <c r="M352" s="436">
        <f t="shared" ref="M352:O364" si="242">M293-L293</f>
        <v>0.14999999999999858</v>
      </c>
      <c r="N352" s="436">
        <f t="shared" si="242"/>
        <v>187.26399999999998</v>
      </c>
      <c r="O352" s="436">
        <f t="shared" si="242"/>
        <v>0.48000000000001819</v>
      </c>
      <c r="P352" s="885">
        <f t="shared" ref="P352:Q364" si="243">P293</f>
        <v>245.89400000000001</v>
      </c>
      <c r="Q352" s="436">
        <f t="shared" si="243"/>
        <v>40</v>
      </c>
      <c r="R352" s="436">
        <f t="shared" ref="R352:T364" si="244">R293-Q293</f>
        <v>15</v>
      </c>
      <c r="S352" s="436">
        <f t="shared" si="244"/>
        <v>0</v>
      </c>
      <c r="T352" s="436">
        <f t="shared" si="244"/>
        <v>0</v>
      </c>
      <c r="U352" s="885">
        <f t="shared" ref="U352:V364" si="245">U293</f>
        <v>55</v>
      </c>
      <c r="V352" s="436">
        <f t="shared" si="245"/>
        <v>10</v>
      </c>
      <c r="W352" s="436">
        <f t="shared" ref="W352:Y364" si="246">W293-V293</f>
        <v>5</v>
      </c>
      <c r="X352" s="436">
        <f t="shared" si="246"/>
        <v>5</v>
      </c>
      <c r="Y352" s="436">
        <f t="shared" si="246"/>
        <v>0</v>
      </c>
      <c r="Z352" s="885">
        <f t="shared" ref="Z352:AA364" si="247">Z293</f>
        <v>20</v>
      </c>
      <c r="AA352" s="436">
        <f t="shared" si="247"/>
        <v>0</v>
      </c>
      <c r="AB352" s="436">
        <f t="shared" ref="AB352:AD364" si="248">AB293-AA293</f>
        <v>22</v>
      </c>
      <c r="AC352" s="436">
        <f t="shared" si="248"/>
        <v>20</v>
      </c>
      <c r="AD352" s="436">
        <f t="shared" si="248"/>
        <v>105.08600000000001</v>
      </c>
      <c r="AE352" s="885">
        <f t="shared" ref="AE352:AF364" si="249">AE293</f>
        <v>147.08600000000001</v>
      </c>
      <c r="AF352" s="436">
        <f t="shared" si="249"/>
        <v>15</v>
      </c>
      <c r="AG352" s="436">
        <f t="shared" ref="AG352:AI364" si="250">AG293-AF293</f>
        <v>15.015000000000001</v>
      </c>
      <c r="AH352" s="436">
        <f t="shared" si="250"/>
        <v>5</v>
      </c>
      <c r="AI352" s="436">
        <f t="shared" si="250"/>
        <v>0</v>
      </c>
      <c r="AJ352" s="885">
        <f t="shared" ref="AJ352:AK364" si="251">AJ293</f>
        <v>35.015000000000001</v>
      </c>
      <c r="AK352" s="436">
        <f t="shared" si="251"/>
        <v>10</v>
      </c>
      <c r="AL352" s="436">
        <f t="shared" ref="AL352:AN364" si="252">AL293-AK293</f>
        <v>17</v>
      </c>
      <c r="AM352" s="436">
        <f t="shared" si="252"/>
        <v>72</v>
      </c>
      <c r="AN352" s="436">
        <f t="shared" si="252"/>
        <v>18</v>
      </c>
      <c r="AO352" s="885">
        <f t="shared" ref="AO352:AP364" si="253">AO293</f>
        <v>117</v>
      </c>
      <c r="AP352" s="436">
        <f t="shared" si="253"/>
        <v>150</v>
      </c>
      <c r="AQ352" s="886">
        <f t="shared" ref="AQ352:AQ364" si="254">AQ293-AP293</f>
        <v>0</v>
      </c>
      <c r="AR352" s="855"/>
      <c r="AS352" s="855"/>
      <c r="AT352" s="885">
        <f t="shared" ref="AT352:AT364" si="255">SUM(AP352,AQ352,AR352,AS352)</f>
        <v>150</v>
      </c>
      <c r="AU352" s="855"/>
      <c r="AV352" s="855"/>
      <c r="AW352" s="855"/>
      <c r="AX352" s="855"/>
      <c r="AY352" s="885">
        <f t="shared" ref="AY352:AY364" si="256">SUM(AU352,AV352,AW352,AX352)</f>
        <v>0</v>
      </c>
      <c r="AZ352" s="870"/>
      <c r="BA352" s="870"/>
      <c r="BB352" s="870"/>
      <c r="BC352" s="362"/>
    </row>
    <row r="353" spans="1:55" s="23" customFormat="1" ht="14.45" customHeight="1">
      <c r="A353" s="229" t="s">
        <v>174</v>
      </c>
      <c r="B353" s="520"/>
      <c r="C353" s="885">
        <f t="shared" si="239"/>
        <v>-14.965</v>
      </c>
      <c r="D353" s="885">
        <f t="shared" si="239"/>
        <v>-6.2450000000000001</v>
      </c>
      <c r="E353" s="885">
        <f t="shared" si="239"/>
        <v>-5.3019999999999996</v>
      </c>
      <c r="F353" s="885">
        <f t="shared" si="239"/>
        <v>-10.307</v>
      </c>
      <c r="G353" s="436">
        <f t="shared" si="239"/>
        <v>-2.0350000000000001</v>
      </c>
      <c r="H353" s="436">
        <f t="shared" si="240"/>
        <v>-2.4429999999999996</v>
      </c>
      <c r="I353" s="436">
        <f t="shared" si="240"/>
        <v>-16.816000000000003</v>
      </c>
      <c r="J353" s="436">
        <f t="shared" si="240"/>
        <v>1.7959999999999994</v>
      </c>
      <c r="K353" s="885">
        <f t="shared" si="241"/>
        <v>-19.498000000000001</v>
      </c>
      <c r="L353" s="436">
        <f t="shared" si="241"/>
        <v>-0.40500000000000003</v>
      </c>
      <c r="M353" s="436">
        <f t="shared" si="242"/>
        <v>-25.477999999999998</v>
      </c>
      <c r="N353" s="436">
        <f t="shared" si="242"/>
        <v>-219.87799999999999</v>
      </c>
      <c r="O353" s="436">
        <f t="shared" si="242"/>
        <v>-29.782999999999987</v>
      </c>
      <c r="P353" s="885">
        <f t="shared" si="243"/>
        <v>-275.54399999999998</v>
      </c>
      <c r="Q353" s="436">
        <f t="shared" si="243"/>
        <v>-5.6630000000000003</v>
      </c>
      <c r="R353" s="436">
        <f t="shared" si="244"/>
        <v>-0.66800000000000015</v>
      </c>
      <c r="S353" s="436">
        <f t="shared" si="244"/>
        <v>-22.677</v>
      </c>
      <c r="T353" s="436">
        <f t="shared" si="244"/>
        <v>-38.686000000000007</v>
      </c>
      <c r="U353" s="885">
        <f t="shared" si="245"/>
        <v>-67.694000000000003</v>
      </c>
      <c r="V353" s="436">
        <f t="shared" si="245"/>
        <v>-7.6040000000000001</v>
      </c>
      <c r="W353" s="436">
        <f t="shared" si="246"/>
        <v>-10.675000000000001</v>
      </c>
      <c r="X353" s="436">
        <f t="shared" si="246"/>
        <v>-7.629999999999999</v>
      </c>
      <c r="Y353" s="436">
        <f t="shared" si="246"/>
        <v>-15.926000000000002</v>
      </c>
      <c r="Z353" s="885">
        <f t="shared" si="247"/>
        <v>-41.835000000000001</v>
      </c>
      <c r="AA353" s="436">
        <f t="shared" si="247"/>
        <v>-6.657</v>
      </c>
      <c r="AB353" s="436">
        <f t="shared" si="248"/>
        <v>-0.68400000000000016</v>
      </c>
      <c r="AC353" s="436">
        <f t="shared" si="248"/>
        <v>-5.69</v>
      </c>
      <c r="AD353" s="436">
        <f t="shared" si="248"/>
        <v>-10.688999999999998</v>
      </c>
      <c r="AE353" s="885">
        <f t="shared" si="249"/>
        <v>-23.72</v>
      </c>
      <c r="AF353" s="436">
        <f t="shared" si="249"/>
        <v>-10.705</v>
      </c>
      <c r="AG353" s="436">
        <f t="shared" si="250"/>
        <v>-25.710999999999999</v>
      </c>
      <c r="AH353" s="436">
        <f t="shared" si="250"/>
        <v>-10.700000000000003</v>
      </c>
      <c r="AI353" s="436">
        <f t="shared" si="250"/>
        <v>-25.718000000000004</v>
      </c>
      <c r="AJ353" s="885">
        <f t="shared" si="251"/>
        <v>-72.834000000000003</v>
      </c>
      <c r="AK353" s="436">
        <f t="shared" si="251"/>
        <v>-122.026</v>
      </c>
      <c r="AL353" s="436">
        <f t="shared" si="252"/>
        <v>-10.027000000000001</v>
      </c>
      <c r="AM353" s="436">
        <f t="shared" si="252"/>
        <v>-14.027000000000015</v>
      </c>
      <c r="AN353" s="436">
        <f t="shared" si="252"/>
        <v>-10.026999999999987</v>
      </c>
      <c r="AO353" s="885">
        <f t="shared" si="253"/>
        <v>-156.107</v>
      </c>
      <c r="AP353" s="436">
        <f t="shared" si="253"/>
        <v>-5</v>
      </c>
      <c r="AQ353" s="886">
        <f t="shared" si="254"/>
        <v>-160</v>
      </c>
      <c r="AR353" s="436">
        <f>AR205</f>
        <v>0</v>
      </c>
      <c r="AS353" s="436">
        <f>AS205</f>
        <v>0</v>
      </c>
      <c r="AT353" s="885">
        <f t="shared" si="255"/>
        <v>-165</v>
      </c>
      <c r="AU353" s="436">
        <f>AU205</f>
        <v>0</v>
      </c>
      <c r="AV353" s="436">
        <f>AV205</f>
        <v>0</v>
      </c>
      <c r="AW353" s="436">
        <f>AW205</f>
        <v>0</v>
      </c>
      <c r="AX353" s="436">
        <f>AX205</f>
        <v>0</v>
      </c>
      <c r="AY353" s="885">
        <f t="shared" si="256"/>
        <v>0</v>
      </c>
      <c r="AZ353" s="885">
        <f>AZ205</f>
        <v>0</v>
      </c>
      <c r="BA353" s="885">
        <f>BA205</f>
        <v>0</v>
      </c>
      <c r="BB353" s="885">
        <f>BB205</f>
        <v>0</v>
      </c>
      <c r="BC353" s="362"/>
    </row>
    <row r="354" spans="1:55" s="23" customFormat="1" ht="14.45" customHeight="1">
      <c r="A354" s="229" t="s">
        <v>175</v>
      </c>
      <c r="B354" s="520"/>
      <c r="C354" s="885">
        <f t="shared" si="239"/>
        <v>4.1760000000000002</v>
      </c>
      <c r="D354" s="885">
        <f t="shared" si="239"/>
        <v>0</v>
      </c>
      <c r="E354" s="885">
        <f t="shared" si="239"/>
        <v>0</v>
      </c>
      <c r="F354" s="885">
        <f t="shared" si="239"/>
        <v>10</v>
      </c>
      <c r="G354" s="436">
        <f t="shared" si="239"/>
        <v>0</v>
      </c>
      <c r="H354" s="436">
        <f t="shared" si="240"/>
        <v>0</v>
      </c>
      <c r="I354" s="436">
        <f t="shared" si="240"/>
        <v>0</v>
      </c>
      <c r="J354" s="436">
        <f t="shared" si="240"/>
        <v>0</v>
      </c>
      <c r="K354" s="885">
        <f t="shared" si="241"/>
        <v>0</v>
      </c>
      <c r="L354" s="436">
        <f t="shared" si="241"/>
        <v>0</v>
      </c>
      <c r="M354" s="436">
        <f t="shared" si="242"/>
        <v>0</v>
      </c>
      <c r="N354" s="436">
        <f t="shared" si="242"/>
        <v>0</v>
      </c>
      <c r="O354" s="436">
        <f t="shared" si="242"/>
        <v>0</v>
      </c>
      <c r="P354" s="885">
        <f t="shared" si="243"/>
        <v>0</v>
      </c>
      <c r="Q354" s="436">
        <f t="shared" si="243"/>
        <v>0</v>
      </c>
      <c r="R354" s="436">
        <f t="shared" si="244"/>
        <v>0</v>
      </c>
      <c r="S354" s="436">
        <f t="shared" si="244"/>
        <v>0</v>
      </c>
      <c r="T354" s="436">
        <f t="shared" si="244"/>
        <v>0</v>
      </c>
      <c r="U354" s="885">
        <f t="shared" si="245"/>
        <v>0</v>
      </c>
      <c r="V354" s="436">
        <f t="shared" si="245"/>
        <v>0</v>
      </c>
      <c r="W354" s="436">
        <f t="shared" si="246"/>
        <v>0</v>
      </c>
      <c r="X354" s="436">
        <f t="shared" si="246"/>
        <v>0</v>
      </c>
      <c r="Y354" s="436">
        <f t="shared" si="246"/>
        <v>0</v>
      </c>
      <c r="Z354" s="885">
        <f t="shared" si="247"/>
        <v>0</v>
      </c>
      <c r="AA354" s="436">
        <f t="shared" si="247"/>
        <v>0</v>
      </c>
      <c r="AB354" s="436">
        <f t="shared" si="248"/>
        <v>0</v>
      </c>
      <c r="AC354" s="436">
        <f t="shared" si="248"/>
        <v>0</v>
      </c>
      <c r="AD354" s="436">
        <f t="shared" si="248"/>
        <v>0</v>
      </c>
      <c r="AE354" s="885">
        <f t="shared" si="249"/>
        <v>0</v>
      </c>
      <c r="AF354" s="436">
        <f t="shared" si="249"/>
        <v>0</v>
      </c>
      <c r="AG354" s="436">
        <f t="shared" si="250"/>
        <v>0</v>
      </c>
      <c r="AH354" s="436">
        <f t="shared" si="250"/>
        <v>0</v>
      </c>
      <c r="AI354" s="436">
        <f t="shared" si="250"/>
        <v>0</v>
      </c>
      <c r="AJ354" s="885">
        <f t="shared" si="251"/>
        <v>0</v>
      </c>
      <c r="AK354" s="436">
        <f t="shared" si="251"/>
        <v>0</v>
      </c>
      <c r="AL354" s="436">
        <f t="shared" si="252"/>
        <v>0</v>
      </c>
      <c r="AM354" s="436">
        <f t="shared" si="252"/>
        <v>0</v>
      </c>
      <c r="AN354" s="436">
        <f t="shared" si="252"/>
        <v>0</v>
      </c>
      <c r="AO354" s="885">
        <f t="shared" si="253"/>
        <v>0</v>
      </c>
      <c r="AP354" s="436">
        <f t="shared" si="253"/>
        <v>0</v>
      </c>
      <c r="AQ354" s="886">
        <f t="shared" si="254"/>
        <v>0</v>
      </c>
      <c r="AR354" s="855"/>
      <c r="AS354" s="855"/>
      <c r="AT354" s="885">
        <f t="shared" si="255"/>
        <v>0</v>
      </c>
      <c r="AU354" s="855"/>
      <c r="AV354" s="855"/>
      <c r="AW354" s="855"/>
      <c r="AX354" s="855"/>
      <c r="AY354" s="885">
        <f t="shared" si="256"/>
        <v>0</v>
      </c>
      <c r="AZ354" s="870"/>
      <c r="BA354" s="870"/>
      <c r="BB354" s="870"/>
      <c r="BC354" s="362"/>
    </row>
    <row r="355" spans="1:55" s="23" customFormat="1" ht="14.45" customHeight="1">
      <c r="A355" s="229" t="s">
        <v>176</v>
      </c>
      <c r="B355" s="520"/>
      <c r="C355" s="885">
        <f t="shared" si="239"/>
        <v>-4.1760000000000002</v>
      </c>
      <c r="D355" s="885">
        <f t="shared" si="239"/>
        <v>0</v>
      </c>
      <c r="E355" s="885">
        <f t="shared" si="239"/>
        <v>0</v>
      </c>
      <c r="F355" s="885">
        <f t="shared" si="239"/>
        <v>-3</v>
      </c>
      <c r="G355" s="436">
        <f t="shared" si="239"/>
        <v>0</v>
      </c>
      <c r="H355" s="436">
        <f t="shared" si="240"/>
        <v>0</v>
      </c>
      <c r="I355" s="436">
        <f t="shared" si="240"/>
        <v>0</v>
      </c>
      <c r="J355" s="436">
        <f t="shared" si="240"/>
        <v>-7</v>
      </c>
      <c r="K355" s="885">
        <f t="shared" si="241"/>
        <v>-7</v>
      </c>
      <c r="L355" s="436">
        <f t="shared" si="241"/>
        <v>0</v>
      </c>
      <c r="M355" s="436">
        <f t="shared" si="242"/>
        <v>0</v>
      </c>
      <c r="N355" s="436">
        <f t="shared" si="242"/>
        <v>0</v>
      </c>
      <c r="O355" s="436">
        <f t="shared" si="242"/>
        <v>0</v>
      </c>
      <c r="P355" s="885">
        <f t="shared" si="243"/>
        <v>0</v>
      </c>
      <c r="Q355" s="436">
        <f t="shared" si="243"/>
        <v>0</v>
      </c>
      <c r="R355" s="436">
        <f t="shared" si="244"/>
        <v>0</v>
      </c>
      <c r="S355" s="436">
        <f t="shared" si="244"/>
        <v>0</v>
      </c>
      <c r="T355" s="436">
        <f t="shared" si="244"/>
        <v>0</v>
      </c>
      <c r="U355" s="885">
        <f t="shared" si="245"/>
        <v>0</v>
      </c>
      <c r="V355" s="436">
        <f t="shared" si="245"/>
        <v>0</v>
      </c>
      <c r="W355" s="436">
        <f t="shared" si="246"/>
        <v>0</v>
      </c>
      <c r="X355" s="436">
        <f t="shared" si="246"/>
        <v>0</v>
      </c>
      <c r="Y355" s="436">
        <f t="shared" si="246"/>
        <v>0</v>
      </c>
      <c r="Z355" s="885">
        <f t="shared" si="247"/>
        <v>0</v>
      </c>
      <c r="AA355" s="436">
        <f t="shared" si="247"/>
        <v>0</v>
      </c>
      <c r="AB355" s="436">
        <f t="shared" si="248"/>
        <v>0</v>
      </c>
      <c r="AC355" s="436">
        <f t="shared" si="248"/>
        <v>0</v>
      </c>
      <c r="AD355" s="436">
        <f t="shared" si="248"/>
        <v>0</v>
      </c>
      <c r="AE355" s="885">
        <f t="shared" si="249"/>
        <v>0</v>
      </c>
      <c r="AF355" s="436">
        <f t="shared" si="249"/>
        <v>0</v>
      </c>
      <c r="AG355" s="436">
        <f t="shared" si="250"/>
        <v>0</v>
      </c>
      <c r="AH355" s="436">
        <f t="shared" si="250"/>
        <v>0</v>
      </c>
      <c r="AI355" s="436">
        <f t="shared" si="250"/>
        <v>0</v>
      </c>
      <c r="AJ355" s="885">
        <f t="shared" si="251"/>
        <v>0</v>
      </c>
      <c r="AK355" s="436">
        <f t="shared" si="251"/>
        <v>0</v>
      </c>
      <c r="AL355" s="436">
        <f t="shared" si="252"/>
        <v>0</v>
      </c>
      <c r="AM355" s="436">
        <f t="shared" si="252"/>
        <v>0</v>
      </c>
      <c r="AN355" s="436">
        <f t="shared" si="252"/>
        <v>0</v>
      </c>
      <c r="AO355" s="885">
        <f t="shared" si="253"/>
        <v>0</v>
      </c>
      <c r="AP355" s="436">
        <f t="shared" si="253"/>
        <v>0</v>
      </c>
      <c r="AQ355" s="886">
        <f t="shared" si="254"/>
        <v>0</v>
      </c>
      <c r="AR355" s="855"/>
      <c r="AS355" s="855"/>
      <c r="AT355" s="885">
        <f t="shared" si="255"/>
        <v>0</v>
      </c>
      <c r="AU355" s="855"/>
      <c r="AV355" s="855"/>
      <c r="AW355" s="855"/>
      <c r="AX355" s="855"/>
      <c r="AY355" s="885">
        <f t="shared" si="256"/>
        <v>0</v>
      </c>
      <c r="AZ355" s="870"/>
      <c r="BA355" s="870"/>
      <c r="BB355" s="870"/>
      <c r="BC355" s="362"/>
    </row>
    <row r="356" spans="1:55" s="23" customFormat="1" ht="14.45" customHeight="1">
      <c r="A356" s="229" t="s">
        <v>177</v>
      </c>
      <c r="B356" s="520"/>
      <c r="C356" s="885">
        <f t="shared" si="239"/>
        <v>0</v>
      </c>
      <c r="D356" s="885">
        <f t="shared" si="239"/>
        <v>0</v>
      </c>
      <c r="E356" s="885">
        <f t="shared" si="239"/>
        <v>0</v>
      </c>
      <c r="F356" s="885">
        <f t="shared" si="239"/>
        <v>0</v>
      </c>
      <c r="G356" s="436">
        <f t="shared" si="239"/>
        <v>0</v>
      </c>
      <c r="H356" s="436">
        <f t="shared" si="240"/>
        <v>0</v>
      </c>
      <c r="I356" s="436">
        <f t="shared" si="240"/>
        <v>0</v>
      </c>
      <c r="J356" s="436">
        <f t="shared" si="240"/>
        <v>0</v>
      </c>
      <c r="K356" s="885">
        <f t="shared" si="241"/>
        <v>0</v>
      </c>
      <c r="L356" s="436">
        <f t="shared" si="241"/>
        <v>0</v>
      </c>
      <c r="M356" s="436">
        <f t="shared" si="242"/>
        <v>0</v>
      </c>
      <c r="N356" s="436">
        <f t="shared" si="242"/>
        <v>0</v>
      </c>
      <c r="O356" s="436">
        <f t="shared" si="242"/>
        <v>0</v>
      </c>
      <c r="P356" s="885">
        <f t="shared" si="243"/>
        <v>0</v>
      </c>
      <c r="Q356" s="436">
        <f t="shared" si="243"/>
        <v>0</v>
      </c>
      <c r="R356" s="436">
        <f t="shared" si="244"/>
        <v>0</v>
      </c>
      <c r="S356" s="436">
        <f t="shared" si="244"/>
        <v>0</v>
      </c>
      <c r="T356" s="436">
        <f t="shared" si="244"/>
        <v>0</v>
      </c>
      <c r="U356" s="885">
        <f t="shared" si="245"/>
        <v>0</v>
      </c>
      <c r="V356" s="436">
        <f t="shared" si="245"/>
        <v>-4.2610000000000001</v>
      </c>
      <c r="W356" s="436">
        <f t="shared" si="246"/>
        <v>-7.8929999999999998</v>
      </c>
      <c r="X356" s="436">
        <f t="shared" si="246"/>
        <v>-5.2920000000000016</v>
      </c>
      <c r="Y356" s="436">
        <f t="shared" si="246"/>
        <v>-0.17199999999999704</v>
      </c>
      <c r="Z356" s="885">
        <f t="shared" si="247"/>
        <v>-17.617999999999999</v>
      </c>
      <c r="AA356" s="436">
        <f t="shared" si="247"/>
        <v>-4.4130000000000003</v>
      </c>
      <c r="AB356" s="436">
        <f t="shared" si="248"/>
        <v>-9.1109999999999989</v>
      </c>
      <c r="AC356" s="436">
        <f t="shared" si="248"/>
        <v>-18.857999999999997</v>
      </c>
      <c r="AD356" s="436">
        <f t="shared" si="248"/>
        <v>0</v>
      </c>
      <c r="AE356" s="885">
        <f t="shared" si="249"/>
        <v>-32.381999999999998</v>
      </c>
      <c r="AF356" s="436">
        <f t="shared" si="249"/>
        <v>0</v>
      </c>
      <c r="AG356" s="436">
        <f t="shared" si="250"/>
        <v>0</v>
      </c>
      <c r="AH356" s="436">
        <f t="shared" si="250"/>
        <v>0</v>
      </c>
      <c r="AI356" s="436">
        <f t="shared" si="250"/>
        <v>0</v>
      </c>
      <c r="AJ356" s="885">
        <f t="shared" si="251"/>
        <v>0</v>
      </c>
      <c r="AK356" s="436">
        <f t="shared" si="251"/>
        <v>0</v>
      </c>
      <c r="AL356" s="436">
        <f t="shared" si="252"/>
        <v>0</v>
      </c>
      <c r="AM356" s="436">
        <f t="shared" si="252"/>
        <v>-50</v>
      </c>
      <c r="AN356" s="436">
        <f t="shared" si="252"/>
        <v>-0.78399999999999892</v>
      </c>
      <c r="AO356" s="885">
        <f t="shared" si="253"/>
        <v>-50.783999999999999</v>
      </c>
      <c r="AP356" s="436">
        <f t="shared" si="253"/>
        <v>-7.7320000000000002</v>
      </c>
      <c r="AQ356" s="886">
        <f t="shared" si="254"/>
        <v>0</v>
      </c>
      <c r="AR356" s="436">
        <f>AR206</f>
        <v>0</v>
      </c>
      <c r="AS356" s="436">
        <f>AS206</f>
        <v>0</v>
      </c>
      <c r="AT356" s="885">
        <f t="shared" si="255"/>
        <v>-7.7320000000000002</v>
      </c>
      <c r="AU356" s="436">
        <f>AU206</f>
        <v>0</v>
      </c>
      <c r="AV356" s="436">
        <f>AV206</f>
        <v>0</v>
      </c>
      <c r="AW356" s="436">
        <f>AW206</f>
        <v>0</v>
      </c>
      <c r="AX356" s="436">
        <f>AX206</f>
        <v>0</v>
      </c>
      <c r="AY356" s="885">
        <f t="shared" si="256"/>
        <v>0</v>
      </c>
      <c r="AZ356" s="885">
        <f>AZ206</f>
        <v>0</v>
      </c>
      <c r="BA356" s="885">
        <f>BA206</f>
        <v>0</v>
      </c>
      <c r="BB356" s="885">
        <f>BB206</f>
        <v>0</v>
      </c>
      <c r="BC356" s="362"/>
    </row>
    <row r="357" spans="1:55" s="23" customFormat="1" ht="14.45" customHeight="1">
      <c r="A357" s="229" t="s">
        <v>178</v>
      </c>
      <c r="B357" s="520"/>
      <c r="C357" s="885">
        <f t="shared" si="239"/>
        <v>-1.6819999999999999</v>
      </c>
      <c r="D357" s="885">
        <f t="shared" si="239"/>
        <v>0</v>
      </c>
      <c r="E357" s="885">
        <f t="shared" si="239"/>
        <v>-0.14299999999999999</v>
      </c>
      <c r="F357" s="885">
        <f t="shared" si="239"/>
        <v>0</v>
      </c>
      <c r="G357" s="436">
        <f t="shared" si="239"/>
        <v>-0.16</v>
      </c>
      <c r="H357" s="436">
        <f t="shared" si="240"/>
        <v>0</v>
      </c>
      <c r="I357" s="436">
        <f t="shared" si="240"/>
        <v>-2.1279999999999997</v>
      </c>
      <c r="J357" s="436">
        <f t="shared" si="240"/>
        <v>0</v>
      </c>
      <c r="K357" s="885">
        <f t="shared" si="241"/>
        <v>-2.2879999999999998</v>
      </c>
      <c r="L357" s="436">
        <f t="shared" si="241"/>
        <v>-0.28000000000000003</v>
      </c>
      <c r="M357" s="436">
        <f t="shared" si="242"/>
        <v>0</v>
      </c>
      <c r="N357" s="436">
        <f t="shared" si="242"/>
        <v>-0.29299999999999993</v>
      </c>
      <c r="O357" s="436">
        <f t="shared" si="242"/>
        <v>0</v>
      </c>
      <c r="P357" s="885">
        <f t="shared" si="243"/>
        <v>-0.57299999999999995</v>
      </c>
      <c r="Q357" s="436">
        <f t="shared" si="243"/>
        <v>0</v>
      </c>
      <c r="R357" s="436">
        <f t="shared" si="244"/>
        <v>0</v>
      </c>
      <c r="S357" s="436">
        <f t="shared" si="244"/>
        <v>0</v>
      </c>
      <c r="T357" s="436">
        <f t="shared" si="244"/>
        <v>0</v>
      </c>
      <c r="U357" s="885">
        <f t="shared" si="245"/>
        <v>0</v>
      </c>
      <c r="V357" s="436">
        <f t="shared" si="245"/>
        <v>-0.16400000000000001</v>
      </c>
      <c r="W357" s="436">
        <f t="shared" si="246"/>
        <v>0</v>
      </c>
      <c r="X357" s="436">
        <f t="shared" si="246"/>
        <v>0</v>
      </c>
      <c r="Y357" s="436">
        <f t="shared" si="246"/>
        <v>0.16400000000000001</v>
      </c>
      <c r="Z357" s="885">
        <f t="shared" si="247"/>
        <v>0</v>
      </c>
      <c r="AA357" s="436">
        <f t="shared" si="247"/>
        <v>0</v>
      </c>
      <c r="AB357" s="436">
        <f t="shared" si="248"/>
        <v>0</v>
      </c>
      <c r="AC357" s="436">
        <f t="shared" si="248"/>
        <v>0</v>
      </c>
      <c r="AD357" s="436">
        <f t="shared" si="248"/>
        <v>0</v>
      </c>
      <c r="AE357" s="885">
        <f t="shared" si="249"/>
        <v>0</v>
      </c>
      <c r="AF357" s="436">
        <f t="shared" si="249"/>
        <v>-0.51600000000000001</v>
      </c>
      <c r="AG357" s="436">
        <f t="shared" si="250"/>
        <v>0</v>
      </c>
      <c r="AH357" s="436">
        <f t="shared" si="250"/>
        <v>0</v>
      </c>
      <c r="AI357" s="436">
        <f t="shared" si="250"/>
        <v>0</v>
      </c>
      <c r="AJ357" s="885">
        <f t="shared" si="251"/>
        <v>-0.51600000000000001</v>
      </c>
      <c r="AK357" s="436">
        <f t="shared" si="251"/>
        <v>0</v>
      </c>
      <c r="AL357" s="436">
        <f t="shared" si="252"/>
        <v>0</v>
      </c>
      <c r="AM357" s="436">
        <f t="shared" si="252"/>
        <v>0</v>
      </c>
      <c r="AN357" s="436">
        <f t="shared" si="252"/>
        <v>0</v>
      </c>
      <c r="AO357" s="885">
        <f t="shared" si="253"/>
        <v>0</v>
      </c>
      <c r="AP357" s="436">
        <f t="shared" si="253"/>
        <v>0</v>
      </c>
      <c r="AQ357" s="886">
        <f t="shared" si="254"/>
        <v>0</v>
      </c>
      <c r="AR357" s="855"/>
      <c r="AS357" s="855"/>
      <c r="AT357" s="885">
        <f t="shared" si="255"/>
        <v>0</v>
      </c>
      <c r="AU357" s="855"/>
      <c r="AV357" s="855"/>
      <c r="AW357" s="855"/>
      <c r="AX357" s="855"/>
      <c r="AY357" s="885">
        <f t="shared" si="256"/>
        <v>0</v>
      </c>
      <c r="AZ357" s="870"/>
      <c r="BA357" s="870"/>
      <c r="BB357" s="870"/>
      <c r="BC357" s="362"/>
    </row>
    <row r="358" spans="1:55" s="23" customFormat="1" ht="14.45" customHeight="1">
      <c r="A358" s="229" t="s">
        <v>179</v>
      </c>
      <c r="B358" s="520"/>
      <c r="C358" s="885">
        <f t="shared" si="239"/>
        <v>0</v>
      </c>
      <c r="D358" s="885">
        <f t="shared" si="239"/>
        <v>0</v>
      </c>
      <c r="E358" s="885">
        <f t="shared" si="239"/>
        <v>0</v>
      </c>
      <c r="F358" s="885">
        <f t="shared" si="239"/>
        <v>0</v>
      </c>
      <c r="G358" s="436">
        <f t="shared" si="239"/>
        <v>-8.1000000000000003E-2</v>
      </c>
      <c r="H358" s="436">
        <f t="shared" si="240"/>
        <v>0</v>
      </c>
      <c r="I358" s="436">
        <f t="shared" si="240"/>
        <v>0</v>
      </c>
      <c r="J358" s="436">
        <f t="shared" si="240"/>
        <v>0</v>
      </c>
      <c r="K358" s="885">
        <f t="shared" si="241"/>
        <v>-8.1000000000000003E-2</v>
      </c>
      <c r="L358" s="436">
        <f t="shared" si="241"/>
        <v>-5.2999999999999999E-2</v>
      </c>
      <c r="M358" s="436">
        <f t="shared" si="242"/>
        <v>1.0999999999999996E-2</v>
      </c>
      <c r="N358" s="436">
        <f t="shared" si="242"/>
        <v>5.0000000000000044E-3</v>
      </c>
      <c r="O358" s="436">
        <f t="shared" si="242"/>
        <v>3.6999999999999998E-2</v>
      </c>
      <c r="P358" s="885">
        <f t="shared" si="243"/>
        <v>0</v>
      </c>
      <c r="Q358" s="436">
        <f t="shared" si="243"/>
        <v>0</v>
      </c>
      <c r="R358" s="436">
        <f t="shared" si="244"/>
        <v>-2E-3</v>
      </c>
      <c r="S358" s="436">
        <f t="shared" si="244"/>
        <v>0</v>
      </c>
      <c r="T358" s="436">
        <f t="shared" si="244"/>
        <v>2E-3</v>
      </c>
      <c r="U358" s="885">
        <f t="shared" si="245"/>
        <v>0</v>
      </c>
      <c r="V358" s="436">
        <f t="shared" si="245"/>
        <v>0</v>
      </c>
      <c r="W358" s="436">
        <f t="shared" si="246"/>
        <v>0</v>
      </c>
      <c r="X358" s="436">
        <f t="shared" si="246"/>
        <v>0</v>
      </c>
      <c r="Y358" s="436">
        <f t="shared" si="246"/>
        <v>0</v>
      </c>
      <c r="Z358" s="885">
        <f t="shared" si="247"/>
        <v>0</v>
      </c>
      <c r="AA358" s="436">
        <f t="shared" si="247"/>
        <v>0</v>
      </c>
      <c r="AB358" s="436">
        <f t="shared" si="248"/>
        <v>0</v>
      </c>
      <c r="AC358" s="436">
        <f t="shared" si="248"/>
        <v>0</v>
      </c>
      <c r="AD358" s="436">
        <f t="shared" si="248"/>
        <v>0</v>
      </c>
      <c r="AE358" s="885">
        <f t="shared" si="249"/>
        <v>0</v>
      </c>
      <c r="AF358" s="436">
        <f t="shared" si="249"/>
        <v>0</v>
      </c>
      <c r="AG358" s="436">
        <f t="shared" si="250"/>
        <v>0</v>
      </c>
      <c r="AH358" s="436">
        <f t="shared" si="250"/>
        <v>0</v>
      </c>
      <c r="AI358" s="436">
        <f t="shared" si="250"/>
        <v>0</v>
      </c>
      <c r="AJ358" s="885">
        <f t="shared" si="251"/>
        <v>0</v>
      </c>
      <c r="AK358" s="436">
        <f t="shared" si="251"/>
        <v>0</v>
      </c>
      <c r="AL358" s="436">
        <f t="shared" si="252"/>
        <v>0</v>
      </c>
      <c r="AM358" s="436">
        <f t="shared" si="252"/>
        <v>0</v>
      </c>
      <c r="AN358" s="436">
        <f t="shared" si="252"/>
        <v>0</v>
      </c>
      <c r="AO358" s="885">
        <f t="shared" si="253"/>
        <v>0</v>
      </c>
      <c r="AP358" s="436">
        <f t="shared" si="253"/>
        <v>0</v>
      </c>
      <c r="AQ358" s="886">
        <f t="shared" si="254"/>
        <v>0</v>
      </c>
      <c r="AR358" s="855"/>
      <c r="AS358" s="855"/>
      <c r="AT358" s="885">
        <f t="shared" si="255"/>
        <v>0</v>
      </c>
      <c r="AU358" s="855"/>
      <c r="AV358" s="855"/>
      <c r="AW358" s="855"/>
      <c r="AX358" s="855"/>
      <c r="AY358" s="885">
        <f t="shared" si="256"/>
        <v>0</v>
      </c>
      <c r="AZ358" s="870"/>
      <c r="BA358" s="870"/>
      <c r="BB358" s="870"/>
      <c r="BC358" s="362"/>
    </row>
    <row r="359" spans="1:55" s="23" customFormat="1" ht="14.45" customHeight="1">
      <c r="A359" s="229" t="s">
        <v>186</v>
      </c>
      <c r="B359" s="520"/>
      <c r="C359" s="885">
        <f t="shared" si="239"/>
        <v>0.13600000000000001</v>
      </c>
      <c r="D359" s="885">
        <f t="shared" si="239"/>
        <v>0</v>
      </c>
      <c r="E359" s="885">
        <f t="shared" si="239"/>
        <v>0</v>
      </c>
      <c r="F359" s="885">
        <f t="shared" si="239"/>
        <v>0</v>
      </c>
      <c r="G359" s="436">
        <f t="shared" si="239"/>
        <v>0</v>
      </c>
      <c r="H359" s="436">
        <f t="shared" si="240"/>
        <v>0</v>
      </c>
      <c r="I359" s="436">
        <f t="shared" si="240"/>
        <v>0</v>
      </c>
      <c r="J359" s="436">
        <f t="shared" si="240"/>
        <v>0</v>
      </c>
      <c r="K359" s="885">
        <f t="shared" si="241"/>
        <v>0</v>
      </c>
      <c r="L359" s="436">
        <f t="shared" si="241"/>
        <v>0</v>
      </c>
      <c r="M359" s="436">
        <f t="shared" si="242"/>
        <v>0</v>
      </c>
      <c r="N359" s="436">
        <f t="shared" si="242"/>
        <v>0</v>
      </c>
      <c r="O359" s="436">
        <f t="shared" si="242"/>
        <v>0</v>
      </c>
      <c r="P359" s="885">
        <f t="shared" si="243"/>
        <v>0</v>
      </c>
      <c r="Q359" s="436">
        <f t="shared" si="243"/>
        <v>0</v>
      </c>
      <c r="R359" s="436">
        <f t="shared" si="244"/>
        <v>0</v>
      </c>
      <c r="S359" s="436">
        <f t="shared" si="244"/>
        <v>0</v>
      </c>
      <c r="T359" s="436">
        <f t="shared" si="244"/>
        <v>0</v>
      </c>
      <c r="U359" s="885">
        <f t="shared" si="245"/>
        <v>0</v>
      </c>
      <c r="V359" s="436">
        <f t="shared" si="245"/>
        <v>0</v>
      </c>
      <c r="W359" s="436">
        <f t="shared" si="246"/>
        <v>0</v>
      </c>
      <c r="X359" s="436">
        <f t="shared" si="246"/>
        <v>0</v>
      </c>
      <c r="Y359" s="436">
        <f t="shared" si="246"/>
        <v>0</v>
      </c>
      <c r="Z359" s="885">
        <f t="shared" si="247"/>
        <v>0</v>
      </c>
      <c r="AA359" s="436">
        <f t="shared" si="247"/>
        <v>0</v>
      </c>
      <c r="AB359" s="436">
        <f t="shared" si="248"/>
        <v>0</v>
      </c>
      <c r="AC359" s="436">
        <f t="shared" si="248"/>
        <v>0</v>
      </c>
      <c r="AD359" s="436">
        <f t="shared" si="248"/>
        <v>0</v>
      </c>
      <c r="AE359" s="885">
        <f t="shared" si="249"/>
        <v>0</v>
      </c>
      <c r="AF359" s="436">
        <f t="shared" si="249"/>
        <v>0</v>
      </c>
      <c r="AG359" s="436">
        <f t="shared" si="250"/>
        <v>0</v>
      </c>
      <c r="AH359" s="436">
        <f t="shared" si="250"/>
        <v>0</v>
      </c>
      <c r="AI359" s="436">
        <f t="shared" si="250"/>
        <v>0</v>
      </c>
      <c r="AJ359" s="885">
        <f t="shared" si="251"/>
        <v>0</v>
      </c>
      <c r="AK359" s="436">
        <f t="shared" si="251"/>
        <v>0</v>
      </c>
      <c r="AL359" s="436">
        <f t="shared" si="252"/>
        <v>0</v>
      </c>
      <c r="AM359" s="436">
        <f t="shared" si="252"/>
        <v>0</v>
      </c>
      <c r="AN359" s="436">
        <f t="shared" si="252"/>
        <v>0</v>
      </c>
      <c r="AO359" s="885">
        <f t="shared" si="253"/>
        <v>0</v>
      </c>
      <c r="AP359" s="436">
        <f t="shared" si="253"/>
        <v>0</v>
      </c>
      <c r="AQ359" s="886">
        <f t="shared" si="254"/>
        <v>0</v>
      </c>
      <c r="AR359" s="855"/>
      <c r="AS359" s="855"/>
      <c r="AT359" s="885">
        <f t="shared" si="255"/>
        <v>0</v>
      </c>
      <c r="AU359" s="855"/>
      <c r="AV359" s="855"/>
      <c r="AW359" s="855"/>
      <c r="AX359" s="855"/>
      <c r="AY359" s="885">
        <f t="shared" si="256"/>
        <v>0</v>
      </c>
      <c r="AZ359" s="870"/>
      <c r="BA359" s="870"/>
      <c r="BB359" s="870"/>
      <c r="BC359" s="362"/>
    </row>
    <row r="360" spans="1:55" s="23" customFormat="1" ht="14.45" customHeight="1">
      <c r="A360" s="229" t="s">
        <v>180</v>
      </c>
      <c r="B360" s="520"/>
      <c r="C360" s="885">
        <f t="shared" si="239"/>
        <v>1.6E-2</v>
      </c>
      <c r="D360" s="885">
        <f t="shared" si="239"/>
        <v>1.0920000000000001</v>
      </c>
      <c r="E360" s="885">
        <f t="shared" si="239"/>
        <v>2.266</v>
      </c>
      <c r="F360" s="885">
        <f t="shared" si="239"/>
        <v>1.714</v>
      </c>
      <c r="G360" s="436">
        <f t="shared" si="239"/>
        <v>0.13700000000000001</v>
      </c>
      <c r="H360" s="436">
        <f t="shared" si="240"/>
        <v>3.7999999999999978E-2</v>
      </c>
      <c r="I360" s="436">
        <f t="shared" si="240"/>
        <v>0.23299999999999998</v>
      </c>
      <c r="J360" s="436">
        <f t="shared" si="240"/>
        <v>1.514</v>
      </c>
      <c r="K360" s="885">
        <f t="shared" si="241"/>
        <v>1.9219999999999999</v>
      </c>
      <c r="L360" s="436">
        <f t="shared" si="241"/>
        <v>0.58799999999999997</v>
      </c>
      <c r="M360" s="436">
        <f t="shared" si="242"/>
        <v>0.21600000000000008</v>
      </c>
      <c r="N360" s="436">
        <f t="shared" si="242"/>
        <v>0.48599999999999999</v>
      </c>
      <c r="O360" s="436">
        <f t="shared" si="242"/>
        <v>0.55800000000000005</v>
      </c>
      <c r="P360" s="885">
        <f t="shared" si="243"/>
        <v>1.8480000000000001</v>
      </c>
      <c r="Q360" s="436">
        <f t="shared" si="243"/>
        <v>0.40200000000000002</v>
      </c>
      <c r="R360" s="436">
        <f t="shared" si="244"/>
        <v>0.23599999999999999</v>
      </c>
      <c r="S360" s="436">
        <f t="shared" si="244"/>
        <v>2.67</v>
      </c>
      <c r="T360" s="436">
        <f t="shared" si="244"/>
        <v>-0.31199999999999983</v>
      </c>
      <c r="U360" s="885">
        <f t="shared" si="245"/>
        <v>2.996</v>
      </c>
      <c r="V360" s="436">
        <f t="shared" si="245"/>
        <v>0.45100000000000001</v>
      </c>
      <c r="W360" s="436">
        <f t="shared" si="246"/>
        <v>0.10600000000000004</v>
      </c>
      <c r="X360" s="436">
        <f t="shared" si="246"/>
        <v>3.3450000000000002</v>
      </c>
      <c r="Y360" s="436">
        <f t="shared" si="246"/>
        <v>-8.8999999999999968E-2</v>
      </c>
      <c r="Z360" s="885">
        <f t="shared" si="247"/>
        <v>3.8130000000000002</v>
      </c>
      <c r="AA360" s="436">
        <f t="shared" si="247"/>
        <v>0.29499999999999998</v>
      </c>
      <c r="AB360" s="436">
        <f t="shared" si="248"/>
        <v>2.200000000000002E-2</v>
      </c>
      <c r="AC360" s="436">
        <f t="shared" si="248"/>
        <v>3.1999999999999973E-2</v>
      </c>
      <c r="AD360" s="436">
        <f t="shared" si="248"/>
        <v>9.2000000000000026E-2</v>
      </c>
      <c r="AE360" s="885">
        <f t="shared" si="249"/>
        <v>0.441</v>
      </c>
      <c r="AF360" s="436">
        <f t="shared" si="249"/>
        <v>0.16</v>
      </c>
      <c r="AG360" s="436">
        <f t="shared" si="250"/>
        <v>0.12100000000000002</v>
      </c>
      <c r="AH360" s="436">
        <f t="shared" si="250"/>
        <v>1.9999999999999463E-3</v>
      </c>
      <c r="AI360" s="436">
        <f t="shared" si="250"/>
        <v>1.9180000000000001</v>
      </c>
      <c r="AJ360" s="885">
        <f t="shared" si="251"/>
        <v>2.2010000000000001</v>
      </c>
      <c r="AK360" s="436">
        <f t="shared" si="251"/>
        <v>0.159</v>
      </c>
      <c r="AL360" s="436">
        <f t="shared" si="252"/>
        <v>0.25700000000000001</v>
      </c>
      <c r="AM360" s="436">
        <f t="shared" si="252"/>
        <v>7.0000000000000062E-3</v>
      </c>
      <c r="AN360" s="436">
        <f t="shared" si="252"/>
        <v>-0.96799999999999997</v>
      </c>
      <c r="AO360" s="885">
        <f t="shared" si="253"/>
        <v>-0.54500000000000004</v>
      </c>
      <c r="AP360" s="436">
        <f t="shared" si="253"/>
        <v>3.3000000000000002E-2</v>
      </c>
      <c r="AQ360" s="886">
        <f t="shared" si="254"/>
        <v>1.0000000000000009E-3</v>
      </c>
      <c r="AR360" s="855"/>
      <c r="AS360" s="855"/>
      <c r="AT360" s="885">
        <f t="shared" si="255"/>
        <v>3.4000000000000002E-2</v>
      </c>
      <c r="AU360" s="855"/>
      <c r="AV360" s="855"/>
      <c r="AW360" s="855"/>
      <c r="AX360" s="855"/>
      <c r="AY360" s="885">
        <f t="shared" si="256"/>
        <v>0</v>
      </c>
      <c r="AZ360" s="870"/>
      <c r="BA360" s="870"/>
      <c r="BB360" s="870"/>
      <c r="BC360" s="362"/>
    </row>
    <row r="361" spans="1:55" s="23" customFormat="1" ht="14.45" customHeight="1">
      <c r="A361" s="229" t="s">
        <v>58</v>
      </c>
      <c r="B361" s="520"/>
      <c r="C361" s="885">
        <f t="shared" si="239"/>
        <v>0</v>
      </c>
      <c r="D361" s="885">
        <f t="shared" si="239"/>
        <v>0</v>
      </c>
      <c r="E361" s="885">
        <f t="shared" si="239"/>
        <v>0</v>
      </c>
      <c r="F361" s="885">
        <f t="shared" si="239"/>
        <v>0</v>
      </c>
      <c r="G361" s="436">
        <f t="shared" si="239"/>
        <v>0</v>
      </c>
      <c r="H361" s="436">
        <f t="shared" si="240"/>
        <v>0</v>
      </c>
      <c r="I361" s="436">
        <f t="shared" si="240"/>
        <v>0</v>
      </c>
      <c r="J361" s="436">
        <f t="shared" si="240"/>
        <v>0</v>
      </c>
      <c r="K361" s="885">
        <f t="shared" si="241"/>
        <v>0</v>
      </c>
      <c r="L361" s="436">
        <f t="shared" si="241"/>
        <v>0</v>
      </c>
      <c r="M361" s="436">
        <f t="shared" si="242"/>
        <v>0</v>
      </c>
      <c r="N361" s="436">
        <f t="shared" si="242"/>
        <v>0</v>
      </c>
      <c r="O361" s="436">
        <f t="shared" si="242"/>
        <v>0</v>
      </c>
      <c r="P361" s="885">
        <f t="shared" si="243"/>
        <v>0</v>
      </c>
      <c r="Q361" s="436">
        <f t="shared" si="243"/>
        <v>0</v>
      </c>
      <c r="R361" s="436">
        <f t="shared" si="244"/>
        <v>0</v>
      </c>
      <c r="S361" s="436">
        <f t="shared" si="244"/>
        <v>0</v>
      </c>
      <c r="T361" s="436">
        <f t="shared" si="244"/>
        <v>0</v>
      </c>
      <c r="U361" s="885">
        <f t="shared" si="245"/>
        <v>0</v>
      </c>
      <c r="V361" s="436">
        <f t="shared" si="245"/>
        <v>0</v>
      </c>
      <c r="W361" s="436">
        <f t="shared" si="246"/>
        <v>0</v>
      </c>
      <c r="X361" s="436">
        <f t="shared" si="246"/>
        <v>0</v>
      </c>
      <c r="Y361" s="436">
        <f t="shared" si="246"/>
        <v>0</v>
      </c>
      <c r="Z361" s="885">
        <f t="shared" si="247"/>
        <v>0</v>
      </c>
      <c r="AA361" s="436">
        <f t="shared" si="247"/>
        <v>0</v>
      </c>
      <c r="AB361" s="436">
        <f t="shared" si="248"/>
        <v>0</v>
      </c>
      <c r="AC361" s="436">
        <f t="shared" si="248"/>
        <v>0</v>
      </c>
      <c r="AD361" s="436">
        <f t="shared" si="248"/>
        <v>0</v>
      </c>
      <c r="AE361" s="885">
        <f t="shared" si="249"/>
        <v>0</v>
      </c>
      <c r="AF361" s="436">
        <f t="shared" si="249"/>
        <v>0</v>
      </c>
      <c r="AG361" s="436">
        <f t="shared" si="250"/>
        <v>0</v>
      </c>
      <c r="AH361" s="436">
        <f t="shared" si="250"/>
        <v>0</v>
      </c>
      <c r="AI361" s="436">
        <f t="shared" si="250"/>
        <v>0</v>
      </c>
      <c r="AJ361" s="885">
        <f t="shared" si="251"/>
        <v>0</v>
      </c>
      <c r="AK361" s="436">
        <f t="shared" si="251"/>
        <v>0</v>
      </c>
      <c r="AL361" s="436">
        <f t="shared" si="252"/>
        <v>0</v>
      </c>
      <c r="AM361" s="436">
        <f t="shared" si="252"/>
        <v>0</v>
      </c>
      <c r="AN361" s="436">
        <f t="shared" si="252"/>
        <v>0</v>
      </c>
      <c r="AO361" s="885">
        <f t="shared" si="253"/>
        <v>0</v>
      </c>
      <c r="AP361" s="436">
        <f t="shared" si="253"/>
        <v>0</v>
      </c>
      <c r="AQ361" s="886">
        <f t="shared" si="254"/>
        <v>0</v>
      </c>
      <c r="AR361" s="436">
        <f ca="1">AR202</f>
        <v>0</v>
      </c>
      <c r="AS361" s="436">
        <f ca="1">AS202</f>
        <v>0</v>
      </c>
      <c r="AT361" s="885">
        <f t="shared" ca="1" si="255"/>
        <v>0</v>
      </c>
      <c r="AU361" s="436">
        <f ca="1">AU202</f>
        <v>0</v>
      </c>
      <c r="AV361" s="436">
        <f ca="1">AV202</f>
        <v>0</v>
      </c>
      <c r="AW361" s="436">
        <f ca="1">AW202</f>
        <v>0</v>
      </c>
      <c r="AX361" s="436">
        <f ca="1">AX202</f>
        <v>0</v>
      </c>
      <c r="AY361" s="885">
        <f t="shared" ca="1" si="256"/>
        <v>0</v>
      </c>
      <c r="AZ361" s="885">
        <f ca="1">AZ202</f>
        <v>0</v>
      </c>
      <c r="BA361" s="885">
        <f ca="1">BA202</f>
        <v>0</v>
      </c>
      <c r="BB361" s="885">
        <f ca="1">BB202</f>
        <v>0</v>
      </c>
      <c r="BC361" s="362"/>
    </row>
    <row r="362" spans="1:55" s="23" customFormat="1" ht="14.45" customHeight="1">
      <c r="A362" s="229" t="str">
        <f>A303</f>
        <v>Other</v>
      </c>
      <c r="B362" s="520"/>
      <c r="C362" s="885">
        <f t="shared" si="239"/>
        <v>0</v>
      </c>
      <c r="D362" s="885">
        <f t="shared" si="239"/>
        <v>0</v>
      </c>
      <c r="E362" s="885">
        <f t="shared" si="239"/>
        <v>0</v>
      </c>
      <c r="F362" s="885">
        <f t="shared" si="239"/>
        <v>0</v>
      </c>
      <c r="G362" s="436">
        <f t="shared" si="239"/>
        <v>0</v>
      </c>
      <c r="H362" s="436">
        <f t="shared" si="240"/>
        <v>0</v>
      </c>
      <c r="I362" s="436">
        <f t="shared" si="240"/>
        <v>0</v>
      </c>
      <c r="J362" s="436">
        <f t="shared" si="240"/>
        <v>0</v>
      </c>
      <c r="K362" s="885">
        <f t="shared" si="241"/>
        <v>0</v>
      </c>
      <c r="L362" s="436">
        <f t="shared" si="241"/>
        <v>0</v>
      </c>
      <c r="M362" s="436">
        <f t="shared" si="242"/>
        <v>0</v>
      </c>
      <c r="N362" s="436">
        <f t="shared" si="242"/>
        <v>0</v>
      </c>
      <c r="O362" s="436">
        <f t="shared" si="242"/>
        <v>0</v>
      </c>
      <c r="P362" s="885">
        <f t="shared" si="243"/>
        <v>0</v>
      </c>
      <c r="Q362" s="436">
        <f t="shared" si="243"/>
        <v>0</v>
      </c>
      <c r="R362" s="436">
        <f t="shared" si="244"/>
        <v>0</v>
      </c>
      <c r="S362" s="436">
        <f t="shared" si="244"/>
        <v>0</v>
      </c>
      <c r="T362" s="436">
        <f t="shared" si="244"/>
        <v>0</v>
      </c>
      <c r="U362" s="885">
        <f t="shared" si="245"/>
        <v>0</v>
      </c>
      <c r="V362" s="436">
        <f t="shared" si="245"/>
        <v>0</v>
      </c>
      <c r="W362" s="436">
        <f t="shared" si="246"/>
        <v>0</v>
      </c>
      <c r="X362" s="436">
        <f t="shared" si="246"/>
        <v>0</v>
      </c>
      <c r="Y362" s="436">
        <f t="shared" si="246"/>
        <v>0</v>
      </c>
      <c r="Z362" s="885">
        <f t="shared" si="247"/>
        <v>0</v>
      </c>
      <c r="AA362" s="436">
        <f t="shared" si="247"/>
        <v>0</v>
      </c>
      <c r="AB362" s="436">
        <f t="shared" si="248"/>
        <v>0</v>
      </c>
      <c r="AC362" s="436">
        <f t="shared" si="248"/>
        <v>0</v>
      </c>
      <c r="AD362" s="436">
        <f t="shared" si="248"/>
        <v>0</v>
      </c>
      <c r="AE362" s="885">
        <f t="shared" si="249"/>
        <v>0</v>
      </c>
      <c r="AF362" s="436">
        <f t="shared" si="249"/>
        <v>0</v>
      </c>
      <c r="AG362" s="436">
        <f t="shared" si="250"/>
        <v>0</v>
      </c>
      <c r="AH362" s="436">
        <f t="shared" si="250"/>
        <v>0</v>
      </c>
      <c r="AI362" s="436">
        <f t="shared" si="250"/>
        <v>0</v>
      </c>
      <c r="AJ362" s="885">
        <f t="shared" si="251"/>
        <v>0</v>
      </c>
      <c r="AK362" s="436">
        <f t="shared" si="251"/>
        <v>0</v>
      </c>
      <c r="AL362" s="436">
        <f t="shared" si="252"/>
        <v>0</v>
      </c>
      <c r="AM362" s="436">
        <f t="shared" si="252"/>
        <v>0</v>
      </c>
      <c r="AN362" s="436">
        <f t="shared" si="252"/>
        <v>0</v>
      </c>
      <c r="AO362" s="885">
        <f t="shared" si="253"/>
        <v>0</v>
      </c>
      <c r="AP362" s="436">
        <f t="shared" si="253"/>
        <v>0</v>
      </c>
      <c r="AQ362" s="886">
        <f t="shared" si="254"/>
        <v>-0.36</v>
      </c>
      <c r="AR362" s="436"/>
      <c r="AS362" s="436"/>
      <c r="AT362" s="885">
        <f t="shared" si="255"/>
        <v>-0.36</v>
      </c>
      <c r="AU362" s="436"/>
      <c r="AV362" s="436"/>
      <c r="AW362" s="436"/>
      <c r="AX362" s="436"/>
      <c r="AY362" s="885">
        <f t="shared" si="256"/>
        <v>0</v>
      </c>
      <c r="AZ362" s="885"/>
      <c r="BA362" s="885"/>
      <c r="BB362" s="885"/>
      <c r="BC362" s="362"/>
    </row>
    <row r="363" spans="1:55" s="23" customFormat="1" ht="14.45" customHeight="1">
      <c r="A363" s="229" t="s">
        <v>181</v>
      </c>
      <c r="B363" s="520"/>
      <c r="C363" s="885">
        <f t="shared" si="239"/>
        <v>1.4999999999999999E-2</v>
      </c>
      <c r="D363" s="885">
        <f t="shared" si="239"/>
        <v>2.1999999999999999E-2</v>
      </c>
      <c r="E363" s="885">
        <f t="shared" si="239"/>
        <v>1.6140000000000001</v>
      </c>
      <c r="F363" s="885">
        <f t="shared" si="239"/>
        <v>1.252</v>
      </c>
      <c r="G363" s="436">
        <f t="shared" si="239"/>
        <v>5.7000000000000002E-2</v>
      </c>
      <c r="H363" s="436">
        <f t="shared" si="240"/>
        <v>0</v>
      </c>
      <c r="I363" s="436">
        <f t="shared" si="240"/>
        <v>0.59199999999999997</v>
      </c>
      <c r="J363" s="436">
        <f t="shared" si="240"/>
        <v>0.54899999999999993</v>
      </c>
      <c r="K363" s="885">
        <f t="shared" si="241"/>
        <v>1.198</v>
      </c>
      <c r="L363" s="436">
        <f t="shared" si="241"/>
        <v>1.2609999999999999</v>
      </c>
      <c r="M363" s="436">
        <f t="shared" si="242"/>
        <v>0</v>
      </c>
      <c r="N363" s="436">
        <f t="shared" si="242"/>
        <v>0.78</v>
      </c>
      <c r="O363" s="436">
        <f t="shared" si="242"/>
        <v>3.2209999999999996</v>
      </c>
      <c r="P363" s="885">
        <f t="shared" si="243"/>
        <v>5.2619999999999996</v>
      </c>
      <c r="Q363" s="436">
        <f t="shared" si="243"/>
        <v>0.70799999999999996</v>
      </c>
      <c r="R363" s="436">
        <f t="shared" si="244"/>
        <v>0</v>
      </c>
      <c r="S363" s="436">
        <f t="shared" si="244"/>
        <v>-8.8999999999999968E-2</v>
      </c>
      <c r="T363" s="436">
        <f t="shared" si="244"/>
        <v>2.3540000000000001</v>
      </c>
      <c r="U363" s="885">
        <f t="shared" si="245"/>
        <v>2.9729999999999999</v>
      </c>
      <c r="V363" s="436">
        <f t="shared" si="245"/>
        <v>0.52900000000000003</v>
      </c>
      <c r="W363" s="436">
        <f t="shared" si="246"/>
        <v>0</v>
      </c>
      <c r="X363" s="436">
        <f t="shared" si="246"/>
        <v>0</v>
      </c>
      <c r="Y363" s="436">
        <f t="shared" si="246"/>
        <v>0.30499999999999994</v>
      </c>
      <c r="Z363" s="885">
        <f t="shared" si="247"/>
        <v>0.83399999999999996</v>
      </c>
      <c r="AA363" s="436">
        <f t="shared" si="247"/>
        <v>0</v>
      </c>
      <c r="AB363" s="436">
        <f t="shared" si="248"/>
        <v>0</v>
      </c>
      <c r="AC363" s="436">
        <f t="shared" si="248"/>
        <v>0</v>
      </c>
      <c r="AD363" s="436">
        <f t="shared" si="248"/>
        <v>0</v>
      </c>
      <c r="AE363" s="885">
        <f t="shared" si="249"/>
        <v>0</v>
      </c>
      <c r="AF363" s="436">
        <f t="shared" si="249"/>
        <v>0</v>
      </c>
      <c r="AG363" s="436">
        <f t="shared" si="250"/>
        <v>0</v>
      </c>
      <c r="AH363" s="436">
        <f t="shared" si="250"/>
        <v>0</v>
      </c>
      <c r="AI363" s="436">
        <f t="shared" si="250"/>
        <v>0</v>
      </c>
      <c r="AJ363" s="885">
        <f t="shared" si="251"/>
        <v>0</v>
      </c>
      <c r="AK363" s="436">
        <f t="shared" si="251"/>
        <v>0</v>
      </c>
      <c r="AL363" s="436">
        <f t="shared" si="252"/>
        <v>0</v>
      </c>
      <c r="AM363" s="436">
        <f t="shared" si="252"/>
        <v>0</v>
      </c>
      <c r="AN363" s="436">
        <f t="shared" si="252"/>
        <v>0</v>
      </c>
      <c r="AO363" s="885">
        <f t="shared" si="253"/>
        <v>0</v>
      </c>
      <c r="AP363" s="436">
        <f t="shared" si="253"/>
        <v>0</v>
      </c>
      <c r="AQ363" s="886">
        <f t="shared" si="254"/>
        <v>0</v>
      </c>
      <c r="AR363" s="855"/>
      <c r="AS363" s="855"/>
      <c r="AT363" s="885">
        <f t="shared" si="255"/>
        <v>0</v>
      </c>
      <c r="AU363" s="855"/>
      <c r="AV363" s="855"/>
      <c r="AW363" s="855"/>
      <c r="AX363" s="855"/>
      <c r="AY363" s="885">
        <f t="shared" si="256"/>
        <v>0</v>
      </c>
      <c r="AZ363" s="870"/>
      <c r="BA363" s="870"/>
      <c r="BB363" s="870"/>
      <c r="BC363" s="362"/>
    </row>
    <row r="364" spans="1:55" s="23" customFormat="1" ht="14.45" customHeight="1">
      <c r="A364" s="229" t="str">
        <f>A305</f>
        <v>Other Financing Activities</v>
      </c>
      <c r="B364" s="132"/>
      <c r="C364" s="887">
        <f t="shared" si="239"/>
        <v>0</v>
      </c>
      <c r="D364" s="887">
        <f t="shared" si="239"/>
        <v>0</v>
      </c>
      <c r="E364" s="887">
        <f t="shared" si="239"/>
        <v>0</v>
      </c>
      <c r="F364" s="887">
        <f t="shared" si="239"/>
        <v>0</v>
      </c>
      <c r="G364" s="888">
        <f t="shared" si="239"/>
        <v>0</v>
      </c>
      <c r="H364" s="888">
        <f t="shared" si="240"/>
        <v>0</v>
      </c>
      <c r="I364" s="888">
        <f t="shared" si="240"/>
        <v>0</v>
      </c>
      <c r="J364" s="888">
        <f t="shared" si="240"/>
        <v>0</v>
      </c>
      <c r="K364" s="887">
        <f t="shared" si="241"/>
        <v>0</v>
      </c>
      <c r="L364" s="888">
        <f t="shared" si="241"/>
        <v>0</v>
      </c>
      <c r="M364" s="888">
        <f t="shared" si="242"/>
        <v>0</v>
      </c>
      <c r="N364" s="888">
        <f t="shared" si="242"/>
        <v>0</v>
      </c>
      <c r="O364" s="888">
        <f t="shared" si="242"/>
        <v>0</v>
      </c>
      <c r="P364" s="887">
        <f t="shared" si="243"/>
        <v>0</v>
      </c>
      <c r="Q364" s="888">
        <f t="shared" si="243"/>
        <v>0</v>
      </c>
      <c r="R364" s="888">
        <f t="shared" si="244"/>
        <v>0</v>
      </c>
      <c r="S364" s="888">
        <f t="shared" si="244"/>
        <v>0</v>
      </c>
      <c r="T364" s="888">
        <f t="shared" si="244"/>
        <v>0</v>
      </c>
      <c r="U364" s="887">
        <f t="shared" si="245"/>
        <v>0</v>
      </c>
      <c r="V364" s="888">
        <f t="shared" si="245"/>
        <v>0</v>
      </c>
      <c r="W364" s="888">
        <f t="shared" si="246"/>
        <v>0</v>
      </c>
      <c r="X364" s="888">
        <f t="shared" si="246"/>
        <v>0</v>
      </c>
      <c r="Y364" s="888">
        <f t="shared" si="246"/>
        <v>0</v>
      </c>
      <c r="Z364" s="887">
        <f t="shared" si="247"/>
        <v>0</v>
      </c>
      <c r="AA364" s="888">
        <f t="shared" si="247"/>
        <v>0</v>
      </c>
      <c r="AB364" s="888">
        <f t="shared" si="248"/>
        <v>0</v>
      </c>
      <c r="AC364" s="888">
        <f t="shared" si="248"/>
        <v>0</v>
      </c>
      <c r="AD364" s="888">
        <f t="shared" si="248"/>
        <v>0</v>
      </c>
      <c r="AE364" s="887">
        <f t="shared" si="249"/>
        <v>0</v>
      </c>
      <c r="AF364" s="888">
        <f t="shared" si="249"/>
        <v>0</v>
      </c>
      <c r="AG364" s="888">
        <f t="shared" si="250"/>
        <v>0</v>
      </c>
      <c r="AH364" s="888">
        <f t="shared" si="250"/>
        <v>0</v>
      </c>
      <c r="AI364" s="888">
        <f t="shared" si="250"/>
        <v>0</v>
      </c>
      <c r="AJ364" s="887">
        <f t="shared" si="251"/>
        <v>0</v>
      </c>
      <c r="AK364" s="888">
        <f t="shared" si="251"/>
        <v>-0.39500000000000002</v>
      </c>
      <c r="AL364" s="888">
        <f t="shared" si="252"/>
        <v>-0.43899999999999995</v>
      </c>
      <c r="AM364" s="888">
        <f t="shared" si="252"/>
        <v>-0.45000000000000007</v>
      </c>
      <c r="AN364" s="888">
        <f t="shared" si="252"/>
        <v>-0.46199999999999997</v>
      </c>
      <c r="AO364" s="887">
        <f t="shared" si="253"/>
        <v>-1.746</v>
      </c>
      <c r="AP364" s="888">
        <f t="shared" si="253"/>
        <v>-0.46100000000000002</v>
      </c>
      <c r="AQ364" s="889">
        <f t="shared" si="254"/>
        <v>-0.47799999999999992</v>
      </c>
      <c r="AR364" s="890"/>
      <c r="AS364" s="890"/>
      <c r="AT364" s="887">
        <f t="shared" si="255"/>
        <v>-0.93899999999999995</v>
      </c>
      <c r="AU364" s="890"/>
      <c r="AV364" s="890"/>
      <c r="AW364" s="890"/>
      <c r="AX364" s="890"/>
      <c r="AY364" s="887">
        <f t="shared" si="256"/>
        <v>0</v>
      </c>
      <c r="AZ364" s="872"/>
      <c r="BA364" s="872"/>
      <c r="BB364" s="872"/>
      <c r="BC364" s="362"/>
    </row>
    <row r="365" spans="1:55" s="4" customFormat="1" ht="14.45" customHeight="1">
      <c r="A365" s="402" t="str">
        <f>A306</f>
        <v>Net CFF</v>
      </c>
      <c r="B365" s="429"/>
      <c r="C365" s="858">
        <f t="shared" ref="C365:AH365" si="257">SUM(C352:C364)</f>
        <v>23.519999999999996</v>
      </c>
      <c r="D365" s="858">
        <f t="shared" si="257"/>
        <v>-5.1310000000000002</v>
      </c>
      <c r="E365" s="858">
        <f t="shared" si="257"/>
        <v>-1.5649999999999993</v>
      </c>
      <c r="F365" s="858">
        <f t="shared" si="257"/>
        <v>-0.34100000000000041</v>
      </c>
      <c r="G365" s="402">
        <f t="shared" si="257"/>
        <v>-2.0820000000000003</v>
      </c>
      <c r="H365" s="402">
        <f t="shared" si="257"/>
        <v>-2.4049999999999998</v>
      </c>
      <c r="I365" s="402">
        <f t="shared" si="257"/>
        <v>171.88100000000003</v>
      </c>
      <c r="J365" s="402">
        <f t="shared" si="257"/>
        <v>-3.1410000000000005</v>
      </c>
      <c r="K365" s="858">
        <f t="shared" si="257"/>
        <v>164.25300000000001</v>
      </c>
      <c r="L365" s="402">
        <f t="shared" si="257"/>
        <v>59.111000000000004</v>
      </c>
      <c r="M365" s="402">
        <f t="shared" si="257"/>
        <v>-25.100999999999999</v>
      </c>
      <c r="N365" s="402">
        <f t="shared" si="257"/>
        <v>-31.636000000000003</v>
      </c>
      <c r="O365" s="402">
        <f t="shared" si="257"/>
        <v>-25.48699999999997</v>
      </c>
      <c r="P365" s="858">
        <f t="shared" si="257"/>
        <v>-23.112999999999978</v>
      </c>
      <c r="Q365" s="402">
        <f t="shared" si="257"/>
        <v>35.447000000000003</v>
      </c>
      <c r="R365" s="402">
        <f t="shared" si="257"/>
        <v>14.566000000000001</v>
      </c>
      <c r="S365" s="402">
        <f t="shared" si="257"/>
        <v>-20.095999999999997</v>
      </c>
      <c r="T365" s="402">
        <f t="shared" si="257"/>
        <v>-36.642000000000003</v>
      </c>
      <c r="U365" s="858">
        <f t="shared" si="257"/>
        <v>-6.7250000000000023</v>
      </c>
      <c r="V365" s="402">
        <f t="shared" si="257"/>
        <v>-1.0490000000000004</v>
      </c>
      <c r="W365" s="402">
        <f t="shared" si="257"/>
        <v>-13.462000000000002</v>
      </c>
      <c r="X365" s="402">
        <f t="shared" si="257"/>
        <v>-4.577</v>
      </c>
      <c r="Y365" s="402">
        <f t="shared" si="257"/>
        <v>-15.718</v>
      </c>
      <c r="Z365" s="858">
        <f t="shared" si="257"/>
        <v>-34.805999999999997</v>
      </c>
      <c r="AA365" s="402">
        <f t="shared" si="257"/>
        <v>-10.775</v>
      </c>
      <c r="AB365" s="402">
        <f t="shared" si="257"/>
        <v>12.227</v>
      </c>
      <c r="AC365" s="402">
        <f t="shared" si="257"/>
        <v>-4.5159999999999982</v>
      </c>
      <c r="AD365" s="402">
        <f t="shared" si="257"/>
        <v>94.489000000000019</v>
      </c>
      <c r="AE365" s="858">
        <f t="shared" si="257"/>
        <v>91.425000000000011</v>
      </c>
      <c r="AF365" s="402">
        <f t="shared" si="257"/>
        <v>3.9390000000000001</v>
      </c>
      <c r="AG365" s="402">
        <f t="shared" si="257"/>
        <v>-10.574999999999998</v>
      </c>
      <c r="AH365" s="402">
        <f t="shared" si="257"/>
        <v>-5.6980000000000031</v>
      </c>
      <c r="AI365" s="402">
        <f t="shared" ref="AI365:BB365" si="258">SUM(AI352:AI364)</f>
        <v>-23.800000000000004</v>
      </c>
      <c r="AJ365" s="858">
        <f t="shared" si="258"/>
        <v>-36.134</v>
      </c>
      <c r="AK365" s="402">
        <f t="shared" si="258"/>
        <v>-112.26199999999999</v>
      </c>
      <c r="AL365" s="402">
        <f t="shared" si="258"/>
        <v>6.7909999999999986</v>
      </c>
      <c r="AM365" s="402">
        <f t="shared" si="258"/>
        <v>7.5299999999999843</v>
      </c>
      <c r="AN365" s="402">
        <f t="shared" si="258"/>
        <v>5.7590000000000146</v>
      </c>
      <c r="AO365" s="858">
        <f t="shared" si="258"/>
        <v>-92.181999999999988</v>
      </c>
      <c r="AP365" s="402">
        <f t="shared" si="258"/>
        <v>136.83999999999997</v>
      </c>
      <c r="AQ365" s="891">
        <f t="shared" si="258"/>
        <v>-160.83700000000002</v>
      </c>
      <c r="AR365" s="402">
        <f t="shared" ca="1" si="258"/>
        <v>0</v>
      </c>
      <c r="AS365" s="402">
        <f t="shared" ca="1" si="258"/>
        <v>0</v>
      </c>
      <c r="AT365" s="858">
        <f t="shared" ca="1" si="258"/>
        <v>-23.997</v>
      </c>
      <c r="AU365" s="402">
        <f t="shared" ca="1" si="258"/>
        <v>0</v>
      </c>
      <c r="AV365" s="402">
        <f t="shared" ca="1" si="258"/>
        <v>0</v>
      </c>
      <c r="AW365" s="402">
        <f t="shared" ca="1" si="258"/>
        <v>0</v>
      </c>
      <c r="AX365" s="402">
        <f t="shared" ca="1" si="258"/>
        <v>0</v>
      </c>
      <c r="AY365" s="858">
        <f t="shared" ca="1" si="258"/>
        <v>0</v>
      </c>
      <c r="AZ365" s="858">
        <f t="shared" ca="1" si="258"/>
        <v>0</v>
      </c>
      <c r="BA365" s="858">
        <f t="shared" ca="1" si="258"/>
        <v>0</v>
      </c>
      <c r="BB365" s="858">
        <f t="shared" ca="1" si="258"/>
        <v>0</v>
      </c>
      <c r="BC365" s="363"/>
    </row>
    <row r="366" spans="1:55" s="4" customFormat="1" ht="14.45" customHeight="1">
      <c r="A366" s="403"/>
      <c r="B366" s="345"/>
      <c r="C366" s="852"/>
      <c r="D366" s="852"/>
      <c r="E366" s="852"/>
      <c r="F366" s="852"/>
      <c r="G366" s="418"/>
      <c r="H366" s="418"/>
      <c r="I366" s="418"/>
      <c r="J366" s="418"/>
      <c r="K366" s="852"/>
      <c r="L366" s="418"/>
      <c r="M366" s="418"/>
      <c r="N366" s="418"/>
      <c r="O366" s="418"/>
      <c r="P366" s="852"/>
      <c r="Q366" s="418"/>
      <c r="R366" s="418"/>
      <c r="S366" s="418"/>
      <c r="T366" s="418"/>
      <c r="U366" s="852"/>
      <c r="V366" s="418"/>
      <c r="W366" s="418"/>
      <c r="X366" s="418"/>
      <c r="Y366" s="418"/>
      <c r="Z366" s="852"/>
      <c r="AA366" s="418"/>
      <c r="AB366" s="418"/>
      <c r="AC366" s="418"/>
      <c r="AD366" s="418"/>
      <c r="AE366" s="852"/>
      <c r="AF366" s="418"/>
      <c r="AG366" s="418"/>
      <c r="AH366" s="418"/>
      <c r="AI366" s="418"/>
      <c r="AJ366" s="852"/>
      <c r="AK366" s="418"/>
      <c r="AL366" s="418"/>
      <c r="AM366" s="418"/>
      <c r="AN366" s="418"/>
      <c r="AO366" s="852"/>
      <c r="AP366" s="418"/>
      <c r="AQ366" s="895"/>
      <c r="AR366" s="896"/>
      <c r="AS366" s="896"/>
      <c r="AT366" s="897"/>
      <c r="AU366" s="896"/>
      <c r="AV366" s="896"/>
      <c r="AW366" s="896"/>
      <c r="AX366" s="896"/>
      <c r="AY366" s="897"/>
      <c r="AZ366" s="897"/>
      <c r="BA366" s="897"/>
      <c r="BB366" s="897"/>
      <c r="BC366" s="363"/>
    </row>
    <row r="367" spans="1:55" s="23" customFormat="1" ht="14.45" customHeight="1">
      <c r="A367" s="422" t="str">
        <f>A308</f>
        <v>FX</v>
      </c>
      <c r="B367" s="132"/>
      <c r="C367" s="885">
        <f>C308</f>
        <v>5.0000000000000001E-3</v>
      </c>
      <c r="D367" s="885">
        <f>D308</f>
        <v>2E-3</v>
      </c>
      <c r="E367" s="885">
        <f>E308</f>
        <v>-1E-3</v>
      </c>
      <c r="F367" s="885">
        <f>F308</f>
        <v>3.0000000000000001E-3</v>
      </c>
      <c r="G367" s="436">
        <f>G308</f>
        <v>2E-3</v>
      </c>
      <c r="H367" s="436">
        <f>H308-G308</f>
        <v>-8.0000000000000002E-3</v>
      </c>
      <c r="I367" s="436">
        <f>I308-H308</f>
        <v>1E-3</v>
      </c>
      <c r="J367" s="436">
        <f>J308-I308</f>
        <v>8.7000000000000008E-2</v>
      </c>
      <c r="K367" s="885">
        <f>K308</f>
        <v>8.2000000000000003E-2</v>
      </c>
      <c r="L367" s="436">
        <f>L308</f>
        <v>-2.1000000000000001E-2</v>
      </c>
      <c r="M367" s="436">
        <f>M308-L308</f>
        <v>-8.6999999999999994E-2</v>
      </c>
      <c r="N367" s="436">
        <f>N308-M308</f>
        <v>-0.52300000000000002</v>
      </c>
      <c r="O367" s="436">
        <f>O308-N308</f>
        <v>-0.44799999999999995</v>
      </c>
      <c r="P367" s="885">
        <f>P308</f>
        <v>-1.079</v>
      </c>
      <c r="Q367" s="436">
        <f>Q308</f>
        <v>-0.88600000000000001</v>
      </c>
      <c r="R367" s="436">
        <f>R308-Q308</f>
        <v>0.13800000000000001</v>
      </c>
      <c r="S367" s="436">
        <f>S308-R308</f>
        <v>3.3000000000000029E-2</v>
      </c>
      <c r="T367" s="436">
        <f>T308-S308</f>
        <v>-0.11099999999999999</v>
      </c>
      <c r="U367" s="885">
        <f>U308</f>
        <v>-0.82599999999999996</v>
      </c>
      <c r="V367" s="436">
        <f>V308</f>
        <v>0.186</v>
      </c>
      <c r="W367" s="436">
        <f>W308-V308</f>
        <v>-0.11799999999999999</v>
      </c>
      <c r="X367" s="436">
        <f>X308-W308</f>
        <v>4.0999999999999995E-2</v>
      </c>
      <c r="Y367" s="436">
        <f>Y308-X308</f>
        <v>-0.19500000000000001</v>
      </c>
      <c r="Z367" s="885">
        <f>Z308</f>
        <v>-8.5999999999999993E-2</v>
      </c>
      <c r="AA367" s="436">
        <f>AA308</f>
        <v>3.4000000000000002E-2</v>
      </c>
      <c r="AB367" s="436">
        <f>AB308-AA308</f>
        <v>0.14199999999999999</v>
      </c>
      <c r="AC367" s="436">
        <f>AC308-AB308</f>
        <v>3.5000000000000003E-2</v>
      </c>
      <c r="AD367" s="436">
        <f>AD308-AC308</f>
        <v>0.155</v>
      </c>
      <c r="AE367" s="885">
        <f>AE308</f>
        <v>0.36599999999999999</v>
      </c>
      <c r="AF367" s="436">
        <f>AF308</f>
        <v>-6.6000000000000003E-2</v>
      </c>
      <c r="AG367" s="436">
        <f>AG308-AF308</f>
        <v>-0.21899999999999997</v>
      </c>
      <c r="AH367" s="436">
        <f>AH308-AG308</f>
        <v>3.0999999999999972E-2</v>
      </c>
      <c r="AI367" s="436">
        <f>AI308-AH308</f>
        <v>-0.11799999999999999</v>
      </c>
      <c r="AJ367" s="885">
        <f>AJ308</f>
        <v>-0.372</v>
      </c>
      <c r="AK367" s="436">
        <f>AK308</f>
        <v>-6.7000000000000004E-2</v>
      </c>
      <c r="AL367" s="436">
        <f>AL308-AK308</f>
        <v>0.09</v>
      </c>
      <c r="AM367" s="436">
        <f>AM308-AL308</f>
        <v>-0.307</v>
      </c>
      <c r="AN367" s="436">
        <f>AN308-AM308</f>
        <v>0.43099999999999994</v>
      </c>
      <c r="AO367" s="885">
        <f>AO308</f>
        <v>0.14699999999999999</v>
      </c>
      <c r="AP367" s="436">
        <f>AP308</f>
        <v>-0.83899999999999997</v>
      </c>
      <c r="AQ367" s="886">
        <f>AQ308-AP308</f>
        <v>0.32499999999999996</v>
      </c>
      <c r="AR367" s="855"/>
      <c r="AS367" s="855"/>
      <c r="AT367" s="885">
        <f>SUM(AP367,AQ367,AR367,AS367)</f>
        <v>-0.51400000000000001</v>
      </c>
      <c r="AU367" s="855"/>
      <c r="AV367" s="855"/>
      <c r="AW367" s="855"/>
      <c r="AX367" s="855"/>
      <c r="AY367" s="885">
        <f>SUM(AU367,AV367,AW367,AX367)</f>
        <v>0</v>
      </c>
      <c r="AZ367" s="870"/>
      <c r="BA367" s="870"/>
      <c r="BB367" s="870"/>
      <c r="BC367" s="362"/>
    </row>
    <row r="368" spans="1:55" s="4" customFormat="1" ht="14.45" customHeight="1">
      <c r="A368" s="403" t="str">
        <f>A309</f>
        <v>Net Change in Cash Balance</v>
      </c>
      <c r="B368" s="345"/>
      <c r="C368" s="852">
        <f t="shared" ref="C368:AH368" si="259">C365+C349+C341+C367</f>
        <v>11.910999999999992</v>
      </c>
      <c r="D368" s="852">
        <f t="shared" si="259"/>
        <v>7.7600000000000025</v>
      </c>
      <c r="E368" s="852">
        <f t="shared" si="259"/>
        <v>-11.78999999999999</v>
      </c>
      <c r="F368" s="852">
        <f t="shared" si="259"/>
        <v>-3.5389999999999979</v>
      </c>
      <c r="G368" s="418">
        <f t="shared" si="259"/>
        <v>10.418000000000003</v>
      </c>
      <c r="H368" s="418">
        <f t="shared" si="259"/>
        <v>-1.2630000000000003</v>
      </c>
      <c r="I368" s="418">
        <f t="shared" si="259"/>
        <v>51.651000000000025</v>
      </c>
      <c r="J368" s="418">
        <f t="shared" si="259"/>
        <v>-13.551</v>
      </c>
      <c r="K368" s="852">
        <f t="shared" si="259"/>
        <v>47.255000000000017</v>
      </c>
      <c r="L368" s="418">
        <f t="shared" si="259"/>
        <v>-25.518000000000008</v>
      </c>
      <c r="M368" s="418">
        <f t="shared" si="259"/>
        <v>-8.2919999999999945</v>
      </c>
      <c r="N368" s="418">
        <f t="shared" si="259"/>
        <v>4.1029999999999838</v>
      </c>
      <c r="O368" s="418">
        <f t="shared" si="259"/>
        <v>-3.7309999999999479</v>
      </c>
      <c r="P368" s="852">
        <f t="shared" si="259"/>
        <v>-33.437999999999981</v>
      </c>
      <c r="Q368" s="418">
        <f t="shared" si="259"/>
        <v>1.3659999999999988</v>
      </c>
      <c r="R368" s="418">
        <f t="shared" si="259"/>
        <v>1.2039999999999944</v>
      </c>
      <c r="S368" s="418">
        <f t="shared" si="259"/>
        <v>-1.334000000000001</v>
      </c>
      <c r="T368" s="418">
        <f t="shared" si="259"/>
        <v>-3.8720000000000026</v>
      </c>
      <c r="U368" s="852">
        <f t="shared" si="259"/>
        <v>-2.6360000000000308</v>
      </c>
      <c r="V368" s="418">
        <f t="shared" si="259"/>
        <v>-2.7700000000000022</v>
      </c>
      <c r="W368" s="418">
        <f t="shared" si="259"/>
        <v>4.6199999999999992</v>
      </c>
      <c r="X368" s="418">
        <f t="shared" si="259"/>
        <v>-7.1329999999999965</v>
      </c>
      <c r="Y368" s="418">
        <f t="shared" si="259"/>
        <v>4.6229999999999976</v>
      </c>
      <c r="Z368" s="852">
        <f t="shared" si="259"/>
        <v>-0.65999999999999093</v>
      </c>
      <c r="AA368" s="418">
        <f t="shared" si="259"/>
        <v>-7.138000000000007</v>
      </c>
      <c r="AB368" s="418">
        <f t="shared" si="259"/>
        <v>-2.4950000000000001</v>
      </c>
      <c r="AC368" s="418">
        <f t="shared" si="259"/>
        <v>7.1090000000000018</v>
      </c>
      <c r="AD368" s="418">
        <f t="shared" si="259"/>
        <v>2.5370000000000013</v>
      </c>
      <c r="AE368" s="852">
        <f t="shared" si="259"/>
        <v>1.3000000000012668E-2</v>
      </c>
      <c r="AF368" s="418">
        <f t="shared" si="259"/>
        <v>-1.5269999999999999</v>
      </c>
      <c r="AG368" s="418">
        <f t="shared" si="259"/>
        <v>-5.778999999999999</v>
      </c>
      <c r="AH368" s="418">
        <f t="shared" si="259"/>
        <v>-5.715000000000007</v>
      </c>
      <c r="AI368" s="418">
        <f t="shared" ref="AI368:BB368" si="260">AI365+AI349+AI341+AI367</f>
        <v>11.728999999999994</v>
      </c>
      <c r="AJ368" s="852">
        <f t="shared" si="260"/>
        <v>-1.2920000000000229</v>
      </c>
      <c r="AK368" s="418">
        <f t="shared" si="260"/>
        <v>-0.65599999999996128</v>
      </c>
      <c r="AL368" s="418">
        <f t="shared" si="260"/>
        <v>1.1399999999999972</v>
      </c>
      <c r="AM368" s="418">
        <f t="shared" si="260"/>
        <v>5.6889999999999628</v>
      </c>
      <c r="AN368" s="418">
        <f t="shared" si="260"/>
        <v>9.1110000000000149</v>
      </c>
      <c r="AO368" s="852">
        <f t="shared" si="260"/>
        <v>15.284000000000001</v>
      </c>
      <c r="AP368" s="418">
        <f t="shared" si="260"/>
        <v>156.45799999999997</v>
      </c>
      <c r="AQ368" s="895">
        <f t="shared" si="260"/>
        <v>-141.72500000000002</v>
      </c>
      <c r="AR368" s="418">
        <f t="shared" ca="1" si="260"/>
        <v>28.073711769929364</v>
      </c>
      <c r="AS368" s="418">
        <f t="shared" ca="1" si="260"/>
        <v>25.968457718345483</v>
      </c>
      <c r="AT368" s="852">
        <f t="shared" ca="1" si="260"/>
        <v>68.775169488274855</v>
      </c>
      <c r="AU368" s="418">
        <f t="shared" ca="1" si="260"/>
        <v>2.8422805724890736</v>
      </c>
      <c r="AV368" s="418">
        <f t="shared" ca="1" si="260"/>
        <v>-16.610843673947667</v>
      </c>
      <c r="AW368" s="418">
        <f t="shared" ca="1" si="260"/>
        <v>-14.510149732258078</v>
      </c>
      <c r="AX368" s="418">
        <f t="shared" ca="1" si="260"/>
        <v>7.1703097962469293</v>
      </c>
      <c r="AY368" s="852">
        <f t="shared" ca="1" si="260"/>
        <v>-21.108403037469738</v>
      </c>
      <c r="AZ368" s="852">
        <f t="shared" ca="1" si="260"/>
        <v>60.22740381480719</v>
      </c>
      <c r="BA368" s="852">
        <f t="shared" ca="1" si="260"/>
        <v>-16.296245249450905</v>
      </c>
      <c r="BB368" s="852">
        <f t="shared" ca="1" si="260"/>
        <v>196.99981752962981</v>
      </c>
      <c r="BC368" s="363"/>
    </row>
    <row r="369" spans="1:55" s="4" customFormat="1" ht="14.45" customHeight="1">
      <c r="A369" s="403"/>
      <c r="B369" s="345"/>
      <c r="C369" s="852"/>
      <c r="D369" s="852"/>
      <c r="E369" s="852"/>
      <c r="F369" s="852"/>
      <c r="G369" s="418"/>
      <c r="H369" s="418"/>
      <c r="I369" s="418"/>
      <c r="J369" s="418"/>
      <c r="K369" s="852"/>
      <c r="L369" s="418"/>
      <c r="M369" s="418"/>
      <c r="N369" s="418"/>
      <c r="O369" s="418"/>
      <c r="P369" s="852"/>
      <c r="Q369" s="418"/>
      <c r="R369" s="418"/>
      <c r="S369" s="418"/>
      <c r="T369" s="418"/>
      <c r="U369" s="852"/>
      <c r="V369" s="418"/>
      <c r="W369" s="418"/>
      <c r="X369" s="418"/>
      <c r="Y369" s="418"/>
      <c r="Z369" s="852"/>
      <c r="AA369" s="418"/>
      <c r="AB369" s="418"/>
      <c r="AC369" s="418"/>
      <c r="AD369" s="418"/>
      <c r="AE369" s="852"/>
      <c r="AF369" s="418"/>
      <c r="AG369" s="418"/>
      <c r="AH369" s="418"/>
      <c r="AI369" s="418"/>
      <c r="AJ369" s="852"/>
      <c r="AK369" s="418"/>
      <c r="AL369" s="418"/>
      <c r="AM369" s="418"/>
      <c r="AN369" s="418"/>
      <c r="AO369" s="852"/>
      <c r="AP369" s="418"/>
      <c r="AQ369" s="895"/>
      <c r="AR369" s="896"/>
      <c r="AS369" s="896"/>
      <c r="AT369" s="897"/>
      <c r="AU369" s="896"/>
      <c r="AV369" s="896"/>
      <c r="AW369" s="896"/>
      <c r="AX369" s="896"/>
      <c r="AY369" s="897"/>
      <c r="AZ369" s="897"/>
      <c r="BA369" s="897"/>
      <c r="BB369" s="897"/>
      <c r="BC369" s="363"/>
    </row>
    <row r="370" spans="1:55" s="4" customFormat="1" ht="14.45" customHeight="1">
      <c r="A370" s="403" t="str">
        <f>A311</f>
        <v>Beginning Cash Balance</v>
      </c>
      <c r="B370" s="345"/>
      <c r="C370" s="852">
        <f>C311</f>
        <v>3.0379999999999998</v>
      </c>
      <c r="D370" s="852">
        <v>14.949</v>
      </c>
      <c r="E370" s="852">
        <f t="shared" ref="E370:J370" si="261">D371</f>
        <v>22.709000000000003</v>
      </c>
      <c r="F370" s="852">
        <f t="shared" si="261"/>
        <v>10.919000000000013</v>
      </c>
      <c r="G370" s="418">
        <f t="shared" si="261"/>
        <v>7.380000000000015</v>
      </c>
      <c r="H370" s="418">
        <f t="shared" si="261"/>
        <v>17.798000000000016</v>
      </c>
      <c r="I370" s="418">
        <f t="shared" si="261"/>
        <v>16.535000000000014</v>
      </c>
      <c r="J370" s="418">
        <f t="shared" si="261"/>
        <v>68.186000000000035</v>
      </c>
      <c r="K370" s="852">
        <f>F371</f>
        <v>7.380000000000015</v>
      </c>
      <c r="L370" s="418">
        <f>K371</f>
        <v>54.635000000000034</v>
      </c>
      <c r="M370" s="418">
        <f>L371</f>
        <v>29.117000000000026</v>
      </c>
      <c r="N370" s="418">
        <f>M371</f>
        <v>20.825000000000031</v>
      </c>
      <c r="O370" s="418">
        <f>N371</f>
        <v>24.928000000000015</v>
      </c>
      <c r="P370" s="852">
        <f>K371</f>
        <v>54.635000000000034</v>
      </c>
      <c r="Q370" s="418">
        <f>P371</f>
        <v>21.197000000000052</v>
      </c>
      <c r="R370" s="418">
        <f>Q371</f>
        <v>22.563000000000052</v>
      </c>
      <c r="S370" s="418">
        <f>R371</f>
        <v>23.767000000000046</v>
      </c>
      <c r="T370" s="418">
        <f>S371</f>
        <v>22.433000000000046</v>
      </c>
      <c r="U370" s="852">
        <f>P371</f>
        <v>21.197000000000052</v>
      </c>
      <c r="V370" s="418">
        <f>U371</f>
        <v>18.561000000000021</v>
      </c>
      <c r="W370" s="418">
        <f>V371</f>
        <v>15.791000000000018</v>
      </c>
      <c r="X370" s="418">
        <f>W371</f>
        <v>20.411000000000016</v>
      </c>
      <c r="Y370" s="418">
        <f>X371</f>
        <v>13.27800000000002</v>
      </c>
      <c r="Z370" s="852">
        <f>U371</f>
        <v>18.561000000000021</v>
      </c>
      <c r="AA370" s="418">
        <f>Z371</f>
        <v>17.901000000000032</v>
      </c>
      <c r="AB370" s="418">
        <f>AA371</f>
        <v>10.763000000000025</v>
      </c>
      <c r="AC370" s="418">
        <f>AB371</f>
        <v>8.2680000000000256</v>
      </c>
      <c r="AD370" s="418">
        <f>AC371</f>
        <v>15.377000000000027</v>
      </c>
      <c r="AE370" s="852">
        <f>Z371</f>
        <v>17.901000000000032</v>
      </c>
      <c r="AF370" s="418">
        <f>AE371</f>
        <v>17.914000000000044</v>
      </c>
      <c r="AG370" s="418">
        <f>AF371</f>
        <v>16.387000000000043</v>
      </c>
      <c r="AH370" s="418">
        <f>AG371</f>
        <v>10.608000000000043</v>
      </c>
      <c r="AI370" s="418">
        <f>AH371</f>
        <v>4.8930000000000362</v>
      </c>
      <c r="AJ370" s="852">
        <f>AE371</f>
        <v>17.914000000000044</v>
      </c>
      <c r="AK370" s="418">
        <f>AJ371</f>
        <v>16.622000000000021</v>
      </c>
      <c r="AL370" s="418">
        <f>AK371</f>
        <v>15.96600000000006</v>
      </c>
      <c r="AM370" s="418">
        <f>AL371</f>
        <v>17.106000000000058</v>
      </c>
      <c r="AN370" s="418">
        <f>AM371</f>
        <v>22.795000000000023</v>
      </c>
      <c r="AO370" s="852">
        <f>AJ371</f>
        <v>16.622000000000021</v>
      </c>
      <c r="AP370" s="418">
        <f>AO371</f>
        <v>31.90600000000002</v>
      </c>
      <c r="AQ370" s="895">
        <f>AP371</f>
        <v>188.36399999999998</v>
      </c>
      <c r="AR370" s="418">
        <f>AQ371</f>
        <v>46.638999999999953</v>
      </c>
      <c r="AS370" s="418">
        <f ca="1">AR371</f>
        <v>74.712711769929314</v>
      </c>
      <c r="AT370" s="852">
        <f>AO371</f>
        <v>31.90600000000002</v>
      </c>
      <c r="AU370" s="418">
        <f ca="1">AT371</f>
        <v>100.68116948827488</v>
      </c>
      <c r="AV370" s="418">
        <f ca="1">AU371</f>
        <v>103.52345006076395</v>
      </c>
      <c r="AW370" s="418">
        <f ca="1">AV371</f>
        <v>86.912606386816279</v>
      </c>
      <c r="AX370" s="418">
        <f ca="1">AW371</f>
        <v>72.402456654558193</v>
      </c>
      <c r="AY370" s="852">
        <f ca="1">AT371</f>
        <v>100.68116948827488</v>
      </c>
      <c r="AZ370" s="852">
        <f ca="1">AY371</f>
        <v>79.572766450805133</v>
      </c>
      <c r="BA370" s="852">
        <f ca="1">AZ371</f>
        <v>139.80017026561234</v>
      </c>
      <c r="BB370" s="852">
        <f ca="1">BA371</f>
        <v>123.50392501616143</v>
      </c>
      <c r="BC370" s="363"/>
    </row>
    <row r="371" spans="1:55" s="4" customFormat="1" ht="14.45" customHeight="1">
      <c r="A371" s="403" t="str">
        <f>A312</f>
        <v>Ending Cash Balance</v>
      </c>
      <c r="B371" s="345"/>
      <c r="C371" s="852">
        <f t="shared" ref="C371:AH371" si="262">C370+C368</f>
        <v>14.948999999999993</v>
      </c>
      <c r="D371" s="852">
        <f t="shared" si="262"/>
        <v>22.709000000000003</v>
      </c>
      <c r="E371" s="852">
        <f t="shared" si="262"/>
        <v>10.919000000000013</v>
      </c>
      <c r="F371" s="852">
        <f t="shared" si="262"/>
        <v>7.380000000000015</v>
      </c>
      <c r="G371" s="418">
        <f t="shared" si="262"/>
        <v>17.798000000000016</v>
      </c>
      <c r="H371" s="418">
        <f t="shared" si="262"/>
        <v>16.535000000000014</v>
      </c>
      <c r="I371" s="418">
        <f t="shared" si="262"/>
        <v>68.186000000000035</v>
      </c>
      <c r="J371" s="418">
        <f t="shared" si="262"/>
        <v>54.635000000000034</v>
      </c>
      <c r="K371" s="852">
        <f t="shared" si="262"/>
        <v>54.635000000000034</v>
      </c>
      <c r="L371" s="418">
        <f t="shared" si="262"/>
        <v>29.117000000000026</v>
      </c>
      <c r="M371" s="418">
        <f t="shared" si="262"/>
        <v>20.825000000000031</v>
      </c>
      <c r="N371" s="418">
        <f t="shared" si="262"/>
        <v>24.928000000000015</v>
      </c>
      <c r="O371" s="418">
        <f t="shared" si="262"/>
        <v>21.197000000000067</v>
      </c>
      <c r="P371" s="852">
        <f t="shared" si="262"/>
        <v>21.197000000000052</v>
      </c>
      <c r="Q371" s="418">
        <f t="shared" si="262"/>
        <v>22.563000000000052</v>
      </c>
      <c r="R371" s="418">
        <f t="shared" si="262"/>
        <v>23.767000000000046</v>
      </c>
      <c r="S371" s="418">
        <f t="shared" si="262"/>
        <v>22.433000000000046</v>
      </c>
      <c r="T371" s="418">
        <f t="shared" si="262"/>
        <v>18.561000000000043</v>
      </c>
      <c r="U371" s="852">
        <f t="shared" si="262"/>
        <v>18.561000000000021</v>
      </c>
      <c r="V371" s="418">
        <f t="shared" si="262"/>
        <v>15.791000000000018</v>
      </c>
      <c r="W371" s="418">
        <f t="shared" si="262"/>
        <v>20.411000000000016</v>
      </c>
      <c r="X371" s="418">
        <f t="shared" si="262"/>
        <v>13.27800000000002</v>
      </c>
      <c r="Y371" s="418">
        <f t="shared" si="262"/>
        <v>17.901000000000018</v>
      </c>
      <c r="Z371" s="852">
        <f t="shared" si="262"/>
        <v>17.901000000000032</v>
      </c>
      <c r="AA371" s="418">
        <f t="shared" si="262"/>
        <v>10.763000000000025</v>
      </c>
      <c r="AB371" s="418">
        <f t="shared" si="262"/>
        <v>8.2680000000000256</v>
      </c>
      <c r="AC371" s="418">
        <f t="shared" si="262"/>
        <v>15.377000000000027</v>
      </c>
      <c r="AD371" s="418">
        <f t="shared" si="262"/>
        <v>17.91400000000003</v>
      </c>
      <c r="AE371" s="852">
        <f t="shared" si="262"/>
        <v>17.914000000000044</v>
      </c>
      <c r="AF371" s="418">
        <f t="shared" si="262"/>
        <v>16.387000000000043</v>
      </c>
      <c r="AG371" s="418">
        <f t="shared" si="262"/>
        <v>10.608000000000043</v>
      </c>
      <c r="AH371" s="418">
        <f t="shared" si="262"/>
        <v>4.8930000000000362</v>
      </c>
      <c r="AI371" s="418">
        <f t="shared" ref="AI371:BB371" si="263">AI370+AI368</f>
        <v>16.622000000000028</v>
      </c>
      <c r="AJ371" s="852">
        <f t="shared" si="263"/>
        <v>16.622000000000021</v>
      </c>
      <c r="AK371" s="418">
        <f t="shared" si="263"/>
        <v>15.96600000000006</v>
      </c>
      <c r="AL371" s="418">
        <f t="shared" si="263"/>
        <v>17.106000000000058</v>
      </c>
      <c r="AM371" s="418">
        <f t="shared" si="263"/>
        <v>22.795000000000023</v>
      </c>
      <c r="AN371" s="418">
        <f t="shared" si="263"/>
        <v>31.906000000000038</v>
      </c>
      <c r="AO371" s="852">
        <f t="shared" si="263"/>
        <v>31.90600000000002</v>
      </c>
      <c r="AP371" s="418">
        <f t="shared" si="263"/>
        <v>188.36399999999998</v>
      </c>
      <c r="AQ371" s="895">
        <f t="shared" si="263"/>
        <v>46.638999999999953</v>
      </c>
      <c r="AR371" s="418">
        <f t="shared" ca="1" si="263"/>
        <v>74.712711769929314</v>
      </c>
      <c r="AS371" s="418">
        <f t="shared" ca="1" si="263"/>
        <v>100.6811694882748</v>
      </c>
      <c r="AT371" s="852">
        <f t="shared" ca="1" si="263"/>
        <v>100.68116948827488</v>
      </c>
      <c r="AU371" s="418">
        <f t="shared" ca="1" si="263"/>
        <v>103.52345006076395</v>
      </c>
      <c r="AV371" s="418">
        <f t="shared" ca="1" si="263"/>
        <v>86.912606386816279</v>
      </c>
      <c r="AW371" s="418">
        <f t="shared" ca="1" si="263"/>
        <v>72.402456654558193</v>
      </c>
      <c r="AX371" s="418">
        <f t="shared" ca="1" si="263"/>
        <v>79.572766450805119</v>
      </c>
      <c r="AY371" s="852">
        <f t="shared" ca="1" si="263"/>
        <v>79.572766450805133</v>
      </c>
      <c r="AZ371" s="852">
        <f t="shared" ca="1" si="263"/>
        <v>139.80017026561234</v>
      </c>
      <c r="BA371" s="852">
        <f t="shared" ca="1" si="263"/>
        <v>123.50392501616143</v>
      </c>
      <c r="BB371" s="852">
        <f t="shared" ca="1" si="263"/>
        <v>320.50374254579123</v>
      </c>
      <c r="BC371" s="363"/>
    </row>
    <row r="372" spans="1:55" s="4" customFormat="1" ht="14.45" customHeight="1">
      <c r="A372" s="403"/>
      <c r="B372" s="345"/>
      <c r="C372" s="852"/>
      <c r="D372" s="852"/>
      <c r="E372" s="852"/>
      <c r="F372" s="852"/>
      <c r="G372" s="418"/>
      <c r="H372" s="418"/>
      <c r="I372" s="418"/>
      <c r="J372" s="418"/>
      <c r="K372" s="852"/>
      <c r="L372" s="418"/>
      <c r="M372" s="418"/>
      <c r="N372" s="418"/>
      <c r="O372" s="418"/>
      <c r="P372" s="852"/>
      <c r="Q372" s="418"/>
      <c r="R372" s="418"/>
      <c r="S372" s="418"/>
      <c r="T372" s="418"/>
      <c r="U372" s="852"/>
      <c r="V372" s="418"/>
      <c r="W372" s="418"/>
      <c r="X372" s="418"/>
      <c r="Y372" s="418"/>
      <c r="Z372" s="852"/>
      <c r="AA372" s="418"/>
      <c r="AB372" s="418"/>
      <c r="AC372" s="418"/>
      <c r="AD372" s="418"/>
      <c r="AE372" s="852"/>
      <c r="AF372" s="418"/>
      <c r="AG372" s="418"/>
      <c r="AH372" s="418"/>
      <c r="AI372" s="418"/>
      <c r="AJ372" s="852"/>
      <c r="AK372" s="418"/>
      <c r="AL372" s="418"/>
      <c r="AM372" s="418"/>
      <c r="AN372" s="418"/>
      <c r="AO372" s="852"/>
      <c r="AP372" s="418"/>
      <c r="AQ372" s="895"/>
      <c r="AR372" s="896"/>
      <c r="AS372" s="896"/>
      <c r="AT372" s="897"/>
      <c r="AU372" s="896"/>
      <c r="AV372" s="896"/>
      <c r="AW372" s="896"/>
      <c r="AX372" s="896"/>
      <c r="AY372" s="897"/>
      <c r="AZ372" s="897"/>
      <c r="BA372" s="897"/>
      <c r="BB372" s="897"/>
      <c r="BC372" s="363"/>
    </row>
    <row r="373" spans="1:55" s="23" customFormat="1" ht="14.45" customHeight="1">
      <c r="A373" s="55" t="s">
        <v>87</v>
      </c>
      <c r="B373" s="55"/>
      <c r="C373" s="553">
        <f t="shared" ref="C373:AH373" si="264">ROUND(C371-C386,6)</f>
        <v>0</v>
      </c>
      <c r="D373" s="553">
        <f t="shared" si="264"/>
        <v>0</v>
      </c>
      <c r="E373" s="553">
        <f t="shared" si="264"/>
        <v>0</v>
      </c>
      <c r="F373" s="553">
        <f t="shared" si="264"/>
        <v>0</v>
      </c>
      <c r="G373" s="553">
        <f t="shared" si="264"/>
        <v>0</v>
      </c>
      <c r="H373" s="553">
        <f t="shared" si="264"/>
        <v>0</v>
      </c>
      <c r="I373" s="553">
        <f t="shared" si="264"/>
        <v>0</v>
      </c>
      <c r="J373" s="553">
        <f t="shared" si="264"/>
        <v>0</v>
      </c>
      <c r="K373" s="553">
        <f t="shared" si="264"/>
        <v>0</v>
      </c>
      <c r="L373" s="553">
        <f t="shared" si="264"/>
        <v>0</v>
      </c>
      <c r="M373" s="553">
        <f t="shared" si="264"/>
        <v>0</v>
      </c>
      <c r="N373" s="553">
        <f t="shared" si="264"/>
        <v>0</v>
      </c>
      <c r="O373" s="553">
        <f t="shared" si="264"/>
        <v>0</v>
      </c>
      <c r="P373" s="553">
        <f t="shared" si="264"/>
        <v>0</v>
      </c>
      <c r="Q373" s="553">
        <f t="shared" si="264"/>
        <v>0</v>
      </c>
      <c r="R373" s="553">
        <f t="shared" si="264"/>
        <v>0</v>
      </c>
      <c r="S373" s="553">
        <f t="shared" si="264"/>
        <v>0</v>
      </c>
      <c r="T373" s="553">
        <f t="shared" si="264"/>
        <v>0</v>
      </c>
      <c r="U373" s="553">
        <f t="shared" si="264"/>
        <v>0</v>
      </c>
      <c r="V373" s="553">
        <f t="shared" si="264"/>
        <v>0</v>
      </c>
      <c r="W373" s="553">
        <f t="shared" si="264"/>
        <v>0</v>
      </c>
      <c r="X373" s="553">
        <f t="shared" si="264"/>
        <v>0</v>
      </c>
      <c r="Y373" s="553">
        <f t="shared" si="264"/>
        <v>0</v>
      </c>
      <c r="Z373" s="553">
        <f t="shared" si="264"/>
        <v>0</v>
      </c>
      <c r="AA373" s="553">
        <f t="shared" si="264"/>
        <v>0</v>
      </c>
      <c r="AB373" s="553">
        <f t="shared" si="264"/>
        <v>0</v>
      </c>
      <c r="AC373" s="553">
        <f t="shared" si="264"/>
        <v>0</v>
      </c>
      <c r="AD373" s="553">
        <f t="shared" si="264"/>
        <v>0</v>
      </c>
      <c r="AE373" s="553">
        <f t="shared" si="264"/>
        <v>0</v>
      </c>
      <c r="AF373" s="553">
        <f t="shared" si="264"/>
        <v>0</v>
      </c>
      <c r="AG373" s="553">
        <f t="shared" si="264"/>
        <v>0</v>
      </c>
      <c r="AH373" s="553">
        <f t="shared" si="264"/>
        <v>0</v>
      </c>
      <c r="AI373" s="553">
        <f t="shared" ref="AI373:BB373" si="265">ROUND(AI371-AI386,6)</f>
        <v>0</v>
      </c>
      <c r="AJ373" s="553">
        <f t="shared" si="265"/>
        <v>0</v>
      </c>
      <c r="AK373" s="553">
        <f t="shared" si="265"/>
        <v>0</v>
      </c>
      <c r="AL373" s="553">
        <f t="shared" si="265"/>
        <v>0</v>
      </c>
      <c r="AM373" s="553">
        <f t="shared" si="265"/>
        <v>0</v>
      </c>
      <c r="AN373" s="553">
        <f t="shared" si="265"/>
        <v>0</v>
      </c>
      <c r="AO373" s="553">
        <f t="shared" si="265"/>
        <v>0</v>
      </c>
      <c r="AP373" s="553">
        <f t="shared" si="265"/>
        <v>0</v>
      </c>
      <c r="AQ373" s="554">
        <f t="shared" si="265"/>
        <v>0</v>
      </c>
      <c r="AR373" s="553">
        <f t="shared" ca="1" si="265"/>
        <v>0</v>
      </c>
      <c r="AS373" s="553">
        <f t="shared" ca="1" si="265"/>
        <v>0</v>
      </c>
      <c r="AT373" s="553">
        <f t="shared" ca="1" si="265"/>
        <v>0</v>
      </c>
      <c r="AU373" s="553">
        <f t="shared" ca="1" si="265"/>
        <v>0</v>
      </c>
      <c r="AV373" s="553">
        <f t="shared" ca="1" si="265"/>
        <v>0</v>
      </c>
      <c r="AW373" s="553">
        <f t="shared" ca="1" si="265"/>
        <v>0</v>
      </c>
      <c r="AX373" s="553">
        <f t="shared" ca="1" si="265"/>
        <v>0</v>
      </c>
      <c r="AY373" s="553">
        <f t="shared" ca="1" si="265"/>
        <v>0</v>
      </c>
      <c r="AZ373" s="553">
        <f t="shared" ca="1" si="265"/>
        <v>0</v>
      </c>
      <c r="BA373" s="553">
        <f t="shared" ca="1" si="265"/>
        <v>0</v>
      </c>
      <c r="BB373" s="553">
        <f t="shared" ca="1" si="265"/>
        <v>0</v>
      </c>
      <c r="BC373" s="362"/>
    </row>
    <row r="374" spans="1:55" s="4" customFormat="1" ht="14.45" customHeight="1">
      <c r="A374" s="403"/>
      <c r="B374" s="345"/>
      <c r="C374" s="852"/>
      <c r="D374" s="852"/>
      <c r="E374" s="852"/>
      <c r="F374" s="852"/>
      <c r="G374" s="418"/>
      <c r="H374" s="418"/>
      <c r="I374" s="418"/>
      <c r="J374" s="418"/>
      <c r="K374" s="852"/>
      <c r="L374" s="418"/>
      <c r="M374" s="418"/>
      <c r="N374" s="418"/>
      <c r="O374" s="418"/>
      <c r="P374" s="852"/>
      <c r="Q374" s="418"/>
      <c r="R374" s="418"/>
      <c r="S374" s="418"/>
      <c r="T374" s="418"/>
      <c r="U374" s="852"/>
      <c r="V374" s="418"/>
      <c r="W374" s="418"/>
      <c r="X374" s="418"/>
      <c r="Y374" s="418"/>
      <c r="Z374" s="852"/>
      <c r="AA374" s="418"/>
      <c r="AB374" s="418"/>
      <c r="AC374" s="418"/>
      <c r="AD374" s="418"/>
      <c r="AE374" s="852"/>
      <c r="AF374" s="418"/>
      <c r="AG374" s="418"/>
      <c r="AH374" s="418"/>
      <c r="AI374" s="418"/>
      <c r="AJ374" s="852"/>
      <c r="AK374" s="418"/>
      <c r="AL374" s="418"/>
      <c r="AM374" s="418"/>
      <c r="AN374" s="418"/>
      <c r="AO374" s="852"/>
      <c r="AP374" s="418"/>
      <c r="AQ374" s="895"/>
      <c r="AR374" s="896"/>
      <c r="AS374" s="896"/>
      <c r="AT374" s="897"/>
      <c r="AU374" s="896"/>
      <c r="AV374" s="896"/>
      <c r="AW374" s="896"/>
      <c r="AX374" s="896"/>
      <c r="AY374" s="897"/>
      <c r="AZ374" s="897"/>
      <c r="BA374" s="897"/>
      <c r="BB374" s="897"/>
      <c r="BC374" s="363"/>
    </row>
    <row r="375" spans="1:55" s="4" customFormat="1" ht="14.45" customHeight="1">
      <c r="A375" s="227" t="s">
        <v>364</v>
      </c>
      <c r="B375" s="228"/>
      <c r="C375" s="883"/>
      <c r="D375" s="883"/>
      <c r="E375" s="883"/>
      <c r="F375" s="883"/>
      <c r="G375" s="883"/>
      <c r="H375" s="883"/>
      <c r="I375" s="883"/>
      <c r="J375" s="883"/>
      <c r="K375" s="883"/>
      <c r="L375" s="883"/>
      <c r="M375" s="883"/>
      <c r="N375" s="883"/>
      <c r="O375" s="883"/>
      <c r="P375" s="883"/>
      <c r="Q375" s="883"/>
      <c r="R375" s="883"/>
      <c r="S375" s="883"/>
      <c r="T375" s="883"/>
      <c r="U375" s="883"/>
      <c r="V375" s="883"/>
      <c r="W375" s="883"/>
      <c r="X375" s="883"/>
      <c r="Y375" s="883"/>
      <c r="Z375" s="883"/>
      <c r="AA375" s="883"/>
      <c r="AB375" s="883"/>
      <c r="AC375" s="883"/>
      <c r="AD375" s="883"/>
      <c r="AE375" s="883"/>
      <c r="AF375" s="883"/>
      <c r="AG375" s="883"/>
      <c r="AH375" s="883"/>
      <c r="AI375" s="883"/>
      <c r="AJ375" s="883"/>
      <c r="AK375" s="883"/>
      <c r="AL375" s="883"/>
      <c r="AM375" s="883"/>
      <c r="AN375" s="883"/>
      <c r="AO375" s="883"/>
      <c r="AP375" s="883"/>
      <c r="AQ375" s="884"/>
      <c r="AR375" s="883"/>
      <c r="AS375" s="883"/>
      <c r="AT375" s="883"/>
      <c r="AU375" s="883"/>
      <c r="AV375" s="883"/>
      <c r="AW375" s="883"/>
      <c r="AX375" s="883"/>
      <c r="AY375" s="883"/>
      <c r="AZ375" s="883"/>
      <c r="BA375" s="883"/>
      <c r="BB375" s="883"/>
      <c r="BC375" s="363"/>
    </row>
    <row r="376" spans="1:55" s="25" customFormat="1" ht="14.45" customHeight="1">
      <c r="A376" s="122" t="s">
        <v>365</v>
      </c>
      <c r="B376" s="437"/>
      <c r="C376" s="898">
        <f>C387/C149</f>
        <v>0.1598318000428868</v>
      </c>
      <c r="D376" s="898">
        <f>D387/D149</f>
        <v>0.1580606271136222</v>
      </c>
      <c r="E376" s="898">
        <f>E387/E149</f>
        <v>0.15633121934757166</v>
      </c>
      <c r="F376" s="898">
        <f>F387/F149</f>
        <v>0.17066497526703345</v>
      </c>
      <c r="G376" s="935"/>
      <c r="H376" s="935"/>
      <c r="I376" s="935"/>
      <c r="J376" s="935"/>
      <c r="K376" s="898">
        <f>K387/K149</f>
        <v>0.17927439496141931</v>
      </c>
      <c r="L376" s="935">
        <f>L387/(L149+J149+I149+H149)</f>
        <v>0.26790212350800274</v>
      </c>
      <c r="M376" s="935">
        <f>M387/(M149+L149+J149+I149)</f>
        <v>0.20583137994442388</v>
      </c>
      <c r="N376" s="935">
        <f>N387/(N149+M149+L149+J149)</f>
        <v>0.18636869349713195</v>
      </c>
      <c r="O376" s="935">
        <f>O387/(O149+N149+M149+L149)</f>
        <v>0.13446710405891332</v>
      </c>
      <c r="P376" s="898">
        <f>P387/P149</f>
        <v>0.13446710405891332</v>
      </c>
      <c r="Q376" s="935">
        <f>Q387/(Q149+O149+N149+M149)</f>
        <v>0.11198927428321644</v>
      </c>
      <c r="R376" s="935">
        <f>R387/(R149+Q149+O149+N149)</f>
        <v>0.14527890592501461</v>
      </c>
      <c r="S376" s="935">
        <f>S387/(S149+R149+Q149+O149)</f>
        <v>0.1778303676632117</v>
      </c>
      <c r="T376" s="935">
        <f>T387/(T149+S149+R149+Q149)</f>
        <v>0.13762803725087716</v>
      </c>
      <c r="U376" s="898">
        <f>U387/U149</f>
        <v>0.13762803725087719</v>
      </c>
      <c r="V376" s="935">
        <f>V387/(V149+T149+S149+R149)</f>
        <v>0.15384158418710725</v>
      </c>
      <c r="W376" s="935">
        <f>W387/(W149+V149+T149+S149)</f>
        <v>0.1560164416288424</v>
      </c>
      <c r="X376" s="935">
        <f>X387/(X149+W149+V149+T149)</f>
        <v>0.18681479269950269</v>
      </c>
      <c r="Y376" s="935">
        <f>Y387/(Y149+X149+W149+V149)</f>
        <v>0.17281792005660826</v>
      </c>
      <c r="Z376" s="898">
        <f>Z387/Z149</f>
        <v>0.17281792005660826</v>
      </c>
      <c r="AA376" s="935">
        <f>AA387/(AA149+Y149+X149+W149)</f>
        <v>0.18016450768304235</v>
      </c>
      <c r="AB376" s="935">
        <f>AB387/(AB149+AA149+Y149+X149)</f>
        <v>0.19648199622313223</v>
      </c>
      <c r="AC376" s="935">
        <f>AC387/(AC149+AB149+AA149+Y149)</f>
        <v>0.18936486971644265</v>
      </c>
      <c r="AD376" s="935">
        <f>AD387/(AD149+AC149+AB149+AA149)</f>
        <v>0.21239494990904198</v>
      </c>
      <c r="AE376" s="898">
        <f>AE387/AE149</f>
        <v>0.21239494990904198</v>
      </c>
      <c r="AF376" s="935">
        <f>AF387/(AF149+AD149+AC149+AB149)</f>
        <v>0.24211866502233817</v>
      </c>
      <c r="AG376" s="935">
        <f>AG387/(AG149+AF149+AD149+AC149)</f>
        <v>0.23919200585928405</v>
      </c>
      <c r="AH376" s="935">
        <f>AH387/(AH149+AG149+AF149+AD149)</f>
        <v>0.24507002463529781</v>
      </c>
      <c r="AI376" s="935">
        <f>AI387/(AI149+AH149+AG149+AF149)</f>
        <v>0.22696126764070235</v>
      </c>
      <c r="AJ376" s="898">
        <f>AJ387/AJ149</f>
        <v>0.22696126764070235</v>
      </c>
      <c r="AK376" s="935">
        <f>AK387/(AK149+AI149+AH149+AG149)</f>
        <v>0.22653840655188612</v>
      </c>
      <c r="AL376" s="935">
        <f>AL387/(AL149+AK149+AI149+AH149)</f>
        <v>0.21787435275070952</v>
      </c>
      <c r="AM376" s="935">
        <f>AM387/(AM149+AL149+AK149+AI149)</f>
        <v>0.20549866380513815</v>
      </c>
      <c r="AN376" s="935">
        <f>AN387/(AN149+AM149+AL149+AK149)</f>
        <v>0.19153308778804765</v>
      </c>
      <c r="AO376" s="898">
        <f>AO387/AO149</f>
        <v>0.19153308778804765</v>
      </c>
      <c r="AP376" s="935">
        <f>AP387/(AP149+AN149+AM149+AL149)</f>
        <v>0.18519149384029077</v>
      </c>
      <c r="AQ376" s="936">
        <f>AQ387/(AQ149+AP149+AN149+AM149)</f>
        <v>0.15632366287604232</v>
      </c>
      <c r="AR376" s="935">
        <f t="shared" ref="AR376:AS378" si="266">AM376+AR380</f>
        <v>0.20549866380513815</v>
      </c>
      <c r="AS376" s="935">
        <f t="shared" si="266"/>
        <v>0.19153308778804765</v>
      </c>
      <c r="AT376" s="898">
        <f>AT387/AT149</f>
        <v>0.19153308778804765</v>
      </c>
      <c r="AU376" s="935">
        <f t="shared" ref="AU376:AX378" si="267">AP376+AU380</f>
        <v>0.18519149384029077</v>
      </c>
      <c r="AV376" s="935">
        <f t="shared" si="267"/>
        <v>0.15632366287604232</v>
      </c>
      <c r="AW376" s="935">
        <f t="shared" si="267"/>
        <v>0.20549866380513815</v>
      </c>
      <c r="AX376" s="935">
        <f t="shared" si="267"/>
        <v>0.19153308778804765</v>
      </c>
      <c r="AY376" s="898">
        <f>AY387/AY149</f>
        <v>0.19153308778804765</v>
      </c>
      <c r="AZ376" s="898">
        <f t="shared" ref="AZ376:BB378" si="268">AY376+AZ380</f>
        <v>0.19153308778804765</v>
      </c>
      <c r="BA376" s="898">
        <f t="shared" si="268"/>
        <v>0.19153308778804765</v>
      </c>
      <c r="BB376" s="898">
        <f t="shared" si="268"/>
        <v>0.19153308778804765</v>
      </c>
      <c r="BC376" s="45"/>
    </row>
    <row r="377" spans="1:55" s="25" customFormat="1" ht="14.45" customHeight="1">
      <c r="A377" s="122" t="s">
        <v>367</v>
      </c>
      <c r="B377" s="437"/>
      <c r="C377" s="898">
        <f>C388/C149</f>
        <v>0.1668872024727904</v>
      </c>
      <c r="D377" s="898">
        <f>D388/D149</f>
        <v>0.19291048969625141</v>
      </c>
      <c r="E377" s="898">
        <f>E388/E149</f>
        <v>0.17572524905440409</v>
      </c>
      <c r="F377" s="898">
        <f>F388/F149</f>
        <v>0.18249101131186055</v>
      </c>
      <c r="G377" s="935"/>
      <c r="H377" s="935"/>
      <c r="I377" s="935"/>
      <c r="J377" s="935"/>
      <c r="K377" s="898">
        <f>K388/K149</f>
        <v>0.2508376552125835</v>
      </c>
      <c r="L377" s="935">
        <f>L388/(L149+J149+I149+H149)</f>
        <v>0.34676509691070251</v>
      </c>
      <c r="M377" s="935">
        <f>M388/(M149+L149+J149+I149)</f>
        <v>0.24932879794615107</v>
      </c>
      <c r="N377" s="935">
        <f>N388/(N149+M149+L149+J149)</f>
        <v>0.21079525392563769</v>
      </c>
      <c r="O377" s="935">
        <f>O388/(O149+N149+M149+L149)</f>
        <v>0.17404873237433796</v>
      </c>
      <c r="P377" s="898">
        <f>P388/P149</f>
        <v>0.17404873237433796</v>
      </c>
      <c r="Q377" s="935">
        <f>Q388/(Q149+O149+N149+M149)</f>
        <v>0.17717382056720737</v>
      </c>
      <c r="R377" s="935">
        <f>R388/(R149+Q149+O149+N149)</f>
        <v>0.19611094207276294</v>
      </c>
      <c r="S377" s="935">
        <f>S388/(S149+R149+Q149+O149)</f>
        <v>0.17090904422400438</v>
      </c>
      <c r="T377" s="935">
        <f>T388/(T149+S149+R149+Q149)</f>
        <v>0.16679257929245286</v>
      </c>
      <c r="U377" s="898">
        <f>U388/U149</f>
        <v>0.16679257929245289</v>
      </c>
      <c r="V377" s="935">
        <f>V388/(V149+T149+S149+R149)</f>
        <v>0.17193709964631951</v>
      </c>
      <c r="W377" s="935">
        <f>W388/(W149+V149+T149+S149)</f>
        <v>0.17511273903390021</v>
      </c>
      <c r="X377" s="935">
        <f>X388/(X149+W149+V149+T149)</f>
        <v>0.18964793878016012</v>
      </c>
      <c r="Y377" s="935">
        <f>Y388/(Y149+X149+W149+V149)</f>
        <v>0.18416168738144087</v>
      </c>
      <c r="Z377" s="898">
        <f>Z388/Z149</f>
        <v>0.18416168738144087</v>
      </c>
      <c r="AA377" s="935">
        <f>AA388/(AA149+Y149+X149+W149)</f>
        <v>0.19518553840402944</v>
      </c>
      <c r="AB377" s="935">
        <f>AB388/(AB149+AA149+Y149+X149)</f>
        <v>0.21940271954063886</v>
      </c>
      <c r="AC377" s="935">
        <f>AC388/(AC149+AB149+AA149+Y149)</f>
        <v>0.22935077254477004</v>
      </c>
      <c r="AD377" s="935">
        <f>AD388/(AD149+AC149+AB149+AA149)</f>
        <v>0.24051986984037507</v>
      </c>
      <c r="AE377" s="898">
        <f>AE388/AE149</f>
        <v>0.24051986984037507</v>
      </c>
      <c r="AF377" s="935">
        <f>AF388/(AF149+AD149+AC149+AB149)</f>
        <v>0.24566789581755941</v>
      </c>
      <c r="AG377" s="935">
        <f>AG388/(AG149+AF149+AD149+AC149)</f>
        <v>0.22505605974437604</v>
      </c>
      <c r="AH377" s="935">
        <f>AH388/(AH149+AG149+AF149+AD149)</f>
        <v>0.20069797850599425</v>
      </c>
      <c r="AI377" s="935">
        <f>AI388/(AI149+AH149+AG149+AF149)</f>
        <v>0.17265355005129127</v>
      </c>
      <c r="AJ377" s="898">
        <f>AJ388/AJ149</f>
        <v>0.17265355005129127</v>
      </c>
      <c r="AK377" s="935">
        <f>AK388/(AK149+AI149+AH149+AG149)</f>
        <v>0.16710096819807516</v>
      </c>
      <c r="AL377" s="935">
        <f>AL388/(AL149+AK149+AI149+AH149)</f>
        <v>0.17574056144762401</v>
      </c>
      <c r="AM377" s="935">
        <f>AM388/(AM149+AL149+AK149+AI149)</f>
        <v>0.19251113281275131</v>
      </c>
      <c r="AN377" s="935">
        <f>AN388/(AN149+AM149+AL149+AK149)</f>
        <v>0.18867170008619105</v>
      </c>
      <c r="AO377" s="898">
        <f>AO388/AO149</f>
        <v>0.18867170008619105</v>
      </c>
      <c r="AP377" s="935">
        <f>AP388/(AP149+AN149+AM149+AL149)</f>
        <v>0.2102139280333245</v>
      </c>
      <c r="AQ377" s="936">
        <f>AQ388/(AQ149+AP149+AN149+AM149)</f>
        <v>0.23843778361158996</v>
      </c>
      <c r="AR377" s="935">
        <f t="shared" si="266"/>
        <v>0.19251113281275131</v>
      </c>
      <c r="AS377" s="935">
        <f t="shared" si="266"/>
        <v>0.18867170008619105</v>
      </c>
      <c r="AT377" s="898">
        <f>AT388/AT149</f>
        <v>0.18867170008619105</v>
      </c>
      <c r="AU377" s="935">
        <f t="shared" si="267"/>
        <v>0.2102139280333245</v>
      </c>
      <c r="AV377" s="935">
        <f t="shared" si="267"/>
        <v>0.23843778361158996</v>
      </c>
      <c r="AW377" s="935">
        <f t="shared" si="267"/>
        <v>0.19251113281275131</v>
      </c>
      <c r="AX377" s="935">
        <f t="shared" si="267"/>
        <v>0.18867170008619105</v>
      </c>
      <c r="AY377" s="898">
        <f>AY388/AY149</f>
        <v>0.18867170008619105</v>
      </c>
      <c r="AZ377" s="898">
        <f t="shared" si="268"/>
        <v>0.18867170008619105</v>
      </c>
      <c r="BA377" s="898">
        <f t="shared" si="268"/>
        <v>0.18867170008619105</v>
      </c>
      <c r="BB377" s="898">
        <f t="shared" si="268"/>
        <v>0.18867170008619105</v>
      </c>
      <c r="BC377" s="45"/>
    </row>
    <row r="378" spans="1:55" s="25" customFormat="1" ht="14.45" customHeight="1">
      <c r="A378" s="122" t="s">
        <v>369</v>
      </c>
      <c r="B378" s="437"/>
      <c r="C378" s="898">
        <f>C407/C149</f>
        <v>3.8728876941020188E-2</v>
      </c>
      <c r="D378" s="898">
        <f>D407/D149</f>
        <v>5.4062752229839493E-2</v>
      </c>
      <c r="E378" s="898">
        <f>E407/E149</f>
        <v>4.627831857049565E-2</v>
      </c>
      <c r="F378" s="898">
        <f>F407/F149</f>
        <v>3.9752895521043663E-2</v>
      </c>
      <c r="G378" s="935"/>
      <c r="H378" s="935"/>
      <c r="I378" s="935"/>
      <c r="J378" s="935"/>
      <c r="K378" s="898">
        <f>K407/K149</f>
        <v>7.4293177853543446E-2</v>
      </c>
      <c r="L378" s="935">
        <f>L407/(L149+J149+I149+H149)</f>
        <v>0.11154253528326136</v>
      </c>
      <c r="M378" s="935">
        <f>M407/(M149+L149+J149+I149)</f>
        <v>7.7391408222053815E-2</v>
      </c>
      <c r="N378" s="935">
        <f>N407/(N149+M149+L149+J149)</f>
        <v>7.2506878610021114E-2</v>
      </c>
      <c r="O378" s="935">
        <f>O407/(O149+N149+M149+L149)</f>
        <v>4.221082265948E-2</v>
      </c>
      <c r="P378" s="898">
        <f>P407/P149</f>
        <v>4.221082265948E-2</v>
      </c>
      <c r="Q378" s="935">
        <f>Q407/(Q149+O149+N149+M149)</f>
        <v>5.115691641509932E-2</v>
      </c>
      <c r="R378" s="935">
        <f>R407/(R149+Q149+O149+N149)</f>
        <v>5.6751318131641193E-2</v>
      </c>
      <c r="S378" s="935">
        <f>S407/(S149+R149+Q149+O149)</f>
        <v>3.9603607304763616E-2</v>
      </c>
      <c r="T378" s="935">
        <f>T407/(T149+S149+R149+Q149)</f>
        <v>3.9200957995259134E-2</v>
      </c>
      <c r="U378" s="898">
        <f>U407/U149</f>
        <v>3.9200957995259141E-2</v>
      </c>
      <c r="V378" s="935">
        <f>V407/(V149+T149+S149+R149)</f>
        <v>4.3596442041175298E-2</v>
      </c>
      <c r="W378" s="935">
        <f>W407/(W149+V149+T149+S149)</f>
        <v>3.9974113679687596E-2</v>
      </c>
      <c r="X378" s="935">
        <f>X407/(X149+W149+V149+T149)</f>
        <v>4.3201156514428928E-2</v>
      </c>
      <c r="Y378" s="935">
        <f>Y407/(Y149+X149+W149+V149)</f>
        <v>3.959736101831713E-2</v>
      </c>
      <c r="Z378" s="898">
        <f>Z407/Z149</f>
        <v>3.959736101831713E-2</v>
      </c>
      <c r="AA378" s="935">
        <f>AA407/(AA149+Y149+X149+W149)</f>
        <v>4.7135013554551276E-2</v>
      </c>
      <c r="AB378" s="935">
        <f>AB407/(AB149+AA149+Y149+X149)</f>
        <v>5.0336474194396068E-2</v>
      </c>
      <c r="AC378" s="935">
        <f>AC407/(AC149+AB149+AA149+Y149)</f>
        <v>5.9082959220307832E-2</v>
      </c>
      <c r="AD378" s="935">
        <f>AD407/(AD149+AC149+AB149+AA149)</f>
        <v>6.7011068692510681E-2</v>
      </c>
      <c r="AE378" s="898">
        <f>AE407/AE149</f>
        <v>6.7011068692510681E-2</v>
      </c>
      <c r="AF378" s="935">
        <f>AF407/(AF149+AD149+AC149+AB149)</f>
        <v>9.4278074784181876E-2</v>
      </c>
      <c r="AG378" s="935">
        <f>AG407/(AG149+AF149+AD149+AC149)</f>
        <v>6.9967076807141773E-2</v>
      </c>
      <c r="AH378" s="935">
        <f>AH407/(AH149+AG149+AF149+AD149)</f>
        <v>5.4666775523321887E-2</v>
      </c>
      <c r="AI378" s="935">
        <f>AI407/(AI149+AH149+AG149+AF149)</f>
        <v>6.3073291702769735E-2</v>
      </c>
      <c r="AJ378" s="898">
        <f>AJ407/AJ149</f>
        <v>6.3073291702769735E-2</v>
      </c>
      <c r="AK378" s="935">
        <f>AK407/(AK149+AI149+AH149+AG149)</f>
        <v>5.8257675964203462E-2</v>
      </c>
      <c r="AL378" s="935">
        <f>AL407/(AL149+AK149+AI149+AH149)</f>
        <v>5.2855155173750064E-2</v>
      </c>
      <c r="AM378" s="935">
        <f>AM407/(AM149+AL149+AK149+AI149)</f>
        <v>5.9245477717004606E-2</v>
      </c>
      <c r="AN378" s="935">
        <f>AN407/(AN149+AM149+AL149+AK149)</f>
        <v>4.6385281777451076E-2</v>
      </c>
      <c r="AO378" s="898">
        <f>AO407/AO149</f>
        <v>4.6385281777451076E-2</v>
      </c>
      <c r="AP378" s="935">
        <f>AP407/(AP149+AN149+AM149+AL149)</f>
        <v>5.8273508818576632E-2</v>
      </c>
      <c r="AQ378" s="936">
        <f>AQ407/(AQ149+AP149+AN149+AM149)</f>
        <v>5.386107676471126E-2</v>
      </c>
      <c r="AR378" s="935">
        <f t="shared" si="266"/>
        <v>5.9245477717004606E-2</v>
      </c>
      <c r="AS378" s="935">
        <f t="shared" si="266"/>
        <v>4.6385281777451076E-2</v>
      </c>
      <c r="AT378" s="898">
        <f>AT407/AT149</f>
        <v>4.6385281777451076E-2</v>
      </c>
      <c r="AU378" s="935">
        <f t="shared" si="267"/>
        <v>5.8273508818576632E-2</v>
      </c>
      <c r="AV378" s="935">
        <f t="shared" si="267"/>
        <v>5.386107676471126E-2</v>
      </c>
      <c r="AW378" s="935">
        <f t="shared" si="267"/>
        <v>5.9245477717004606E-2</v>
      </c>
      <c r="AX378" s="935">
        <f t="shared" si="267"/>
        <v>4.6385281777451076E-2</v>
      </c>
      <c r="AY378" s="898">
        <f>AY407/AY149</f>
        <v>4.6385281777451076E-2</v>
      </c>
      <c r="AZ378" s="898">
        <f t="shared" si="268"/>
        <v>4.6385281777451076E-2</v>
      </c>
      <c r="BA378" s="898">
        <f t="shared" si="268"/>
        <v>4.6385281777451076E-2</v>
      </c>
      <c r="BB378" s="898">
        <f t="shared" si="268"/>
        <v>4.6385281777451076E-2</v>
      </c>
      <c r="BC378" s="45"/>
    </row>
    <row r="379" spans="1:55" s="25" customFormat="1" ht="14.45" customHeight="1">
      <c r="A379" s="122"/>
      <c r="B379" s="437"/>
      <c r="C379" s="898"/>
      <c r="D379" s="898"/>
      <c r="E379" s="898"/>
      <c r="F379" s="898"/>
      <c r="G379" s="935"/>
      <c r="H379" s="935"/>
      <c r="I379" s="935"/>
      <c r="J379" s="935"/>
      <c r="K379" s="898"/>
      <c r="L379" s="935"/>
      <c r="M379" s="935"/>
      <c r="N379" s="935"/>
      <c r="O379" s="935"/>
      <c r="P379" s="898"/>
      <c r="Q379" s="935"/>
      <c r="R379" s="935"/>
      <c r="S379" s="935"/>
      <c r="T379" s="935"/>
      <c r="U379" s="898"/>
      <c r="V379" s="935"/>
      <c r="W379" s="935"/>
      <c r="X379" s="935"/>
      <c r="Y379" s="935"/>
      <c r="Z379" s="898"/>
      <c r="AA379" s="935"/>
      <c r="AB379" s="935"/>
      <c r="AC379" s="935"/>
      <c r="AD379" s="935"/>
      <c r="AE379" s="898"/>
      <c r="AF379" s="935"/>
      <c r="AG379" s="935"/>
      <c r="AH379" s="935"/>
      <c r="AI379" s="935"/>
      <c r="AJ379" s="898"/>
      <c r="AK379" s="935"/>
      <c r="AL379" s="935"/>
      <c r="AM379" s="935"/>
      <c r="AN379" s="935"/>
      <c r="AO379" s="898"/>
      <c r="AP379" s="935"/>
      <c r="AQ379" s="936"/>
      <c r="AR379" s="937"/>
      <c r="AS379" s="937"/>
      <c r="AT379" s="938"/>
      <c r="AU379" s="937"/>
      <c r="AV379" s="937"/>
      <c r="AW379" s="937"/>
      <c r="AX379" s="937"/>
      <c r="AY379" s="938"/>
      <c r="AZ379" s="938"/>
      <c r="BA379" s="938"/>
      <c r="BB379" s="938"/>
      <c r="BC379" s="45"/>
    </row>
    <row r="380" spans="1:55" s="25" customFormat="1" ht="14.45" customHeight="1">
      <c r="A380" s="469" t="s">
        <v>366</v>
      </c>
      <c r="B380" s="470"/>
      <c r="C380" s="978"/>
      <c r="D380" s="978">
        <f t="shared" ref="D380:F382" si="269">D376-C376</f>
        <v>-1.7711729292645972E-3</v>
      </c>
      <c r="E380" s="978">
        <f t="shared" si="269"/>
        <v>-1.7294077660505447E-3</v>
      </c>
      <c r="F380" s="978">
        <f t="shared" si="269"/>
        <v>1.4333755919461788E-2</v>
      </c>
      <c r="G380" s="979"/>
      <c r="H380" s="979"/>
      <c r="I380" s="979"/>
      <c r="J380" s="979"/>
      <c r="K380" s="978">
        <f>K376-F376</f>
        <v>8.6094196943858614E-3</v>
      </c>
      <c r="L380" s="979"/>
      <c r="M380" s="979"/>
      <c r="N380" s="979"/>
      <c r="O380" s="979"/>
      <c r="P380" s="978">
        <f t="shared" ref="P380:Y382" si="270">P376-K376</f>
        <v>-4.4807290902505986E-2</v>
      </c>
      <c r="Q380" s="979">
        <f t="shared" si="270"/>
        <v>-0.15591284922478632</v>
      </c>
      <c r="R380" s="979">
        <f t="shared" si="270"/>
        <v>-6.0552474019409275E-2</v>
      </c>
      <c r="S380" s="979">
        <f t="shared" si="270"/>
        <v>-8.5383258339202517E-3</v>
      </c>
      <c r="T380" s="979">
        <f t="shared" si="270"/>
        <v>3.1609331919638384E-3</v>
      </c>
      <c r="U380" s="978">
        <f t="shared" si="270"/>
        <v>3.1609331919638661E-3</v>
      </c>
      <c r="V380" s="979">
        <f t="shared" si="270"/>
        <v>4.1852309903890814E-2</v>
      </c>
      <c r="W380" s="979">
        <f t="shared" si="270"/>
        <v>1.0737535703827794E-2</v>
      </c>
      <c r="X380" s="979">
        <f t="shared" si="270"/>
        <v>8.9844250362909883E-3</v>
      </c>
      <c r="Y380" s="979">
        <f t="shared" si="270"/>
        <v>3.5189882805731099E-2</v>
      </c>
      <c r="Z380" s="978">
        <f t="shared" ref="Z380:AI382" si="271">Z376-U376</f>
        <v>3.5189882805731071E-2</v>
      </c>
      <c r="AA380" s="979">
        <f t="shared" si="271"/>
        <v>2.6322923495935097E-2</v>
      </c>
      <c r="AB380" s="979">
        <f t="shared" si="271"/>
        <v>4.0465554594289826E-2</v>
      </c>
      <c r="AC380" s="979">
        <f t="shared" si="271"/>
        <v>2.5500770169399611E-3</v>
      </c>
      <c r="AD380" s="979">
        <f t="shared" si="271"/>
        <v>3.9577029852433721E-2</v>
      </c>
      <c r="AE380" s="978">
        <f t="shared" si="271"/>
        <v>3.9577029852433721E-2</v>
      </c>
      <c r="AF380" s="979">
        <f t="shared" si="271"/>
        <v>6.1954157339295823E-2</v>
      </c>
      <c r="AG380" s="979">
        <f t="shared" si="271"/>
        <v>4.2710009636151819E-2</v>
      </c>
      <c r="AH380" s="979">
        <f t="shared" si="271"/>
        <v>5.5705154918855165E-2</v>
      </c>
      <c r="AI380" s="979">
        <f t="shared" si="271"/>
        <v>1.4566317731660366E-2</v>
      </c>
      <c r="AJ380" s="978">
        <f t="shared" ref="AJ380:AQ382" si="272">AJ376-AE376</f>
        <v>1.4566317731660366E-2</v>
      </c>
      <c r="AK380" s="979">
        <f t="shared" si="272"/>
        <v>-1.5580258470452052E-2</v>
      </c>
      <c r="AL380" s="979">
        <f t="shared" si="272"/>
        <v>-2.131765310857453E-2</v>
      </c>
      <c r="AM380" s="979">
        <f t="shared" si="272"/>
        <v>-3.9571360830159663E-2</v>
      </c>
      <c r="AN380" s="979">
        <f t="shared" si="272"/>
        <v>-3.5428179852654701E-2</v>
      </c>
      <c r="AO380" s="978">
        <f t="shared" si="272"/>
        <v>-3.5428179852654701E-2</v>
      </c>
      <c r="AP380" s="979">
        <f t="shared" si="272"/>
        <v>-4.1346912711595352E-2</v>
      </c>
      <c r="AQ380" s="980">
        <f t="shared" si="272"/>
        <v>-6.1550689874667192E-2</v>
      </c>
      <c r="AR380" s="981">
        <v>0</v>
      </c>
      <c r="AS380" s="981">
        <v>0</v>
      </c>
      <c r="AT380" s="978">
        <f>AT376-AO376</f>
        <v>0</v>
      </c>
      <c r="AU380" s="981">
        <v>0</v>
      </c>
      <c r="AV380" s="981">
        <v>0</v>
      </c>
      <c r="AW380" s="981">
        <v>0</v>
      </c>
      <c r="AX380" s="981">
        <v>0</v>
      </c>
      <c r="AY380" s="978">
        <f>AY376-AT376</f>
        <v>0</v>
      </c>
      <c r="AZ380" s="982">
        <v>0</v>
      </c>
      <c r="BA380" s="982">
        <v>0</v>
      </c>
      <c r="BB380" s="982">
        <v>0</v>
      </c>
      <c r="BC380" s="45"/>
    </row>
    <row r="381" spans="1:55" s="25" customFormat="1" ht="14.45" customHeight="1">
      <c r="A381" s="469" t="s">
        <v>368</v>
      </c>
      <c r="B381" s="470"/>
      <c r="C381" s="978"/>
      <c r="D381" s="978">
        <f t="shared" si="269"/>
        <v>2.6023287223461006E-2</v>
      </c>
      <c r="E381" s="978">
        <f t="shared" si="269"/>
        <v>-1.7185240641847316E-2</v>
      </c>
      <c r="F381" s="978">
        <f t="shared" si="269"/>
        <v>6.7657622574564535E-3</v>
      </c>
      <c r="G381" s="979"/>
      <c r="H381" s="979"/>
      <c r="I381" s="979"/>
      <c r="J381" s="979"/>
      <c r="K381" s="978">
        <f>K377-F377</f>
        <v>6.8346643900722953E-2</v>
      </c>
      <c r="L381" s="979"/>
      <c r="M381" s="979"/>
      <c r="N381" s="979"/>
      <c r="O381" s="979"/>
      <c r="P381" s="978">
        <f t="shared" si="270"/>
        <v>-7.6788922838245538E-2</v>
      </c>
      <c r="Q381" s="979">
        <f t="shared" si="270"/>
        <v>-0.16959127634349513</v>
      </c>
      <c r="R381" s="979">
        <f t="shared" si="270"/>
        <v>-5.321785587338812E-2</v>
      </c>
      <c r="S381" s="979">
        <f t="shared" si="270"/>
        <v>-3.9886209701633313E-2</v>
      </c>
      <c r="T381" s="979">
        <f t="shared" si="270"/>
        <v>-7.2561530818850972E-3</v>
      </c>
      <c r="U381" s="978">
        <f t="shared" si="270"/>
        <v>-7.2561530818850695E-3</v>
      </c>
      <c r="V381" s="979">
        <f t="shared" si="270"/>
        <v>-5.2367209208878662E-3</v>
      </c>
      <c r="W381" s="979">
        <f t="shared" si="270"/>
        <v>-2.0998203038862739E-2</v>
      </c>
      <c r="X381" s="979">
        <f t="shared" si="270"/>
        <v>1.8738894556155739E-2</v>
      </c>
      <c r="Y381" s="979">
        <f t="shared" si="270"/>
        <v>1.7369108088988006E-2</v>
      </c>
      <c r="Z381" s="978">
        <f t="shared" si="271"/>
        <v>1.7369108088987978E-2</v>
      </c>
      <c r="AA381" s="979">
        <f t="shared" si="271"/>
        <v>2.3248438757709933E-2</v>
      </c>
      <c r="AB381" s="979">
        <f t="shared" si="271"/>
        <v>4.4289980506738658E-2</v>
      </c>
      <c r="AC381" s="979">
        <f t="shared" si="271"/>
        <v>3.9702833764609924E-2</v>
      </c>
      <c r="AD381" s="979">
        <f t="shared" si="271"/>
        <v>5.6358182458934203E-2</v>
      </c>
      <c r="AE381" s="978">
        <f t="shared" si="271"/>
        <v>5.6358182458934203E-2</v>
      </c>
      <c r="AF381" s="979">
        <f t="shared" si="271"/>
        <v>5.0482357413529966E-2</v>
      </c>
      <c r="AG381" s="979">
        <f t="shared" si="271"/>
        <v>5.6533402037371727E-3</v>
      </c>
      <c r="AH381" s="979">
        <f t="shared" si="271"/>
        <v>-2.8652794038775797E-2</v>
      </c>
      <c r="AI381" s="979">
        <f t="shared" si="271"/>
        <v>-6.7866319789083807E-2</v>
      </c>
      <c r="AJ381" s="978">
        <f t="shared" si="272"/>
        <v>-6.7866319789083807E-2</v>
      </c>
      <c r="AK381" s="979">
        <f t="shared" si="272"/>
        <v>-7.856692761948425E-2</v>
      </c>
      <c r="AL381" s="979">
        <f t="shared" si="272"/>
        <v>-4.9315498296752025E-2</v>
      </c>
      <c r="AM381" s="979">
        <f t="shared" si="272"/>
        <v>-8.1868456932429334E-3</v>
      </c>
      <c r="AN381" s="979">
        <f t="shared" si="272"/>
        <v>1.6018150034899786E-2</v>
      </c>
      <c r="AO381" s="978">
        <f t="shared" si="272"/>
        <v>1.6018150034899786E-2</v>
      </c>
      <c r="AP381" s="979">
        <f t="shared" si="272"/>
        <v>4.3112959835249348E-2</v>
      </c>
      <c r="AQ381" s="980">
        <f t="shared" si="272"/>
        <v>6.2697222163965949E-2</v>
      </c>
      <c r="AR381" s="981">
        <v>0</v>
      </c>
      <c r="AS381" s="981">
        <v>0</v>
      </c>
      <c r="AT381" s="978">
        <f>AT377-AO377</f>
        <v>0</v>
      </c>
      <c r="AU381" s="981">
        <v>0</v>
      </c>
      <c r="AV381" s="981">
        <v>0</v>
      </c>
      <c r="AW381" s="981">
        <v>0</v>
      </c>
      <c r="AX381" s="981">
        <v>0</v>
      </c>
      <c r="AY381" s="978">
        <f>AY377-AT377</f>
        <v>0</v>
      </c>
      <c r="AZ381" s="982">
        <v>0</v>
      </c>
      <c r="BA381" s="982">
        <v>0</v>
      </c>
      <c r="BB381" s="982">
        <v>0</v>
      </c>
      <c r="BC381" s="45"/>
    </row>
    <row r="382" spans="1:55" s="25" customFormat="1" ht="14.45" customHeight="1">
      <c r="A382" s="469" t="s">
        <v>370</v>
      </c>
      <c r="B382" s="470"/>
      <c r="C382" s="978"/>
      <c r="D382" s="978">
        <f t="shared" si="269"/>
        <v>1.5333875288819306E-2</v>
      </c>
      <c r="E382" s="978">
        <f t="shared" si="269"/>
        <v>-7.7844336593438437E-3</v>
      </c>
      <c r="F382" s="978">
        <f t="shared" si="269"/>
        <v>-6.5254230494519866E-3</v>
      </c>
      <c r="G382" s="979"/>
      <c r="H382" s="979"/>
      <c r="I382" s="979"/>
      <c r="J382" s="979"/>
      <c r="K382" s="978">
        <f>K378-F378</f>
        <v>3.4540282332499783E-2</v>
      </c>
      <c r="L382" s="979"/>
      <c r="M382" s="979"/>
      <c r="N382" s="979"/>
      <c r="O382" s="979"/>
      <c r="P382" s="978">
        <f t="shared" si="270"/>
        <v>-3.2082355194063446E-2</v>
      </c>
      <c r="Q382" s="979">
        <f t="shared" si="270"/>
        <v>-6.0385618868162037E-2</v>
      </c>
      <c r="R382" s="979">
        <f t="shared" si="270"/>
        <v>-2.0640090090412622E-2</v>
      </c>
      <c r="S382" s="979">
        <f t="shared" si="270"/>
        <v>-3.2903271305257498E-2</v>
      </c>
      <c r="T382" s="979">
        <f t="shared" si="270"/>
        <v>-3.0098646642208668E-3</v>
      </c>
      <c r="U382" s="978">
        <f t="shared" si="270"/>
        <v>-3.0098646642208599E-3</v>
      </c>
      <c r="V382" s="979">
        <f t="shared" si="270"/>
        <v>-7.5604743739240213E-3</v>
      </c>
      <c r="W382" s="979">
        <f t="shared" si="270"/>
        <v>-1.6777204451953596E-2</v>
      </c>
      <c r="X382" s="979">
        <f t="shared" si="270"/>
        <v>3.5975492096653114E-3</v>
      </c>
      <c r="Y382" s="979">
        <f t="shared" si="270"/>
        <v>3.9640302305799652E-4</v>
      </c>
      <c r="Z382" s="978">
        <f t="shared" si="271"/>
        <v>3.9640302305798958E-4</v>
      </c>
      <c r="AA382" s="979">
        <f t="shared" si="271"/>
        <v>3.5385715133759779E-3</v>
      </c>
      <c r="AB382" s="979">
        <f t="shared" si="271"/>
        <v>1.0362360514708471E-2</v>
      </c>
      <c r="AC382" s="979">
        <f t="shared" si="271"/>
        <v>1.5881802705878904E-2</v>
      </c>
      <c r="AD382" s="979">
        <f t="shared" si="271"/>
        <v>2.7413707674193551E-2</v>
      </c>
      <c r="AE382" s="978">
        <f t="shared" si="271"/>
        <v>2.7413707674193551E-2</v>
      </c>
      <c r="AF382" s="979">
        <f t="shared" si="271"/>
        <v>4.7143061229630599E-2</v>
      </c>
      <c r="AG382" s="979">
        <f t="shared" si="271"/>
        <v>1.9630602612745705E-2</v>
      </c>
      <c r="AH382" s="979">
        <f t="shared" si="271"/>
        <v>-4.4161836969859453E-3</v>
      </c>
      <c r="AI382" s="979">
        <f t="shared" si="271"/>
        <v>-3.9377769897409459E-3</v>
      </c>
      <c r="AJ382" s="978">
        <f t="shared" si="272"/>
        <v>-3.9377769897409459E-3</v>
      </c>
      <c r="AK382" s="979">
        <f t="shared" si="272"/>
        <v>-3.6020398819978414E-2</v>
      </c>
      <c r="AL382" s="979">
        <f t="shared" si="272"/>
        <v>-1.7111921633391709E-2</v>
      </c>
      <c r="AM382" s="979">
        <f t="shared" si="272"/>
        <v>4.5787021936827196E-3</v>
      </c>
      <c r="AN382" s="979">
        <f t="shared" si="272"/>
        <v>-1.6688009925318659E-2</v>
      </c>
      <c r="AO382" s="978">
        <f t="shared" si="272"/>
        <v>-1.6688009925318659E-2</v>
      </c>
      <c r="AP382" s="979">
        <f t="shared" si="272"/>
        <v>1.583285437316978E-5</v>
      </c>
      <c r="AQ382" s="980">
        <f t="shared" si="272"/>
        <v>1.0059215909611965E-3</v>
      </c>
      <c r="AR382" s="981">
        <v>0</v>
      </c>
      <c r="AS382" s="981">
        <v>0</v>
      </c>
      <c r="AT382" s="978">
        <f>AT378-AO378</f>
        <v>0</v>
      </c>
      <c r="AU382" s="981">
        <v>0</v>
      </c>
      <c r="AV382" s="981">
        <v>0</v>
      </c>
      <c r="AW382" s="981">
        <v>0</v>
      </c>
      <c r="AX382" s="981">
        <v>0</v>
      </c>
      <c r="AY382" s="978">
        <f>AY378-AT378</f>
        <v>0</v>
      </c>
      <c r="AZ382" s="982">
        <v>0</v>
      </c>
      <c r="BA382" s="982">
        <v>0</v>
      </c>
      <c r="BB382" s="982">
        <v>0</v>
      </c>
      <c r="BC382" s="45"/>
    </row>
    <row r="383" spans="1:55" s="4" customFormat="1" ht="14.45" customHeight="1">
      <c r="A383" s="471"/>
      <c r="B383" s="472"/>
      <c r="C383" s="983"/>
      <c r="D383" s="983"/>
      <c r="E383" s="983"/>
      <c r="F383" s="983"/>
      <c r="G383" s="984"/>
      <c r="H383" s="984"/>
      <c r="I383" s="984"/>
      <c r="J383" s="984"/>
      <c r="K383" s="983"/>
      <c r="L383" s="984"/>
      <c r="M383" s="984"/>
      <c r="N383" s="984"/>
      <c r="O383" s="984"/>
      <c r="P383" s="983"/>
      <c r="Q383" s="984"/>
      <c r="R383" s="984"/>
      <c r="S383" s="984"/>
      <c r="T383" s="984"/>
      <c r="U383" s="983"/>
      <c r="V383" s="984"/>
      <c r="W383" s="984"/>
      <c r="X383" s="984"/>
      <c r="Y383" s="984"/>
      <c r="Z383" s="983"/>
      <c r="AA383" s="984"/>
      <c r="AB383" s="984"/>
      <c r="AC383" s="984"/>
      <c r="AD383" s="984"/>
      <c r="AE383" s="983"/>
      <c r="AF383" s="984"/>
      <c r="AG383" s="984"/>
      <c r="AH383" s="984"/>
      <c r="AI383" s="984"/>
      <c r="AJ383" s="983"/>
      <c r="AK383" s="984"/>
      <c r="AL383" s="984"/>
      <c r="AM383" s="984"/>
      <c r="AN383" s="984"/>
      <c r="AO383" s="983"/>
      <c r="AP383" s="984"/>
      <c r="AQ383" s="985"/>
      <c r="AR383" s="986"/>
      <c r="AS383" s="986"/>
      <c r="AT383" s="987"/>
      <c r="AU383" s="986"/>
      <c r="AV383" s="986"/>
      <c r="AW383" s="986"/>
      <c r="AX383" s="986"/>
      <c r="AY383" s="987"/>
      <c r="AZ383" s="987"/>
      <c r="BA383" s="987"/>
      <c r="BB383" s="987"/>
      <c r="BC383" s="363"/>
    </row>
    <row r="384" spans="1:55" s="4" customFormat="1" ht="14.45" customHeight="1">
      <c r="A384" s="514" t="s">
        <v>4</v>
      </c>
      <c r="B384" s="514"/>
      <c r="C384" s="883"/>
      <c r="D384" s="883"/>
      <c r="E384" s="883"/>
      <c r="F384" s="883"/>
      <c r="G384" s="883"/>
      <c r="H384" s="883"/>
      <c r="I384" s="883"/>
      <c r="J384" s="883"/>
      <c r="K384" s="883"/>
      <c r="L384" s="883"/>
      <c r="M384" s="883"/>
      <c r="N384" s="883"/>
      <c r="O384" s="883"/>
      <c r="P384" s="883"/>
      <c r="Q384" s="883"/>
      <c r="R384" s="883"/>
      <c r="S384" s="883"/>
      <c r="T384" s="883"/>
      <c r="U384" s="883"/>
      <c r="V384" s="883"/>
      <c r="W384" s="883"/>
      <c r="X384" s="883"/>
      <c r="Y384" s="883"/>
      <c r="Z384" s="883"/>
      <c r="AA384" s="883"/>
      <c r="AB384" s="883"/>
      <c r="AC384" s="883"/>
      <c r="AD384" s="883"/>
      <c r="AE384" s="883"/>
      <c r="AF384" s="883"/>
      <c r="AG384" s="883"/>
      <c r="AH384" s="883"/>
      <c r="AI384" s="883"/>
      <c r="AJ384" s="883"/>
      <c r="AK384" s="883"/>
      <c r="AL384" s="883"/>
      <c r="AM384" s="883"/>
      <c r="AN384" s="883"/>
      <c r="AO384" s="883"/>
      <c r="AP384" s="883"/>
      <c r="AQ384" s="884"/>
      <c r="AR384" s="883"/>
      <c r="AS384" s="883"/>
      <c r="AT384" s="883"/>
      <c r="AU384" s="883"/>
      <c r="AV384" s="883"/>
      <c r="AW384" s="883"/>
      <c r="AX384" s="883"/>
      <c r="AY384" s="883"/>
      <c r="AZ384" s="883"/>
      <c r="BA384" s="883"/>
      <c r="BB384" s="883"/>
      <c r="BC384" s="363"/>
    </row>
    <row r="385" spans="1:55" s="4" customFormat="1" ht="14.45" customHeight="1">
      <c r="A385" s="403" t="s">
        <v>61</v>
      </c>
      <c r="B385" s="345"/>
      <c r="C385" s="852"/>
      <c r="D385" s="852"/>
      <c r="E385" s="852"/>
      <c r="F385" s="852"/>
      <c r="G385" s="418"/>
      <c r="H385" s="418"/>
      <c r="I385" s="418"/>
      <c r="J385" s="418"/>
      <c r="K385" s="852"/>
      <c r="L385" s="418"/>
      <c r="M385" s="418"/>
      <c r="N385" s="418"/>
      <c r="O385" s="418"/>
      <c r="P385" s="852"/>
      <c r="Q385" s="418"/>
      <c r="R385" s="418"/>
      <c r="S385" s="418"/>
      <c r="T385" s="418"/>
      <c r="U385" s="852"/>
      <c r="V385" s="418"/>
      <c r="W385" s="418"/>
      <c r="X385" s="418"/>
      <c r="Y385" s="418"/>
      <c r="Z385" s="852"/>
      <c r="AA385" s="418"/>
      <c r="AB385" s="418"/>
      <c r="AC385" s="418"/>
      <c r="AD385" s="418"/>
      <c r="AE385" s="852"/>
      <c r="AF385" s="418"/>
      <c r="AG385" s="418"/>
      <c r="AH385" s="418"/>
      <c r="AI385" s="418"/>
      <c r="AJ385" s="852"/>
      <c r="AK385" s="418"/>
      <c r="AL385" s="418"/>
      <c r="AM385" s="418"/>
      <c r="AN385" s="418"/>
      <c r="AO385" s="852"/>
      <c r="AP385" s="418"/>
      <c r="AQ385" s="895"/>
      <c r="AR385" s="896"/>
      <c r="AS385" s="896"/>
      <c r="AT385" s="897"/>
      <c r="AU385" s="896"/>
      <c r="AV385" s="896"/>
      <c r="AW385" s="896"/>
      <c r="AX385" s="896"/>
      <c r="AY385" s="897"/>
      <c r="AZ385" s="897"/>
      <c r="BA385" s="897"/>
      <c r="BB385" s="897"/>
      <c r="BC385" s="363"/>
    </row>
    <row r="386" spans="1:55" s="23" customFormat="1" ht="14.45" customHeight="1">
      <c r="A386" s="229" t="s">
        <v>139</v>
      </c>
      <c r="B386" s="132"/>
      <c r="C386" s="885">
        <v>14.949</v>
      </c>
      <c r="D386" s="885">
        <v>22.709</v>
      </c>
      <c r="E386" s="885">
        <v>10.919</v>
      </c>
      <c r="F386" s="885">
        <v>7.38</v>
      </c>
      <c r="G386" s="436">
        <v>17.797999999999998</v>
      </c>
      <c r="H386" s="436">
        <v>16.535</v>
      </c>
      <c r="I386" s="436">
        <v>68.186000000000007</v>
      </c>
      <c r="J386" s="436">
        <v>54.634999999999998</v>
      </c>
      <c r="K386" s="885">
        <v>54.634999999999998</v>
      </c>
      <c r="L386" s="436">
        <v>29.117000000000001</v>
      </c>
      <c r="M386" s="436">
        <v>20.824999999999999</v>
      </c>
      <c r="N386" s="436">
        <v>24.928000000000001</v>
      </c>
      <c r="O386" s="436">
        <v>21.196999999999999</v>
      </c>
      <c r="P386" s="885">
        <v>21.196999999999999</v>
      </c>
      <c r="Q386" s="436">
        <v>22.562999999999999</v>
      </c>
      <c r="R386" s="436">
        <v>23.766999999999999</v>
      </c>
      <c r="S386" s="436">
        <v>22.433</v>
      </c>
      <c r="T386" s="436">
        <f>U386</f>
        <v>18.561</v>
      </c>
      <c r="U386" s="885">
        <v>18.561</v>
      </c>
      <c r="V386" s="436">
        <v>15.791</v>
      </c>
      <c r="W386" s="436">
        <v>20.411000000000001</v>
      </c>
      <c r="X386" s="436">
        <v>13.278</v>
      </c>
      <c r="Y386" s="436">
        <f>Z386</f>
        <v>17.901</v>
      </c>
      <c r="Z386" s="885">
        <v>17.901</v>
      </c>
      <c r="AA386" s="436">
        <v>10.763</v>
      </c>
      <c r="AB386" s="436">
        <v>8.2680000000000007</v>
      </c>
      <c r="AC386" s="436">
        <v>15.377000000000001</v>
      </c>
      <c r="AD386" s="436">
        <f>AE386</f>
        <v>17.914000000000001</v>
      </c>
      <c r="AE386" s="885">
        <v>17.914000000000001</v>
      </c>
      <c r="AF386" s="436">
        <v>16.387</v>
      </c>
      <c r="AG386" s="436">
        <v>10.608000000000001</v>
      </c>
      <c r="AH386" s="436">
        <v>4.8929999999999998</v>
      </c>
      <c r="AI386" s="436">
        <f t="shared" ref="AI386:AI392" si="273">AJ386</f>
        <v>16.622</v>
      </c>
      <c r="AJ386" s="885">
        <v>16.622</v>
      </c>
      <c r="AK386" s="436">
        <v>15.965999999999999</v>
      </c>
      <c r="AL386" s="436">
        <v>17.106000000000002</v>
      </c>
      <c r="AM386" s="436">
        <v>22.795000000000002</v>
      </c>
      <c r="AN386" s="436">
        <f t="shared" ref="AN386:AN392" si="274">AO386</f>
        <v>31.905999999999999</v>
      </c>
      <c r="AO386" s="885">
        <v>31.905999999999999</v>
      </c>
      <c r="AP386" s="436">
        <v>188.364</v>
      </c>
      <c r="AQ386" s="886">
        <v>46.639000000000003</v>
      </c>
      <c r="AR386" s="436">
        <f ca="1">AR371</f>
        <v>74.712711769929314</v>
      </c>
      <c r="AS386" s="436">
        <f ca="1">AS371</f>
        <v>100.6811694882748</v>
      </c>
      <c r="AT386" s="885">
        <f t="shared" ref="AT386:AT392" ca="1" si="275">AS386</f>
        <v>100.6811694882748</v>
      </c>
      <c r="AU386" s="436">
        <f ca="1">AU371</f>
        <v>103.52345006076395</v>
      </c>
      <c r="AV386" s="436">
        <f ca="1">AV371</f>
        <v>86.912606386816279</v>
      </c>
      <c r="AW386" s="436">
        <f ca="1">AW371</f>
        <v>72.402456654558193</v>
      </c>
      <c r="AX386" s="436">
        <f ca="1">AX371</f>
        <v>79.572766450805119</v>
      </c>
      <c r="AY386" s="885">
        <f t="shared" ref="AY386:AY392" ca="1" si="276">AX386</f>
        <v>79.572766450805119</v>
      </c>
      <c r="AZ386" s="885">
        <f ca="1">AZ371</f>
        <v>139.80017026561234</v>
      </c>
      <c r="BA386" s="885">
        <f ca="1">BA371</f>
        <v>123.50392501616143</v>
      </c>
      <c r="BB386" s="885">
        <f ca="1">BB371</f>
        <v>320.50374254579123</v>
      </c>
      <c r="BC386" s="362"/>
    </row>
    <row r="387" spans="1:55" s="23" customFormat="1" ht="14.45" customHeight="1">
      <c r="A387" s="229" t="s">
        <v>140</v>
      </c>
      <c r="B387" s="132"/>
      <c r="C387" s="885">
        <v>30.56</v>
      </c>
      <c r="D387" s="885">
        <v>30.940999999999999</v>
      </c>
      <c r="E387" s="885">
        <v>35.668999999999997</v>
      </c>
      <c r="F387" s="885">
        <v>45.472999999999999</v>
      </c>
      <c r="G387" s="436">
        <v>39.420999999999999</v>
      </c>
      <c r="H387" s="436">
        <v>42.819000000000003</v>
      </c>
      <c r="I387" s="436">
        <v>48.594000000000001</v>
      </c>
      <c r="J387" s="436">
        <v>60.942</v>
      </c>
      <c r="K387" s="885">
        <v>60.942</v>
      </c>
      <c r="L387" s="436">
        <v>109.015</v>
      </c>
      <c r="M387" s="436">
        <v>105.108</v>
      </c>
      <c r="N387" s="436">
        <v>111.898</v>
      </c>
      <c r="O387" s="436">
        <v>88.888000000000005</v>
      </c>
      <c r="P387" s="885">
        <v>88.888000000000005</v>
      </c>
      <c r="Q387" s="436">
        <v>76.346000000000004</v>
      </c>
      <c r="R387" s="436">
        <v>98.835999999999999</v>
      </c>
      <c r="S387" s="436">
        <v>124.663</v>
      </c>
      <c r="T387" s="436">
        <f>U387</f>
        <v>95.277000000000001</v>
      </c>
      <c r="U387" s="885">
        <v>95.277000000000001</v>
      </c>
      <c r="V387" s="436">
        <v>106.17700000000001</v>
      </c>
      <c r="W387" s="436">
        <v>106.316</v>
      </c>
      <c r="X387" s="436">
        <v>118.88800000000001</v>
      </c>
      <c r="Y387" s="436">
        <f>Z387</f>
        <v>109.41500000000001</v>
      </c>
      <c r="Z387" s="885">
        <v>109.41500000000001</v>
      </c>
      <c r="AA387" s="436">
        <v>112.78100000000001</v>
      </c>
      <c r="AB387" s="436">
        <v>120.38</v>
      </c>
      <c r="AC387" s="436">
        <v>114.985</v>
      </c>
      <c r="AD387" s="436">
        <f>AE387</f>
        <v>132.63300000000001</v>
      </c>
      <c r="AE387" s="885">
        <v>132.63300000000001</v>
      </c>
      <c r="AF387" s="436">
        <v>157.65</v>
      </c>
      <c r="AG387" s="436">
        <v>169.49600000000001</v>
      </c>
      <c r="AH387" s="436">
        <v>189.11</v>
      </c>
      <c r="AI387" s="436">
        <f t="shared" si="273"/>
        <v>182.30799999999999</v>
      </c>
      <c r="AJ387" s="885">
        <v>182.30799999999999</v>
      </c>
      <c r="AK387" s="436">
        <v>188.56399999999999</v>
      </c>
      <c r="AL387" s="436">
        <v>177.102</v>
      </c>
      <c r="AM387" s="436">
        <v>159.715</v>
      </c>
      <c r="AN387" s="436">
        <f t="shared" si="274"/>
        <v>147.99799999999999</v>
      </c>
      <c r="AO387" s="885">
        <v>147.99799999999999</v>
      </c>
      <c r="AP387" s="436">
        <v>133.72900000000001</v>
      </c>
      <c r="AQ387" s="886">
        <v>102.65900000000001</v>
      </c>
      <c r="AR387" s="436">
        <f>(AR149+AQ149+AP149+AN149)*AR376</f>
        <v>121.17228711269968</v>
      </c>
      <c r="AS387" s="436">
        <f>(AS149+AR149+AQ149+AP149)*AS376</f>
        <v>103.87413950009189</v>
      </c>
      <c r="AT387" s="885">
        <f t="shared" si="275"/>
        <v>103.87413950009189</v>
      </c>
      <c r="AU387" s="436">
        <f>(AU149+AS149+AR149+AQ149)*AU376</f>
        <v>104.10636125808743</v>
      </c>
      <c r="AV387" s="436">
        <f>(AV149+AU149+AS149+AR149)*AV376</f>
        <v>102.14192196735841</v>
      </c>
      <c r="AW387" s="436">
        <f>(AW149+AV149+AU149+AS149)*AW376</f>
        <v>154.81371158069217</v>
      </c>
      <c r="AX387" s="436">
        <f>(AX149+AW149+AV149+AU149)*AX376</f>
        <v>151.58827870937853</v>
      </c>
      <c r="AY387" s="885">
        <f t="shared" si="276"/>
        <v>151.58827870937853</v>
      </c>
      <c r="AZ387" s="885">
        <f>AZ149*AZ376</f>
        <v>147.40873327833813</v>
      </c>
      <c r="BA387" s="885">
        <f>BA149*BA376</f>
        <v>207.7984255558064</v>
      </c>
      <c r="BB387" s="885">
        <f>BB149*BB376</f>
        <v>114.1686860687016</v>
      </c>
      <c r="BC387" s="362"/>
    </row>
    <row r="388" spans="1:55" s="23" customFormat="1" ht="14.45" customHeight="1">
      <c r="A388" s="229" t="s">
        <v>141</v>
      </c>
      <c r="B388" s="132"/>
      <c r="C388" s="885">
        <v>31.908999999999999</v>
      </c>
      <c r="D388" s="885">
        <v>37.762999999999998</v>
      </c>
      <c r="E388" s="885">
        <v>40.094000000000001</v>
      </c>
      <c r="F388" s="885">
        <v>48.624000000000002</v>
      </c>
      <c r="G388" s="436">
        <v>49.649000000000001</v>
      </c>
      <c r="H388" s="436">
        <v>53.107999999999997</v>
      </c>
      <c r="I388" s="436">
        <v>67.254999999999995</v>
      </c>
      <c r="J388" s="436">
        <v>85.269000000000005</v>
      </c>
      <c r="K388" s="885">
        <v>85.269000000000005</v>
      </c>
      <c r="L388" s="436">
        <v>141.10599999999999</v>
      </c>
      <c r="M388" s="436">
        <v>127.32</v>
      </c>
      <c r="N388" s="436">
        <v>126.56399999999999</v>
      </c>
      <c r="O388" s="436">
        <v>115.053</v>
      </c>
      <c r="P388" s="885">
        <v>115.053</v>
      </c>
      <c r="Q388" s="436">
        <v>120.78400000000001</v>
      </c>
      <c r="R388" s="436">
        <v>133.41800000000001</v>
      </c>
      <c r="S388" s="436">
        <v>119.81100000000001</v>
      </c>
      <c r="T388" s="436">
        <f>U388</f>
        <v>115.467</v>
      </c>
      <c r="U388" s="885">
        <v>115.467</v>
      </c>
      <c r="V388" s="436">
        <v>118.666</v>
      </c>
      <c r="W388" s="436">
        <v>119.32899999999999</v>
      </c>
      <c r="X388" s="436">
        <v>120.691</v>
      </c>
      <c r="Y388" s="436">
        <f>Z388</f>
        <v>116.59699999999999</v>
      </c>
      <c r="Z388" s="885">
        <v>116.59699999999999</v>
      </c>
      <c r="AA388" s="436">
        <v>122.184</v>
      </c>
      <c r="AB388" s="436">
        <v>134.423</v>
      </c>
      <c r="AC388" s="436">
        <v>139.26499999999999</v>
      </c>
      <c r="AD388" s="436">
        <f>AE388</f>
        <v>150.196</v>
      </c>
      <c r="AE388" s="885">
        <v>150.196</v>
      </c>
      <c r="AF388" s="436">
        <v>159.96100000000001</v>
      </c>
      <c r="AG388" s="436">
        <v>159.47900000000001</v>
      </c>
      <c r="AH388" s="436">
        <v>154.87</v>
      </c>
      <c r="AI388" s="436">
        <f t="shared" si="273"/>
        <v>138.685</v>
      </c>
      <c r="AJ388" s="885">
        <v>138.685</v>
      </c>
      <c r="AK388" s="436">
        <v>139.09</v>
      </c>
      <c r="AL388" s="436">
        <v>142.85300000000001</v>
      </c>
      <c r="AM388" s="436">
        <v>149.62100000000001</v>
      </c>
      <c r="AN388" s="436">
        <f t="shared" si="274"/>
        <v>145.78700000000001</v>
      </c>
      <c r="AO388" s="885">
        <v>145.78700000000001</v>
      </c>
      <c r="AP388" s="436">
        <v>151.798</v>
      </c>
      <c r="AQ388" s="886">
        <v>156.584</v>
      </c>
      <c r="AR388" s="436">
        <f>(AR149+AQ149+AP149+AN149)*AR377</f>
        <v>113.51418946303879</v>
      </c>
      <c r="AS388" s="436">
        <f>(AS149+AR149+AQ149+AP149)*AS377</f>
        <v>102.322323107744</v>
      </c>
      <c r="AT388" s="885">
        <f t="shared" si="275"/>
        <v>102.322323107744</v>
      </c>
      <c r="AU388" s="436">
        <f>(AU149+AS149+AR149+AQ149)*AU377</f>
        <v>118.17285275635915</v>
      </c>
      <c r="AV388" s="436">
        <f>(AV149+AU149+AS149+AR149)*AV377</f>
        <v>155.79530980563663</v>
      </c>
      <c r="AW388" s="436">
        <f>(AW149+AV149+AU149+AS149)*AW377</f>
        <v>145.02947337704501</v>
      </c>
      <c r="AX388" s="436">
        <f>(AX149+AW149+AV149+AU149)*AX377</f>
        <v>149.32364213167858</v>
      </c>
      <c r="AY388" s="885">
        <f t="shared" si="276"/>
        <v>149.32364213167858</v>
      </c>
      <c r="AZ388" s="885">
        <f>AZ149*AZ377</f>
        <v>145.20653656433925</v>
      </c>
      <c r="BA388" s="885">
        <f>BA149*BA377</f>
        <v>204.69404361210522</v>
      </c>
      <c r="BB388" s="885">
        <f>BB149*BB377</f>
        <v>112.46307541924757</v>
      </c>
      <c r="BC388" s="362"/>
    </row>
    <row r="389" spans="1:55" s="23" customFormat="1" ht="14.45" customHeight="1">
      <c r="A389" s="229" t="s">
        <v>142</v>
      </c>
      <c r="B389" s="132"/>
      <c r="C389" s="885">
        <v>1.41</v>
      </c>
      <c r="D389" s="885">
        <v>2.1669999999999998</v>
      </c>
      <c r="E389" s="885">
        <v>2.4209999999999998</v>
      </c>
      <c r="F389" s="885">
        <v>1.5660000000000001</v>
      </c>
      <c r="G389" s="436"/>
      <c r="H389" s="436"/>
      <c r="I389" s="436"/>
      <c r="J389" s="436">
        <v>5.0609999999999999</v>
      </c>
      <c r="K389" s="885">
        <v>5.0609999999999999</v>
      </c>
      <c r="L389" s="436">
        <v>5.5289999999999999</v>
      </c>
      <c r="M389" s="436">
        <v>13.978999999999999</v>
      </c>
      <c r="N389" s="436">
        <v>14.148999999999999</v>
      </c>
      <c r="O389" s="436">
        <v>12.917999999999999</v>
      </c>
      <c r="P389" s="885">
        <v>12.917999999999999</v>
      </c>
      <c r="Q389" s="436">
        <v>17.628</v>
      </c>
      <c r="R389" s="436">
        <v>18.056999999999999</v>
      </c>
      <c r="S389" s="436">
        <v>19.501000000000001</v>
      </c>
      <c r="T389" s="436">
        <f>U389</f>
        <v>20.661999999999999</v>
      </c>
      <c r="U389" s="885">
        <v>20.661999999999999</v>
      </c>
      <c r="V389" s="436">
        <v>16.402999999999999</v>
      </c>
      <c r="W389" s="436">
        <v>11.308</v>
      </c>
      <c r="X389" s="436">
        <v>13.1</v>
      </c>
      <c r="Y389" s="436">
        <f>Z389</f>
        <v>11.16</v>
      </c>
      <c r="Z389" s="885">
        <v>11.16</v>
      </c>
      <c r="AA389" s="436">
        <v>10.673999999999999</v>
      </c>
      <c r="AB389" s="436">
        <v>14.444000000000001</v>
      </c>
      <c r="AC389" s="436">
        <v>16.044</v>
      </c>
      <c r="AD389" s="436">
        <f>AE389</f>
        <v>14.586</v>
      </c>
      <c r="AE389" s="885">
        <v>14.586</v>
      </c>
      <c r="AF389" s="436">
        <v>15.895</v>
      </c>
      <c r="AG389" s="436">
        <v>13.912000000000001</v>
      </c>
      <c r="AH389" s="436">
        <v>17.155000000000001</v>
      </c>
      <c r="AI389" s="436">
        <f t="shared" si="273"/>
        <v>17.198</v>
      </c>
      <c r="AJ389" s="885">
        <v>17.198</v>
      </c>
      <c r="AK389" s="436">
        <v>17.795999999999999</v>
      </c>
      <c r="AL389" s="436">
        <v>17.587</v>
      </c>
      <c r="AM389" s="436">
        <v>17.576000000000001</v>
      </c>
      <c r="AN389" s="436">
        <f t="shared" si="274"/>
        <v>15.853</v>
      </c>
      <c r="AO389" s="885">
        <v>15.853</v>
      </c>
      <c r="AP389" s="436">
        <v>20.658000000000001</v>
      </c>
      <c r="AQ389" s="886">
        <v>20.734000000000002</v>
      </c>
      <c r="AR389" s="436">
        <f t="shared" ref="AR389:AS392" si="277">AQ389</f>
        <v>20.734000000000002</v>
      </c>
      <c r="AS389" s="436">
        <f t="shared" si="277"/>
        <v>20.734000000000002</v>
      </c>
      <c r="AT389" s="885">
        <f t="shared" si="275"/>
        <v>20.734000000000002</v>
      </c>
      <c r="AU389" s="436">
        <f t="shared" ref="AU389:AX392" si="278">AT389</f>
        <v>20.734000000000002</v>
      </c>
      <c r="AV389" s="436">
        <f t="shared" si="278"/>
        <v>20.734000000000002</v>
      </c>
      <c r="AW389" s="436">
        <f t="shared" si="278"/>
        <v>20.734000000000002</v>
      </c>
      <c r="AX389" s="436">
        <f t="shared" si="278"/>
        <v>20.734000000000002</v>
      </c>
      <c r="AY389" s="885">
        <f t="shared" si="276"/>
        <v>20.734000000000002</v>
      </c>
      <c r="AZ389" s="885">
        <f t="shared" ref="AZ389:BB392" si="279">AY389</f>
        <v>20.734000000000002</v>
      </c>
      <c r="BA389" s="885">
        <f t="shared" si="279"/>
        <v>20.734000000000002</v>
      </c>
      <c r="BB389" s="885">
        <f t="shared" si="279"/>
        <v>20.734000000000002</v>
      </c>
      <c r="BC389" s="362"/>
    </row>
    <row r="390" spans="1:55" s="23" customFormat="1" ht="14.45" customHeight="1">
      <c r="A390" s="229" t="s">
        <v>143</v>
      </c>
      <c r="B390" s="132"/>
      <c r="C390" s="885"/>
      <c r="D390" s="885"/>
      <c r="E390" s="885"/>
      <c r="F390" s="885"/>
      <c r="G390" s="436">
        <v>5.6139999999999999</v>
      </c>
      <c r="H390" s="436">
        <v>6.0679999999999996</v>
      </c>
      <c r="I390" s="436">
        <v>7.8689999999999998</v>
      </c>
      <c r="J390" s="436">
        <v>0</v>
      </c>
      <c r="K390" s="885"/>
      <c r="L390" s="436">
        <v>5.944</v>
      </c>
      <c r="M390" s="436"/>
      <c r="N390" s="436"/>
      <c r="O390" s="436">
        <v>0</v>
      </c>
      <c r="P390" s="885"/>
      <c r="Q390" s="436"/>
      <c r="R390" s="436"/>
      <c r="S390" s="436"/>
      <c r="T390" s="436">
        <f>U390</f>
        <v>0</v>
      </c>
      <c r="U390" s="885"/>
      <c r="V390" s="436"/>
      <c r="W390" s="436">
        <v>0</v>
      </c>
      <c r="X390" s="436">
        <v>0</v>
      </c>
      <c r="Y390" s="436">
        <f>Z390</f>
        <v>0</v>
      </c>
      <c r="Z390" s="885"/>
      <c r="AA390" s="436"/>
      <c r="AB390" s="436"/>
      <c r="AC390" s="436"/>
      <c r="AD390" s="436">
        <f>AE390</f>
        <v>0</v>
      </c>
      <c r="AE390" s="885"/>
      <c r="AF390" s="436"/>
      <c r="AG390" s="436"/>
      <c r="AH390" s="436"/>
      <c r="AI390" s="436">
        <f t="shared" si="273"/>
        <v>0</v>
      </c>
      <c r="AJ390" s="885"/>
      <c r="AK390" s="436"/>
      <c r="AL390" s="436"/>
      <c r="AM390" s="436"/>
      <c r="AN390" s="436">
        <f t="shared" si="274"/>
        <v>0</v>
      </c>
      <c r="AO390" s="885"/>
      <c r="AP390" s="436"/>
      <c r="AQ390" s="886"/>
      <c r="AR390" s="436">
        <f t="shared" si="277"/>
        <v>0</v>
      </c>
      <c r="AS390" s="436">
        <f t="shared" si="277"/>
        <v>0</v>
      </c>
      <c r="AT390" s="885">
        <f t="shared" si="275"/>
        <v>0</v>
      </c>
      <c r="AU390" s="436">
        <f t="shared" si="278"/>
        <v>0</v>
      </c>
      <c r="AV390" s="436">
        <f t="shared" si="278"/>
        <v>0</v>
      </c>
      <c r="AW390" s="436">
        <f t="shared" si="278"/>
        <v>0</v>
      </c>
      <c r="AX390" s="436">
        <f t="shared" si="278"/>
        <v>0</v>
      </c>
      <c r="AY390" s="885">
        <f t="shared" si="276"/>
        <v>0</v>
      </c>
      <c r="AZ390" s="885">
        <f t="shared" si="279"/>
        <v>0</v>
      </c>
      <c r="BA390" s="885">
        <f t="shared" si="279"/>
        <v>0</v>
      </c>
      <c r="BB390" s="885">
        <f t="shared" si="279"/>
        <v>0</v>
      </c>
      <c r="BC390" s="362"/>
    </row>
    <row r="391" spans="1:55" s="23" customFormat="1" ht="14.45" customHeight="1">
      <c r="A391" s="229" t="s">
        <v>385</v>
      </c>
      <c r="B391" s="132"/>
      <c r="C391" s="885"/>
      <c r="D391" s="885"/>
      <c r="E391" s="885"/>
      <c r="F391" s="885"/>
      <c r="G391" s="436"/>
      <c r="H391" s="436"/>
      <c r="I391" s="436"/>
      <c r="J391" s="436"/>
      <c r="K391" s="885"/>
      <c r="L391" s="436"/>
      <c r="M391" s="436"/>
      <c r="N391" s="436"/>
      <c r="O391" s="436"/>
      <c r="P391" s="885"/>
      <c r="Q391" s="436"/>
      <c r="R391" s="436"/>
      <c r="S391" s="436"/>
      <c r="T391" s="436"/>
      <c r="U391" s="885"/>
      <c r="V391" s="436"/>
      <c r="W391" s="436"/>
      <c r="X391" s="436"/>
      <c r="Y391" s="436"/>
      <c r="Z391" s="885"/>
      <c r="AA391" s="436"/>
      <c r="AB391" s="436"/>
      <c r="AC391" s="436"/>
      <c r="AD391" s="436"/>
      <c r="AE391" s="885"/>
      <c r="AF391" s="436"/>
      <c r="AG391" s="436"/>
      <c r="AH391" s="436"/>
      <c r="AI391" s="436">
        <f t="shared" si="273"/>
        <v>19.358000000000001</v>
      </c>
      <c r="AJ391" s="885">
        <v>19.358000000000001</v>
      </c>
      <c r="AK391" s="436"/>
      <c r="AL391" s="436"/>
      <c r="AM391" s="436">
        <v>3.1859999999999999</v>
      </c>
      <c r="AN391" s="436">
        <f t="shared" si="274"/>
        <v>1.5369999999999999</v>
      </c>
      <c r="AO391" s="885">
        <v>1.5369999999999999</v>
      </c>
      <c r="AP391" s="436"/>
      <c r="AQ391" s="886"/>
      <c r="AR391" s="436">
        <f t="shared" si="277"/>
        <v>0</v>
      </c>
      <c r="AS391" s="436">
        <f t="shared" si="277"/>
        <v>0</v>
      </c>
      <c r="AT391" s="885">
        <f t="shared" si="275"/>
        <v>0</v>
      </c>
      <c r="AU391" s="436">
        <f t="shared" si="278"/>
        <v>0</v>
      </c>
      <c r="AV391" s="436">
        <f t="shared" si="278"/>
        <v>0</v>
      </c>
      <c r="AW391" s="436">
        <f t="shared" si="278"/>
        <v>0</v>
      </c>
      <c r="AX391" s="436">
        <f t="shared" si="278"/>
        <v>0</v>
      </c>
      <c r="AY391" s="885">
        <f t="shared" si="276"/>
        <v>0</v>
      </c>
      <c r="AZ391" s="885">
        <f t="shared" si="279"/>
        <v>0</v>
      </c>
      <c r="BA391" s="885">
        <f t="shared" si="279"/>
        <v>0</v>
      </c>
      <c r="BB391" s="885">
        <f t="shared" si="279"/>
        <v>0</v>
      </c>
      <c r="BC391" s="362"/>
    </row>
    <row r="392" spans="1:55" s="23" customFormat="1" ht="14.45" customHeight="1">
      <c r="A392" s="229" t="s">
        <v>144</v>
      </c>
      <c r="B392" s="132"/>
      <c r="C392" s="887">
        <v>3.665</v>
      </c>
      <c r="D392" s="887">
        <v>3.56</v>
      </c>
      <c r="E392" s="887">
        <v>3.2069999999999999</v>
      </c>
      <c r="F392" s="887">
        <v>4.9669999999999996</v>
      </c>
      <c r="G392" s="888"/>
      <c r="H392" s="888"/>
      <c r="I392" s="888"/>
      <c r="J392" s="888">
        <v>5.2910000000000004</v>
      </c>
      <c r="K392" s="887">
        <v>5.2910000000000004</v>
      </c>
      <c r="L392" s="888"/>
      <c r="M392" s="888"/>
      <c r="N392" s="888"/>
      <c r="O392" s="888">
        <v>7.7619999999999996</v>
      </c>
      <c r="P392" s="887">
        <v>7.7619999999999996</v>
      </c>
      <c r="Q392" s="888"/>
      <c r="R392" s="888"/>
      <c r="S392" s="888"/>
      <c r="T392" s="888">
        <f>U392</f>
        <v>0</v>
      </c>
      <c r="U392" s="887">
        <v>0</v>
      </c>
      <c r="V392" s="888"/>
      <c r="W392" s="888">
        <v>0</v>
      </c>
      <c r="X392" s="888">
        <v>0</v>
      </c>
      <c r="Y392" s="888">
        <f>Z392</f>
        <v>0</v>
      </c>
      <c r="Z392" s="887"/>
      <c r="AA392" s="888"/>
      <c r="AB392" s="888"/>
      <c r="AC392" s="888"/>
      <c r="AD392" s="888">
        <f>AE392</f>
        <v>0</v>
      </c>
      <c r="AE392" s="887"/>
      <c r="AF392" s="888"/>
      <c r="AG392" s="888"/>
      <c r="AH392" s="888"/>
      <c r="AI392" s="888">
        <f t="shared" si="273"/>
        <v>0</v>
      </c>
      <c r="AJ392" s="887"/>
      <c r="AK392" s="888"/>
      <c r="AL392" s="888"/>
      <c r="AM392" s="888"/>
      <c r="AN392" s="888">
        <f t="shared" si="274"/>
        <v>0</v>
      </c>
      <c r="AO392" s="887"/>
      <c r="AP392" s="888"/>
      <c r="AQ392" s="889"/>
      <c r="AR392" s="888">
        <f t="shared" si="277"/>
        <v>0</v>
      </c>
      <c r="AS392" s="888">
        <f t="shared" si="277"/>
        <v>0</v>
      </c>
      <c r="AT392" s="887">
        <f t="shared" si="275"/>
        <v>0</v>
      </c>
      <c r="AU392" s="888">
        <f t="shared" si="278"/>
        <v>0</v>
      </c>
      <c r="AV392" s="888">
        <f t="shared" si="278"/>
        <v>0</v>
      </c>
      <c r="AW392" s="888">
        <f t="shared" si="278"/>
        <v>0</v>
      </c>
      <c r="AX392" s="888">
        <f t="shared" si="278"/>
        <v>0</v>
      </c>
      <c r="AY392" s="887">
        <f t="shared" si="276"/>
        <v>0</v>
      </c>
      <c r="AZ392" s="887">
        <f t="shared" si="279"/>
        <v>0</v>
      </c>
      <c r="BA392" s="887">
        <f t="shared" si="279"/>
        <v>0</v>
      </c>
      <c r="BB392" s="887">
        <f t="shared" si="279"/>
        <v>0</v>
      </c>
      <c r="BC392" s="362"/>
    </row>
    <row r="393" spans="1:55" s="4" customFormat="1" ht="14.45" customHeight="1">
      <c r="A393" s="402" t="s">
        <v>62</v>
      </c>
      <c r="B393" s="429"/>
      <c r="C393" s="858">
        <f t="shared" ref="C393:AH393" si="280">SUM(C386:C392)</f>
        <v>82.493000000000009</v>
      </c>
      <c r="D393" s="858">
        <f t="shared" si="280"/>
        <v>97.14</v>
      </c>
      <c r="E393" s="858">
        <f t="shared" si="280"/>
        <v>92.309999999999988</v>
      </c>
      <c r="F393" s="858">
        <f t="shared" si="280"/>
        <v>108.01</v>
      </c>
      <c r="G393" s="402">
        <f t="shared" si="280"/>
        <v>112.482</v>
      </c>
      <c r="H393" s="402">
        <f t="shared" si="280"/>
        <v>118.52999999999999</v>
      </c>
      <c r="I393" s="402">
        <f t="shared" si="280"/>
        <v>191.904</v>
      </c>
      <c r="J393" s="402">
        <f t="shared" si="280"/>
        <v>211.19800000000001</v>
      </c>
      <c r="K393" s="858">
        <f t="shared" si="280"/>
        <v>211.19800000000001</v>
      </c>
      <c r="L393" s="402">
        <f t="shared" si="280"/>
        <v>290.71100000000001</v>
      </c>
      <c r="M393" s="402">
        <f t="shared" si="280"/>
        <v>267.23199999999997</v>
      </c>
      <c r="N393" s="402">
        <f t="shared" si="280"/>
        <v>277.53899999999999</v>
      </c>
      <c r="O393" s="402">
        <f t="shared" si="280"/>
        <v>245.81800000000001</v>
      </c>
      <c r="P393" s="858">
        <f t="shared" si="280"/>
        <v>245.81800000000001</v>
      </c>
      <c r="Q393" s="402">
        <f t="shared" si="280"/>
        <v>237.32100000000003</v>
      </c>
      <c r="R393" s="402">
        <f t="shared" si="280"/>
        <v>274.07800000000003</v>
      </c>
      <c r="S393" s="402">
        <f t="shared" si="280"/>
        <v>286.40800000000002</v>
      </c>
      <c r="T393" s="402">
        <f t="shared" si="280"/>
        <v>249.96700000000001</v>
      </c>
      <c r="U393" s="858">
        <f t="shared" si="280"/>
        <v>249.96700000000001</v>
      </c>
      <c r="V393" s="402">
        <f t="shared" si="280"/>
        <v>257.03700000000003</v>
      </c>
      <c r="W393" s="402">
        <f t="shared" si="280"/>
        <v>257.36399999999998</v>
      </c>
      <c r="X393" s="402">
        <f t="shared" si="280"/>
        <v>265.95699999999999</v>
      </c>
      <c r="Y393" s="402">
        <f t="shared" si="280"/>
        <v>255.07300000000001</v>
      </c>
      <c r="Z393" s="858">
        <f t="shared" si="280"/>
        <v>255.07300000000001</v>
      </c>
      <c r="AA393" s="402">
        <f t="shared" si="280"/>
        <v>256.40199999999999</v>
      </c>
      <c r="AB393" s="402">
        <f t="shared" si="280"/>
        <v>277.51500000000004</v>
      </c>
      <c r="AC393" s="402">
        <f t="shared" si="280"/>
        <v>285.67099999999994</v>
      </c>
      <c r="AD393" s="402">
        <f t="shared" si="280"/>
        <v>315.32900000000006</v>
      </c>
      <c r="AE393" s="858">
        <f t="shared" si="280"/>
        <v>315.32900000000006</v>
      </c>
      <c r="AF393" s="402">
        <f t="shared" si="280"/>
        <v>349.89300000000003</v>
      </c>
      <c r="AG393" s="402">
        <f t="shared" si="280"/>
        <v>353.495</v>
      </c>
      <c r="AH393" s="402">
        <f t="shared" si="280"/>
        <v>366.02800000000002</v>
      </c>
      <c r="AI393" s="402">
        <f t="shared" ref="AI393:BB393" si="281">SUM(AI386:AI392)</f>
        <v>374.17099999999999</v>
      </c>
      <c r="AJ393" s="858">
        <f t="shared" si="281"/>
        <v>374.17099999999999</v>
      </c>
      <c r="AK393" s="402">
        <f t="shared" si="281"/>
        <v>361.416</v>
      </c>
      <c r="AL393" s="402">
        <f t="shared" si="281"/>
        <v>354.64800000000002</v>
      </c>
      <c r="AM393" s="402">
        <f t="shared" si="281"/>
        <v>352.89299999999997</v>
      </c>
      <c r="AN393" s="402">
        <f t="shared" si="281"/>
        <v>343.08100000000002</v>
      </c>
      <c r="AO393" s="858">
        <f t="shared" si="281"/>
        <v>343.08100000000002</v>
      </c>
      <c r="AP393" s="402">
        <f t="shared" si="281"/>
        <v>494.54900000000004</v>
      </c>
      <c r="AQ393" s="891">
        <f t="shared" si="281"/>
        <v>326.61599999999999</v>
      </c>
      <c r="AR393" s="402">
        <f t="shared" ca="1" si="281"/>
        <v>330.13318834566775</v>
      </c>
      <c r="AS393" s="402">
        <f t="shared" ca="1" si="281"/>
        <v>327.61163209611067</v>
      </c>
      <c r="AT393" s="858">
        <f t="shared" ca="1" si="281"/>
        <v>327.61163209611067</v>
      </c>
      <c r="AU393" s="402">
        <f t="shared" ca="1" si="281"/>
        <v>346.53666407521052</v>
      </c>
      <c r="AV393" s="402">
        <f t="shared" ca="1" si="281"/>
        <v>365.58383815981131</v>
      </c>
      <c r="AW393" s="402">
        <f t="shared" ca="1" si="281"/>
        <v>392.97964161229532</v>
      </c>
      <c r="AX393" s="402">
        <f t="shared" ca="1" si="281"/>
        <v>401.21868729186218</v>
      </c>
      <c r="AY393" s="858">
        <f t="shared" ca="1" si="281"/>
        <v>401.21868729186218</v>
      </c>
      <c r="AZ393" s="858">
        <f t="shared" ca="1" si="281"/>
        <v>453.14944010828964</v>
      </c>
      <c r="BA393" s="858">
        <f t="shared" ca="1" si="281"/>
        <v>556.73039418407313</v>
      </c>
      <c r="BB393" s="858">
        <f t="shared" ca="1" si="281"/>
        <v>567.86950403374044</v>
      </c>
      <c r="BC393" s="363"/>
    </row>
    <row r="394" spans="1:55" s="4" customFormat="1" ht="14.45" customHeight="1">
      <c r="A394" s="403"/>
      <c r="B394" s="345"/>
      <c r="C394" s="852"/>
      <c r="D394" s="852"/>
      <c r="E394" s="852"/>
      <c r="F394" s="852"/>
      <c r="G394" s="418"/>
      <c r="H394" s="418"/>
      <c r="I394" s="418"/>
      <c r="J394" s="418"/>
      <c r="K394" s="852"/>
      <c r="L394" s="418"/>
      <c r="M394" s="418"/>
      <c r="N394" s="418"/>
      <c r="O394" s="418"/>
      <c r="P394" s="852"/>
      <c r="Q394" s="418"/>
      <c r="R394" s="418"/>
      <c r="S394" s="418"/>
      <c r="T394" s="418"/>
      <c r="U394" s="852"/>
      <c r="V394" s="418"/>
      <c r="W394" s="418"/>
      <c r="X394" s="418"/>
      <c r="Y394" s="418"/>
      <c r="Z394" s="852"/>
      <c r="AA394" s="418"/>
      <c r="AB394" s="418"/>
      <c r="AC394" s="418"/>
      <c r="AD394" s="418"/>
      <c r="AE394" s="852"/>
      <c r="AF394" s="418"/>
      <c r="AG394" s="418"/>
      <c r="AH394" s="418"/>
      <c r="AI394" s="418"/>
      <c r="AJ394" s="852"/>
      <c r="AK394" s="418"/>
      <c r="AL394" s="418"/>
      <c r="AM394" s="418"/>
      <c r="AN394" s="418"/>
      <c r="AO394" s="852"/>
      <c r="AP394" s="418"/>
      <c r="AQ394" s="895"/>
      <c r="AR394" s="896"/>
      <c r="AS394" s="896"/>
      <c r="AT394" s="897"/>
      <c r="AU394" s="896"/>
      <c r="AV394" s="896"/>
      <c r="AW394" s="896"/>
      <c r="AX394" s="896"/>
      <c r="AY394" s="897"/>
      <c r="AZ394" s="897"/>
      <c r="BA394" s="897"/>
      <c r="BB394" s="897"/>
      <c r="BC394" s="363"/>
    </row>
    <row r="395" spans="1:55" s="4" customFormat="1" ht="14.45" customHeight="1">
      <c r="A395" s="441" t="s">
        <v>64</v>
      </c>
      <c r="B395" s="345"/>
      <c r="C395" s="852"/>
      <c r="D395" s="852"/>
      <c r="E395" s="852"/>
      <c r="F395" s="852"/>
      <c r="G395" s="418"/>
      <c r="H395" s="418"/>
      <c r="I395" s="418"/>
      <c r="J395" s="418"/>
      <c r="K395" s="852"/>
      <c r="L395" s="418"/>
      <c r="M395" s="418"/>
      <c r="N395" s="418"/>
      <c r="O395" s="418"/>
      <c r="P395" s="852"/>
      <c r="Q395" s="418"/>
      <c r="R395" s="418"/>
      <c r="S395" s="418"/>
      <c r="T395" s="418"/>
      <c r="U395" s="852"/>
      <c r="V395" s="418"/>
      <c r="W395" s="418"/>
      <c r="X395" s="418"/>
      <c r="Y395" s="418"/>
      <c r="Z395" s="852"/>
      <c r="AA395" s="418"/>
      <c r="AB395" s="418"/>
      <c r="AC395" s="418"/>
      <c r="AD395" s="418"/>
      <c r="AE395" s="852"/>
      <c r="AF395" s="418"/>
      <c r="AG395" s="418"/>
      <c r="AH395" s="418"/>
      <c r="AI395" s="418"/>
      <c r="AJ395" s="852"/>
      <c r="AK395" s="418"/>
      <c r="AL395" s="418"/>
      <c r="AM395" s="418"/>
      <c r="AN395" s="418"/>
      <c r="AO395" s="852"/>
      <c r="AP395" s="418"/>
      <c r="AQ395" s="895"/>
      <c r="AR395" s="896"/>
      <c r="AS395" s="896"/>
      <c r="AT395" s="897"/>
      <c r="AU395" s="896"/>
      <c r="AV395" s="896"/>
      <c r="AW395" s="896"/>
      <c r="AX395" s="896"/>
      <c r="AY395" s="897"/>
      <c r="AZ395" s="897"/>
      <c r="BA395" s="897"/>
      <c r="BB395" s="897"/>
      <c r="BC395" s="363"/>
    </row>
    <row r="396" spans="1:55" s="23" customFormat="1" ht="14.45" customHeight="1">
      <c r="A396" s="229" t="s">
        <v>215</v>
      </c>
      <c r="B396" s="132"/>
      <c r="C396" s="885">
        <v>31.242999999999995</v>
      </c>
      <c r="D396" s="885">
        <v>30.873000000000001</v>
      </c>
      <c r="E396" s="885">
        <v>41.122000000000007</v>
      </c>
      <c r="F396" s="885">
        <v>53.537000000000013</v>
      </c>
      <c r="G396" s="436">
        <v>54.125</v>
      </c>
      <c r="H396" s="436">
        <v>54.741</v>
      </c>
      <c r="I396" s="436">
        <v>59.603999999999999</v>
      </c>
      <c r="J396" s="436">
        <v>70.900000000000006</v>
      </c>
      <c r="K396" s="885">
        <v>70.900000000000006</v>
      </c>
      <c r="L396" s="436">
        <v>100.883</v>
      </c>
      <c r="M396" s="436">
        <v>110.152</v>
      </c>
      <c r="N396" s="436">
        <v>111.36199999999999</v>
      </c>
      <c r="O396" s="436">
        <v>116.316</v>
      </c>
      <c r="P396" s="885">
        <v>116.316</v>
      </c>
      <c r="Q396" s="436">
        <v>124.917</v>
      </c>
      <c r="R396" s="436">
        <v>126.32899999999999</v>
      </c>
      <c r="S396" s="436">
        <v>125.94</v>
      </c>
      <c r="T396" s="436">
        <v>124.742</v>
      </c>
      <c r="U396" s="885">
        <v>124.742</v>
      </c>
      <c r="V396" s="436">
        <v>123.971</v>
      </c>
      <c r="W396" s="436">
        <v>123.709</v>
      </c>
      <c r="X396" s="436">
        <v>123.754</v>
      </c>
      <c r="Y396" s="436">
        <f>Z396</f>
        <v>122.812</v>
      </c>
      <c r="Z396" s="885">
        <v>122.812</v>
      </c>
      <c r="AA396" s="436">
        <v>122.15900000000001</v>
      </c>
      <c r="AB396" s="436">
        <v>122.646</v>
      </c>
      <c r="AC396" s="436">
        <v>124.28100000000001</v>
      </c>
      <c r="AD396" s="436">
        <f>AE396</f>
        <v>125.83</v>
      </c>
      <c r="AE396" s="885">
        <v>125.83</v>
      </c>
      <c r="AF396" s="436">
        <v>124.762</v>
      </c>
      <c r="AG396" s="436">
        <v>124.696</v>
      </c>
      <c r="AH396" s="436">
        <v>124.652</v>
      </c>
      <c r="AI396" s="436">
        <f>AJ396</f>
        <v>120.86199999999999</v>
      </c>
      <c r="AJ396" s="885">
        <v>120.86199999999999</v>
      </c>
      <c r="AK396" s="436">
        <v>117.307</v>
      </c>
      <c r="AL396" s="436">
        <v>117.389</v>
      </c>
      <c r="AM396" s="436">
        <v>113.137</v>
      </c>
      <c r="AN396" s="436">
        <f t="shared" ref="AN396:AN401" si="282">AO396</f>
        <v>112.499</v>
      </c>
      <c r="AO396" s="885">
        <v>112.499</v>
      </c>
      <c r="AP396" s="436">
        <v>111.52200000000001</v>
      </c>
      <c r="AQ396" s="886">
        <v>109.381</v>
      </c>
      <c r="AR396" s="436">
        <f>AQ396-AR317-AR344-AR346-AR347</f>
        <v>103.181</v>
      </c>
      <c r="AS396" s="436">
        <f>AR396-AS317-AS344-AS346-AS347</f>
        <v>96.480999999999995</v>
      </c>
      <c r="AT396" s="885">
        <f t="shared" ref="AT396:AT401" si="283">AS396</f>
        <v>96.480999999999995</v>
      </c>
      <c r="AU396" s="436">
        <f>AT396-AU317-AU344-AU346-AU347</f>
        <v>95.980999999999995</v>
      </c>
      <c r="AV396" s="436">
        <f>AU396-AV317-AV344-AV346-AV347</f>
        <v>95.480999999999995</v>
      </c>
      <c r="AW396" s="436">
        <f>AV396-AW317-AW344-AW346-AW347</f>
        <v>94.980999999999995</v>
      </c>
      <c r="AX396" s="436">
        <f>AW396-AX317-AX344-AX346-AX347</f>
        <v>94.480999999999995</v>
      </c>
      <c r="AY396" s="885">
        <f t="shared" ref="AY396:AY401" si="284">AX396</f>
        <v>94.480999999999995</v>
      </c>
      <c r="AZ396" s="885">
        <f>AY396-AZ317-AZ344-AZ346-AZ347</f>
        <v>92.480999999999995</v>
      </c>
      <c r="BA396" s="885">
        <f>AZ396-BA317-BA344-BA346-BA347</f>
        <v>90.480999999999995</v>
      </c>
      <c r="BB396" s="885">
        <f>BA396-BB317-BB344-BB346-BB347</f>
        <v>88.480999999999995</v>
      </c>
      <c r="BC396" s="362"/>
    </row>
    <row r="397" spans="1:55" s="23" customFormat="1" ht="14.45" customHeight="1">
      <c r="A397" s="229" t="s">
        <v>144</v>
      </c>
      <c r="B397" s="132"/>
      <c r="C397" s="885">
        <v>8.1310000000000002</v>
      </c>
      <c r="D397" s="885">
        <v>6.883</v>
      </c>
      <c r="E397" s="885">
        <v>7.0389999999999997</v>
      </c>
      <c r="F397" s="885">
        <v>9.0190000000000001</v>
      </c>
      <c r="G397" s="436">
        <v>8.9290000000000003</v>
      </c>
      <c r="H397" s="436">
        <v>8.6349999999999998</v>
      </c>
      <c r="I397" s="436"/>
      <c r="J397" s="436">
        <v>0</v>
      </c>
      <c r="K397" s="885"/>
      <c r="L397" s="436"/>
      <c r="M397" s="436"/>
      <c r="N397" s="436"/>
      <c r="O397" s="436">
        <v>0</v>
      </c>
      <c r="P397" s="885"/>
      <c r="Q397" s="436"/>
      <c r="R397" s="436"/>
      <c r="S397" s="436"/>
      <c r="T397" s="436">
        <v>0</v>
      </c>
      <c r="U397" s="885"/>
      <c r="V397" s="436"/>
      <c r="W397" s="436">
        <v>0</v>
      </c>
      <c r="X397" s="436">
        <v>0</v>
      </c>
      <c r="Y397" s="436"/>
      <c r="Z397" s="885"/>
      <c r="AA397" s="436"/>
      <c r="AB397" s="436"/>
      <c r="AC397" s="436"/>
      <c r="AD397" s="436"/>
      <c r="AE397" s="885"/>
      <c r="AF397" s="436"/>
      <c r="AG397" s="436"/>
      <c r="AH397" s="436"/>
      <c r="AI397" s="436">
        <f>AJ397</f>
        <v>0</v>
      </c>
      <c r="AJ397" s="885"/>
      <c r="AK397" s="436"/>
      <c r="AL397" s="436"/>
      <c r="AM397" s="436"/>
      <c r="AN397" s="436">
        <f t="shared" si="282"/>
        <v>0</v>
      </c>
      <c r="AO397" s="885"/>
      <c r="AP397" s="436"/>
      <c r="AQ397" s="886"/>
      <c r="AR397" s="436">
        <f t="shared" ref="AR397:AS401" si="285">AQ397</f>
        <v>0</v>
      </c>
      <c r="AS397" s="436">
        <f t="shared" si="285"/>
        <v>0</v>
      </c>
      <c r="AT397" s="885">
        <f t="shared" si="283"/>
        <v>0</v>
      </c>
      <c r="AU397" s="436">
        <f t="shared" ref="AU397:AX401" si="286">AT397</f>
        <v>0</v>
      </c>
      <c r="AV397" s="436">
        <f t="shared" si="286"/>
        <v>0</v>
      </c>
      <c r="AW397" s="436">
        <f t="shared" si="286"/>
        <v>0</v>
      </c>
      <c r="AX397" s="436">
        <f t="shared" si="286"/>
        <v>0</v>
      </c>
      <c r="AY397" s="885">
        <f t="shared" si="284"/>
        <v>0</v>
      </c>
      <c r="AZ397" s="885">
        <f t="shared" ref="AZ397:BB401" si="287">AY397</f>
        <v>0</v>
      </c>
      <c r="BA397" s="885">
        <f t="shared" si="287"/>
        <v>0</v>
      </c>
      <c r="BB397" s="885">
        <f t="shared" si="287"/>
        <v>0</v>
      </c>
      <c r="BC397" s="362"/>
    </row>
    <row r="398" spans="1:55" s="23" customFormat="1" ht="14.45" customHeight="1">
      <c r="A398" s="229" t="s">
        <v>460</v>
      </c>
      <c r="B398" s="132"/>
      <c r="C398" s="885"/>
      <c r="D398" s="885"/>
      <c r="E398" s="885"/>
      <c r="F398" s="885"/>
      <c r="G398" s="436"/>
      <c r="H398" s="436"/>
      <c r="I398" s="436"/>
      <c r="J398" s="436"/>
      <c r="K398" s="885"/>
      <c r="L398" s="436"/>
      <c r="M398" s="436"/>
      <c r="N398" s="436"/>
      <c r="O398" s="436"/>
      <c r="P398" s="885"/>
      <c r="Q398" s="436"/>
      <c r="R398" s="436"/>
      <c r="S398" s="436"/>
      <c r="T398" s="436"/>
      <c r="U398" s="885"/>
      <c r="V398" s="436"/>
      <c r="W398" s="436"/>
      <c r="X398" s="436"/>
      <c r="Y398" s="436"/>
      <c r="Z398" s="885"/>
      <c r="AA398" s="436"/>
      <c r="AB398" s="436"/>
      <c r="AC398" s="436"/>
      <c r="AD398" s="436"/>
      <c r="AE398" s="885"/>
      <c r="AF398" s="436"/>
      <c r="AG398" s="436"/>
      <c r="AH398" s="436"/>
      <c r="AI398" s="436"/>
      <c r="AJ398" s="885"/>
      <c r="AK398" s="436"/>
      <c r="AL398" s="436"/>
      <c r="AM398" s="436"/>
      <c r="AN398" s="436">
        <f t="shared" si="282"/>
        <v>23.602</v>
      </c>
      <c r="AO398" s="885">
        <v>23.602</v>
      </c>
      <c r="AP398" s="436">
        <v>22.018000000000001</v>
      </c>
      <c r="AQ398" s="886">
        <v>21.782</v>
      </c>
      <c r="AR398" s="436">
        <f t="shared" si="285"/>
        <v>21.782</v>
      </c>
      <c r="AS398" s="436">
        <f t="shared" si="285"/>
        <v>21.782</v>
      </c>
      <c r="AT398" s="885">
        <f t="shared" si="283"/>
        <v>21.782</v>
      </c>
      <c r="AU398" s="436">
        <f t="shared" si="286"/>
        <v>21.782</v>
      </c>
      <c r="AV398" s="436">
        <f t="shared" si="286"/>
        <v>21.782</v>
      </c>
      <c r="AW398" s="436">
        <f t="shared" si="286"/>
        <v>21.782</v>
      </c>
      <c r="AX398" s="436">
        <f t="shared" si="286"/>
        <v>21.782</v>
      </c>
      <c r="AY398" s="885">
        <f t="shared" si="284"/>
        <v>21.782</v>
      </c>
      <c r="AZ398" s="885">
        <f t="shared" si="287"/>
        <v>21.782</v>
      </c>
      <c r="BA398" s="885">
        <f t="shared" si="287"/>
        <v>21.782</v>
      </c>
      <c r="BB398" s="885">
        <f t="shared" si="287"/>
        <v>21.782</v>
      </c>
      <c r="BC398" s="362"/>
    </row>
    <row r="399" spans="1:55" s="23" customFormat="1" ht="14.45" customHeight="1">
      <c r="A399" s="229" t="s">
        <v>145</v>
      </c>
      <c r="B399" s="132"/>
      <c r="C399" s="885">
        <v>5.5910000000000002</v>
      </c>
      <c r="D399" s="885">
        <v>3.3420000000000001</v>
      </c>
      <c r="E399" s="885">
        <v>3.2490000000000001</v>
      </c>
      <c r="F399" s="885">
        <v>2.9769999999999999</v>
      </c>
      <c r="G399" s="436">
        <v>3.3959999999999999</v>
      </c>
      <c r="H399" s="436">
        <v>3.1619999999999999</v>
      </c>
      <c r="I399" s="436">
        <v>5.6079999999999997</v>
      </c>
      <c r="J399" s="436">
        <v>5.4740000000000002</v>
      </c>
      <c r="K399" s="885">
        <v>5.4740000000000002</v>
      </c>
      <c r="L399" s="436">
        <v>6.1369999999999996</v>
      </c>
      <c r="M399" s="436">
        <v>5.7030000000000003</v>
      </c>
      <c r="N399" s="436">
        <v>6.1790000000000003</v>
      </c>
      <c r="O399" s="436">
        <v>5.6319999999999997</v>
      </c>
      <c r="P399" s="885">
        <v>5.6319999999999997</v>
      </c>
      <c r="Q399" s="436">
        <v>6.3819999999999997</v>
      </c>
      <c r="R399" s="436">
        <v>8.9949999999999992</v>
      </c>
      <c r="S399" s="436">
        <v>8.907</v>
      </c>
      <c r="T399" s="436">
        <f>U399</f>
        <v>10.888999999999999</v>
      </c>
      <c r="U399" s="885">
        <v>10.888999999999999</v>
      </c>
      <c r="V399" s="436">
        <v>11.438000000000001</v>
      </c>
      <c r="W399" s="436">
        <v>11.965999999999999</v>
      </c>
      <c r="X399" s="436">
        <v>13.035</v>
      </c>
      <c r="Y399" s="436">
        <f>Z399</f>
        <v>13.148999999999999</v>
      </c>
      <c r="Z399" s="885">
        <v>13.148999999999999</v>
      </c>
      <c r="AA399" s="436">
        <v>13.901999999999999</v>
      </c>
      <c r="AB399" s="436">
        <v>15.738</v>
      </c>
      <c r="AC399" s="436">
        <v>16.503</v>
      </c>
      <c r="AD399" s="436">
        <f>AE399</f>
        <v>15.659000000000001</v>
      </c>
      <c r="AE399" s="885">
        <v>15.659000000000001</v>
      </c>
      <c r="AF399" s="436">
        <v>19.693000000000001</v>
      </c>
      <c r="AG399" s="436">
        <v>18.451000000000001</v>
      </c>
      <c r="AH399" s="436">
        <v>21.893000000000001</v>
      </c>
      <c r="AI399" s="436">
        <f>AJ399</f>
        <v>21.271999999999998</v>
      </c>
      <c r="AJ399" s="885">
        <v>21.271999999999998</v>
      </c>
      <c r="AK399" s="436">
        <v>47.811</v>
      </c>
      <c r="AL399" s="436">
        <v>45.189</v>
      </c>
      <c r="AM399" s="436">
        <v>45.911000000000001</v>
      </c>
      <c r="AN399" s="436">
        <f t="shared" si="282"/>
        <v>31.271000000000001</v>
      </c>
      <c r="AO399" s="885">
        <v>31.271000000000001</v>
      </c>
      <c r="AP399" s="436">
        <v>27.931999999999999</v>
      </c>
      <c r="AQ399" s="886">
        <v>23.658999999999999</v>
      </c>
      <c r="AR399" s="436">
        <f t="shared" si="285"/>
        <v>23.658999999999999</v>
      </c>
      <c r="AS399" s="436">
        <f t="shared" si="285"/>
        <v>23.658999999999999</v>
      </c>
      <c r="AT399" s="885">
        <f t="shared" si="283"/>
        <v>23.658999999999999</v>
      </c>
      <c r="AU399" s="436">
        <f t="shared" si="286"/>
        <v>23.658999999999999</v>
      </c>
      <c r="AV399" s="436">
        <f t="shared" si="286"/>
        <v>23.658999999999999</v>
      </c>
      <c r="AW399" s="436">
        <f t="shared" si="286"/>
        <v>23.658999999999999</v>
      </c>
      <c r="AX399" s="436">
        <f t="shared" si="286"/>
        <v>23.658999999999999</v>
      </c>
      <c r="AY399" s="885">
        <f t="shared" si="284"/>
        <v>23.658999999999999</v>
      </c>
      <c r="AZ399" s="885">
        <f t="shared" si="287"/>
        <v>23.658999999999999</v>
      </c>
      <c r="BA399" s="885">
        <f t="shared" si="287"/>
        <v>23.658999999999999</v>
      </c>
      <c r="BB399" s="885">
        <f t="shared" si="287"/>
        <v>23.658999999999999</v>
      </c>
      <c r="BC399" s="362"/>
    </row>
    <row r="400" spans="1:55" s="23" customFormat="1" ht="14.45" customHeight="1">
      <c r="A400" s="229" t="s">
        <v>146</v>
      </c>
      <c r="B400" s="132"/>
      <c r="C400" s="885">
        <v>3.7629999999999999</v>
      </c>
      <c r="D400" s="885">
        <v>5.04</v>
      </c>
      <c r="E400" s="885">
        <v>14</v>
      </c>
      <c r="F400" s="885">
        <v>16.523</v>
      </c>
      <c r="G400" s="436">
        <v>16.056000000000001</v>
      </c>
      <c r="H400" s="436">
        <v>15.587999999999999</v>
      </c>
      <c r="I400" s="436">
        <v>83.093999999999994</v>
      </c>
      <c r="J400" s="436">
        <v>102.70099999999999</v>
      </c>
      <c r="K400" s="885">
        <v>102.70099999999999</v>
      </c>
      <c r="L400" s="436">
        <v>101.57</v>
      </c>
      <c r="M400" s="436">
        <v>96.959000000000003</v>
      </c>
      <c r="N400" s="436">
        <v>95.284999999999997</v>
      </c>
      <c r="O400" s="436">
        <v>94.991</v>
      </c>
      <c r="P400" s="885">
        <v>94.991</v>
      </c>
      <c r="Q400" s="436">
        <v>112.033</v>
      </c>
      <c r="R400" s="436">
        <v>114.23</v>
      </c>
      <c r="S400" s="436">
        <v>111.196</v>
      </c>
      <c r="T400" s="436">
        <f>U400</f>
        <v>108.276</v>
      </c>
      <c r="U400" s="885">
        <v>108.276</v>
      </c>
      <c r="V400" s="436">
        <v>105.633</v>
      </c>
      <c r="W400" s="436">
        <v>103.598</v>
      </c>
      <c r="X400" s="436">
        <v>101.03700000000001</v>
      </c>
      <c r="Y400" s="436">
        <f>Z400</f>
        <v>98.102999999999994</v>
      </c>
      <c r="Z400" s="885">
        <v>98.102999999999994</v>
      </c>
      <c r="AA400" s="436">
        <v>95.528999999999996</v>
      </c>
      <c r="AB400" s="436">
        <v>94.364000000000004</v>
      </c>
      <c r="AC400" s="436">
        <v>95.055000000000007</v>
      </c>
      <c r="AD400" s="436">
        <f>AE400</f>
        <v>153.49299999999999</v>
      </c>
      <c r="AE400" s="885">
        <v>153.49299999999999</v>
      </c>
      <c r="AF400" s="436">
        <v>147.59200000000001</v>
      </c>
      <c r="AG400" s="436">
        <v>142.54400000000001</v>
      </c>
      <c r="AH400" s="436">
        <v>138.34700000000001</v>
      </c>
      <c r="AI400" s="436">
        <f>AJ400</f>
        <v>133.38300000000001</v>
      </c>
      <c r="AJ400" s="885">
        <v>133.38300000000001</v>
      </c>
      <c r="AK400" s="436">
        <v>129.13300000000001</v>
      </c>
      <c r="AL400" s="436">
        <v>125.039</v>
      </c>
      <c r="AM400" s="436">
        <v>132.43299999999999</v>
      </c>
      <c r="AN400" s="436">
        <f t="shared" si="282"/>
        <v>127.29300000000001</v>
      </c>
      <c r="AO400" s="885">
        <v>127.29300000000001</v>
      </c>
      <c r="AP400" s="436">
        <v>123.008</v>
      </c>
      <c r="AQ400" s="886">
        <v>118.648</v>
      </c>
      <c r="AR400" s="436">
        <f t="shared" si="285"/>
        <v>118.648</v>
      </c>
      <c r="AS400" s="436">
        <f t="shared" si="285"/>
        <v>118.648</v>
      </c>
      <c r="AT400" s="885">
        <f t="shared" si="283"/>
        <v>118.648</v>
      </c>
      <c r="AU400" s="436">
        <f t="shared" si="286"/>
        <v>118.648</v>
      </c>
      <c r="AV400" s="436">
        <f t="shared" si="286"/>
        <v>118.648</v>
      </c>
      <c r="AW400" s="436">
        <f t="shared" si="286"/>
        <v>118.648</v>
      </c>
      <c r="AX400" s="436">
        <f t="shared" si="286"/>
        <v>118.648</v>
      </c>
      <c r="AY400" s="885">
        <f t="shared" si="284"/>
        <v>118.648</v>
      </c>
      <c r="AZ400" s="885">
        <f t="shared" si="287"/>
        <v>118.648</v>
      </c>
      <c r="BA400" s="885">
        <f t="shared" si="287"/>
        <v>118.648</v>
      </c>
      <c r="BB400" s="885">
        <f t="shared" si="287"/>
        <v>118.648</v>
      </c>
      <c r="BC400" s="362"/>
    </row>
    <row r="401" spans="1:55" s="23" customFormat="1" ht="14.45" customHeight="1">
      <c r="A401" s="229" t="s">
        <v>147</v>
      </c>
      <c r="B401" s="132"/>
      <c r="C401" s="887">
        <v>7.4930000000000003</v>
      </c>
      <c r="D401" s="887">
        <v>7.61</v>
      </c>
      <c r="E401" s="887">
        <v>17.184999999999999</v>
      </c>
      <c r="F401" s="887">
        <v>21.922999999999998</v>
      </c>
      <c r="G401" s="888">
        <v>21.85</v>
      </c>
      <c r="H401" s="888">
        <v>21.780999999999999</v>
      </c>
      <c r="I401" s="888">
        <v>92.62</v>
      </c>
      <c r="J401" s="888">
        <v>100.998</v>
      </c>
      <c r="K401" s="887">
        <v>100.998</v>
      </c>
      <c r="L401" s="888">
        <v>103.41800000000001</v>
      </c>
      <c r="M401" s="888">
        <v>102.729</v>
      </c>
      <c r="N401" s="888">
        <v>100.542</v>
      </c>
      <c r="O401" s="888">
        <v>100.15300000000001</v>
      </c>
      <c r="P401" s="887">
        <v>100.15300000000001</v>
      </c>
      <c r="Q401" s="888">
        <v>119.63</v>
      </c>
      <c r="R401" s="888">
        <v>114.578</v>
      </c>
      <c r="S401" s="888">
        <v>115.94199999999999</v>
      </c>
      <c r="T401" s="888">
        <f>U401</f>
        <v>115.369</v>
      </c>
      <c r="U401" s="887">
        <v>115.369</v>
      </c>
      <c r="V401" s="888">
        <v>115.742</v>
      </c>
      <c r="W401" s="888">
        <v>115.614</v>
      </c>
      <c r="X401" s="888">
        <v>115.645</v>
      </c>
      <c r="Y401" s="888">
        <f>Z401</f>
        <v>115.20699999999999</v>
      </c>
      <c r="Z401" s="887">
        <v>115.20699999999999</v>
      </c>
      <c r="AA401" s="888">
        <v>115.294</v>
      </c>
      <c r="AB401" s="888">
        <v>117.565</v>
      </c>
      <c r="AC401" s="888">
        <v>119.11799999999999</v>
      </c>
      <c r="AD401" s="888">
        <f>AE401</f>
        <v>125.645</v>
      </c>
      <c r="AE401" s="887">
        <v>125.645</v>
      </c>
      <c r="AF401" s="888">
        <v>125.63</v>
      </c>
      <c r="AG401" s="888">
        <v>125.23699999999999</v>
      </c>
      <c r="AH401" s="888">
        <v>125.136</v>
      </c>
      <c r="AI401" s="888">
        <f>AJ401</f>
        <v>124.952</v>
      </c>
      <c r="AJ401" s="887">
        <v>124.952</v>
      </c>
      <c r="AK401" s="888">
        <v>124.854</v>
      </c>
      <c r="AL401" s="888">
        <v>124.998</v>
      </c>
      <c r="AM401" s="888">
        <v>133.59399999999999</v>
      </c>
      <c r="AN401" s="888">
        <f t="shared" si="282"/>
        <v>144.97</v>
      </c>
      <c r="AO401" s="887">
        <v>144.97</v>
      </c>
      <c r="AP401" s="888">
        <v>70.997</v>
      </c>
      <c r="AQ401" s="889">
        <v>58.44</v>
      </c>
      <c r="AR401" s="888">
        <f t="shared" si="285"/>
        <v>58.44</v>
      </c>
      <c r="AS401" s="888">
        <f t="shared" si="285"/>
        <v>58.44</v>
      </c>
      <c r="AT401" s="887">
        <f t="shared" si="283"/>
        <v>58.44</v>
      </c>
      <c r="AU401" s="888">
        <f t="shared" si="286"/>
        <v>58.44</v>
      </c>
      <c r="AV401" s="888">
        <f t="shared" si="286"/>
        <v>58.44</v>
      </c>
      <c r="AW401" s="888">
        <f t="shared" si="286"/>
        <v>58.44</v>
      </c>
      <c r="AX401" s="888">
        <f t="shared" si="286"/>
        <v>58.44</v>
      </c>
      <c r="AY401" s="887">
        <f t="shared" si="284"/>
        <v>58.44</v>
      </c>
      <c r="AZ401" s="887">
        <f t="shared" si="287"/>
        <v>58.44</v>
      </c>
      <c r="BA401" s="887">
        <f t="shared" si="287"/>
        <v>58.44</v>
      </c>
      <c r="BB401" s="887">
        <f t="shared" si="287"/>
        <v>58.44</v>
      </c>
      <c r="BC401" s="362"/>
    </row>
    <row r="402" spans="1:55" s="4" customFormat="1" ht="14.45" customHeight="1">
      <c r="A402" s="402" t="s">
        <v>65</v>
      </c>
      <c r="B402" s="429"/>
      <c r="C402" s="858">
        <f t="shared" ref="C402:AH402" si="288">SUM(C396:C401)</f>
        <v>56.220999999999997</v>
      </c>
      <c r="D402" s="858">
        <f t="shared" si="288"/>
        <v>53.747999999999998</v>
      </c>
      <c r="E402" s="858">
        <f t="shared" si="288"/>
        <v>82.595000000000013</v>
      </c>
      <c r="F402" s="858">
        <f t="shared" si="288"/>
        <v>103.97900000000001</v>
      </c>
      <c r="G402" s="402">
        <f t="shared" si="288"/>
        <v>104.35599999999999</v>
      </c>
      <c r="H402" s="402">
        <f t="shared" si="288"/>
        <v>103.90699999999998</v>
      </c>
      <c r="I402" s="402">
        <f t="shared" si="288"/>
        <v>240.92599999999999</v>
      </c>
      <c r="J402" s="402">
        <f t="shared" si="288"/>
        <v>280.07299999999998</v>
      </c>
      <c r="K402" s="858">
        <f t="shared" si="288"/>
        <v>280.07299999999998</v>
      </c>
      <c r="L402" s="402">
        <f t="shared" si="288"/>
        <v>312.00799999999998</v>
      </c>
      <c r="M402" s="402">
        <f t="shared" si="288"/>
        <v>315.54300000000001</v>
      </c>
      <c r="N402" s="402">
        <f t="shared" si="288"/>
        <v>313.36799999999999</v>
      </c>
      <c r="O402" s="402">
        <f t="shared" si="288"/>
        <v>317.09200000000004</v>
      </c>
      <c r="P402" s="858">
        <f t="shared" si="288"/>
        <v>317.09200000000004</v>
      </c>
      <c r="Q402" s="402">
        <f t="shared" si="288"/>
        <v>362.96199999999999</v>
      </c>
      <c r="R402" s="402">
        <f t="shared" si="288"/>
        <v>364.13199999999995</v>
      </c>
      <c r="S402" s="402">
        <f t="shared" si="288"/>
        <v>361.98500000000001</v>
      </c>
      <c r="T402" s="402">
        <f t="shared" si="288"/>
        <v>359.27599999999995</v>
      </c>
      <c r="U402" s="858">
        <f t="shared" si="288"/>
        <v>359.27599999999995</v>
      </c>
      <c r="V402" s="402">
        <f t="shared" si="288"/>
        <v>356.78399999999999</v>
      </c>
      <c r="W402" s="402">
        <f t="shared" si="288"/>
        <v>354.88700000000006</v>
      </c>
      <c r="X402" s="402">
        <f t="shared" si="288"/>
        <v>353.471</v>
      </c>
      <c r="Y402" s="402">
        <f t="shared" si="288"/>
        <v>349.27099999999996</v>
      </c>
      <c r="Z402" s="858">
        <f t="shared" si="288"/>
        <v>349.27099999999996</v>
      </c>
      <c r="AA402" s="402">
        <f t="shared" si="288"/>
        <v>346.88400000000001</v>
      </c>
      <c r="AB402" s="402">
        <f t="shared" si="288"/>
        <v>350.31299999999999</v>
      </c>
      <c r="AC402" s="402">
        <f t="shared" si="288"/>
        <v>354.95699999999999</v>
      </c>
      <c r="AD402" s="402">
        <f t="shared" si="288"/>
        <v>420.62699999999995</v>
      </c>
      <c r="AE402" s="858">
        <f t="shared" si="288"/>
        <v>420.62699999999995</v>
      </c>
      <c r="AF402" s="402">
        <f t="shared" si="288"/>
        <v>417.67700000000002</v>
      </c>
      <c r="AG402" s="402">
        <f t="shared" si="288"/>
        <v>410.928</v>
      </c>
      <c r="AH402" s="402">
        <f t="shared" si="288"/>
        <v>410.02800000000002</v>
      </c>
      <c r="AI402" s="402">
        <f t="shared" ref="AI402:BB402" si="289">SUM(AI396:AI401)</f>
        <v>400.46899999999999</v>
      </c>
      <c r="AJ402" s="858">
        <f t="shared" si="289"/>
        <v>400.46899999999999</v>
      </c>
      <c r="AK402" s="402">
        <f t="shared" si="289"/>
        <v>419.10499999999996</v>
      </c>
      <c r="AL402" s="402">
        <f t="shared" si="289"/>
        <v>412.61500000000001</v>
      </c>
      <c r="AM402" s="402">
        <f t="shared" si="289"/>
        <v>425.07499999999999</v>
      </c>
      <c r="AN402" s="402">
        <f t="shared" si="289"/>
        <v>439.63499999999999</v>
      </c>
      <c r="AO402" s="858">
        <f t="shared" si="289"/>
        <v>439.63499999999999</v>
      </c>
      <c r="AP402" s="402">
        <f t="shared" si="289"/>
        <v>355.47700000000003</v>
      </c>
      <c r="AQ402" s="891">
        <f t="shared" si="289"/>
        <v>331.91</v>
      </c>
      <c r="AR402" s="402">
        <f t="shared" si="289"/>
        <v>325.70999999999998</v>
      </c>
      <c r="AS402" s="402">
        <f t="shared" si="289"/>
        <v>319.01</v>
      </c>
      <c r="AT402" s="858">
        <f t="shared" si="289"/>
        <v>319.01</v>
      </c>
      <c r="AU402" s="402">
        <f t="shared" si="289"/>
        <v>318.51</v>
      </c>
      <c r="AV402" s="402">
        <f t="shared" si="289"/>
        <v>318.01</v>
      </c>
      <c r="AW402" s="402">
        <f t="shared" si="289"/>
        <v>317.51</v>
      </c>
      <c r="AX402" s="402">
        <f t="shared" si="289"/>
        <v>317.01</v>
      </c>
      <c r="AY402" s="858">
        <f t="shared" si="289"/>
        <v>317.01</v>
      </c>
      <c r="AZ402" s="858">
        <f t="shared" si="289"/>
        <v>315.01</v>
      </c>
      <c r="BA402" s="858">
        <f t="shared" si="289"/>
        <v>313.01</v>
      </c>
      <c r="BB402" s="858">
        <f t="shared" si="289"/>
        <v>311.01</v>
      </c>
      <c r="BC402" s="363"/>
    </row>
    <row r="403" spans="1:55" s="4" customFormat="1" ht="14.45" customHeight="1">
      <c r="A403" s="403" t="s">
        <v>47</v>
      </c>
      <c r="B403" s="345"/>
      <c r="C403" s="852">
        <f t="shared" ref="C403:AH403" si="290">C393+C402</f>
        <v>138.714</v>
      </c>
      <c r="D403" s="852">
        <f t="shared" si="290"/>
        <v>150.88800000000001</v>
      </c>
      <c r="E403" s="852">
        <f t="shared" si="290"/>
        <v>174.905</v>
      </c>
      <c r="F403" s="852">
        <f t="shared" si="290"/>
        <v>211.98900000000003</v>
      </c>
      <c r="G403" s="418">
        <f t="shared" si="290"/>
        <v>216.83799999999999</v>
      </c>
      <c r="H403" s="418">
        <f t="shared" si="290"/>
        <v>222.43699999999995</v>
      </c>
      <c r="I403" s="418">
        <f t="shared" si="290"/>
        <v>432.83</v>
      </c>
      <c r="J403" s="418">
        <f t="shared" si="290"/>
        <v>491.27099999999996</v>
      </c>
      <c r="K403" s="852">
        <f t="shared" si="290"/>
        <v>491.27099999999996</v>
      </c>
      <c r="L403" s="418">
        <f t="shared" si="290"/>
        <v>602.71900000000005</v>
      </c>
      <c r="M403" s="418">
        <f t="shared" si="290"/>
        <v>582.77499999999998</v>
      </c>
      <c r="N403" s="418">
        <f t="shared" si="290"/>
        <v>590.90699999999993</v>
      </c>
      <c r="O403" s="418">
        <f t="shared" si="290"/>
        <v>562.91000000000008</v>
      </c>
      <c r="P403" s="852">
        <f t="shared" si="290"/>
        <v>562.91000000000008</v>
      </c>
      <c r="Q403" s="418">
        <f t="shared" si="290"/>
        <v>600.28300000000002</v>
      </c>
      <c r="R403" s="418">
        <f t="shared" si="290"/>
        <v>638.21</v>
      </c>
      <c r="S403" s="418">
        <f t="shared" si="290"/>
        <v>648.39300000000003</v>
      </c>
      <c r="T403" s="418">
        <f t="shared" si="290"/>
        <v>609.24299999999994</v>
      </c>
      <c r="U403" s="852">
        <f t="shared" si="290"/>
        <v>609.24299999999994</v>
      </c>
      <c r="V403" s="418">
        <f t="shared" si="290"/>
        <v>613.82100000000003</v>
      </c>
      <c r="W403" s="418">
        <f t="shared" si="290"/>
        <v>612.25099999999998</v>
      </c>
      <c r="X403" s="418">
        <f t="shared" si="290"/>
        <v>619.428</v>
      </c>
      <c r="Y403" s="418">
        <f t="shared" si="290"/>
        <v>604.34399999999994</v>
      </c>
      <c r="Z403" s="852">
        <f t="shared" si="290"/>
        <v>604.34399999999994</v>
      </c>
      <c r="AA403" s="418">
        <f t="shared" si="290"/>
        <v>603.28600000000006</v>
      </c>
      <c r="AB403" s="418">
        <f t="shared" si="290"/>
        <v>627.82799999999997</v>
      </c>
      <c r="AC403" s="418">
        <f t="shared" si="290"/>
        <v>640.62799999999993</v>
      </c>
      <c r="AD403" s="418">
        <f t="shared" si="290"/>
        <v>735.95600000000002</v>
      </c>
      <c r="AE403" s="852">
        <f t="shared" si="290"/>
        <v>735.95600000000002</v>
      </c>
      <c r="AF403" s="418">
        <f t="shared" si="290"/>
        <v>767.57</v>
      </c>
      <c r="AG403" s="418">
        <f t="shared" si="290"/>
        <v>764.423</v>
      </c>
      <c r="AH403" s="418">
        <f t="shared" si="290"/>
        <v>776.05600000000004</v>
      </c>
      <c r="AI403" s="418">
        <f t="shared" ref="AI403:BB403" si="291">AI393+AI402</f>
        <v>774.64</v>
      </c>
      <c r="AJ403" s="852">
        <f t="shared" si="291"/>
        <v>774.64</v>
      </c>
      <c r="AK403" s="418">
        <f t="shared" si="291"/>
        <v>780.52099999999996</v>
      </c>
      <c r="AL403" s="418">
        <f t="shared" si="291"/>
        <v>767.26300000000003</v>
      </c>
      <c r="AM403" s="418">
        <f t="shared" si="291"/>
        <v>777.96799999999996</v>
      </c>
      <c r="AN403" s="418">
        <f t="shared" si="291"/>
        <v>782.71600000000001</v>
      </c>
      <c r="AO403" s="852">
        <f t="shared" si="291"/>
        <v>782.71600000000001</v>
      </c>
      <c r="AP403" s="418">
        <f t="shared" si="291"/>
        <v>850.02600000000007</v>
      </c>
      <c r="AQ403" s="895">
        <f t="shared" si="291"/>
        <v>658.52600000000007</v>
      </c>
      <c r="AR403" s="418">
        <f t="shared" ca="1" si="291"/>
        <v>655.84318834566773</v>
      </c>
      <c r="AS403" s="418">
        <f t="shared" ca="1" si="291"/>
        <v>646.62163209611072</v>
      </c>
      <c r="AT403" s="852">
        <f t="shared" ca="1" si="291"/>
        <v>646.62163209611072</v>
      </c>
      <c r="AU403" s="418">
        <f t="shared" ca="1" si="291"/>
        <v>665.04666407521051</v>
      </c>
      <c r="AV403" s="418">
        <f t="shared" ca="1" si="291"/>
        <v>683.5938381598113</v>
      </c>
      <c r="AW403" s="418">
        <f t="shared" ca="1" si="291"/>
        <v>710.48964161229537</v>
      </c>
      <c r="AX403" s="418">
        <f t="shared" ca="1" si="291"/>
        <v>718.22868729186212</v>
      </c>
      <c r="AY403" s="852">
        <f t="shared" ca="1" si="291"/>
        <v>718.22868729186212</v>
      </c>
      <c r="AZ403" s="852">
        <f t="shared" ca="1" si="291"/>
        <v>768.15944010828957</v>
      </c>
      <c r="BA403" s="852">
        <f t="shared" ca="1" si="291"/>
        <v>869.74039418407312</v>
      </c>
      <c r="BB403" s="852">
        <f t="shared" ca="1" si="291"/>
        <v>878.87950403374043</v>
      </c>
      <c r="BC403" s="363"/>
    </row>
    <row r="404" spans="1:55" s="4" customFormat="1" ht="14.45" customHeight="1">
      <c r="A404" s="403"/>
      <c r="B404" s="345"/>
      <c r="C404" s="852"/>
      <c r="D404" s="852"/>
      <c r="E404" s="852"/>
      <c r="F404" s="852"/>
      <c r="G404" s="418"/>
      <c r="H404" s="418"/>
      <c r="I404" s="418"/>
      <c r="J404" s="418"/>
      <c r="K404" s="852"/>
      <c r="L404" s="418"/>
      <c r="M404" s="418"/>
      <c r="N404" s="418"/>
      <c r="O404" s="418"/>
      <c r="P404" s="852"/>
      <c r="Q404" s="418"/>
      <c r="R404" s="418"/>
      <c r="S404" s="418"/>
      <c r="T404" s="418"/>
      <c r="U404" s="852"/>
      <c r="V404" s="418"/>
      <c r="W404" s="418"/>
      <c r="X404" s="418"/>
      <c r="Y404" s="418"/>
      <c r="Z404" s="852"/>
      <c r="AA404" s="418"/>
      <c r="AB404" s="418"/>
      <c r="AC404" s="418"/>
      <c r="AD404" s="418"/>
      <c r="AE404" s="852"/>
      <c r="AF404" s="418"/>
      <c r="AG404" s="418"/>
      <c r="AH404" s="418"/>
      <c r="AI404" s="418"/>
      <c r="AJ404" s="852"/>
      <c r="AK404" s="418"/>
      <c r="AL404" s="418"/>
      <c r="AM404" s="418"/>
      <c r="AN404" s="418"/>
      <c r="AO404" s="852"/>
      <c r="AP404" s="418"/>
      <c r="AQ404" s="895"/>
      <c r="AR404" s="896"/>
      <c r="AS404" s="896"/>
      <c r="AT404" s="897"/>
      <c r="AU404" s="896"/>
      <c r="AV404" s="896"/>
      <c r="AW404" s="896"/>
      <c r="AX404" s="896"/>
      <c r="AY404" s="897"/>
      <c r="AZ404" s="897"/>
      <c r="BA404" s="897"/>
      <c r="BB404" s="897"/>
      <c r="BC404" s="363"/>
    </row>
    <row r="405" spans="1:55" s="4" customFormat="1" ht="14.45" customHeight="1">
      <c r="A405" s="403" t="s">
        <v>48</v>
      </c>
      <c r="B405" s="345"/>
      <c r="C405" s="852"/>
      <c r="D405" s="852"/>
      <c r="E405" s="852"/>
      <c r="F405" s="852"/>
      <c r="G405" s="418"/>
      <c r="H405" s="418"/>
      <c r="I405" s="418"/>
      <c r="J405" s="418"/>
      <c r="K405" s="852"/>
      <c r="L405" s="418"/>
      <c r="M405" s="418"/>
      <c r="N405" s="418"/>
      <c r="O405" s="418"/>
      <c r="P405" s="852"/>
      <c r="Q405" s="418"/>
      <c r="R405" s="418"/>
      <c r="S405" s="418"/>
      <c r="T405" s="418"/>
      <c r="U405" s="852"/>
      <c r="V405" s="418"/>
      <c r="W405" s="418"/>
      <c r="X405" s="418"/>
      <c r="Y405" s="418"/>
      <c r="Z405" s="852"/>
      <c r="AA405" s="418"/>
      <c r="AB405" s="418"/>
      <c r="AC405" s="418"/>
      <c r="AD405" s="418"/>
      <c r="AE405" s="852"/>
      <c r="AF405" s="418"/>
      <c r="AG405" s="418"/>
      <c r="AH405" s="418"/>
      <c r="AI405" s="418"/>
      <c r="AJ405" s="852"/>
      <c r="AK405" s="418"/>
      <c r="AL405" s="418"/>
      <c r="AM405" s="418"/>
      <c r="AN405" s="418"/>
      <c r="AO405" s="852"/>
      <c r="AP405" s="418"/>
      <c r="AQ405" s="895"/>
      <c r="AR405" s="896"/>
      <c r="AS405" s="896"/>
      <c r="AT405" s="897"/>
      <c r="AU405" s="896"/>
      <c r="AV405" s="896"/>
      <c r="AW405" s="896"/>
      <c r="AX405" s="896"/>
      <c r="AY405" s="897"/>
      <c r="AZ405" s="897"/>
      <c r="BA405" s="897"/>
      <c r="BB405" s="897"/>
      <c r="BC405" s="363"/>
    </row>
    <row r="406" spans="1:55" s="23" customFormat="1" ht="14.45" customHeight="1">
      <c r="A406" s="229" t="s">
        <v>148</v>
      </c>
      <c r="B406" s="132"/>
      <c r="C406" s="885">
        <v>6.2380000000000004</v>
      </c>
      <c r="D406" s="885">
        <v>5.3140000000000001</v>
      </c>
      <c r="E406" s="885">
        <v>5.29</v>
      </c>
      <c r="F406" s="885">
        <v>9.2680000000000007</v>
      </c>
      <c r="G406" s="436">
        <v>12.26</v>
      </c>
      <c r="H406" s="436">
        <v>10.254</v>
      </c>
      <c r="I406" s="436">
        <v>10.590999999999999</v>
      </c>
      <c r="J406" s="436">
        <v>12.279</v>
      </c>
      <c r="K406" s="885">
        <v>12.279</v>
      </c>
      <c r="L406" s="436">
        <v>13.092000000000001</v>
      </c>
      <c r="M406" s="436">
        <v>13.324999999999999</v>
      </c>
      <c r="N406" s="436">
        <v>10.239000000000001</v>
      </c>
      <c r="O406" s="436">
        <v>2.7959999999999998</v>
      </c>
      <c r="P406" s="885">
        <v>2.7959999999999998</v>
      </c>
      <c r="Q406" s="436">
        <v>2.6579999999999999</v>
      </c>
      <c r="R406" s="436">
        <v>2.702</v>
      </c>
      <c r="S406" s="436">
        <v>2.7450000000000001</v>
      </c>
      <c r="T406" s="436">
        <f>U406</f>
        <v>2.5790000000000002</v>
      </c>
      <c r="U406" s="885">
        <v>2.5790000000000002</v>
      </c>
      <c r="V406" s="436">
        <v>2.6640000000000001</v>
      </c>
      <c r="W406" s="436">
        <v>2.6909999999999998</v>
      </c>
      <c r="X406" s="436">
        <v>2.6859999999999999</v>
      </c>
      <c r="Y406" s="436">
        <f>Z406</f>
        <v>2.6360000000000001</v>
      </c>
      <c r="Z406" s="885">
        <v>2.6360000000000001</v>
      </c>
      <c r="AA406" s="436">
        <v>2.5819999999999999</v>
      </c>
      <c r="AB406" s="436">
        <v>2.6509999999999998</v>
      </c>
      <c r="AC406" s="436">
        <v>2.6949999999999998</v>
      </c>
      <c r="AD406" s="436">
        <f>AE406</f>
        <v>2.6890000000000001</v>
      </c>
      <c r="AE406" s="885">
        <v>2.6890000000000001</v>
      </c>
      <c r="AF406" s="436">
        <v>2.4780000000000002</v>
      </c>
      <c r="AG406" s="436">
        <v>2.19</v>
      </c>
      <c r="AH406" s="436">
        <v>1.9650000000000001</v>
      </c>
      <c r="AI406" s="436">
        <f>AJ406</f>
        <v>1.87</v>
      </c>
      <c r="AJ406" s="885">
        <v>1.87</v>
      </c>
      <c r="AK406" s="436">
        <v>0.112</v>
      </c>
      <c r="AL406" s="436">
        <v>0.17</v>
      </c>
      <c r="AM406" s="436">
        <v>0.191</v>
      </c>
      <c r="AN406" s="436">
        <f t="shared" ref="AN406:AN415" si="292">AO406</f>
        <v>0.224</v>
      </c>
      <c r="AO406" s="885">
        <v>0.224</v>
      </c>
      <c r="AP406" s="436">
        <v>0.223</v>
      </c>
      <c r="AQ406" s="886">
        <v>0.224</v>
      </c>
      <c r="AR406" s="436">
        <f>AR216</f>
        <v>0.22399999999998954</v>
      </c>
      <c r="AS406" s="436">
        <f>AS216</f>
        <v>0.22399999999998954</v>
      </c>
      <c r="AT406" s="885">
        <f t="shared" ref="AT406:AT415" si="293">AS406</f>
        <v>0.22399999999998954</v>
      </c>
      <c r="AU406" s="436">
        <f>AU216</f>
        <v>0.22399999999998954</v>
      </c>
      <c r="AV406" s="436">
        <f>AV216</f>
        <v>0.22399999999998954</v>
      </c>
      <c r="AW406" s="436">
        <f>AW216</f>
        <v>0.22399999999998954</v>
      </c>
      <c r="AX406" s="436">
        <f>AX216</f>
        <v>0.22399999999998954</v>
      </c>
      <c r="AY406" s="885">
        <f t="shared" ref="AY406:AY415" si="294">AX406</f>
        <v>0.22399999999998954</v>
      </c>
      <c r="AZ406" s="885">
        <f>AZ216</f>
        <v>0.22399999999998954</v>
      </c>
      <c r="BA406" s="885">
        <f>BA216</f>
        <v>0.22399999999998954</v>
      </c>
      <c r="BB406" s="885">
        <f>BB216</f>
        <v>0.22399999999998954</v>
      </c>
      <c r="BC406" s="362"/>
    </row>
    <row r="407" spans="1:55" s="23" customFormat="1" ht="14.45" customHeight="1">
      <c r="A407" s="229" t="s">
        <v>149</v>
      </c>
      <c r="B407" s="132"/>
      <c r="C407" s="885">
        <v>7.4050000000000002</v>
      </c>
      <c r="D407" s="885">
        <v>10.583</v>
      </c>
      <c r="E407" s="885">
        <v>10.558999999999999</v>
      </c>
      <c r="F407" s="885">
        <v>10.592000000000001</v>
      </c>
      <c r="G407" s="436">
        <v>12.318</v>
      </c>
      <c r="H407" s="436">
        <v>15.042999999999999</v>
      </c>
      <c r="I407" s="436">
        <v>16.706</v>
      </c>
      <c r="J407" s="436">
        <v>25.254999999999999</v>
      </c>
      <c r="K407" s="885">
        <v>25.254999999999999</v>
      </c>
      <c r="L407" s="436">
        <v>45.389000000000003</v>
      </c>
      <c r="M407" s="436">
        <v>39.520000000000003</v>
      </c>
      <c r="N407" s="436">
        <v>43.533999999999999</v>
      </c>
      <c r="O407" s="436">
        <v>27.902999999999999</v>
      </c>
      <c r="P407" s="885">
        <v>27.902999999999999</v>
      </c>
      <c r="Q407" s="436">
        <v>34.875</v>
      </c>
      <c r="R407" s="436">
        <v>38.609000000000002</v>
      </c>
      <c r="S407" s="436">
        <v>27.763000000000002</v>
      </c>
      <c r="T407" s="436">
        <f>U407</f>
        <v>27.138000000000002</v>
      </c>
      <c r="U407" s="885">
        <v>27.138000000000002</v>
      </c>
      <c r="V407" s="436">
        <v>30.088999999999999</v>
      </c>
      <c r="W407" s="436">
        <v>27.24</v>
      </c>
      <c r="X407" s="436">
        <v>27.492999999999999</v>
      </c>
      <c r="Y407" s="436">
        <f>Z407</f>
        <v>25.07</v>
      </c>
      <c r="Z407" s="885">
        <v>25.07</v>
      </c>
      <c r="AA407" s="436">
        <v>29.506</v>
      </c>
      <c r="AB407" s="436">
        <v>30.84</v>
      </c>
      <c r="AC407" s="436">
        <v>35.875999999999998</v>
      </c>
      <c r="AD407" s="436">
        <f>AE407</f>
        <v>41.845999999999997</v>
      </c>
      <c r="AE407" s="885">
        <v>41.845999999999997</v>
      </c>
      <c r="AF407" s="436">
        <v>61.387</v>
      </c>
      <c r="AG407" s="436">
        <v>49.58</v>
      </c>
      <c r="AH407" s="436">
        <v>42.183999999999997</v>
      </c>
      <c r="AI407" s="436">
        <f>AJ407</f>
        <v>50.664000000000001</v>
      </c>
      <c r="AJ407" s="885">
        <v>50.664000000000001</v>
      </c>
      <c r="AK407" s="436">
        <v>48.491999999999997</v>
      </c>
      <c r="AL407" s="436">
        <v>42.963999999999999</v>
      </c>
      <c r="AM407" s="436">
        <v>46.045999999999999</v>
      </c>
      <c r="AN407" s="436">
        <f t="shared" si="292"/>
        <v>35.841999999999999</v>
      </c>
      <c r="AO407" s="885">
        <v>35.841999999999999</v>
      </c>
      <c r="AP407" s="436">
        <v>42.08</v>
      </c>
      <c r="AQ407" s="886">
        <v>35.371000000000002</v>
      </c>
      <c r="AR407" s="436">
        <f>(AR149+AQ149+AP149+AN149)*AR378</f>
        <v>34.934095935831756</v>
      </c>
      <c r="AS407" s="436">
        <f>(AS149+AR149+AQ149+AP149)*AS378</f>
        <v>25.156129866365045</v>
      </c>
      <c r="AT407" s="885">
        <f t="shared" si="293"/>
        <v>25.156129866365045</v>
      </c>
      <c r="AU407" s="436">
        <f>(AU149+AS149+AR149+AQ149)*AU378</f>
        <v>32.758756004608713</v>
      </c>
      <c r="AV407" s="436">
        <f>(AV149+AU149+AS149+AR149)*AV378</f>
        <v>35.192841561942302</v>
      </c>
      <c r="AW407" s="436">
        <f>(AW149+AV149+AU149+AS149)*AW378</f>
        <v>44.632953469896698</v>
      </c>
      <c r="AX407" s="436">
        <f>(AX149+AW149+AV149+AU149)*AX378</f>
        <v>36.711489922171552</v>
      </c>
      <c r="AY407" s="885">
        <f t="shared" si="294"/>
        <v>36.711489922171552</v>
      </c>
      <c r="AZ407" s="885">
        <f>AZ149*AZ378</f>
        <v>35.699292005041926</v>
      </c>
      <c r="BA407" s="885">
        <f>BA149*BA378</f>
        <v>50.324404172834861</v>
      </c>
      <c r="BB407" s="885">
        <f>BB149*BB378</f>
        <v>27.649252328236891</v>
      </c>
      <c r="BC407" s="362"/>
    </row>
    <row r="408" spans="1:55" s="23" customFormat="1" ht="14.45" customHeight="1">
      <c r="A408" s="229" t="s">
        <v>150</v>
      </c>
      <c r="B408" s="132"/>
      <c r="C408" s="885">
        <v>5.0670000000000002</v>
      </c>
      <c r="D408" s="885">
        <v>7.0860000000000003</v>
      </c>
      <c r="E408" s="885">
        <v>9.2609999999999992</v>
      </c>
      <c r="F408" s="885">
        <v>10.228</v>
      </c>
      <c r="G408" s="436">
        <v>13.016</v>
      </c>
      <c r="H408" s="436">
        <v>13.288</v>
      </c>
      <c r="I408" s="436">
        <v>16.917000000000002</v>
      </c>
      <c r="J408" s="436">
        <v>16.213999999999999</v>
      </c>
      <c r="K408" s="885">
        <v>16.213999999999999</v>
      </c>
      <c r="L408" s="436">
        <v>27.074000000000002</v>
      </c>
      <c r="M408" s="436">
        <v>28.556000000000001</v>
      </c>
      <c r="N408" s="436">
        <v>32.97</v>
      </c>
      <c r="O408" s="436">
        <v>19.713000000000001</v>
      </c>
      <c r="P408" s="885">
        <v>19.713000000000001</v>
      </c>
      <c r="Q408" s="436">
        <v>31.062999999999999</v>
      </c>
      <c r="R408" s="436">
        <v>35.996000000000002</v>
      </c>
      <c r="S408" s="436">
        <v>42.076000000000001</v>
      </c>
      <c r="T408" s="436">
        <f>U408</f>
        <v>24.036000000000001</v>
      </c>
      <c r="U408" s="885">
        <v>24.036000000000001</v>
      </c>
      <c r="V408" s="436">
        <v>27.515999999999998</v>
      </c>
      <c r="W408" s="436">
        <v>33.588000000000001</v>
      </c>
      <c r="X408" s="436">
        <v>35.235999999999997</v>
      </c>
      <c r="Y408" s="436">
        <f>Z408</f>
        <v>24.742999999999999</v>
      </c>
      <c r="Z408" s="885">
        <v>24.742999999999999</v>
      </c>
      <c r="AA408" s="436">
        <v>30.1</v>
      </c>
      <c r="AB408" s="436">
        <v>30.504000000000001</v>
      </c>
      <c r="AC408" s="436">
        <v>32.533000000000001</v>
      </c>
      <c r="AD408" s="436">
        <f>AE408</f>
        <v>38.749000000000002</v>
      </c>
      <c r="AE408" s="885">
        <v>38.749000000000002</v>
      </c>
      <c r="AF408" s="436">
        <v>36.51</v>
      </c>
      <c r="AG408" s="436">
        <v>38.590000000000003</v>
      </c>
      <c r="AH408" s="436">
        <v>43.338000000000001</v>
      </c>
      <c r="AI408" s="436">
        <f>AJ408</f>
        <v>31.731999999999999</v>
      </c>
      <c r="AJ408" s="885">
        <v>31.731999999999999</v>
      </c>
      <c r="AK408" s="436">
        <v>68.430000000000007</v>
      </c>
      <c r="AL408" s="436">
        <v>51.054000000000002</v>
      </c>
      <c r="AM408" s="436">
        <v>49.320999999999998</v>
      </c>
      <c r="AN408" s="436">
        <f t="shared" si="292"/>
        <v>22.484999999999999</v>
      </c>
      <c r="AO408" s="885">
        <v>22.484999999999999</v>
      </c>
      <c r="AP408" s="436">
        <v>42.38</v>
      </c>
      <c r="AQ408" s="886">
        <v>44.965000000000003</v>
      </c>
      <c r="AR408" s="436">
        <f t="shared" ref="AR408:AS415" si="295">AQ408</f>
        <v>44.965000000000003</v>
      </c>
      <c r="AS408" s="436">
        <f t="shared" si="295"/>
        <v>44.965000000000003</v>
      </c>
      <c r="AT408" s="885">
        <f t="shared" si="293"/>
        <v>44.965000000000003</v>
      </c>
      <c r="AU408" s="436">
        <f t="shared" ref="AU408:AX415" si="296">AT408</f>
        <v>44.965000000000003</v>
      </c>
      <c r="AV408" s="436">
        <f t="shared" si="296"/>
        <v>44.965000000000003</v>
      </c>
      <c r="AW408" s="436">
        <f t="shared" si="296"/>
        <v>44.965000000000003</v>
      </c>
      <c r="AX408" s="436">
        <f t="shared" si="296"/>
        <v>44.965000000000003</v>
      </c>
      <c r="AY408" s="885">
        <f t="shared" si="294"/>
        <v>44.965000000000003</v>
      </c>
      <c r="AZ408" s="885">
        <f t="shared" ref="AZ408:BB415" si="297">AY408</f>
        <v>44.965000000000003</v>
      </c>
      <c r="BA408" s="885">
        <f t="shared" si="297"/>
        <v>44.965000000000003</v>
      </c>
      <c r="BB408" s="885">
        <f t="shared" si="297"/>
        <v>44.965000000000003</v>
      </c>
      <c r="BC408" s="362"/>
    </row>
    <row r="409" spans="1:55" s="23" customFormat="1" ht="14.45" customHeight="1">
      <c r="A409" s="229" t="s">
        <v>151</v>
      </c>
      <c r="B409" s="132"/>
      <c r="C409" s="885">
        <v>0.24199999999999999</v>
      </c>
      <c r="D409" s="885"/>
      <c r="E409" s="885"/>
      <c r="F409" s="885"/>
      <c r="G409" s="436">
        <v>1.1719999999999999</v>
      </c>
      <c r="H409" s="436">
        <v>1.04</v>
      </c>
      <c r="I409" s="436">
        <v>1.417</v>
      </c>
      <c r="J409" s="436">
        <v>1.3180000000000001</v>
      </c>
      <c r="K409" s="885">
        <v>1.3180000000000001</v>
      </c>
      <c r="L409" s="436">
        <v>5.1779999999999999</v>
      </c>
      <c r="M409" s="436">
        <v>4.0049999999999999</v>
      </c>
      <c r="N409" s="436">
        <v>3.355</v>
      </c>
      <c r="O409" s="436">
        <v>1.9</v>
      </c>
      <c r="P409" s="885">
        <v>1.9</v>
      </c>
      <c r="Q409" s="436"/>
      <c r="R409" s="436"/>
      <c r="S409" s="436"/>
      <c r="T409" s="436">
        <f>U409</f>
        <v>0.19500000000000001</v>
      </c>
      <c r="U409" s="885">
        <v>0.19500000000000001</v>
      </c>
      <c r="V409" s="436"/>
      <c r="W409" s="436">
        <v>0</v>
      </c>
      <c r="X409" s="436">
        <v>0</v>
      </c>
      <c r="Y409" s="436">
        <f>Z409</f>
        <v>6.2E-2</v>
      </c>
      <c r="Z409" s="885">
        <v>6.2E-2</v>
      </c>
      <c r="AA409" s="436"/>
      <c r="AB409" s="436"/>
      <c r="AC409" s="436"/>
      <c r="AD409" s="436">
        <f>AE409</f>
        <v>0</v>
      </c>
      <c r="AE409" s="885"/>
      <c r="AF409" s="436"/>
      <c r="AG409" s="436"/>
      <c r="AH409" s="436"/>
      <c r="AI409" s="436">
        <f>AJ409</f>
        <v>0.312</v>
      </c>
      <c r="AJ409" s="885">
        <v>0.312</v>
      </c>
      <c r="AK409" s="436"/>
      <c r="AL409" s="436"/>
      <c r="AM409" s="436"/>
      <c r="AN409" s="436">
        <f t="shared" si="292"/>
        <v>1.08</v>
      </c>
      <c r="AO409" s="885">
        <v>1.08</v>
      </c>
      <c r="AP409" s="436"/>
      <c r="AQ409" s="886"/>
      <c r="AR409" s="436">
        <f t="shared" si="295"/>
        <v>0</v>
      </c>
      <c r="AS409" s="436">
        <f t="shared" si="295"/>
        <v>0</v>
      </c>
      <c r="AT409" s="885">
        <f t="shared" si="293"/>
        <v>0</v>
      </c>
      <c r="AU409" s="436">
        <f t="shared" si="296"/>
        <v>0</v>
      </c>
      <c r="AV409" s="436">
        <f t="shared" si="296"/>
        <v>0</v>
      </c>
      <c r="AW409" s="436">
        <f t="shared" si="296"/>
        <v>0</v>
      </c>
      <c r="AX409" s="436">
        <f t="shared" si="296"/>
        <v>0</v>
      </c>
      <c r="AY409" s="885">
        <f t="shared" si="294"/>
        <v>0</v>
      </c>
      <c r="AZ409" s="885">
        <f t="shared" si="297"/>
        <v>0</v>
      </c>
      <c r="BA409" s="885">
        <f t="shared" si="297"/>
        <v>0</v>
      </c>
      <c r="BB409" s="885">
        <f t="shared" si="297"/>
        <v>0</v>
      </c>
      <c r="BC409" s="362"/>
    </row>
    <row r="410" spans="1:55" s="23" customFormat="1" ht="14.45" customHeight="1">
      <c r="A410" s="229" t="s">
        <v>462</v>
      </c>
      <c r="B410" s="132"/>
      <c r="C410" s="885"/>
      <c r="D410" s="885"/>
      <c r="E410" s="885"/>
      <c r="F410" s="885"/>
      <c r="G410" s="436"/>
      <c r="H410" s="436"/>
      <c r="I410" s="436"/>
      <c r="J410" s="436"/>
      <c r="K410" s="885"/>
      <c r="L410" s="436"/>
      <c r="M410" s="436"/>
      <c r="N410" s="436"/>
      <c r="O410" s="436"/>
      <c r="P410" s="885"/>
      <c r="Q410" s="436"/>
      <c r="R410" s="436"/>
      <c r="S410" s="436"/>
      <c r="T410" s="436"/>
      <c r="U410" s="885"/>
      <c r="V410" s="436"/>
      <c r="W410" s="436"/>
      <c r="X410" s="436"/>
      <c r="Y410" s="436"/>
      <c r="Z410" s="885"/>
      <c r="AA410" s="436"/>
      <c r="AB410" s="436"/>
      <c r="AC410" s="436"/>
      <c r="AD410" s="436"/>
      <c r="AE410" s="885"/>
      <c r="AF410" s="436"/>
      <c r="AG410" s="436"/>
      <c r="AH410" s="436"/>
      <c r="AI410" s="436"/>
      <c r="AJ410" s="885"/>
      <c r="AK410" s="436"/>
      <c r="AL410" s="436"/>
      <c r="AM410" s="436"/>
      <c r="AN410" s="436">
        <f t="shared" si="292"/>
        <v>4.5170000000000003</v>
      </c>
      <c r="AO410" s="885">
        <v>4.5170000000000003</v>
      </c>
      <c r="AP410" s="436">
        <v>4.6870000000000003</v>
      </c>
      <c r="AQ410" s="886">
        <v>4.8179999999999996</v>
      </c>
      <c r="AR410" s="436">
        <f t="shared" si="295"/>
        <v>4.8179999999999996</v>
      </c>
      <c r="AS410" s="436">
        <f t="shared" si="295"/>
        <v>4.8179999999999996</v>
      </c>
      <c r="AT410" s="885">
        <f t="shared" si="293"/>
        <v>4.8179999999999996</v>
      </c>
      <c r="AU410" s="436">
        <f t="shared" si="296"/>
        <v>4.8179999999999996</v>
      </c>
      <c r="AV410" s="436">
        <f t="shared" si="296"/>
        <v>4.8179999999999996</v>
      </c>
      <c r="AW410" s="436">
        <f t="shared" si="296"/>
        <v>4.8179999999999996</v>
      </c>
      <c r="AX410" s="436">
        <f t="shared" si="296"/>
        <v>4.8179999999999996</v>
      </c>
      <c r="AY410" s="885">
        <f t="shared" si="294"/>
        <v>4.8179999999999996</v>
      </c>
      <c r="AZ410" s="885">
        <f t="shared" si="297"/>
        <v>4.8179999999999996</v>
      </c>
      <c r="BA410" s="885">
        <f t="shared" si="297"/>
        <v>4.8179999999999996</v>
      </c>
      <c r="BB410" s="885">
        <f t="shared" si="297"/>
        <v>4.8179999999999996</v>
      </c>
      <c r="BC410" s="362"/>
    </row>
    <row r="411" spans="1:55" s="23" customFormat="1" ht="14.45" customHeight="1">
      <c r="A411" s="229" t="s">
        <v>152</v>
      </c>
      <c r="B411" s="132"/>
      <c r="C411" s="885">
        <v>4.952</v>
      </c>
      <c r="D411" s="885">
        <v>2.93</v>
      </c>
      <c r="E411" s="885">
        <v>2.3069999999999999</v>
      </c>
      <c r="F411" s="885">
        <v>5.4059999999999997</v>
      </c>
      <c r="G411" s="436"/>
      <c r="H411" s="436"/>
      <c r="I411" s="436"/>
      <c r="J411" s="436">
        <v>8.4540000000000006</v>
      </c>
      <c r="K411" s="885">
        <v>8.4540000000000006</v>
      </c>
      <c r="L411" s="436"/>
      <c r="M411" s="436"/>
      <c r="N411" s="436"/>
      <c r="O411" s="436">
        <v>11.852</v>
      </c>
      <c r="P411" s="885">
        <v>11.852</v>
      </c>
      <c r="Q411" s="436"/>
      <c r="R411" s="436"/>
      <c r="S411" s="436"/>
      <c r="T411" s="436">
        <f>U411</f>
        <v>11.526999999999999</v>
      </c>
      <c r="U411" s="885">
        <v>11.526999999999999</v>
      </c>
      <c r="V411" s="436"/>
      <c r="W411" s="436">
        <v>0</v>
      </c>
      <c r="X411" s="436">
        <v>0</v>
      </c>
      <c r="Y411" s="436">
        <f>Z411</f>
        <v>10.881</v>
      </c>
      <c r="Z411" s="885">
        <v>10.881</v>
      </c>
      <c r="AA411" s="436"/>
      <c r="AB411" s="436"/>
      <c r="AC411" s="436"/>
      <c r="AD411" s="436">
        <f>AE411</f>
        <v>0</v>
      </c>
      <c r="AE411" s="885"/>
      <c r="AF411" s="436"/>
      <c r="AG411" s="436"/>
      <c r="AH411" s="436"/>
      <c r="AI411" s="436">
        <f>AJ411</f>
        <v>15.728</v>
      </c>
      <c r="AJ411" s="885">
        <v>15.728</v>
      </c>
      <c r="AK411" s="436"/>
      <c r="AL411" s="436"/>
      <c r="AM411" s="436"/>
      <c r="AN411" s="436">
        <f t="shared" si="292"/>
        <v>25.132000000000001</v>
      </c>
      <c r="AO411" s="885">
        <v>25.132000000000001</v>
      </c>
      <c r="AP411" s="436"/>
      <c r="AQ411" s="886"/>
      <c r="AR411" s="436">
        <f t="shared" si="295"/>
        <v>0</v>
      </c>
      <c r="AS411" s="436">
        <f t="shared" si="295"/>
        <v>0</v>
      </c>
      <c r="AT411" s="885">
        <f t="shared" si="293"/>
        <v>0</v>
      </c>
      <c r="AU411" s="436">
        <f t="shared" si="296"/>
        <v>0</v>
      </c>
      <c r="AV411" s="436">
        <f t="shared" si="296"/>
        <v>0</v>
      </c>
      <c r="AW411" s="436">
        <f t="shared" si="296"/>
        <v>0</v>
      </c>
      <c r="AX411" s="436">
        <f t="shared" si="296"/>
        <v>0</v>
      </c>
      <c r="AY411" s="885">
        <f t="shared" si="294"/>
        <v>0</v>
      </c>
      <c r="AZ411" s="885">
        <f t="shared" si="297"/>
        <v>0</v>
      </c>
      <c r="BA411" s="885">
        <f t="shared" si="297"/>
        <v>0</v>
      </c>
      <c r="BB411" s="885">
        <f t="shared" si="297"/>
        <v>0</v>
      </c>
      <c r="BC411" s="362"/>
    </row>
    <row r="412" spans="1:55" s="23" customFormat="1" ht="14.45" customHeight="1">
      <c r="A412" s="229" t="s">
        <v>153</v>
      </c>
      <c r="B412" s="132"/>
      <c r="C412" s="885">
        <v>2.1789999999999998</v>
      </c>
      <c r="D412" s="885">
        <v>3.8530000000000002</v>
      </c>
      <c r="E412" s="885">
        <v>5.7960000000000003</v>
      </c>
      <c r="F412" s="885">
        <v>12.286</v>
      </c>
      <c r="G412" s="436">
        <v>9.9649999999999999</v>
      </c>
      <c r="H412" s="436">
        <v>9.9239999999999995</v>
      </c>
      <c r="I412" s="436">
        <v>10.832000000000001</v>
      </c>
      <c r="J412" s="436">
        <v>20.747</v>
      </c>
      <c r="K412" s="885">
        <v>20.747</v>
      </c>
      <c r="L412" s="436">
        <v>32.597000000000001</v>
      </c>
      <c r="M412" s="436">
        <v>27.391999999999999</v>
      </c>
      <c r="N412" s="436">
        <v>45.618000000000002</v>
      </c>
      <c r="O412" s="436">
        <v>45.052</v>
      </c>
      <c r="P412" s="885">
        <v>45.052</v>
      </c>
      <c r="Q412" s="436">
        <v>37.039000000000001</v>
      </c>
      <c r="R412" s="436">
        <v>32.588000000000001</v>
      </c>
      <c r="S412" s="436">
        <v>40.564999999999998</v>
      </c>
      <c r="T412" s="436">
        <f>U412</f>
        <v>38.756999999999998</v>
      </c>
      <c r="U412" s="885">
        <v>38.756999999999998</v>
      </c>
      <c r="V412" s="436">
        <v>34.878</v>
      </c>
      <c r="W412" s="436">
        <v>28.728999999999999</v>
      </c>
      <c r="X412" s="436">
        <v>27.805</v>
      </c>
      <c r="Y412" s="436">
        <f>Z412</f>
        <v>23.167999999999999</v>
      </c>
      <c r="Z412" s="885">
        <v>23.167999999999999</v>
      </c>
      <c r="AA412" s="436">
        <v>20.937000000000001</v>
      </c>
      <c r="AB412" s="436">
        <v>20.094999999999999</v>
      </c>
      <c r="AC412" s="436">
        <v>21.988</v>
      </c>
      <c r="AD412" s="436">
        <f>AE412</f>
        <v>19.606999999999999</v>
      </c>
      <c r="AE412" s="885">
        <v>19.606999999999999</v>
      </c>
      <c r="AF412" s="436">
        <v>22.164000000000001</v>
      </c>
      <c r="AG412" s="436">
        <v>25.428999999999998</v>
      </c>
      <c r="AH412" s="436">
        <v>30.186</v>
      </c>
      <c r="AI412" s="436">
        <f>AJ412</f>
        <v>26.88</v>
      </c>
      <c r="AJ412" s="885">
        <v>26.88</v>
      </c>
      <c r="AK412" s="436">
        <v>30.937000000000001</v>
      </c>
      <c r="AL412" s="436">
        <v>25.402000000000001</v>
      </c>
      <c r="AM412" s="436">
        <v>23.524999999999999</v>
      </c>
      <c r="AN412" s="436">
        <f t="shared" si="292"/>
        <v>31.36</v>
      </c>
      <c r="AO412" s="885">
        <v>31.36</v>
      </c>
      <c r="AP412" s="436">
        <v>30.832000000000001</v>
      </c>
      <c r="AQ412" s="886">
        <v>27.12</v>
      </c>
      <c r="AR412" s="436">
        <f t="shared" si="295"/>
        <v>27.12</v>
      </c>
      <c r="AS412" s="436">
        <f t="shared" si="295"/>
        <v>27.12</v>
      </c>
      <c r="AT412" s="885">
        <f t="shared" si="293"/>
        <v>27.12</v>
      </c>
      <c r="AU412" s="436">
        <f t="shared" si="296"/>
        <v>27.12</v>
      </c>
      <c r="AV412" s="436">
        <f t="shared" si="296"/>
        <v>27.12</v>
      </c>
      <c r="AW412" s="436">
        <f t="shared" si="296"/>
        <v>27.12</v>
      </c>
      <c r="AX412" s="436">
        <f t="shared" si="296"/>
        <v>27.12</v>
      </c>
      <c r="AY412" s="885">
        <f t="shared" si="294"/>
        <v>27.12</v>
      </c>
      <c r="AZ412" s="885">
        <f t="shared" si="297"/>
        <v>27.12</v>
      </c>
      <c r="BA412" s="885">
        <f t="shared" si="297"/>
        <v>27.12</v>
      </c>
      <c r="BB412" s="885">
        <f t="shared" si="297"/>
        <v>27.12</v>
      </c>
      <c r="BC412" s="362"/>
    </row>
    <row r="413" spans="1:55" s="23" customFormat="1" ht="14.45" customHeight="1">
      <c r="A413" s="229" t="s">
        <v>154</v>
      </c>
      <c r="B413" s="132"/>
      <c r="C413" s="885">
        <v>3.5529999999999999</v>
      </c>
      <c r="D413" s="885">
        <v>1.5189999999999999</v>
      </c>
      <c r="E413" s="885">
        <v>0.26400000000000001</v>
      </c>
      <c r="F413" s="885">
        <v>0.188</v>
      </c>
      <c r="G413" s="436">
        <v>0.30399999999999999</v>
      </c>
      <c r="H413" s="436"/>
      <c r="I413" s="436"/>
      <c r="J413" s="436">
        <v>0</v>
      </c>
      <c r="K413" s="885"/>
      <c r="L413" s="436"/>
      <c r="M413" s="436"/>
      <c r="N413" s="436"/>
      <c r="O413" s="436">
        <v>0</v>
      </c>
      <c r="P413" s="885"/>
      <c r="Q413" s="436"/>
      <c r="R413" s="436"/>
      <c r="S413" s="436"/>
      <c r="T413" s="436">
        <f>U413</f>
        <v>0</v>
      </c>
      <c r="U413" s="885"/>
      <c r="V413" s="436"/>
      <c r="W413" s="436">
        <f>V413</f>
        <v>0</v>
      </c>
      <c r="X413" s="436">
        <v>0</v>
      </c>
      <c r="Y413" s="436">
        <f>Z413</f>
        <v>0</v>
      </c>
      <c r="Z413" s="885"/>
      <c r="AA413" s="436"/>
      <c r="AB413" s="436">
        <f>AA413</f>
        <v>0</v>
      </c>
      <c r="AC413" s="436"/>
      <c r="AD413" s="436">
        <f>AE413</f>
        <v>0</v>
      </c>
      <c r="AE413" s="885"/>
      <c r="AF413" s="436"/>
      <c r="AG413" s="436">
        <f>AF413</f>
        <v>0</v>
      </c>
      <c r="AH413" s="436"/>
      <c r="AI413" s="436">
        <f>AJ413</f>
        <v>0</v>
      </c>
      <c r="AJ413" s="885"/>
      <c r="AK413" s="436"/>
      <c r="AL413" s="436"/>
      <c r="AM413" s="436"/>
      <c r="AN413" s="436">
        <f t="shared" si="292"/>
        <v>0</v>
      </c>
      <c r="AO413" s="885"/>
      <c r="AP413" s="436"/>
      <c r="AQ413" s="886"/>
      <c r="AR413" s="436">
        <f t="shared" si="295"/>
        <v>0</v>
      </c>
      <c r="AS413" s="436">
        <f t="shared" si="295"/>
        <v>0</v>
      </c>
      <c r="AT413" s="885">
        <f t="shared" si="293"/>
        <v>0</v>
      </c>
      <c r="AU413" s="436">
        <f t="shared" si="296"/>
        <v>0</v>
      </c>
      <c r="AV413" s="436">
        <f t="shared" si="296"/>
        <v>0</v>
      </c>
      <c r="AW413" s="436">
        <f t="shared" si="296"/>
        <v>0</v>
      </c>
      <c r="AX413" s="436">
        <f t="shared" si="296"/>
        <v>0</v>
      </c>
      <c r="AY413" s="885">
        <f t="shared" si="294"/>
        <v>0</v>
      </c>
      <c r="AZ413" s="885">
        <f t="shared" si="297"/>
        <v>0</v>
      </c>
      <c r="BA413" s="885">
        <f t="shared" si="297"/>
        <v>0</v>
      </c>
      <c r="BB413" s="885">
        <f t="shared" si="297"/>
        <v>0</v>
      </c>
      <c r="BC413" s="362"/>
    </row>
    <row r="414" spans="1:55" s="23" customFormat="1" ht="14.45" customHeight="1">
      <c r="A414" s="229" t="s">
        <v>386</v>
      </c>
      <c r="B414" s="132"/>
      <c r="C414" s="885"/>
      <c r="D414" s="885"/>
      <c r="E414" s="885"/>
      <c r="F414" s="885"/>
      <c r="G414" s="436"/>
      <c r="H414" s="436"/>
      <c r="I414" s="436"/>
      <c r="J414" s="436"/>
      <c r="K414" s="885"/>
      <c r="L414" s="436"/>
      <c r="M414" s="436"/>
      <c r="N414" s="436"/>
      <c r="O414" s="436"/>
      <c r="P414" s="885"/>
      <c r="Q414" s="436"/>
      <c r="R414" s="436"/>
      <c r="S414" s="436"/>
      <c r="T414" s="436"/>
      <c r="U414" s="885"/>
      <c r="V414" s="436"/>
      <c r="W414" s="436"/>
      <c r="X414" s="436"/>
      <c r="Y414" s="436"/>
      <c r="Z414" s="885"/>
      <c r="AA414" s="436"/>
      <c r="AB414" s="436"/>
      <c r="AC414" s="436"/>
      <c r="AD414" s="436"/>
      <c r="AE414" s="885"/>
      <c r="AF414" s="436"/>
      <c r="AG414" s="436"/>
      <c r="AH414" s="436"/>
      <c r="AI414" s="436">
        <f>AJ414</f>
        <v>0.90600000000000003</v>
      </c>
      <c r="AJ414" s="885">
        <v>0.90600000000000003</v>
      </c>
      <c r="AK414" s="436"/>
      <c r="AL414" s="436"/>
      <c r="AM414" s="436"/>
      <c r="AN414" s="436">
        <f t="shared" si="292"/>
        <v>0</v>
      </c>
      <c r="AO414" s="885"/>
      <c r="AP414" s="436"/>
      <c r="AQ414" s="886"/>
      <c r="AR414" s="436">
        <f t="shared" si="295"/>
        <v>0</v>
      </c>
      <c r="AS414" s="436">
        <f t="shared" si="295"/>
        <v>0</v>
      </c>
      <c r="AT414" s="885">
        <f t="shared" si="293"/>
        <v>0</v>
      </c>
      <c r="AU414" s="436">
        <f t="shared" si="296"/>
        <v>0</v>
      </c>
      <c r="AV414" s="436">
        <f t="shared" si="296"/>
        <v>0</v>
      </c>
      <c r="AW414" s="436">
        <f t="shared" si="296"/>
        <v>0</v>
      </c>
      <c r="AX414" s="436">
        <f t="shared" si="296"/>
        <v>0</v>
      </c>
      <c r="AY414" s="885">
        <f t="shared" si="294"/>
        <v>0</v>
      </c>
      <c r="AZ414" s="885">
        <f t="shared" si="297"/>
        <v>0</v>
      </c>
      <c r="BA414" s="885">
        <f t="shared" si="297"/>
        <v>0</v>
      </c>
      <c r="BB414" s="885">
        <f t="shared" si="297"/>
        <v>0</v>
      </c>
      <c r="BC414" s="362"/>
    </row>
    <row r="415" spans="1:55" s="23" customFormat="1" ht="14.45" customHeight="1">
      <c r="A415" s="229" t="s">
        <v>144</v>
      </c>
      <c r="B415" s="132"/>
      <c r="C415" s="887">
        <v>0</v>
      </c>
      <c r="D415" s="887"/>
      <c r="E415" s="887"/>
      <c r="F415" s="887"/>
      <c r="G415" s="888"/>
      <c r="H415" s="888"/>
      <c r="I415" s="888"/>
      <c r="J415" s="888">
        <v>0.97</v>
      </c>
      <c r="K415" s="887">
        <v>0.97</v>
      </c>
      <c r="L415" s="888"/>
      <c r="M415" s="888"/>
      <c r="N415" s="888"/>
      <c r="O415" s="888">
        <v>0</v>
      </c>
      <c r="P415" s="887"/>
      <c r="Q415" s="888"/>
      <c r="R415" s="888"/>
      <c r="S415" s="888"/>
      <c r="T415" s="888">
        <f>U415</f>
        <v>0</v>
      </c>
      <c r="U415" s="887"/>
      <c r="V415" s="888"/>
      <c r="W415" s="888">
        <f>V415</f>
        <v>0</v>
      </c>
      <c r="X415" s="888">
        <v>0</v>
      </c>
      <c r="Y415" s="888">
        <f>Z415</f>
        <v>0</v>
      </c>
      <c r="Z415" s="887"/>
      <c r="AA415" s="888"/>
      <c r="AB415" s="888">
        <f>AA415</f>
        <v>0</v>
      </c>
      <c r="AC415" s="888"/>
      <c r="AD415" s="888">
        <f>AE415</f>
        <v>0</v>
      </c>
      <c r="AE415" s="887"/>
      <c r="AF415" s="888"/>
      <c r="AG415" s="888">
        <f>AF415</f>
        <v>0</v>
      </c>
      <c r="AH415" s="888"/>
      <c r="AI415" s="888">
        <f>AJ415</f>
        <v>0</v>
      </c>
      <c r="AJ415" s="887"/>
      <c r="AK415" s="888"/>
      <c r="AL415" s="888"/>
      <c r="AM415" s="888"/>
      <c r="AN415" s="888">
        <f t="shared" si="292"/>
        <v>0</v>
      </c>
      <c r="AO415" s="887"/>
      <c r="AP415" s="888"/>
      <c r="AQ415" s="889"/>
      <c r="AR415" s="888">
        <f t="shared" si="295"/>
        <v>0</v>
      </c>
      <c r="AS415" s="888">
        <f t="shared" si="295"/>
        <v>0</v>
      </c>
      <c r="AT415" s="887">
        <f t="shared" si="293"/>
        <v>0</v>
      </c>
      <c r="AU415" s="888">
        <f t="shared" si="296"/>
        <v>0</v>
      </c>
      <c r="AV415" s="888">
        <f t="shared" si="296"/>
        <v>0</v>
      </c>
      <c r="AW415" s="888">
        <f t="shared" si="296"/>
        <v>0</v>
      </c>
      <c r="AX415" s="888">
        <f t="shared" si="296"/>
        <v>0</v>
      </c>
      <c r="AY415" s="887">
        <f t="shared" si="294"/>
        <v>0</v>
      </c>
      <c r="AZ415" s="887">
        <f t="shared" si="297"/>
        <v>0</v>
      </c>
      <c r="BA415" s="887">
        <f t="shared" si="297"/>
        <v>0</v>
      </c>
      <c r="BB415" s="887">
        <f t="shared" si="297"/>
        <v>0</v>
      </c>
      <c r="BC415" s="362"/>
    </row>
    <row r="416" spans="1:55" s="4" customFormat="1" ht="14.45" customHeight="1">
      <c r="A416" s="402" t="s">
        <v>63</v>
      </c>
      <c r="B416" s="429"/>
      <c r="C416" s="858">
        <f t="shared" ref="C416:AH416" si="298">SUM(C406:C415)</f>
        <v>29.636000000000003</v>
      </c>
      <c r="D416" s="858">
        <f t="shared" si="298"/>
        <v>31.285</v>
      </c>
      <c r="E416" s="858">
        <f t="shared" si="298"/>
        <v>33.477000000000004</v>
      </c>
      <c r="F416" s="858">
        <f t="shared" si="298"/>
        <v>47.968000000000004</v>
      </c>
      <c r="G416" s="402">
        <f t="shared" si="298"/>
        <v>49.034999999999997</v>
      </c>
      <c r="H416" s="402">
        <f t="shared" si="298"/>
        <v>49.548999999999992</v>
      </c>
      <c r="I416" s="402">
        <f t="shared" si="298"/>
        <v>56.463000000000001</v>
      </c>
      <c r="J416" s="402">
        <f t="shared" si="298"/>
        <v>85.236999999999995</v>
      </c>
      <c r="K416" s="858">
        <f t="shared" si="298"/>
        <v>85.236999999999995</v>
      </c>
      <c r="L416" s="402">
        <f t="shared" si="298"/>
        <v>123.33000000000001</v>
      </c>
      <c r="M416" s="402">
        <f t="shared" si="298"/>
        <v>112.79799999999999</v>
      </c>
      <c r="N416" s="402">
        <f t="shared" si="298"/>
        <v>135.71600000000001</v>
      </c>
      <c r="O416" s="402">
        <f t="shared" si="298"/>
        <v>109.21600000000001</v>
      </c>
      <c r="P416" s="858">
        <f t="shared" si="298"/>
        <v>109.21600000000001</v>
      </c>
      <c r="Q416" s="402">
        <f t="shared" si="298"/>
        <v>105.63500000000001</v>
      </c>
      <c r="R416" s="402">
        <f t="shared" si="298"/>
        <v>109.89500000000001</v>
      </c>
      <c r="S416" s="402">
        <f t="shared" si="298"/>
        <v>113.149</v>
      </c>
      <c r="T416" s="402">
        <f t="shared" si="298"/>
        <v>104.232</v>
      </c>
      <c r="U416" s="858">
        <f t="shared" si="298"/>
        <v>104.232</v>
      </c>
      <c r="V416" s="402">
        <f t="shared" si="298"/>
        <v>95.146999999999991</v>
      </c>
      <c r="W416" s="402">
        <f t="shared" si="298"/>
        <v>92.24799999999999</v>
      </c>
      <c r="X416" s="402">
        <f t="shared" si="298"/>
        <v>93.22</v>
      </c>
      <c r="Y416" s="402">
        <f t="shared" si="298"/>
        <v>86.56</v>
      </c>
      <c r="Z416" s="858">
        <f t="shared" si="298"/>
        <v>86.56</v>
      </c>
      <c r="AA416" s="402">
        <f t="shared" si="298"/>
        <v>83.125</v>
      </c>
      <c r="AB416" s="402">
        <f t="shared" si="298"/>
        <v>84.09</v>
      </c>
      <c r="AC416" s="402">
        <f t="shared" si="298"/>
        <v>93.091999999999999</v>
      </c>
      <c r="AD416" s="402">
        <f t="shared" si="298"/>
        <v>102.89099999999999</v>
      </c>
      <c r="AE416" s="858">
        <f t="shared" si="298"/>
        <v>102.89099999999999</v>
      </c>
      <c r="AF416" s="402">
        <f t="shared" si="298"/>
        <v>122.539</v>
      </c>
      <c r="AG416" s="402">
        <f t="shared" si="298"/>
        <v>115.789</v>
      </c>
      <c r="AH416" s="402">
        <f t="shared" si="298"/>
        <v>117.673</v>
      </c>
      <c r="AI416" s="402">
        <f t="shared" ref="AI416:BB416" si="299">SUM(AI406:AI415)</f>
        <v>128.09199999999998</v>
      </c>
      <c r="AJ416" s="858">
        <f t="shared" si="299"/>
        <v>128.09199999999998</v>
      </c>
      <c r="AK416" s="402">
        <f t="shared" si="299"/>
        <v>147.971</v>
      </c>
      <c r="AL416" s="402">
        <f t="shared" si="299"/>
        <v>119.59</v>
      </c>
      <c r="AM416" s="402">
        <f t="shared" si="299"/>
        <v>119.083</v>
      </c>
      <c r="AN416" s="402">
        <f t="shared" si="299"/>
        <v>120.64</v>
      </c>
      <c r="AO416" s="858">
        <f t="shared" si="299"/>
        <v>120.64</v>
      </c>
      <c r="AP416" s="402">
        <f t="shared" si="299"/>
        <v>120.202</v>
      </c>
      <c r="AQ416" s="891">
        <f t="shared" si="299"/>
        <v>112.498</v>
      </c>
      <c r="AR416" s="402">
        <f t="shared" si="299"/>
        <v>112.06109593583174</v>
      </c>
      <c r="AS416" s="402">
        <f t="shared" si="299"/>
        <v>102.28312986636504</v>
      </c>
      <c r="AT416" s="858">
        <f t="shared" si="299"/>
        <v>102.28312986636504</v>
      </c>
      <c r="AU416" s="402">
        <f t="shared" si="299"/>
        <v>109.88575600460871</v>
      </c>
      <c r="AV416" s="402">
        <f t="shared" si="299"/>
        <v>112.3198415619423</v>
      </c>
      <c r="AW416" s="402">
        <f t="shared" si="299"/>
        <v>121.7599534698967</v>
      </c>
      <c r="AX416" s="402">
        <f t="shared" si="299"/>
        <v>113.83848992217155</v>
      </c>
      <c r="AY416" s="858">
        <f t="shared" si="299"/>
        <v>113.83848992217155</v>
      </c>
      <c r="AZ416" s="858">
        <f t="shared" si="299"/>
        <v>112.82629200504192</v>
      </c>
      <c r="BA416" s="858">
        <f t="shared" si="299"/>
        <v>127.45140417283486</v>
      </c>
      <c r="BB416" s="858">
        <f t="shared" si="299"/>
        <v>104.77625232823688</v>
      </c>
      <c r="BC416" s="363"/>
    </row>
    <row r="417" spans="1:55" s="4" customFormat="1" ht="14.45" customHeight="1">
      <c r="A417" s="403"/>
      <c r="B417" s="345"/>
      <c r="C417" s="852"/>
      <c r="D417" s="852"/>
      <c r="E417" s="852"/>
      <c r="F417" s="852"/>
      <c r="G417" s="418"/>
      <c r="H417" s="418"/>
      <c r="I417" s="418"/>
      <c r="J417" s="418"/>
      <c r="K417" s="852"/>
      <c r="L417" s="418"/>
      <c r="M417" s="418"/>
      <c r="N417" s="418"/>
      <c r="O417" s="418"/>
      <c r="P417" s="852"/>
      <c r="Q417" s="418"/>
      <c r="R417" s="418"/>
      <c r="S417" s="418"/>
      <c r="T417" s="418"/>
      <c r="U417" s="852"/>
      <c r="V417" s="418"/>
      <c r="W417" s="418"/>
      <c r="X417" s="418"/>
      <c r="Y417" s="418"/>
      <c r="Z417" s="852"/>
      <c r="AA417" s="418"/>
      <c r="AB417" s="418"/>
      <c r="AC417" s="418"/>
      <c r="AD417" s="418"/>
      <c r="AE417" s="852"/>
      <c r="AF417" s="418"/>
      <c r="AG417" s="418"/>
      <c r="AH417" s="418"/>
      <c r="AI417" s="418"/>
      <c r="AJ417" s="852"/>
      <c r="AK417" s="418"/>
      <c r="AL417" s="418"/>
      <c r="AM417" s="418"/>
      <c r="AN417" s="418"/>
      <c r="AO417" s="852"/>
      <c r="AP417" s="418"/>
      <c r="AQ417" s="895"/>
      <c r="AR417" s="896"/>
      <c r="AS417" s="896"/>
      <c r="AT417" s="897"/>
      <c r="AU417" s="896"/>
      <c r="AV417" s="896"/>
      <c r="AW417" s="896"/>
      <c r="AX417" s="896"/>
      <c r="AY417" s="897"/>
      <c r="AZ417" s="897"/>
      <c r="BA417" s="897"/>
      <c r="BB417" s="897"/>
      <c r="BC417" s="363"/>
    </row>
    <row r="418" spans="1:55" s="4" customFormat="1" ht="14.45" customHeight="1">
      <c r="A418" s="441" t="s">
        <v>5</v>
      </c>
      <c r="B418" s="345"/>
      <c r="C418" s="852"/>
      <c r="D418" s="852"/>
      <c r="E418" s="852"/>
      <c r="F418" s="852"/>
      <c r="G418" s="418"/>
      <c r="H418" s="418"/>
      <c r="I418" s="418"/>
      <c r="J418" s="418"/>
      <c r="K418" s="852"/>
      <c r="L418" s="418"/>
      <c r="M418" s="418"/>
      <c r="N418" s="418"/>
      <c r="O418" s="418"/>
      <c r="P418" s="852"/>
      <c r="Q418" s="418"/>
      <c r="R418" s="418"/>
      <c r="S418" s="418"/>
      <c r="T418" s="418"/>
      <c r="U418" s="852"/>
      <c r="V418" s="418"/>
      <c r="W418" s="418"/>
      <c r="X418" s="418"/>
      <c r="Y418" s="418"/>
      <c r="Z418" s="852"/>
      <c r="AA418" s="418"/>
      <c r="AB418" s="418"/>
      <c r="AC418" s="418"/>
      <c r="AD418" s="418"/>
      <c r="AE418" s="852"/>
      <c r="AF418" s="418"/>
      <c r="AG418" s="418"/>
      <c r="AH418" s="418"/>
      <c r="AI418" s="418"/>
      <c r="AJ418" s="852"/>
      <c r="AK418" s="418"/>
      <c r="AL418" s="418"/>
      <c r="AM418" s="418"/>
      <c r="AN418" s="418"/>
      <c r="AO418" s="852"/>
      <c r="AP418" s="418"/>
      <c r="AQ418" s="895"/>
      <c r="AR418" s="896"/>
      <c r="AS418" s="896"/>
      <c r="AT418" s="897"/>
      <c r="AU418" s="896"/>
      <c r="AV418" s="896"/>
      <c r="AW418" s="896"/>
      <c r="AX418" s="896"/>
      <c r="AY418" s="897"/>
      <c r="AZ418" s="897"/>
      <c r="BA418" s="897"/>
      <c r="BB418" s="897"/>
      <c r="BC418" s="363"/>
    </row>
    <row r="419" spans="1:55" s="23" customFormat="1" ht="14.45" customHeight="1">
      <c r="A419" s="229" t="s">
        <v>155</v>
      </c>
      <c r="B419" s="132"/>
      <c r="C419" s="885">
        <v>38.537999999999997</v>
      </c>
      <c r="D419" s="885">
        <v>33.264000000000003</v>
      </c>
      <c r="E419" s="885">
        <v>27.972999999999999</v>
      </c>
      <c r="F419" s="885">
        <v>20.715</v>
      </c>
      <c r="G419" s="436">
        <v>15.672000000000001</v>
      </c>
      <c r="H419" s="436">
        <v>15.221</v>
      </c>
      <c r="I419" s="436">
        <v>188.078</v>
      </c>
      <c r="J419" s="436">
        <v>188.041</v>
      </c>
      <c r="K419" s="885">
        <v>188.041</v>
      </c>
      <c r="L419" s="436">
        <v>255.32599999999999</v>
      </c>
      <c r="M419" s="436">
        <v>232.29300000000001</v>
      </c>
      <c r="N419" s="436">
        <v>202.404</v>
      </c>
      <c r="O419" s="436">
        <v>180.21199999999999</v>
      </c>
      <c r="P419" s="885">
        <v>180.21199999999999</v>
      </c>
      <c r="Q419" s="436">
        <v>214.09899999999999</v>
      </c>
      <c r="R419" s="436">
        <v>228.46899999999999</v>
      </c>
      <c r="S419" s="436">
        <v>205.78899999999999</v>
      </c>
      <c r="T419" s="436">
        <f>U419</f>
        <v>167.21</v>
      </c>
      <c r="U419" s="885">
        <v>167.21</v>
      </c>
      <c r="V419" s="436">
        <v>169.68199999999999</v>
      </c>
      <c r="W419" s="436">
        <v>163.898</v>
      </c>
      <c r="X419" s="436">
        <v>161.30500000000001</v>
      </c>
      <c r="Y419" s="436">
        <f>Z419</f>
        <v>145.48400000000001</v>
      </c>
      <c r="Z419" s="885">
        <v>145.48400000000001</v>
      </c>
      <c r="AA419" s="436">
        <v>138.91399999999999</v>
      </c>
      <c r="AB419" s="436">
        <v>160.315</v>
      </c>
      <c r="AC419" s="436">
        <v>174.65199999999999</v>
      </c>
      <c r="AD419" s="436">
        <f>AE419</f>
        <v>269.07799999999997</v>
      </c>
      <c r="AE419" s="885">
        <v>269.07799999999997</v>
      </c>
      <c r="AF419" s="436">
        <v>273.62700000000001</v>
      </c>
      <c r="AG419" s="436">
        <v>263.15499999999997</v>
      </c>
      <c r="AH419" s="436">
        <v>257.68</v>
      </c>
      <c r="AI419" s="436">
        <f>AJ419</f>
        <v>232.11199999999999</v>
      </c>
      <c r="AJ419" s="885">
        <v>232.11199999999999</v>
      </c>
      <c r="AK419" s="436">
        <v>115.194</v>
      </c>
      <c r="AL419" s="436">
        <v>122.113</v>
      </c>
      <c r="AM419" s="436">
        <v>180.05500000000001</v>
      </c>
      <c r="AN419" s="436">
        <f>AO419</f>
        <v>188</v>
      </c>
      <c r="AO419" s="885">
        <v>188</v>
      </c>
      <c r="AP419" s="436">
        <v>333</v>
      </c>
      <c r="AQ419" s="886">
        <v>173</v>
      </c>
      <c r="AR419" s="436">
        <f>AR217</f>
        <v>173</v>
      </c>
      <c r="AS419" s="436">
        <f>AS217</f>
        <v>173</v>
      </c>
      <c r="AT419" s="885">
        <f>AS419</f>
        <v>173</v>
      </c>
      <c r="AU419" s="436">
        <f>AU217</f>
        <v>173</v>
      </c>
      <c r="AV419" s="436">
        <f>AV217</f>
        <v>173</v>
      </c>
      <c r="AW419" s="436">
        <f>AW217</f>
        <v>173</v>
      </c>
      <c r="AX419" s="436">
        <f>AX217</f>
        <v>173</v>
      </c>
      <c r="AY419" s="885">
        <f>AX419</f>
        <v>173</v>
      </c>
      <c r="AZ419" s="885">
        <f>AZ217</f>
        <v>173</v>
      </c>
      <c r="BA419" s="885">
        <f>BA217</f>
        <v>173</v>
      </c>
      <c r="BB419" s="885">
        <f>BB217</f>
        <v>173</v>
      </c>
      <c r="BC419" s="362"/>
    </row>
    <row r="420" spans="1:55" s="23" customFormat="1" ht="14.45" customHeight="1">
      <c r="A420" s="229" t="s">
        <v>156</v>
      </c>
      <c r="B420" s="132"/>
      <c r="C420" s="885">
        <v>6.1280000000000001</v>
      </c>
      <c r="D420" s="885">
        <v>6.2649999999999997</v>
      </c>
      <c r="E420" s="885">
        <v>7.7649999999999997</v>
      </c>
      <c r="F420" s="885">
        <v>15.243</v>
      </c>
      <c r="G420" s="436"/>
      <c r="H420" s="436"/>
      <c r="I420" s="436"/>
      <c r="J420" s="436">
        <v>14.55</v>
      </c>
      <c r="K420" s="885">
        <v>14.55</v>
      </c>
      <c r="L420" s="436"/>
      <c r="M420" s="436"/>
      <c r="N420" s="436"/>
      <c r="O420" s="436">
        <v>21.577000000000002</v>
      </c>
      <c r="P420" s="885">
        <v>21.577000000000002</v>
      </c>
      <c r="Q420" s="436"/>
      <c r="R420" s="436"/>
      <c r="S420" s="436"/>
      <c r="T420" s="436">
        <f>U420</f>
        <v>20.934999999999999</v>
      </c>
      <c r="U420" s="885">
        <v>20.934999999999999</v>
      </c>
      <c r="V420" s="436"/>
      <c r="W420" s="436">
        <v>0</v>
      </c>
      <c r="X420" s="436">
        <v>0</v>
      </c>
      <c r="Y420" s="436">
        <f>Z420</f>
        <v>22.14</v>
      </c>
      <c r="Z420" s="885">
        <v>22.14</v>
      </c>
      <c r="AA420" s="436"/>
      <c r="AB420" s="436"/>
      <c r="AC420" s="436"/>
      <c r="AD420" s="436">
        <f>AE420</f>
        <v>0</v>
      </c>
      <c r="AE420" s="885"/>
      <c r="AF420" s="436"/>
      <c r="AG420" s="436"/>
      <c r="AH420" s="436"/>
      <c r="AI420" s="436">
        <f>AJ420</f>
        <v>22.689</v>
      </c>
      <c r="AJ420" s="885">
        <v>22.689</v>
      </c>
      <c r="AK420" s="436"/>
      <c r="AL420" s="436"/>
      <c r="AM420" s="436"/>
      <c r="AN420" s="436">
        <f>AO420</f>
        <v>27.247</v>
      </c>
      <c r="AO420" s="885">
        <v>27.247</v>
      </c>
      <c r="AP420" s="436"/>
      <c r="AQ420" s="886"/>
      <c r="AR420" s="436">
        <f t="shared" ref="AR420:AS422" si="300">AQ420</f>
        <v>0</v>
      </c>
      <c r="AS420" s="436">
        <f t="shared" si="300"/>
        <v>0</v>
      </c>
      <c r="AT420" s="885">
        <f>AS420</f>
        <v>0</v>
      </c>
      <c r="AU420" s="436">
        <f t="shared" ref="AU420:AX422" si="301">AT420</f>
        <v>0</v>
      </c>
      <c r="AV420" s="436">
        <f t="shared" si="301"/>
        <v>0</v>
      </c>
      <c r="AW420" s="436">
        <f t="shared" si="301"/>
        <v>0</v>
      </c>
      <c r="AX420" s="436">
        <f t="shared" si="301"/>
        <v>0</v>
      </c>
      <c r="AY420" s="885">
        <f>AX420</f>
        <v>0</v>
      </c>
      <c r="AZ420" s="885">
        <f t="shared" ref="AZ420:BB422" si="302">AY420</f>
        <v>0</v>
      </c>
      <c r="BA420" s="885">
        <f t="shared" si="302"/>
        <v>0</v>
      </c>
      <c r="BB420" s="885">
        <f t="shared" si="302"/>
        <v>0</v>
      </c>
      <c r="BC420" s="362"/>
    </row>
    <row r="421" spans="1:55" s="23" customFormat="1" ht="14.45" customHeight="1">
      <c r="A421" s="229" t="s">
        <v>463</v>
      </c>
      <c r="B421" s="132"/>
      <c r="C421" s="885"/>
      <c r="D421" s="885"/>
      <c r="E421" s="885"/>
      <c r="F421" s="885"/>
      <c r="G421" s="436"/>
      <c r="H421" s="436"/>
      <c r="I421" s="436"/>
      <c r="J421" s="436"/>
      <c r="K421" s="885"/>
      <c r="L421" s="436"/>
      <c r="M421" s="436"/>
      <c r="N421" s="436"/>
      <c r="O421" s="436"/>
      <c r="P421" s="885"/>
      <c r="Q421" s="436"/>
      <c r="R421" s="436"/>
      <c r="S421" s="436"/>
      <c r="T421" s="436"/>
      <c r="U421" s="885"/>
      <c r="V421" s="436"/>
      <c r="W421" s="436"/>
      <c r="X421" s="436"/>
      <c r="Y421" s="436"/>
      <c r="Z421" s="885"/>
      <c r="AA421" s="436"/>
      <c r="AB421" s="436"/>
      <c r="AC421" s="436"/>
      <c r="AD421" s="436"/>
      <c r="AE421" s="885"/>
      <c r="AF421" s="436"/>
      <c r="AG421" s="436"/>
      <c r="AH421" s="436"/>
      <c r="AI421" s="436"/>
      <c r="AJ421" s="885"/>
      <c r="AK421" s="436"/>
      <c r="AL421" s="436"/>
      <c r="AM421" s="436"/>
      <c r="AN421" s="436">
        <f>AO421</f>
        <v>21.039000000000001</v>
      </c>
      <c r="AO421" s="885">
        <v>21.039000000000001</v>
      </c>
      <c r="AP421" s="436">
        <v>19.992000000000001</v>
      </c>
      <c r="AQ421" s="886">
        <v>19.748999999999999</v>
      </c>
      <c r="AR421" s="436">
        <f t="shared" si="300"/>
        <v>19.748999999999999</v>
      </c>
      <c r="AS421" s="436">
        <f t="shared" si="300"/>
        <v>19.748999999999999</v>
      </c>
      <c r="AT421" s="885">
        <f>AS421</f>
        <v>19.748999999999999</v>
      </c>
      <c r="AU421" s="436">
        <f t="shared" si="301"/>
        <v>19.748999999999999</v>
      </c>
      <c r="AV421" s="436">
        <f t="shared" si="301"/>
        <v>19.748999999999999</v>
      </c>
      <c r="AW421" s="436">
        <f t="shared" si="301"/>
        <v>19.748999999999999</v>
      </c>
      <c r="AX421" s="436">
        <f t="shared" si="301"/>
        <v>19.748999999999999</v>
      </c>
      <c r="AY421" s="885">
        <f>AX421</f>
        <v>19.748999999999999</v>
      </c>
      <c r="AZ421" s="885">
        <f t="shared" si="302"/>
        <v>19.748999999999999</v>
      </c>
      <c r="BA421" s="885">
        <f t="shared" si="302"/>
        <v>19.748999999999999</v>
      </c>
      <c r="BB421" s="885">
        <f t="shared" si="302"/>
        <v>19.748999999999999</v>
      </c>
      <c r="BC421" s="362"/>
    </row>
    <row r="422" spans="1:55" s="23" customFormat="1" ht="14.45" customHeight="1">
      <c r="A422" s="229" t="s">
        <v>157</v>
      </c>
      <c r="B422" s="132"/>
      <c r="C422" s="885">
        <v>4.2990000000000004</v>
      </c>
      <c r="D422" s="885">
        <v>2.859</v>
      </c>
      <c r="E422" s="885">
        <v>2.827</v>
      </c>
      <c r="F422" s="885">
        <v>2.9289999999999998</v>
      </c>
      <c r="G422" s="436">
        <v>17.989000000000001</v>
      </c>
      <c r="H422" s="436">
        <v>18.010000000000002</v>
      </c>
      <c r="I422" s="436">
        <v>18.059000000000001</v>
      </c>
      <c r="J422" s="436">
        <v>7.7039999999999997</v>
      </c>
      <c r="K422" s="885">
        <v>7.7039999999999997</v>
      </c>
      <c r="L422" s="436">
        <v>43.067</v>
      </c>
      <c r="M422" s="436">
        <v>42.960999999999999</v>
      </c>
      <c r="N422" s="436">
        <v>41.518000000000001</v>
      </c>
      <c r="O422" s="436">
        <v>2.7890000000000001</v>
      </c>
      <c r="P422" s="885">
        <v>2.7890000000000001</v>
      </c>
      <c r="Q422" s="436">
        <v>43.558</v>
      </c>
      <c r="R422" s="436">
        <v>43.698</v>
      </c>
      <c r="S422" s="436">
        <v>45.469000000000001</v>
      </c>
      <c r="T422" s="436">
        <f>U422</f>
        <v>1.6739999999999999</v>
      </c>
      <c r="U422" s="885">
        <v>1.6739999999999999</v>
      </c>
      <c r="V422" s="436">
        <v>38.018999999999998</v>
      </c>
      <c r="W422" s="436">
        <v>37.661000000000001</v>
      </c>
      <c r="X422" s="436">
        <v>35.531999999999996</v>
      </c>
      <c r="Y422" s="436">
        <f>Z422</f>
        <v>1.4139999999999999</v>
      </c>
      <c r="Z422" s="885">
        <v>1.4139999999999999</v>
      </c>
      <c r="AA422" s="436">
        <v>35.146999999999998</v>
      </c>
      <c r="AB422" s="436">
        <v>35.700000000000003</v>
      </c>
      <c r="AC422" s="436">
        <v>35.554000000000002</v>
      </c>
      <c r="AD422" s="436">
        <f>AE422</f>
        <v>34.06</v>
      </c>
      <c r="AE422" s="885">
        <v>34.06</v>
      </c>
      <c r="AF422" s="436">
        <v>33.375999999999998</v>
      </c>
      <c r="AG422" s="436">
        <v>34.189</v>
      </c>
      <c r="AH422" s="436">
        <v>31.257999999999999</v>
      </c>
      <c r="AI422" s="436">
        <f>AJ422</f>
        <v>1.923</v>
      </c>
      <c r="AJ422" s="885">
        <v>1.923</v>
      </c>
      <c r="AK422" s="436">
        <v>51.353000000000002</v>
      </c>
      <c r="AL422" s="436">
        <v>50.594000000000001</v>
      </c>
      <c r="AM422" s="436">
        <v>53.037999999999997</v>
      </c>
      <c r="AN422" s="436">
        <f>AO422</f>
        <v>33.011000000000003</v>
      </c>
      <c r="AO422" s="885">
        <v>33.011000000000003</v>
      </c>
      <c r="AP422" s="436">
        <v>63.023000000000003</v>
      </c>
      <c r="AQ422" s="886">
        <v>60.92</v>
      </c>
      <c r="AR422" s="436">
        <f t="shared" si="300"/>
        <v>60.92</v>
      </c>
      <c r="AS422" s="436">
        <f t="shared" si="300"/>
        <v>60.92</v>
      </c>
      <c r="AT422" s="885">
        <f>AS422</f>
        <v>60.92</v>
      </c>
      <c r="AU422" s="436">
        <f t="shared" si="301"/>
        <v>60.92</v>
      </c>
      <c r="AV422" s="436">
        <f t="shared" si="301"/>
        <v>60.92</v>
      </c>
      <c r="AW422" s="436">
        <f t="shared" si="301"/>
        <v>60.92</v>
      </c>
      <c r="AX422" s="436">
        <f t="shared" si="301"/>
        <v>60.92</v>
      </c>
      <c r="AY422" s="885">
        <f>AX422</f>
        <v>60.92</v>
      </c>
      <c r="AZ422" s="885">
        <f t="shared" si="302"/>
        <v>60.92</v>
      </c>
      <c r="BA422" s="885">
        <f t="shared" si="302"/>
        <v>60.92</v>
      </c>
      <c r="BB422" s="885">
        <f t="shared" si="302"/>
        <v>60.92</v>
      </c>
      <c r="BC422" s="362"/>
    </row>
    <row r="423" spans="1:55" s="23" customFormat="1" ht="14.45" customHeight="1">
      <c r="A423" s="229" t="s">
        <v>144</v>
      </c>
      <c r="B423" s="132"/>
      <c r="C423" s="887">
        <v>0</v>
      </c>
      <c r="D423" s="887"/>
      <c r="E423" s="887"/>
      <c r="F423" s="887"/>
      <c r="G423" s="888"/>
      <c r="H423" s="888"/>
      <c r="I423" s="888">
        <v>21.992999999999999</v>
      </c>
      <c r="J423" s="888">
        <v>24.23</v>
      </c>
      <c r="K423" s="887">
        <v>24.23</v>
      </c>
      <c r="L423" s="888"/>
      <c r="M423" s="888"/>
      <c r="N423" s="888"/>
      <c r="O423" s="888">
        <v>20.939</v>
      </c>
      <c r="P423" s="887">
        <v>20.939</v>
      </c>
      <c r="Q423" s="888"/>
      <c r="R423" s="888"/>
      <c r="S423" s="888"/>
      <c r="T423" s="888">
        <f>U423</f>
        <v>14.967000000000001</v>
      </c>
      <c r="U423" s="887">
        <v>14.967000000000001</v>
      </c>
      <c r="V423" s="888"/>
      <c r="W423" s="888">
        <v>0</v>
      </c>
      <c r="X423" s="888">
        <v>0</v>
      </c>
      <c r="Y423" s="888">
        <f>Z423</f>
        <v>11.297000000000001</v>
      </c>
      <c r="Z423" s="887">
        <v>11.297000000000001</v>
      </c>
      <c r="AA423" s="888"/>
      <c r="AB423" s="888"/>
      <c r="AC423" s="888"/>
      <c r="AD423" s="888">
        <f>AE423</f>
        <v>0</v>
      </c>
      <c r="AE423" s="887"/>
      <c r="AF423" s="888"/>
      <c r="AG423" s="888"/>
      <c r="AH423" s="888"/>
      <c r="AI423" s="888">
        <f>AJ423</f>
        <v>3.1989999999999998</v>
      </c>
      <c r="AJ423" s="887">
        <v>3.1989999999999998</v>
      </c>
      <c r="AK423" s="888"/>
      <c r="AL423" s="888"/>
      <c r="AM423" s="888"/>
      <c r="AN423" s="888">
        <f>AO423</f>
        <v>3.9220000000000002</v>
      </c>
      <c r="AO423" s="887">
        <v>3.9220000000000002</v>
      </c>
      <c r="AP423" s="888"/>
      <c r="AQ423" s="889"/>
      <c r="AR423" s="888">
        <f>AQ423+AR320</f>
        <v>0</v>
      </c>
      <c r="AS423" s="888">
        <f ca="1">AR423+AS320</f>
        <v>-3.3873167373178359E-2</v>
      </c>
      <c r="AT423" s="887">
        <f ca="1">AS423</f>
        <v>-3.3873167373178359E-2</v>
      </c>
      <c r="AU423" s="888">
        <f ca="1">AT423+AU320</f>
        <v>-3.3873167373178359E-2</v>
      </c>
      <c r="AV423" s="888">
        <f ca="1">AU423+AV320</f>
        <v>-3.3873167373178359E-2</v>
      </c>
      <c r="AW423" s="888">
        <f ca="1">AV423+AW320</f>
        <v>-3.3873167373178359E-2</v>
      </c>
      <c r="AX423" s="888">
        <f ca="1">AW423+AX320</f>
        <v>-3.3873167373178359E-2</v>
      </c>
      <c r="AY423" s="887">
        <f ca="1">AX423</f>
        <v>-3.3873167373178359E-2</v>
      </c>
      <c r="AZ423" s="887">
        <f ca="1">AY423+AZ320</f>
        <v>-3.3873167373178359E-2</v>
      </c>
      <c r="BA423" s="887">
        <f ca="1">AZ423+BA320</f>
        <v>-3.3873167373178359E-2</v>
      </c>
      <c r="BB423" s="887">
        <f ca="1">BA423+BB320</f>
        <v>-3.3873167373178359E-2</v>
      </c>
      <c r="BC423" s="362"/>
    </row>
    <row r="424" spans="1:55" s="4" customFormat="1" ht="14.45" customHeight="1">
      <c r="A424" s="402" t="s">
        <v>66</v>
      </c>
      <c r="B424" s="429"/>
      <c r="C424" s="858">
        <f t="shared" ref="C424:AH424" si="303">SUM(C419:C423)</f>
        <v>48.964999999999996</v>
      </c>
      <c r="D424" s="858">
        <f t="shared" si="303"/>
        <v>42.388000000000005</v>
      </c>
      <c r="E424" s="858">
        <f t="shared" si="303"/>
        <v>38.564999999999998</v>
      </c>
      <c r="F424" s="858">
        <f t="shared" si="303"/>
        <v>38.887</v>
      </c>
      <c r="G424" s="402">
        <f t="shared" si="303"/>
        <v>33.661000000000001</v>
      </c>
      <c r="H424" s="402">
        <f t="shared" si="303"/>
        <v>33.231000000000002</v>
      </c>
      <c r="I424" s="402">
        <f t="shared" si="303"/>
        <v>228.13</v>
      </c>
      <c r="J424" s="402">
        <f t="shared" si="303"/>
        <v>234.52500000000001</v>
      </c>
      <c r="K424" s="858">
        <f t="shared" si="303"/>
        <v>234.52500000000001</v>
      </c>
      <c r="L424" s="402">
        <f t="shared" si="303"/>
        <v>298.39299999999997</v>
      </c>
      <c r="M424" s="402">
        <f t="shared" si="303"/>
        <v>275.25400000000002</v>
      </c>
      <c r="N424" s="402">
        <f t="shared" si="303"/>
        <v>243.922</v>
      </c>
      <c r="O424" s="402">
        <f t="shared" si="303"/>
        <v>225.51699999999997</v>
      </c>
      <c r="P424" s="858">
        <f t="shared" si="303"/>
        <v>225.51699999999997</v>
      </c>
      <c r="Q424" s="402">
        <f t="shared" si="303"/>
        <v>257.65699999999998</v>
      </c>
      <c r="R424" s="402">
        <f t="shared" si="303"/>
        <v>272.16699999999997</v>
      </c>
      <c r="S424" s="402">
        <f t="shared" si="303"/>
        <v>251.25799999999998</v>
      </c>
      <c r="T424" s="402">
        <f t="shared" si="303"/>
        <v>204.78600000000003</v>
      </c>
      <c r="U424" s="858">
        <f t="shared" si="303"/>
        <v>204.78600000000003</v>
      </c>
      <c r="V424" s="402">
        <f t="shared" si="303"/>
        <v>207.70099999999999</v>
      </c>
      <c r="W424" s="402">
        <f t="shared" si="303"/>
        <v>201.559</v>
      </c>
      <c r="X424" s="402">
        <f t="shared" si="303"/>
        <v>196.83699999999999</v>
      </c>
      <c r="Y424" s="402">
        <f t="shared" si="303"/>
        <v>180.33500000000001</v>
      </c>
      <c r="Z424" s="858">
        <f t="shared" si="303"/>
        <v>180.33500000000001</v>
      </c>
      <c r="AA424" s="402">
        <f t="shared" si="303"/>
        <v>174.06099999999998</v>
      </c>
      <c r="AB424" s="402">
        <f t="shared" si="303"/>
        <v>196.01499999999999</v>
      </c>
      <c r="AC424" s="402">
        <f t="shared" si="303"/>
        <v>210.20599999999999</v>
      </c>
      <c r="AD424" s="402">
        <f t="shared" si="303"/>
        <v>303.13799999999998</v>
      </c>
      <c r="AE424" s="858">
        <f t="shared" si="303"/>
        <v>303.13799999999998</v>
      </c>
      <c r="AF424" s="402">
        <f t="shared" si="303"/>
        <v>307.00299999999999</v>
      </c>
      <c r="AG424" s="402">
        <f t="shared" si="303"/>
        <v>297.34399999999999</v>
      </c>
      <c r="AH424" s="402">
        <f t="shared" si="303"/>
        <v>288.93799999999999</v>
      </c>
      <c r="AI424" s="402">
        <f t="shared" ref="AI424:BB424" si="304">SUM(AI419:AI423)</f>
        <v>259.923</v>
      </c>
      <c r="AJ424" s="858">
        <f t="shared" si="304"/>
        <v>259.923</v>
      </c>
      <c r="AK424" s="402">
        <f t="shared" si="304"/>
        <v>166.547</v>
      </c>
      <c r="AL424" s="402">
        <f t="shared" si="304"/>
        <v>172.70699999999999</v>
      </c>
      <c r="AM424" s="402">
        <f t="shared" si="304"/>
        <v>233.09300000000002</v>
      </c>
      <c r="AN424" s="402">
        <f t="shared" si="304"/>
        <v>273.21900000000005</v>
      </c>
      <c r="AO424" s="858">
        <f t="shared" si="304"/>
        <v>273.21900000000005</v>
      </c>
      <c r="AP424" s="402">
        <f t="shared" si="304"/>
        <v>416.01500000000004</v>
      </c>
      <c r="AQ424" s="891">
        <f t="shared" si="304"/>
        <v>253.66899999999998</v>
      </c>
      <c r="AR424" s="402">
        <f t="shared" si="304"/>
        <v>253.66899999999998</v>
      </c>
      <c r="AS424" s="402">
        <f t="shared" ca="1" si="304"/>
        <v>253.63512683262681</v>
      </c>
      <c r="AT424" s="858">
        <f t="shared" ca="1" si="304"/>
        <v>253.63512683262681</v>
      </c>
      <c r="AU424" s="402">
        <f t="shared" ca="1" si="304"/>
        <v>253.63512683262681</v>
      </c>
      <c r="AV424" s="402">
        <f t="shared" ca="1" si="304"/>
        <v>253.63512683262681</v>
      </c>
      <c r="AW424" s="402">
        <f t="shared" ca="1" si="304"/>
        <v>253.63512683262681</v>
      </c>
      <c r="AX424" s="402">
        <f t="shared" ca="1" si="304"/>
        <v>253.63512683262681</v>
      </c>
      <c r="AY424" s="858">
        <f t="shared" ca="1" si="304"/>
        <v>253.63512683262681</v>
      </c>
      <c r="AZ424" s="858">
        <f t="shared" ca="1" si="304"/>
        <v>253.63512683262681</v>
      </c>
      <c r="BA424" s="858">
        <f t="shared" ca="1" si="304"/>
        <v>253.63512683262681</v>
      </c>
      <c r="BB424" s="858">
        <f t="shared" ca="1" si="304"/>
        <v>253.63512683262681</v>
      </c>
      <c r="BC424" s="363"/>
    </row>
    <row r="425" spans="1:55" s="4" customFormat="1" ht="14.45" customHeight="1">
      <c r="A425" s="403" t="s">
        <v>67</v>
      </c>
      <c r="B425" s="345"/>
      <c r="C425" s="852">
        <f t="shared" ref="C425:AH425" si="305">C416+C424</f>
        <v>78.600999999999999</v>
      </c>
      <c r="D425" s="852">
        <f t="shared" si="305"/>
        <v>73.673000000000002</v>
      </c>
      <c r="E425" s="852">
        <f t="shared" si="305"/>
        <v>72.042000000000002</v>
      </c>
      <c r="F425" s="852">
        <f t="shared" si="305"/>
        <v>86.855000000000004</v>
      </c>
      <c r="G425" s="418">
        <f t="shared" si="305"/>
        <v>82.695999999999998</v>
      </c>
      <c r="H425" s="418">
        <f t="shared" si="305"/>
        <v>82.78</v>
      </c>
      <c r="I425" s="418">
        <f t="shared" si="305"/>
        <v>284.59300000000002</v>
      </c>
      <c r="J425" s="418">
        <f t="shared" si="305"/>
        <v>319.762</v>
      </c>
      <c r="K425" s="852">
        <f t="shared" si="305"/>
        <v>319.762</v>
      </c>
      <c r="L425" s="418">
        <f t="shared" si="305"/>
        <v>421.72299999999996</v>
      </c>
      <c r="M425" s="418">
        <f t="shared" si="305"/>
        <v>388.05200000000002</v>
      </c>
      <c r="N425" s="418">
        <f t="shared" si="305"/>
        <v>379.63800000000003</v>
      </c>
      <c r="O425" s="418">
        <f t="shared" si="305"/>
        <v>334.73299999999995</v>
      </c>
      <c r="P425" s="852">
        <f t="shared" si="305"/>
        <v>334.73299999999995</v>
      </c>
      <c r="Q425" s="418">
        <f t="shared" si="305"/>
        <v>363.29199999999997</v>
      </c>
      <c r="R425" s="418">
        <f t="shared" si="305"/>
        <v>382.06200000000001</v>
      </c>
      <c r="S425" s="418">
        <f t="shared" si="305"/>
        <v>364.40699999999998</v>
      </c>
      <c r="T425" s="418">
        <f t="shared" si="305"/>
        <v>309.01800000000003</v>
      </c>
      <c r="U425" s="852">
        <f t="shared" si="305"/>
        <v>309.01800000000003</v>
      </c>
      <c r="V425" s="418">
        <f t="shared" si="305"/>
        <v>302.84799999999996</v>
      </c>
      <c r="W425" s="418">
        <f t="shared" si="305"/>
        <v>293.80700000000002</v>
      </c>
      <c r="X425" s="418">
        <f t="shared" si="305"/>
        <v>290.05700000000002</v>
      </c>
      <c r="Y425" s="418">
        <f t="shared" si="305"/>
        <v>266.89499999999998</v>
      </c>
      <c r="Z425" s="852">
        <f t="shared" si="305"/>
        <v>266.89499999999998</v>
      </c>
      <c r="AA425" s="418">
        <f t="shared" si="305"/>
        <v>257.18599999999998</v>
      </c>
      <c r="AB425" s="418">
        <f t="shared" si="305"/>
        <v>280.10500000000002</v>
      </c>
      <c r="AC425" s="418">
        <f t="shared" si="305"/>
        <v>303.298</v>
      </c>
      <c r="AD425" s="418">
        <f t="shared" si="305"/>
        <v>406.029</v>
      </c>
      <c r="AE425" s="852">
        <f t="shared" si="305"/>
        <v>406.029</v>
      </c>
      <c r="AF425" s="418">
        <f t="shared" si="305"/>
        <v>429.54199999999997</v>
      </c>
      <c r="AG425" s="418">
        <f t="shared" si="305"/>
        <v>413.13299999999998</v>
      </c>
      <c r="AH425" s="418">
        <f t="shared" si="305"/>
        <v>406.61099999999999</v>
      </c>
      <c r="AI425" s="418">
        <f t="shared" ref="AI425:BB425" si="306">AI416+AI424</f>
        <v>388.01499999999999</v>
      </c>
      <c r="AJ425" s="852">
        <f t="shared" si="306"/>
        <v>388.01499999999999</v>
      </c>
      <c r="AK425" s="418">
        <f t="shared" si="306"/>
        <v>314.51800000000003</v>
      </c>
      <c r="AL425" s="418">
        <f t="shared" si="306"/>
        <v>292.29700000000003</v>
      </c>
      <c r="AM425" s="418">
        <f t="shared" si="306"/>
        <v>352.17600000000004</v>
      </c>
      <c r="AN425" s="418">
        <f t="shared" si="306"/>
        <v>393.85900000000004</v>
      </c>
      <c r="AO425" s="852">
        <f t="shared" si="306"/>
        <v>393.85900000000004</v>
      </c>
      <c r="AP425" s="418">
        <f t="shared" si="306"/>
        <v>536.2170000000001</v>
      </c>
      <c r="AQ425" s="895">
        <f t="shared" si="306"/>
        <v>366.16699999999997</v>
      </c>
      <c r="AR425" s="418">
        <f t="shared" si="306"/>
        <v>365.73009593583174</v>
      </c>
      <c r="AS425" s="418">
        <f t="shared" ca="1" si="306"/>
        <v>355.91825669899185</v>
      </c>
      <c r="AT425" s="852">
        <f t="shared" ca="1" si="306"/>
        <v>355.91825669899185</v>
      </c>
      <c r="AU425" s="418">
        <f t="shared" ca="1" si="306"/>
        <v>363.52088283723549</v>
      </c>
      <c r="AV425" s="418">
        <f t="shared" ca="1" si="306"/>
        <v>365.95496839456911</v>
      </c>
      <c r="AW425" s="418">
        <f t="shared" ca="1" si="306"/>
        <v>375.39508030252352</v>
      </c>
      <c r="AX425" s="418">
        <f t="shared" ca="1" si="306"/>
        <v>367.47361675479834</v>
      </c>
      <c r="AY425" s="852">
        <f t="shared" ca="1" si="306"/>
        <v>367.47361675479834</v>
      </c>
      <c r="AZ425" s="852">
        <f t="shared" ca="1" si="306"/>
        <v>366.4614188376687</v>
      </c>
      <c r="BA425" s="852">
        <f t="shared" ca="1" si="306"/>
        <v>381.08653100546167</v>
      </c>
      <c r="BB425" s="852">
        <f t="shared" ca="1" si="306"/>
        <v>358.4113791608637</v>
      </c>
      <c r="BC425" s="363"/>
    </row>
    <row r="426" spans="1:55" s="4" customFormat="1" ht="14.45" customHeight="1">
      <c r="A426" s="403"/>
      <c r="B426" s="345"/>
      <c r="C426" s="852"/>
      <c r="D426" s="852"/>
      <c r="E426" s="852"/>
      <c r="F426" s="852"/>
      <c r="G426" s="418"/>
      <c r="H426" s="418"/>
      <c r="I426" s="418"/>
      <c r="J426" s="418"/>
      <c r="K426" s="852"/>
      <c r="L426" s="418"/>
      <c r="M426" s="418"/>
      <c r="N426" s="418"/>
      <c r="O426" s="418"/>
      <c r="P426" s="852"/>
      <c r="Q426" s="418"/>
      <c r="R426" s="418"/>
      <c r="S426" s="418"/>
      <c r="T426" s="418"/>
      <c r="U426" s="852"/>
      <c r="V426" s="418"/>
      <c r="W426" s="418"/>
      <c r="X426" s="418"/>
      <c r="Y426" s="418"/>
      <c r="Z426" s="852"/>
      <c r="AA426" s="418"/>
      <c r="AB426" s="418"/>
      <c r="AC426" s="418"/>
      <c r="AD426" s="418"/>
      <c r="AE426" s="852"/>
      <c r="AF426" s="418"/>
      <c r="AG426" s="418"/>
      <c r="AH426" s="418"/>
      <c r="AI426" s="418"/>
      <c r="AJ426" s="852"/>
      <c r="AK426" s="418"/>
      <c r="AL426" s="418"/>
      <c r="AM426" s="418"/>
      <c r="AN426" s="418"/>
      <c r="AO426" s="852"/>
      <c r="AP426" s="418"/>
      <c r="AQ426" s="895"/>
      <c r="AR426" s="896"/>
      <c r="AS426" s="896"/>
      <c r="AT426" s="897"/>
      <c r="AU426" s="896"/>
      <c r="AV426" s="896"/>
      <c r="AW426" s="896"/>
      <c r="AX426" s="896"/>
      <c r="AY426" s="897"/>
      <c r="AZ426" s="897"/>
      <c r="BA426" s="897"/>
      <c r="BB426" s="897"/>
      <c r="BC426" s="363"/>
    </row>
    <row r="427" spans="1:55" s="4" customFormat="1" ht="14.45" customHeight="1">
      <c r="A427" s="441" t="s">
        <v>68</v>
      </c>
      <c r="B427" s="345"/>
      <c r="C427" s="852"/>
      <c r="D427" s="852"/>
      <c r="E427" s="852"/>
      <c r="F427" s="852"/>
      <c r="G427" s="418"/>
      <c r="H427" s="418"/>
      <c r="I427" s="418"/>
      <c r="J427" s="418"/>
      <c r="K427" s="852"/>
      <c r="L427" s="418"/>
      <c r="M427" s="418"/>
      <c r="N427" s="418"/>
      <c r="O427" s="418"/>
      <c r="P427" s="852"/>
      <c r="Q427" s="418"/>
      <c r="R427" s="418"/>
      <c r="S427" s="418"/>
      <c r="T427" s="418"/>
      <c r="U427" s="852"/>
      <c r="V427" s="418"/>
      <c r="W427" s="418"/>
      <c r="X427" s="418"/>
      <c r="Y427" s="418"/>
      <c r="Z427" s="852"/>
      <c r="AA427" s="418"/>
      <c r="AB427" s="418"/>
      <c r="AC427" s="418"/>
      <c r="AD427" s="418"/>
      <c r="AE427" s="852"/>
      <c r="AF427" s="418"/>
      <c r="AG427" s="418"/>
      <c r="AH427" s="418"/>
      <c r="AI427" s="418"/>
      <c r="AJ427" s="852"/>
      <c r="AK427" s="418"/>
      <c r="AL427" s="418"/>
      <c r="AM427" s="418"/>
      <c r="AN427" s="418"/>
      <c r="AO427" s="852"/>
      <c r="AP427" s="418"/>
      <c r="AQ427" s="895"/>
      <c r="AR427" s="896"/>
      <c r="AS427" s="896"/>
      <c r="AT427" s="897"/>
      <c r="AU427" s="896"/>
      <c r="AV427" s="896"/>
      <c r="AW427" s="896"/>
      <c r="AX427" s="896"/>
      <c r="AY427" s="897"/>
      <c r="AZ427" s="897"/>
      <c r="BA427" s="897"/>
      <c r="BB427" s="897"/>
      <c r="BC427" s="363"/>
    </row>
    <row r="428" spans="1:55" s="23" customFormat="1" ht="14.45" customHeight="1">
      <c r="A428" s="229" t="s">
        <v>182</v>
      </c>
      <c r="B428" s="132"/>
      <c r="C428" s="885">
        <f>0.087+0.026</f>
        <v>0.11299999999999999</v>
      </c>
      <c r="D428" s="885">
        <f>0.089+0.036</f>
        <v>0.125</v>
      </c>
      <c r="E428" s="885">
        <f>0.097+0.032</f>
        <v>0.129</v>
      </c>
      <c r="F428" s="885">
        <v>0.17399999999999999</v>
      </c>
      <c r="G428" s="436">
        <v>0.14499999999999999</v>
      </c>
      <c r="H428" s="436">
        <v>0.14499999999999999</v>
      </c>
      <c r="I428" s="436">
        <v>0.17499999999999999</v>
      </c>
      <c r="J428" s="436">
        <f>K428</f>
        <v>0.17899999999999999</v>
      </c>
      <c r="K428" s="885">
        <f>0.133+0.046</f>
        <v>0.17899999999999999</v>
      </c>
      <c r="L428" s="436">
        <v>0.18</v>
      </c>
      <c r="M428" s="436">
        <v>0.18099999999999999</v>
      </c>
      <c r="N428" s="436">
        <v>0.218</v>
      </c>
      <c r="O428" s="436">
        <f>P428</f>
        <v>0.252</v>
      </c>
      <c r="P428" s="885">
        <v>0.252</v>
      </c>
      <c r="Q428" s="436">
        <v>0.221</v>
      </c>
      <c r="R428" s="436">
        <v>0.222</v>
      </c>
      <c r="S428" s="436">
        <v>0.255</v>
      </c>
      <c r="T428" s="436">
        <f>U428</f>
        <v>0.25600000000000001</v>
      </c>
      <c r="U428" s="885">
        <v>0.25600000000000001</v>
      </c>
      <c r="V428" s="436">
        <v>0.25700000000000001</v>
      </c>
      <c r="W428" s="436">
        <v>0.25700000000000001</v>
      </c>
      <c r="X428" s="436">
        <v>0.29599999999999999</v>
      </c>
      <c r="Y428" s="436">
        <f>Z428</f>
        <v>0.29699999999999999</v>
      </c>
      <c r="Z428" s="885">
        <f>0.22+0.077</f>
        <v>0.29699999999999999</v>
      </c>
      <c r="AA428" s="436">
        <v>0.29699999999999999</v>
      </c>
      <c r="AB428" s="436">
        <v>0.29699999999999999</v>
      </c>
      <c r="AC428" s="436">
        <v>0.29699999999999999</v>
      </c>
      <c r="AD428" s="436">
        <f>AE428</f>
        <v>0.29700000000000004</v>
      </c>
      <c r="AE428" s="885">
        <f>0.229+0.068</f>
        <v>0.29700000000000004</v>
      </c>
      <c r="AF428" s="436">
        <v>0.29799999999999999</v>
      </c>
      <c r="AG428" s="436">
        <v>0.29799999999999999</v>
      </c>
      <c r="AH428" s="436">
        <v>0.34100000000000003</v>
      </c>
      <c r="AI428" s="436">
        <f>AJ428</f>
        <v>0.34300000000000003</v>
      </c>
      <c r="AJ428" s="885">
        <f>0.26+0.083</f>
        <v>0.34300000000000003</v>
      </c>
      <c r="AK428" s="436">
        <v>0.34300000000000003</v>
      </c>
      <c r="AL428" s="436">
        <v>0.34399999999999997</v>
      </c>
      <c r="AM428" s="436">
        <v>0.34399999999999997</v>
      </c>
      <c r="AN428" s="436">
        <f>AO428</f>
        <v>0.34500000000000003</v>
      </c>
      <c r="AO428" s="885">
        <f>0.076+0.269</f>
        <v>0.34500000000000003</v>
      </c>
      <c r="AP428" s="436">
        <v>0.34599999999999997</v>
      </c>
      <c r="AQ428" s="886">
        <v>0.34599999999999997</v>
      </c>
      <c r="AR428" s="436">
        <f t="shared" ref="AR428:BB428" si="307">+AQ428</f>
        <v>0.34599999999999997</v>
      </c>
      <c r="AS428" s="436">
        <f t="shared" si="307"/>
        <v>0.34599999999999997</v>
      </c>
      <c r="AT428" s="885">
        <f t="shared" si="307"/>
        <v>0.34599999999999997</v>
      </c>
      <c r="AU428" s="436">
        <f t="shared" si="307"/>
        <v>0.34599999999999997</v>
      </c>
      <c r="AV428" s="436">
        <f t="shared" si="307"/>
        <v>0.34599999999999997</v>
      </c>
      <c r="AW428" s="436">
        <f t="shared" si="307"/>
        <v>0.34599999999999997</v>
      </c>
      <c r="AX428" s="436">
        <f t="shared" si="307"/>
        <v>0.34599999999999997</v>
      </c>
      <c r="AY428" s="885">
        <f t="shared" si="307"/>
        <v>0.34599999999999997</v>
      </c>
      <c r="AZ428" s="885">
        <f t="shared" si="307"/>
        <v>0.34599999999999997</v>
      </c>
      <c r="BA428" s="885">
        <f t="shared" si="307"/>
        <v>0.34599999999999997</v>
      </c>
      <c r="BB428" s="885">
        <f t="shared" si="307"/>
        <v>0.34599999999999997</v>
      </c>
      <c r="BC428" s="362"/>
    </row>
    <row r="429" spans="1:55" s="23" customFormat="1" ht="14.45" customHeight="1">
      <c r="A429" s="229" t="s">
        <v>183</v>
      </c>
      <c r="B429" s="132"/>
      <c r="C429" s="885">
        <v>12.34</v>
      </c>
      <c r="D429" s="885">
        <v>14.326000000000001</v>
      </c>
      <c r="E429" s="885">
        <v>19.279</v>
      </c>
      <c r="F429" s="885">
        <v>22.853999999999999</v>
      </c>
      <c r="G429" s="436"/>
      <c r="H429" s="436"/>
      <c r="I429" s="436"/>
      <c r="J429" s="436">
        <f>K429</f>
        <v>40.826000000000001</v>
      </c>
      <c r="K429" s="885">
        <v>40.826000000000001</v>
      </c>
      <c r="L429" s="436"/>
      <c r="M429" s="436"/>
      <c r="N429" s="436"/>
      <c r="O429" s="436">
        <f>P429</f>
        <v>49.625999999999998</v>
      </c>
      <c r="P429" s="885">
        <v>49.625999999999998</v>
      </c>
      <c r="Q429" s="436"/>
      <c r="R429" s="436"/>
      <c r="S429" s="436"/>
      <c r="T429" s="436">
        <f>U429</f>
        <v>57.865000000000002</v>
      </c>
      <c r="U429" s="885">
        <v>57.865000000000002</v>
      </c>
      <c r="V429" s="436">
        <v>59.441000000000003</v>
      </c>
      <c r="W429" s="436">
        <v>60.206000000000003</v>
      </c>
      <c r="X429" s="436">
        <v>64.132000000000005</v>
      </c>
      <c r="Y429" s="436">
        <f>Z429</f>
        <v>64.751999999999995</v>
      </c>
      <c r="Z429" s="885">
        <v>64.751999999999995</v>
      </c>
      <c r="AA429" s="436">
        <v>65.703000000000003</v>
      </c>
      <c r="AB429" s="436">
        <v>0</v>
      </c>
      <c r="AC429" s="436">
        <v>0</v>
      </c>
      <c r="AD429" s="436">
        <f>AE429</f>
        <v>67.790999999999997</v>
      </c>
      <c r="AE429" s="885">
        <v>67.790999999999997</v>
      </c>
      <c r="AF429" s="436">
        <v>68.881</v>
      </c>
      <c r="AG429" s="436">
        <v>69.707999999999998</v>
      </c>
      <c r="AH429" s="436"/>
      <c r="AI429" s="436">
        <f>AJ429</f>
        <v>73.043999999999997</v>
      </c>
      <c r="AJ429" s="885">
        <v>73.043999999999997</v>
      </c>
      <c r="AK429" s="436"/>
      <c r="AL429" s="436"/>
      <c r="AM429" s="436"/>
      <c r="AN429" s="436">
        <f>AO429</f>
        <v>76.34</v>
      </c>
      <c r="AO429" s="885">
        <v>76.34</v>
      </c>
      <c r="AP429" s="436"/>
      <c r="AQ429" s="886"/>
      <c r="AR429" s="855"/>
      <c r="AS429" s="855"/>
      <c r="AT429" s="885">
        <f>+AS429</f>
        <v>0</v>
      </c>
      <c r="AU429" s="855"/>
      <c r="AV429" s="855"/>
      <c r="AW429" s="855"/>
      <c r="AX429" s="855"/>
      <c r="AY429" s="885">
        <f>+AX429</f>
        <v>0</v>
      </c>
      <c r="AZ429" s="870"/>
      <c r="BA429" s="870"/>
      <c r="BB429" s="870"/>
      <c r="BC429" s="362"/>
    </row>
    <row r="430" spans="1:55" s="23" customFormat="1" ht="14.45" customHeight="1">
      <c r="A430" s="229" t="s">
        <v>184</v>
      </c>
      <c r="B430" s="132"/>
      <c r="C430" s="885">
        <v>-0.158</v>
      </c>
      <c r="D430" s="885">
        <v>-2E-3</v>
      </c>
      <c r="E430" s="885">
        <v>-0.88600000000000001</v>
      </c>
      <c r="F430" s="885">
        <v>-4.7830000000000004</v>
      </c>
      <c r="G430" s="436">
        <v>-4.859</v>
      </c>
      <c r="H430" s="436">
        <v>-4.923</v>
      </c>
      <c r="I430" s="436">
        <v>-4.6619999999999999</v>
      </c>
      <c r="J430" s="436">
        <f>K430</f>
        <v>-3.6110000000000002</v>
      </c>
      <c r="K430" s="885">
        <v>-3.6110000000000002</v>
      </c>
      <c r="L430" s="436">
        <v>-3.875</v>
      </c>
      <c r="M430" s="436">
        <v>-3.9790000000000001</v>
      </c>
      <c r="N430" s="436">
        <v>-6.2169999999999996</v>
      </c>
      <c r="O430" s="436">
        <f>P430</f>
        <v>-11.949</v>
      </c>
      <c r="P430" s="885">
        <v>-11.949</v>
      </c>
      <c r="Q430" s="436">
        <v>-15.433999999999999</v>
      </c>
      <c r="R430" s="436">
        <v>-14.84</v>
      </c>
      <c r="S430" s="436">
        <v>-14.875</v>
      </c>
      <c r="T430" s="436">
        <f>U430</f>
        <v>-15.064</v>
      </c>
      <c r="U430" s="885">
        <v>-15.064</v>
      </c>
      <c r="V430" s="436">
        <v>-13.117000000000001</v>
      </c>
      <c r="W430" s="436">
        <v>-13.497999999999999</v>
      </c>
      <c r="X430" s="436">
        <v>-13.318</v>
      </c>
      <c r="Y430" s="436">
        <f>Z430</f>
        <v>-15.494</v>
      </c>
      <c r="Z430" s="885">
        <v>-15.494</v>
      </c>
      <c r="AA430" s="436">
        <v>-14.968</v>
      </c>
      <c r="AB430" s="436">
        <v>-12.741</v>
      </c>
      <c r="AC430" s="436">
        <v>-11.115</v>
      </c>
      <c r="AD430" s="436">
        <f>AE430</f>
        <v>-13.352</v>
      </c>
      <c r="AE430" s="885">
        <v>-13.352</v>
      </c>
      <c r="AF430" s="436">
        <v>-14.276999999999999</v>
      </c>
      <c r="AG430" s="436">
        <v>-15.867000000000001</v>
      </c>
      <c r="AH430" s="436">
        <v>-15.425000000000001</v>
      </c>
      <c r="AI430" s="436">
        <f>AJ430</f>
        <v>-13.329000000000001</v>
      </c>
      <c r="AJ430" s="885">
        <v>-13.329000000000001</v>
      </c>
      <c r="AK430" s="436">
        <v>-13.449</v>
      </c>
      <c r="AL430" s="436">
        <v>-12.420999999999999</v>
      </c>
      <c r="AM430" s="436">
        <v>-13.61</v>
      </c>
      <c r="AN430" s="436">
        <f>AO430</f>
        <v>-15.628</v>
      </c>
      <c r="AO430" s="885">
        <v>-15.628</v>
      </c>
      <c r="AP430" s="436">
        <v>-17.716999999999999</v>
      </c>
      <c r="AQ430" s="886">
        <v>-16.692</v>
      </c>
      <c r="AR430" s="436">
        <f ca="1">+AQ430+AR361+AR316+INDEX(MO_CFS_Buyback,0,COLUMN())</f>
        <v>-20.13790759016393</v>
      </c>
      <c r="AS430" s="436">
        <f ca="1">+AR430+AS361+AS316+INDEX(MO_CFS_Buyback,0,COLUMN())</f>
        <v>-20.747624602881142</v>
      </c>
      <c r="AT430" s="885">
        <f ca="1">+AS430</f>
        <v>-20.747624602881142</v>
      </c>
      <c r="AU430" s="436">
        <f ca="1">+AT430+AU361+AU316+INDEX(MO_CFS_Buyback,0,COLUMN())</f>
        <v>-11.125218762025039</v>
      </c>
      <c r="AV430" s="436">
        <f ca="1">+AU430+AV361+AV316+INDEX(MO_CFS_Buyback,0,COLUMN())</f>
        <v>3.7878697652421742</v>
      </c>
      <c r="AW430" s="436">
        <f ca="1">+AV430+AW361+AW316+INDEX(MO_CFS_Buyback,0,COLUMN())</f>
        <v>20.043561309771832</v>
      </c>
      <c r="AX430" s="436">
        <f ca="1">+AW430+AX361+AX316+INDEX(MO_CFS_Buyback,0,COLUMN())</f>
        <v>34.504070537063839</v>
      </c>
      <c r="AY430" s="885">
        <f ca="1">+AX430</f>
        <v>34.504070537063839</v>
      </c>
      <c r="AZ430" s="885">
        <f ca="1">+AY430+AZ361+AZ316+INDEX(MO_CFS_Buyback,0,COLUMN())</f>
        <v>80.647021270620925</v>
      </c>
      <c r="BA430" s="885">
        <f ca="1">+AZ430+BA361+BA316+INDEX(MO_CFS_Buyback,0,COLUMN())</f>
        <v>162.80286317861135</v>
      </c>
      <c r="BB430" s="885">
        <f ca="1">+BA430+BB361+BB316+INDEX(MO_CFS_Buyback,0,COLUMN())</f>
        <v>189.81712487287666</v>
      </c>
      <c r="BC430" s="362"/>
    </row>
    <row r="431" spans="1:55" s="23" customFormat="1" ht="14.45" customHeight="1">
      <c r="A431" s="229" t="s">
        <v>497</v>
      </c>
      <c r="B431" s="132"/>
      <c r="C431" s="885">
        <v>50.098999999999997</v>
      </c>
      <c r="D431" s="885">
        <v>65.046999999999997</v>
      </c>
      <c r="E431" s="885">
        <v>86.622</v>
      </c>
      <c r="F431" s="885">
        <v>106.889</v>
      </c>
      <c r="G431" s="436">
        <v>138.85599999999999</v>
      </c>
      <c r="H431" s="436">
        <v>144.435</v>
      </c>
      <c r="I431" s="436">
        <v>152.72399999999999</v>
      </c>
      <c r="J431" s="436">
        <f>K431</f>
        <v>134.11500000000001</v>
      </c>
      <c r="K431" s="885">
        <v>134.11500000000001</v>
      </c>
      <c r="L431" s="436">
        <v>184.691</v>
      </c>
      <c r="M431" s="436">
        <v>198.52099999999999</v>
      </c>
      <c r="N431" s="436">
        <v>217.268</v>
      </c>
      <c r="O431" s="436">
        <f>P431</f>
        <v>190.24799999999999</v>
      </c>
      <c r="P431" s="885">
        <v>190.24799999999999</v>
      </c>
      <c r="Q431" s="436">
        <v>252.20400000000001</v>
      </c>
      <c r="R431" s="436">
        <v>270.76600000000002</v>
      </c>
      <c r="S431" s="436">
        <v>298.60599999999999</v>
      </c>
      <c r="T431" s="436">
        <f>U431</f>
        <v>257.16800000000001</v>
      </c>
      <c r="U431" s="885">
        <v>257.16800000000001</v>
      </c>
      <c r="V431" s="436">
        <v>268.65300000000002</v>
      </c>
      <c r="W431" s="436">
        <v>283.63299999999998</v>
      </c>
      <c r="X431" s="436">
        <v>295.70699999999999</v>
      </c>
      <c r="Y431" s="436">
        <f>Z431</f>
        <v>305.512</v>
      </c>
      <c r="Z431" s="885">
        <v>305.512</v>
      </c>
      <c r="AA431" s="436">
        <v>317.09899999999999</v>
      </c>
      <c r="AB431" s="436">
        <v>360.16699999999997</v>
      </c>
      <c r="AC431" s="436">
        <v>348.14800000000002</v>
      </c>
      <c r="AD431" s="436">
        <f>AE431</f>
        <v>325.19099999999997</v>
      </c>
      <c r="AE431" s="885">
        <v>325.19099999999997</v>
      </c>
      <c r="AF431" s="436">
        <v>333.12599999999998</v>
      </c>
      <c r="AG431" s="436">
        <v>347.15100000000001</v>
      </c>
      <c r="AH431" s="436">
        <v>384.529</v>
      </c>
      <c r="AI431" s="436">
        <f>AJ431</f>
        <v>376.56700000000001</v>
      </c>
      <c r="AJ431" s="885">
        <v>376.56700000000001</v>
      </c>
      <c r="AK431" s="436">
        <v>479.10899999999998</v>
      </c>
      <c r="AL431" s="436">
        <v>487.04300000000001</v>
      </c>
      <c r="AM431" s="436">
        <v>439.05799999999999</v>
      </c>
      <c r="AN431" s="436">
        <f>AO431</f>
        <v>428.584</v>
      </c>
      <c r="AO431" s="885">
        <v>428.584</v>
      </c>
      <c r="AP431" s="436">
        <v>331.18</v>
      </c>
      <c r="AQ431" s="886">
        <v>308.70499999999998</v>
      </c>
      <c r="AR431" s="436">
        <f ca="1">+AQ431+AR319+AR361+AR316+INDEX(MO_CFS_Buyback,0,COLUMN())</f>
        <v>306.45909240983605</v>
      </c>
      <c r="AS431" s="436">
        <f ca="1">+AR431+AS319+AS361+AS316+INDEX(MO_CFS_Buyback,0,COLUMN())</f>
        <v>307.04937539711881</v>
      </c>
      <c r="AT431" s="885">
        <f ca="1">+AS431</f>
        <v>307.04937539711881</v>
      </c>
      <c r="AU431" s="436">
        <f ca="1">+AT431+AU319+AU361+AU316+INDEX(MO_CFS_Buyback,0,COLUMN())</f>
        <v>317.87178123797491</v>
      </c>
      <c r="AV431" s="436">
        <f ca="1">+AU431+AV319+AV361+AV316+INDEX(MO_CFS_Buyback,0,COLUMN())</f>
        <v>333.98486976524214</v>
      </c>
      <c r="AW431" s="436">
        <f ca="1">+AV431+AW319+AW361+AW316+INDEX(MO_CFS_Buyback,0,COLUMN())</f>
        <v>351.44056130977179</v>
      </c>
      <c r="AX431" s="436">
        <f ca="1">+AW431+AX319+AX361+AX316+INDEX(MO_CFS_Buyback,0,COLUMN())</f>
        <v>367.10107053706378</v>
      </c>
      <c r="AY431" s="885">
        <f ca="1">+AX431</f>
        <v>367.10107053706378</v>
      </c>
      <c r="AZ431" s="885">
        <f ca="1">+AY431+AZ319+AZ361+AZ316+INDEX(MO_CFS_Buyback,0,COLUMN())</f>
        <v>418.04402127062087</v>
      </c>
      <c r="BA431" s="885">
        <f ca="1">+AZ431+BA319+BA361+BA316+INDEX(MO_CFS_Buyback,0,COLUMN())</f>
        <v>504.99986317861129</v>
      </c>
      <c r="BB431" s="885">
        <f ca="1">+BA431+BB319+BB361+BB316+INDEX(MO_CFS_Buyback,0,COLUMN())</f>
        <v>536.81412487287662</v>
      </c>
      <c r="BC431" s="362"/>
    </row>
    <row r="432" spans="1:55" s="23" customFormat="1" ht="14.45" customHeight="1">
      <c r="A432" s="229" t="s">
        <v>209</v>
      </c>
      <c r="B432" s="132"/>
      <c r="C432" s="887">
        <v>-2.2810000000000001</v>
      </c>
      <c r="D432" s="887">
        <v>-2.2810000000000001</v>
      </c>
      <c r="E432" s="887">
        <v>-2.2810000000000001</v>
      </c>
      <c r="F432" s="887"/>
      <c r="G432" s="888"/>
      <c r="H432" s="888"/>
      <c r="I432" s="888"/>
      <c r="J432" s="888">
        <f>K432</f>
        <v>0</v>
      </c>
      <c r="K432" s="887"/>
      <c r="L432" s="888"/>
      <c r="M432" s="888"/>
      <c r="N432" s="888"/>
      <c r="O432" s="888">
        <f>P432</f>
        <v>0</v>
      </c>
      <c r="P432" s="887"/>
      <c r="Q432" s="888"/>
      <c r="R432" s="888"/>
      <c r="S432" s="888"/>
      <c r="T432" s="888">
        <f>U432</f>
        <v>0</v>
      </c>
      <c r="U432" s="887"/>
      <c r="V432" s="888">
        <v>-4.2610000000000001</v>
      </c>
      <c r="W432" s="888">
        <v>-12.154</v>
      </c>
      <c r="X432" s="888">
        <v>-17.446000000000002</v>
      </c>
      <c r="Y432" s="888">
        <f>Z432</f>
        <v>-17.617999999999999</v>
      </c>
      <c r="Z432" s="887">
        <v>-17.617999999999999</v>
      </c>
      <c r="AA432" s="888">
        <v>-22.030999999999999</v>
      </c>
      <c r="AB432" s="888">
        <v>0</v>
      </c>
      <c r="AC432" s="888"/>
      <c r="AD432" s="888">
        <f>AE432</f>
        <v>-50</v>
      </c>
      <c r="AE432" s="887">
        <v>-50</v>
      </c>
      <c r="AF432" s="888">
        <v>-50</v>
      </c>
      <c r="AG432" s="888">
        <v>-50</v>
      </c>
      <c r="AH432" s="888"/>
      <c r="AI432" s="888">
        <f>AJ432</f>
        <v>-50</v>
      </c>
      <c r="AJ432" s="887">
        <v>-50</v>
      </c>
      <c r="AK432" s="888"/>
      <c r="AL432" s="888"/>
      <c r="AM432" s="888"/>
      <c r="AN432" s="888">
        <f>AO432</f>
        <v>-100.78400000000001</v>
      </c>
      <c r="AO432" s="887">
        <v>-100.78400000000001</v>
      </c>
      <c r="AP432" s="888"/>
      <c r="AQ432" s="889"/>
      <c r="AR432" s="890"/>
      <c r="AS432" s="890"/>
      <c r="AT432" s="887">
        <f>+AS432</f>
        <v>0</v>
      </c>
      <c r="AU432" s="890"/>
      <c r="AV432" s="890"/>
      <c r="AW432" s="890"/>
      <c r="AX432" s="890"/>
      <c r="AY432" s="887">
        <f>+AX432</f>
        <v>0</v>
      </c>
      <c r="AZ432" s="872"/>
      <c r="BA432" s="872"/>
      <c r="BB432" s="872"/>
      <c r="BC432" s="362"/>
    </row>
    <row r="433" spans="1:55" s="4" customFormat="1" ht="14.45" customHeight="1">
      <c r="A433" s="402" t="s">
        <v>69</v>
      </c>
      <c r="B433" s="429"/>
      <c r="C433" s="858">
        <f t="shared" ref="C433:AP433" si="308">SUM(C428:C432)</f>
        <v>60.113</v>
      </c>
      <c r="D433" s="858">
        <f t="shared" si="308"/>
        <v>77.214999999999989</v>
      </c>
      <c r="E433" s="858">
        <f t="shared" si="308"/>
        <v>102.863</v>
      </c>
      <c r="F433" s="858">
        <f t="shared" si="308"/>
        <v>125.13399999999999</v>
      </c>
      <c r="G433" s="402">
        <f t="shared" si="308"/>
        <v>134.142</v>
      </c>
      <c r="H433" s="402">
        <f t="shared" si="308"/>
        <v>139.65700000000001</v>
      </c>
      <c r="I433" s="402">
        <f t="shared" si="308"/>
        <v>148.23699999999999</v>
      </c>
      <c r="J433" s="402">
        <f t="shared" si="308"/>
        <v>171.50900000000001</v>
      </c>
      <c r="K433" s="858">
        <f t="shared" si="308"/>
        <v>171.50900000000001</v>
      </c>
      <c r="L433" s="402">
        <f t="shared" si="308"/>
        <v>180.99600000000001</v>
      </c>
      <c r="M433" s="402">
        <f t="shared" si="308"/>
        <v>194.72299999999998</v>
      </c>
      <c r="N433" s="402">
        <f t="shared" si="308"/>
        <v>211.26900000000001</v>
      </c>
      <c r="O433" s="402">
        <f t="shared" si="308"/>
        <v>228.17699999999999</v>
      </c>
      <c r="P433" s="858">
        <f t="shared" si="308"/>
        <v>228.17699999999999</v>
      </c>
      <c r="Q433" s="402">
        <f t="shared" si="308"/>
        <v>236.99100000000001</v>
      </c>
      <c r="R433" s="402">
        <f t="shared" si="308"/>
        <v>256.14800000000002</v>
      </c>
      <c r="S433" s="402">
        <f t="shared" si="308"/>
        <v>283.98599999999999</v>
      </c>
      <c r="T433" s="402">
        <f t="shared" si="308"/>
        <v>300.22500000000002</v>
      </c>
      <c r="U433" s="858">
        <f t="shared" si="308"/>
        <v>300.22500000000002</v>
      </c>
      <c r="V433" s="402">
        <f t="shared" si="308"/>
        <v>310.97300000000001</v>
      </c>
      <c r="W433" s="402">
        <f t="shared" si="308"/>
        <v>318.44399999999996</v>
      </c>
      <c r="X433" s="402">
        <f t="shared" si="308"/>
        <v>329.37099999999998</v>
      </c>
      <c r="Y433" s="402">
        <f t="shared" si="308"/>
        <v>337.44900000000001</v>
      </c>
      <c r="Z433" s="858">
        <f t="shared" si="308"/>
        <v>337.44900000000001</v>
      </c>
      <c r="AA433" s="402">
        <f t="shared" si="308"/>
        <v>346.09999999999997</v>
      </c>
      <c r="AB433" s="402">
        <f t="shared" si="308"/>
        <v>347.72299999999996</v>
      </c>
      <c r="AC433" s="402">
        <f t="shared" si="308"/>
        <v>337.33000000000004</v>
      </c>
      <c r="AD433" s="402">
        <f t="shared" si="308"/>
        <v>329.92699999999996</v>
      </c>
      <c r="AE433" s="858">
        <f t="shared" si="308"/>
        <v>329.92699999999996</v>
      </c>
      <c r="AF433" s="402">
        <f t="shared" si="308"/>
        <v>338.02799999999996</v>
      </c>
      <c r="AG433" s="402">
        <f t="shared" si="308"/>
        <v>351.29</v>
      </c>
      <c r="AH433" s="402">
        <f t="shared" si="308"/>
        <v>369.44499999999999</v>
      </c>
      <c r="AI433" s="402">
        <f t="shared" si="308"/>
        <v>386.625</v>
      </c>
      <c r="AJ433" s="858">
        <f t="shared" si="308"/>
        <v>386.625</v>
      </c>
      <c r="AK433" s="402">
        <f t="shared" si="308"/>
        <v>466.00299999999999</v>
      </c>
      <c r="AL433" s="402">
        <f t="shared" si="308"/>
        <v>474.96600000000001</v>
      </c>
      <c r="AM433" s="402">
        <f t="shared" si="308"/>
        <v>425.79199999999997</v>
      </c>
      <c r="AN433" s="402">
        <f t="shared" si="308"/>
        <v>388.85700000000003</v>
      </c>
      <c r="AO433" s="858">
        <f t="shared" si="308"/>
        <v>388.85700000000003</v>
      </c>
      <c r="AP433" s="402">
        <f t="shared" si="308"/>
        <v>313.80900000000003</v>
      </c>
      <c r="AQ433" s="891">
        <v>292.35899999999998</v>
      </c>
      <c r="AR433" s="402">
        <f ca="1">AQ433+AR319+AR361+AR316+INDEX(MO_CFS_Buyback,0,COLUMN())</f>
        <v>290.11309240983604</v>
      </c>
      <c r="AS433" s="402">
        <f ca="1">AR433+AS319+AS361+AS316+INDEX(MO_CFS_Buyback,0,COLUMN())</f>
        <v>290.7033753971188</v>
      </c>
      <c r="AT433" s="858">
        <f ca="1">AS433</f>
        <v>290.7033753971188</v>
      </c>
      <c r="AU433" s="402">
        <f ca="1">AT433+AU319+AU361+AU316+INDEX(MO_CFS_Buyback,0,COLUMN())</f>
        <v>301.52578123797491</v>
      </c>
      <c r="AV433" s="402">
        <f ca="1">AU433+AV319+AV361+AV316+INDEX(MO_CFS_Buyback,0,COLUMN())</f>
        <v>317.63886976524213</v>
      </c>
      <c r="AW433" s="402">
        <f ca="1">AV433+AW319+AW361+AW316+INDEX(MO_CFS_Buyback,0,COLUMN())</f>
        <v>335.09456130977179</v>
      </c>
      <c r="AX433" s="402">
        <f ca="1">AW433+AX319+AX361+AX316+INDEX(MO_CFS_Buyback,0,COLUMN())</f>
        <v>350.75507053706377</v>
      </c>
      <c r="AY433" s="858">
        <f ca="1">AX433</f>
        <v>350.75507053706377</v>
      </c>
      <c r="AZ433" s="858">
        <f ca="1">AY433+AZ319+AZ361+AZ316+INDEX(MO_CFS_Buyback,0,COLUMN())</f>
        <v>401.69802127062087</v>
      </c>
      <c r="BA433" s="858">
        <f ca="1">AZ433+BA319+BA361+BA316+INDEX(MO_CFS_Buyback,0,COLUMN())</f>
        <v>488.65386317861129</v>
      </c>
      <c r="BB433" s="858">
        <f ca="1">BA433+BB319+BB361+BB316+INDEX(MO_CFS_Buyback,0,COLUMN())</f>
        <v>520.46812487287661</v>
      </c>
      <c r="BC433" s="363"/>
    </row>
    <row r="434" spans="1:55" s="23" customFormat="1" ht="14.45" customHeight="1">
      <c r="A434" s="229" t="s">
        <v>100</v>
      </c>
      <c r="B434" s="132"/>
      <c r="C434" s="885"/>
      <c r="D434" s="885"/>
      <c r="E434" s="885"/>
      <c r="F434" s="885"/>
      <c r="G434" s="436"/>
      <c r="H434" s="436"/>
      <c r="I434" s="436"/>
      <c r="J434" s="436"/>
      <c r="K434" s="885"/>
      <c r="L434" s="436"/>
      <c r="M434" s="436"/>
      <c r="N434" s="436"/>
      <c r="O434" s="436"/>
      <c r="P434" s="885"/>
      <c r="Q434" s="436"/>
      <c r="R434" s="436"/>
      <c r="S434" s="436"/>
      <c r="T434" s="436"/>
      <c r="U434" s="885"/>
      <c r="V434" s="436"/>
      <c r="W434" s="436">
        <f>V434</f>
        <v>0</v>
      </c>
      <c r="X434" s="436">
        <f>W434</f>
        <v>0</v>
      </c>
      <c r="Y434" s="436"/>
      <c r="Z434" s="885"/>
      <c r="AA434" s="436"/>
      <c r="AB434" s="436">
        <f>AA434</f>
        <v>0</v>
      </c>
      <c r="AC434" s="436">
        <f>AB434</f>
        <v>0</v>
      </c>
      <c r="AD434" s="436"/>
      <c r="AE434" s="885"/>
      <c r="AF434" s="436"/>
      <c r="AG434" s="436"/>
      <c r="AH434" s="436"/>
      <c r="AI434" s="436"/>
      <c r="AJ434" s="885"/>
      <c r="AK434" s="436"/>
      <c r="AL434" s="436"/>
      <c r="AM434" s="436"/>
      <c r="AN434" s="436"/>
      <c r="AO434" s="885"/>
      <c r="AP434" s="436"/>
      <c r="AQ434" s="886"/>
      <c r="AR434" s="436">
        <f>AQ434</f>
        <v>0</v>
      </c>
      <c r="AS434" s="436">
        <f>AR434</f>
        <v>0</v>
      </c>
      <c r="AT434" s="885">
        <f>AS434</f>
        <v>0</v>
      </c>
      <c r="AU434" s="436">
        <f>AT434</f>
        <v>0</v>
      </c>
      <c r="AV434" s="436">
        <f>AU434</f>
        <v>0</v>
      </c>
      <c r="AW434" s="436">
        <f>AV434</f>
        <v>0</v>
      </c>
      <c r="AX434" s="436">
        <f>AW434</f>
        <v>0</v>
      </c>
      <c r="AY434" s="885">
        <f>AX434</f>
        <v>0</v>
      </c>
      <c r="AZ434" s="885">
        <f>AY434</f>
        <v>0</v>
      </c>
      <c r="BA434" s="885">
        <f>AZ434</f>
        <v>0</v>
      </c>
      <c r="BB434" s="885">
        <f>BA434</f>
        <v>0</v>
      </c>
      <c r="BC434" s="362"/>
    </row>
    <row r="435" spans="1:55" s="4" customFormat="1" ht="14.45" customHeight="1">
      <c r="A435" s="403" t="s">
        <v>70</v>
      </c>
      <c r="B435" s="345"/>
      <c r="C435" s="852">
        <f t="shared" ref="C435:AH435" si="309">C433+C425+C434</f>
        <v>138.714</v>
      </c>
      <c r="D435" s="852">
        <f t="shared" si="309"/>
        <v>150.88799999999998</v>
      </c>
      <c r="E435" s="852">
        <f t="shared" si="309"/>
        <v>174.905</v>
      </c>
      <c r="F435" s="852">
        <f t="shared" si="309"/>
        <v>211.98899999999998</v>
      </c>
      <c r="G435" s="418">
        <f t="shared" si="309"/>
        <v>216.83799999999999</v>
      </c>
      <c r="H435" s="418">
        <f t="shared" si="309"/>
        <v>222.43700000000001</v>
      </c>
      <c r="I435" s="418">
        <f t="shared" si="309"/>
        <v>432.83000000000004</v>
      </c>
      <c r="J435" s="418">
        <f t="shared" si="309"/>
        <v>491.27100000000002</v>
      </c>
      <c r="K435" s="852">
        <f t="shared" si="309"/>
        <v>491.27100000000002</v>
      </c>
      <c r="L435" s="418">
        <f t="shared" si="309"/>
        <v>602.71899999999994</v>
      </c>
      <c r="M435" s="418">
        <f t="shared" si="309"/>
        <v>582.77499999999998</v>
      </c>
      <c r="N435" s="418">
        <f t="shared" si="309"/>
        <v>590.90700000000004</v>
      </c>
      <c r="O435" s="418">
        <f t="shared" si="309"/>
        <v>562.91</v>
      </c>
      <c r="P435" s="852">
        <f t="shared" si="309"/>
        <v>562.91</v>
      </c>
      <c r="Q435" s="418">
        <f t="shared" si="309"/>
        <v>600.28300000000002</v>
      </c>
      <c r="R435" s="418">
        <f t="shared" si="309"/>
        <v>638.21</v>
      </c>
      <c r="S435" s="418">
        <f t="shared" si="309"/>
        <v>648.39300000000003</v>
      </c>
      <c r="T435" s="418">
        <f t="shared" si="309"/>
        <v>609.24300000000005</v>
      </c>
      <c r="U435" s="852">
        <f t="shared" si="309"/>
        <v>609.24300000000005</v>
      </c>
      <c r="V435" s="418">
        <f t="shared" si="309"/>
        <v>613.82099999999991</v>
      </c>
      <c r="W435" s="418">
        <f t="shared" si="309"/>
        <v>612.25099999999998</v>
      </c>
      <c r="X435" s="418">
        <f t="shared" si="309"/>
        <v>619.428</v>
      </c>
      <c r="Y435" s="418">
        <f t="shared" si="309"/>
        <v>604.34400000000005</v>
      </c>
      <c r="Z435" s="852">
        <f t="shared" si="309"/>
        <v>604.34400000000005</v>
      </c>
      <c r="AA435" s="418">
        <f t="shared" si="309"/>
        <v>603.28599999999994</v>
      </c>
      <c r="AB435" s="418">
        <f t="shared" si="309"/>
        <v>627.82799999999997</v>
      </c>
      <c r="AC435" s="418">
        <f t="shared" si="309"/>
        <v>640.62800000000004</v>
      </c>
      <c r="AD435" s="418">
        <f t="shared" si="309"/>
        <v>735.9559999999999</v>
      </c>
      <c r="AE435" s="852">
        <f t="shared" si="309"/>
        <v>735.9559999999999</v>
      </c>
      <c r="AF435" s="418">
        <f t="shared" si="309"/>
        <v>767.56999999999994</v>
      </c>
      <c r="AG435" s="418">
        <f t="shared" si="309"/>
        <v>764.423</v>
      </c>
      <c r="AH435" s="418">
        <f t="shared" si="309"/>
        <v>776.05600000000004</v>
      </c>
      <c r="AI435" s="418">
        <f t="shared" ref="AI435:BB435" si="310">AI433+AI425+AI434</f>
        <v>774.64</v>
      </c>
      <c r="AJ435" s="852">
        <f t="shared" si="310"/>
        <v>774.64</v>
      </c>
      <c r="AK435" s="418">
        <f t="shared" si="310"/>
        <v>780.52099999999996</v>
      </c>
      <c r="AL435" s="418">
        <f t="shared" si="310"/>
        <v>767.26300000000003</v>
      </c>
      <c r="AM435" s="418">
        <f t="shared" si="310"/>
        <v>777.96800000000007</v>
      </c>
      <c r="AN435" s="418">
        <f t="shared" si="310"/>
        <v>782.71600000000012</v>
      </c>
      <c r="AO435" s="852">
        <f t="shared" si="310"/>
        <v>782.71600000000012</v>
      </c>
      <c r="AP435" s="418">
        <f t="shared" si="310"/>
        <v>850.02600000000007</v>
      </c>
      <c r="AQ435" s="895">
        <f t="shared" si="310"/>
        <v>658.52599999999995</v>
      </c>
      <c r="AR435" s="418">
        <f t="shared" ca="1" si="310"/>
        <v>655.84318834566784</v>
      </c>
      <c r="AS435" s="418">
        <f t="shared" ca="1" si="310"/>
        <v>646.62163209611072</v>
      </c>
      <c r="AT435" s="852">
        <f t="shared" ca="1" si="310"/>
        <v>646.62163209611072</v>
      </c>
      <c r="AU435" s="418">
        <f t="shared" ca="1" si="310"/>
        <v>665.0466640752104</v>
      </c>
      <c r="AV435" s="418">
        <f t="shared" ca="1" si="310"/>
        <v>683.59383815981118</v>
      </c>
      <c r="AW435" s="418">
        <f t="shared" ca="1" si="310"/>
        <v>710.48964161229537</v>
      </c>
      <c r="AX435" s="418">
        <f t="shared" ca="1" si="310"/>
        <v>718.22868729186212</v>
      </c>
      <c r="AY435" s="852">
        <f t="shared" ca="1" si="310"/>
        <v>718.22868729186212</v>
      </c>
      <c r="AZ435" s="852">
        <f t="shared" ca="1" si="310"/>
        <v>768.15944010828957</v>
      </c>
      <c r="BA435" s="852">
        <f t="shared" ca="1" si="310"/>
        <v>869.74039418407301</v>
      </c>
      <c r="BB435" s="852">
        <f t="shared" ca="1" si="310"/>
        <v>878.87950403374032</v>
      </c>
      <c r="BC435" s="363"/>
    </row>
    <row r="436" spans="1:55" s="23" customFormat="1">
      <c r="A436" s="520"/>
      <c r="B436" s="520"/>
      <c r="C436" s="534"/>
      <c r="D436" s="534"/>
      <c r="E436" s="534"/>
      <c r="F436" s="534"/>
      <c r="G436" s="534"/>
      <c r="H436" s="534"/>
      <c r="I436" s="534"/>
      <c r="J436" s="534"/>
      <c r="K436" s="534"/>
      <c r="L436" s="534"/>
      <c r="M436" s="534"/>
      <c r="N436" s="534"/>
      <c r="O436" s="534"/>
      <c r="P436" s="534"/>
      <c r="Q436" s="534"/>
      <c r="R436" s="534"/>
      <c r="S436" s="534"/>
      <c r="T436" s="534"/>
      <c r="U436" s="534"/>
      <c r="V436" s="534"/>
      <c r="W436" s="534"/>
      <c r="X436" s="534"/>
      <c r="Y436" s="534"/>
      <c r="Z436" s="534"/>
      <c r="AA436" s="534"/>
      <c r="AB436" s="534"/>
      <c r="AC436" s="534"/>
      <c r="AD436" s="534"/>
      <c r="AE436" s="534"/>
      <c r="AF436" s="534"/>
      <c r="AG436" s="534"/>
      <c r="AH436" s="534"/>
      <c r="AI436" s="534"/>
      <c r="AJ436" s="534"/>
      <c r="AK436" s="534"/>
      <c r="AL436" s="534"/>
      <c r="AM436" s="534"/>
      <c r="AN436" s="534"/>
      <c r="AO436" s="534"/>
      <c r="AP436" s="534"/>
      <c r="AQ436" s="535"/>
      <c r="AR436" s="536"/>
      <c r="AS436" s="536"/>
      <c r="AT436" s="536"/>
      <c r="AU436" s="536"/>
      <c r="AV436" s="536"/>
      <c r="AW436" s="536"/>
      <c r="AX436" s="536"/>
      <c r="AY436" s="536"/>
      <c r="AZ436" s="536"/>
      <c r="BA436" s="536"/>
      <c r="BB436" s="536"/>
      <c r="BC436" s="362"/>
    </row>
    <row r="437" spans="1:55" s="23" customFormat="1">
      <c r="A437" s="55" t="s">
        <v>55</v>
      </c>
      <c r="B437" s="55"/>
      <c r="C437" s="553">
        <f t="shared" ref="C437:AH437" si="311">ROUND(C403-C435,6)</f>
        <v>0</v>
      </c>
      <c r="D437" s="553">
        <f t="shared" si="311"/>
        <v>0</v>
      </c>
      <c r="E437" s="553">
        <f t="shared" si="311"/>
        <v>0</v>
      </c>
      <c r="F437" s="553">
        <f t="shared" si="311"/>
        <v>0</v>
      </c>
      <c r="G437" s="553">
        <f t="shared" si="311"/>
        <v>0</v>
      </c>
      <c r="H437" s="553">
        <f t="shared" si="311"/>
        <v>0</v>
      </c>
      <c r="I437" s="553">
        <f t="shared" si="311"/>
        <v>0</v>
      </c>
      <c r="J437" s="553">
        <f t="shared" si="311"/>
        <v>0</v>
      </c>
      <c r="K437" s="553">
        <f t="shared" si="311"/>
        <v>0</v>
      </c>
      <c r="L437" s="553">
        <f t="shared" si="311"/>
        <v>0</v>
      </c>
      <c r="M437" s="553">
        <f t="shared" si="311"/>
        <v>0</v>
      </c>
      <c r="N437" s="553">
        <f t="shared" si="311"/>
        <v>0</v>
      </c>
      <c r="O437" s="553">
        <f t="shared" si="311"/>
        <v>0</v>
      </c>
      <c r="P437" s="553">
        <f t="shared" si="311"/>
        <v>0</v>
      </c>
      <c r="Q437" s="553">
        <f t="shared" si="311"/>
        <v>0</v>
      </c>
      <c r="R437" s="553">
        <f t="shared" si="311"/>
        <v>0</v>
      </c>
      <c r="S437" s="553">
        <f t="shared" si="311"/>
        <v>0</v>
      </c>
      <c r="T437" s="553">
        <f t="shared" si="311"/>
        <v>0</v>
      </c>
      <c r="U437" s="553">
        <f t="shared" si="311"/>
        <v>0</v>
      </c>
      <c r="V437" s="553">
        <f t="shared" si="311"/>
        <v>0</v>
      </c>
      <c r="W437" s="553">
        <f t="shared" si="311"/>
        <v>0</v>
      </c>
      <c r="X437" s="553">
        <f t="shared" si="311"/>
        <v>0</v>
      </c>
      <c r="Y437" s="553">
        <f t="shared" si="311"/>
        <v>0</v>
      </c>
      <c r="Z437" s="553">
        <f t="shared" si="311"/>
        <v>0</v>
      </c>
      <c r="AA437" s="553">
        <f t="shared" si="311"/>
        <v>0</v>
      </c>
      <c r="AB437" s="553">
        <f t="shared" si="311"/>
        <v>0</v>
      </c>
      <c r="AC437" s="553">
        <f t="shared" si="311"/>
        <v>0</v>
      </c>
      <c r="AD437" s="553">
        <f t="shared" si="311"/>
        <v>0</v>
      </c>
      <c r="AE437" s="553">
        <f t="shared" si="311"/>
        <v>0</v>
      </c>
      <c r="AF437" s="553">
        <f t="shared" si="311"/>
        <v>0</v>
      </c>
      <c r="AG437" s="553">
        <f t="shared" si="311"/>
        <v>0</v>
      </c>
      <c r="AH437" s="553">
        <f t="shared" si="311"/>
        <v>0</v>
      </c>
      <c r="AI437" s="553">
        <f t="shared" ref="AI437:BB437" si="312">ROUND(AI403-AI435,6)</f>
        <v>0</v>
      </c>
      <c r="AJ437" s="553">
        <f t="shared" si="312"/>
        <v>0</v>
      </c>
      <c r="AK437" s="553">
        <f t="shared" si="312"/>
        <v>0</v>
      </c>
      <c r="AL437" s="553">
        <f t="shared" si="312"/>
        <v>0</v>
      </c>
      <c r="AM437" s="553">
        <f t="shared" si="312"/>
        <v>0</v>
      </c>
      <c r="AN437" s="553">
        <f t="shared" si="312"/>
        <v>0</v>
      </c>
      <c r="AO437" s="553">
        <f t="shared" si="312"/>
        <v>0</v>
      </c>
      <c r="AP437" s="553">
        <f t="shared" si="312"/>
        <v>0</v>
      </c>
      <c r="AQ437" s="554">
        <f t="shared" si="312"/>
        <v>0</v>
      </c>
      <c r="AR437" s="555">
        <f t="shared" ca="1" si="312"/>
        <v>0</v>
      </c>
      <c r="AS437" s="555">
        <f t="shared" ca="1" si="312"/>
        <v>0</v>
      </c>
      <c r="AT437" s="555">
        <f t="shared" ca="1" si="312"/>
        <v>0</v>
      </c>
      <c r="AU437" s="555">
        <f t="shared" ca="1" si="312"/>
        <v>0</v>
      </c>
      <c r="AV437" s="555">
        <f t="shared" ca="1" si="312"/>
        <v>0</v>
      </c>
      <c r="AW437" s="555">
        <f t="shared" ca="1" si="312"/>
        <v>0</v>
      </c>
      <c r="AX437" s="555">
        <f t="shared" ca="1" si="312"/>
        <v>0</v>
      </c>
      <c r="AY437" s="555">
        <f t="shared" ca="1" si="312"/>
        <v>0</v>
      </c>
      <c r="AZ437" s="555">
        <f t="shared" ca="1" si="312"/>
        <v>0</v>
      </c>
      <c r="BA437" s="555">
        <f t="shared" ca="1" si="312"/>
        <v>0</v>
      </c>
      <c r="BB437" s="555">
        <f t="shared" ca="1" si="312"/>
        <v>0</v>
      </c>
      <c r="BC437" s="362"/>
    </row>
    <row r="438" spans="1:55" s="23" customFormat="1">
      <c r="A438" s="520"/>
      <c r="B438" s="520"/>
      <c r="C438" s="534"/>
      <c r="D438" s="534"/>
      <c r="E438" s="534"/>
      <c r="F438" s="534"/>
      <c r="G438" s="534"/>
      <c r="H438" s="534"/>
      <c r="I438" s="534"/>
      <c r="J438" s="534"/>
      <c r="K438" s="534"/>
      <c r="L438" s="534"/>
      <c r="M438" s="534"/>
      <c r="N438" s="534"/>
      <c r="O438" s="534"/>
      <c r="P438" s="534"/>
      <c r="Q438" s="534"/>
      <c r="R438" s="534"/>
      <c r="S438" s="534"/>
      <c r="T438" s="534"/>
      <c r="U438" s="534"/>
      <c r="V438" s="534"/>
      <c r="W438" s="534"/>
      <c r="X438" s="534"/>
      <c r="Y438" s="534"/>
      <c r="Z438" s="534"/>
      <c r="AA438" s="534"/>
      <c r="AB438" s="534"/>
      <c r="AC438" s="534"/>
      <c r="AD438" s="534"/>
      <c r="AE438" s="534"/>
      <c r="AF438" s="534"/>
      <c r="AG438" s="534"/>
      <c r="AH438" s="534"/>
      <c r="AI438" s="534"/>
      <c r="AJ438" s="534"/>
      <c r="AK438" s="534"/>
      <c r="AL438" s="534"/>
      <c r="AM438" s="534"/>
      <c r="AN438" s="534"/>
      <c r="AO438" s="534"/>
      <c r="AP438" s="534"/>
      <c r="AQ438" s="535"/>
      <c r="AR438" s="536"/>
      <c r="AS438" s="536"/>
      <c r="AT438" s="536"/>
      <c r="AU438" s="536"/>
      <c r="AV438" s="536"/>
      <c r="AW438" s="536"/>
      <c r="AX438" s="536"/>
      <c r="AY438" s="536"/>
      <c r="AZ438" s="536"/>
      <c r="BA438" s="536"/>
      <c r="BB438" s="536"/>
      <c r="BC438" s="362"/>
    </row>
    <row r="439" spans="1:55" s="4" customFormat="1">
      <c r="A439" s="524" t="s">
        <v>97</v>
      </c>
      <c r="B439" s="524"/>
      <c r="C439" s="550"/>
      <c r="D439" s="550"/>
      <c r="E439" s="550"/>
      <c r="F439" s="550"/>
      <c r="G439" s="550"/>
      <c r="H439" s="550"/>
      <c r="I439" s="550"/>
      <c r="J439" s="550"/>
      <c r="K439" s="550"/>
      <c r="L439" s="550"/>
      <c r="M439" s="550"/>
      <c r="N439" s="550"/>
      <c r="O439" s="550"/>
      <c r="P439" s="550"/>
      <c r="Q439" s="550"/>
      <c r="R439" s="550"/>
      <c r="S439" s="550"/>
      <c r="T439" s="550"/>
      <c r="U439" s="550"/>
      <c r="V439" s="550"/>
      <c r="W439" s="550"/>
      <c r="X439" s="550"/>
      <c r="Y439" s="550"/>
      <c r="Z439" s="550"/>
      <c r="AA439" s="550"/>
      <c r="AB439" s="550"/>
      <c r="AC439" s="550"/>
      <c r="AD439" s="550"/>
      <c r="AE439" s="550"/>
      <c r="AF439" s="550"/>
      <c r="AG439" s="550"/>
      <c r="AH439" s="550"/>
      <c r="AI439" s="550"/>
      <c r="AJ439" s="550"/>
      <c r="AK439" s="550"/>
      <c r="AL439" s="550"/>
      <c r="AM439" s="550"/>
      <c r="AN439" s="550"/>
      <c r="AO439" s="550"/>
      <c r="AP439" s="550"/>
      <c r="AQ439" s="551"/>
      <c r="AR439" s="552"/>
      <c r="AS439" s="552"/>
      <c r="AT439" s="552"/>
      <c r="AU439" s="552"/>
      <c r="AV439" s="552"/>
      <c r="AW439" s="552"/>
      <c r="AX439" s="552"/>
      <c r="AY439" s="552"/>
      <c r="AZ439" s="552"/>
      <c r="BA439" s="552"/>
      <c r="BB439" s="552"/>
      <c r="BC439" s="363"/>
    </row>
    <row r="440" spans="1:55" s="23" customFormat="1">
      <c r="A440" s="520" t="s">
        <v>31</v>
      </c>
      <c r="B440" s="522"/>
      <c r="C440" s="553">
        <f t="shared" ref="C440:AH440" si="313">IF(ISBLANK(INDEX(MO_IS_FirstRow,0,COLUMN())),0,ROUND(C316-C171,6))</f>
        <v>0</v>
      </c>
      <c r="D440" s="553">
        <f t="shared" si="313"/>
        <v>0</v>
      </c>
      <c r="E440" s="553">
        <f t="shared" si="313"/>
        <v>0</v>
      </c>
      <c r="F440" s="553">
        <f t="shared" si="313"/>
        <v>0</v>
      </c>
      <c r="G440" s="553">
        <f t="shared" si="313"/>
        <v>0</v>
      </c>
      <c r="H440" s="553">
        <f t="shared" si="313"/>
        <v>0</v>
      </c>
      <c r="I440" s="553">
        <f t="shared" si="313"/>
        <v>0</v>
      </c>
      <c r="J440" s="553">
        <f t="shared" si="313"/>
        <v>0</v>
      </c>
      <c r="K440" s="553">
        <f t="shared" si="313"/>
        <v>0</v>
      </c>
      <c r="L440" s="553">
        <f t="shared" si="313"/>
        <v>0</v>
      </c>
      <c r="M440" s="553">
        <f t="shared" si="313"/>
        <v>0</v>
      </c>
      <c r="N440" s="553">
        <f t="shared" si="313"/>
        <v>0</v>
      </c>
      <c r="O440" s="553">
        <f t="shared" si="313"/>
        <v>0</v>
      </c>
      <c r="P440" s="553">
        <f t="shared" si="313"/>
        <v>0</v>
      </c>
      <c r="Q440" s="553">
        <f t="shared" si="313"/>
        <v>0</v>
      </c>
      <c r="R440" s="553">
        <f t="shared" si="313"/>
        <v>0</v>
      </c>
      <c r="S440" s="553">
        <f t="shared" si="313"/>
        <v>0</v>
      </c>
      <c r="T440" s="553">
        <f t="shared" si="313"/>
        <v>0</v>
      </c>
      <c r="U440" s="553">
        <f t="shared" si="313"/>
        <v>0</v>
      </c>
      <c r="V440" s="553">
        <f t="shared" si="313"/>
        <v>0</v>
      </c>
      <c r="W440" s="553">
        <f t="shared" si="313"/>
        <v>0</v>
      </c>
      <c r="X440" s="553">
        <f t="shared" si="313"/>
        <v>0</v>
      </c>
      <c r="Y440" s="553">
        <f t="shared" si="313"/>
        <v>0</v>
      </c>
      <c r="Z440" s="553">
        <f t="shared" si="313"/>
        <v>0</v>
      </c>
      <c r="AA440" s="553">
        <f t="shared" si="313"/>
        <v>0</v>
      </c>
      <c r="AB440" s="553">
        <f t="shared" si="313"/>
        <v>0</v>
      </c>
      <c r="AC440" s="553">
        <f t="shared" si="313"/>
        <v>0</v>
      </c>
      <c r="AD440" s="553">
        <f t="shared" si="313"/>
        <v>0</v>
      </c>
      <c r="AE440" s="553">
        <f t="shared" si="313"/>
        <v>0</v>
      </c>
      <c r="AF440" s="553">
        <f t="shared" si="313"/>
        <v>0</v>
      </c>
      <c r="AG440" s="553">
        <f t="shared" si="313"/>
        <v>0</v>
      </c>
      <c r="AH440" s="553">
        <f t="shared" si="313"/>
        <v>0</v>
      </c>
      <c r="AI440" s="553">
        <f t="shared" ref="AI440:BB440" si="314">IF(ISBLANK(INDEX(MO_IS_FirstRow,0,COLUMN())),0,ROUND(AI316-AI171,6))</f>
        <v>0</v>
      </c>
      <c r="AJ440" s="553">
        <f t="shared" si="314"/>
        <v>0</v>
      </c>
      <c r="AK440" s="553">
        <f t="shared" si="314"/>
        <v>0</v>
      </c>
      <c r="AL440" s="553">
        <f t="shared" si="314"/>
        <v>0</v>
      </c>
      <c r="AM440" s="553">
        <f t="shared" si="314"/>
        <v>0</v>
      </c>
      <c r="AN440" s="553">
        <f t="shared" si="314"/>
        <v>0</v>
      </c>
      <c r="AO440" s="553">
        <f t="shared" si="314"/>
        <v>0</v>
      </c>
      <c r="AP440" s="553">
        <f t="shared" si="314"/>
        <v>0</v>
      </c>
      <c r="AQ440" s="554">
        <f t="shared" si="314"/>
        <v>0</v>
      </c>
      <c r="AR440" s="555">
        <f t="shared" si="314"/>
        <v>0</v>
      </c>
      <c r="AS440" s="555">
        <f t="shared" si="314"/>
        <v>0</v>
      </c>
      <c r="AT440" s="555">
        <f t="shared" si="314"/>
        <v>0</v>
      </c>
      <c r="AU440" s="555">
        <f t="shared" si="314"/>
        <v>0</v>
      </c>
      <c r="AV440" s="555">
        <f t="shared" si="314"/>
        <v>0</v>
      </c>
      <c r="AW440" s="555">
        <f t="shared" si="314"/>
        <v>0</v>
      </c>
      <c r="AX440" s="555">
        <f t="shared" si="314"/>
        <v>0</v>
      </c>
      <c r="AY440" s="555">
        <f t="shared" si="314"/>
        <v>0</v>
      </c>
      <c r="AZ440" s="555">
        <f t="shared" si="314"/>
        <v>0</v>
      </c>
      <c r="BA440" s="555">
        <f t="shared" si="314"/>
        <v>0</v>
      </c>
      <c r="BB440" s="555">
        <f t="shared" si="314"/>
        <v>0</v>
      </c>
      <c r="BC440" s="362"/>
    </row>
    <row r="441" spans="1:55" s="23" customFormat="1">
      <c r="A441" s="520" t="s">
        <v>32</v>
      </c>
      <c r="B441" s="522"/>
      <c r="C441" s="553">
        <f t="shared" ref="C441:AH441" si="315">IF(ISBLANK(INDEX(MO_IS_FirstRow,0,COLUMN())),0,ROUND(C114-C171,6))</f>
        <v>0</v>
      </c>
      <c r="D441" s="553">
        <f t="shared" si="315"/>
        <v>0</v>
      </c>
      <c r="E441" s="553">
        <f t="shared" si="315"/>
        <v>0</v>
      </c>
      <c r="F441" s="553">
        <f t="shared" si="315"/>
        <v>0</v>
      </c>
      <c r="G441" s="553">
        <f t="shared" si="315"/>
        <v>0</v>
      </c>
      <c r="H441" s="553">
        <f t="shared" si="315"/>
        <v>0</v>
      </c>
      <c r="I441" s="553">
        <f t="shared" si="315"/>
        <v>0</v>
      </c>
      <c r="J441" s="553">
        <f t="shared" si="315"/>
        <v>0</v>
      </c>
      <c r="K441" s="553">
        <f t="shared" si="315"/>
        <v>0</v>
      </c>
      <c r="L441" s="553">
        <f t="shared" si="315"/>
        <v>0</v>
      </c>
      <c r="M441" s="553">
        <f t="shared" si="315"/>
        <v>0</v>
      </c>
      <c r="N441" s="553">
        <f t="shared" si="315"/>
        <v>0</v>
      </c>
      <c r="O441" s="553">
        <f t="shared" si="315"/>
        <v>0</v>
      </c>
      <c r="P441" s="553">
        <f t="shared" si="315"/>
        <v>0</v>
      </c>
      <c r="Q441" s="553">
        <f t="shared" si="315"/>
        <v>0</v>
      </c>
      <c r="R441" s="553">
        <f t="shared" si="315"/>
        <v>0</v>
      </c>
      <c r="S441" s="553">
        <f t="shared" si="315"/>
        <v>0</v>
      </c>
      <c r="T441" s="553">
        <f t="shared" si="315"/>
        <v>0</v>
      </c>
      <c r="U441" s="553">
        <f t="shared" si="315"/>
        <v>0</v>
      </c>
      <c r="V441" s="553">
        <f t="shared" si="315"/>
        <v>0</v>
      </c>
      <c r="W441" s="553">
        <f t="shared" si="315"/>
        <v>0</v>
      </c>
      <c r="X441" s="553">
        <f t="shared" si="315"/>
        <v>0</v>
      </c>
      <c r="Y441" s="553">
        <f t="shared" si="315"/>
        <v>0</v>
      </c>
      <c r="Z441" s="553">
        <f t="shared" si="315"/>
        <v>0</v>
      </c>
      <c r="AA441" s="553">
        <f t="shared" si="315"/>
        <v>0</v>
      </c>
      <c r="AB441" s="553">
        <f t="shared" si="315"/>
        <v>0</v>
      </c>
      <c r="AC441" s="553">
        <f t="shared" si="315"/>
        <v>0</v>
      </c>
      <c r="AD441" s="553">
        <f t="shared" si="315"/>
        <v>0</v>
      </c>
      <c r="AE441" s="553">
        <f t="shared" si="315"/>
        <v>0</v>
      </c>
      <c r="AF441" s="553">
        <f t="shared" si="315"/>
        <v>0</v>
      </c>
      <c r="AG441" s="553">
        <f t="shared" si="315"/>
        <v>0</v>
      </c>
      <c r="AH441" s="553">
        <f t="shared" si="315"/>
        <v>0</v>
      </c>
      <c r="AI441" s="553">
        <f t="shared" ref="AI441:BB441" si="316">IF(ISBLANK(INDEX(MO_IS_FirstRow,0,COLUMN())),0,ROUND(AI114-AI171,6))</f>
        <v>0</v>
      </c>
      <c r="AJ441" s="553">
        <f t="shared" si="316"/>
        <v>0</v>
      </c>
      <c r="AK441" s="553">
        <f t="shared" si="316"/>
        <v>0</v>
      </c>
      <c r="AL441" s="553">
        <f t="shared" si="316"/>
        <v>0</v>
      </c>
      <c r="AM441" s="553">
        <f t="shared" si="316"/>
        <v>0</v>
      </c>
      <c r="AN441" s="553">
        <f t="shared" si="316"/>
        <v>0</v>
      </c>
      <c r="AO441" s="553">
        <f t="shared" si="316"/>
        <v>0</v>
      </c>
      <c r="AP441" s="553">
        <f t="shared" si="316"/>
        <v>0</v>
      </c>
      <c r="AQ441" s="554">
        <f t="shared" si="316"/>
        <v>0</v>
      </c>
      <c r="AR441" s="555">
        <f t="shared" si="316"/>
        <v>0</v>
      </c>
      <c r="AS441" s="555">
        <f t="shared" si="316"/>
        <v>0</v>
      </c>
      <c r="AT441" s="555">
        <f t="shared" si="316"/>
        <v>0</v>
      </c>
      <c r="AU441" s="555">
        <f t="shared" si="316"/>
        <v>0</v>
      </c>
      <c r="AV441" s="555">
        <f t="shared" si="316"/>
        <v>0</v>
      </c>
      <c r="AW441" s="555">
        <f t="shared" si="316"/>
        <v>0</v>
      </c>
      <c r="AX441" s="555">
        <f t="shared" si="316"/>
        <v>0</v>
      </c>
      <c r="AY441" s="555">
        <f t="shared" si="316"/>
        <v>0</v>
      </c>
      <c r="AZ441" s="555">
        <f t="shared" si="316"/>
        <v>0</v>
      </c>
      <c r="BA441" s="555">
        <f t="shared" si="316"/>
        <v>0</v>
      </c>
      <c r="BB441" s="555">
        <f t="shared" si="316"/>
        <v>0</v>
      </c>
      <c r="BC441" s="362"/>
    </row>
    <row r="442" spans="1:55" s="23" customFormat="1">
      <c r="A442" s="520" t="s">
        <v>479</v>
      </c>
      <c r="B442" s="522"/>
      <c r="C442" s="553">
        <f t="shared" ref="C442:AH442" si="317">IF(C215&lt;0,C215,0)</f>
        <v>0</v>
      </c>
      <c r="D442" s="553">
        <f t="shared" si="317"/>
        <v>0</v>
      </c>
      <c r="E442" s="553">
        <f t="shared" si="317"/>
        <v>0</v>
      </c>
      <c r="F442" s="553">
        <f t="shared" si="317"/>
        <v>0</v>
      </c>
      <c r="G442" s="553">
        <f t="shared" si="317"/>
        <v>0</v>
      </c>
      <c r="H442" s="553">
        <f t="shared" si="317"/>
        <v>0</v>
      </c>
      <c r="I442" s="553">
        <f t="shared" si="317"/>
        <v>0</v>
      </c>
      <c r="J442" s="553">
        <f t="shared" si="317"/>
        <v>0</v>
      </c>
      <c r="K442" s="553">
        <f t="shared" si="317"/>
        <v>0</v>
      </c>
      <c r="L442" s="553">
        <f t="shared" si="317"/>
        <v>0</v>
      </c>
      <c r="M442" s="553">
        <f t="shared" si="317"/>
        <v>0</v>
      </c>
      <c r="N442" s="553">
        <f t="shared" si="317"/>
        <v>0</v>
      </c>
      <c r="O442" s="553">
        <f t="shared" si="317"/>
        <v>0</v>
      </c>
      <c r="P442" s="553">
        <f t="shared" si="317"/>
        <v>0</v>
      </c>
      <c r="Q442" s="553">
        <f t="shared" si="317"/>
        <v>0</v>
      </c>
      <c r="R442" s="553">
        <f t="shared" si="317"/>
        <v>0</v>
      </c>
      <c r="S442" s="553">
        <f t="shared" si="317"/>
        <v>0</v>
      </c>
      <c r="T442" s="553">
        <f t="shared" si="317"/>
        <v>0</v>
      </c>
      <c r="U442" s="553">
        <f t="shared" si="317"/>
        <v>0</v>
      </c>
      <c r="V442" s="553">
        <f t="shared" si="317"/>
        <v>0</v>
      </c>
      <c r="W442" s="553">
        <f t="shared" si="317"/>
        <v>0</v>
      </c>
      <c r="X442" s="553">
        <f t="shared" si="317"/>
        <v>0</v>
      </c>
      <c r="Y442" s="553">
        <f t="shared" si="317"/>
        <v>0</v>
      </c>
      <c r="Z442" s="553">
        <f t="shared" si="317"/>
        <v>0</v>
      </c>
      <c r="AA442" s="553">
        <f t="shared" si="317"/>
        <v>0</v>
      </c>
      <c r="AB442" s="553">
        <f t="shared" si="317"/>
        <v>0</v>
      </c>
      <c r="AC442" s="553">
        <f t="shared" si="317"/>
        <v>0</v>
      </c>
      <c r="AD442" s="553">
        <f t="shared" si="317"/>
        <v>0</v>
      </c>
      <c r="AE442" s="553">
        <f t="shared" si="317"/>
        <v>0</v>
      </c>
      <c r="AF442" s="553">
        <f t="shared" si="317"/>
        <v>0</v>
      </c>
      <c r="AG442" s="553">
        <f t="shared" si="317"/>
        <v>0</v>
      </c>
      <c r="AH442" s="553">
        <f t="shared" si="317"/>
        <v>0</v>
      </c>
      <c r="AI442" s="553">
        <f t="shared" ref="AI442:BB442" si="318">IF(AI215&lt;0,AI215,0)</f>
        <v>0</v>
      </c>
      <c r="AJ442" s="553">
        <f t="shared" si="318"/>
        <v>0</v>
      </c>
      <c r="AK442" s="553">
        <f t="shared" si="318"/>
        <v>0</v>
      </c>
      <c r="AL442" s="553">
        <f t="shared" si="318"/>
        <v>0</v>
      </c>
      <c r="AM442" s="553">
        <f t="shared" si="318"/>
        <v>0</v>
      </c>
      <c r="AN442" s="553">
        <f t="shared" si="318"/>
        <v>0</v>
      </c>
      <c r="AO442" s="553">
        <f t="shared" si="318"/>
        <v>0</v>
      </c>
      <c r="AP442" s="553">
        <f t="shared" si="318"/>
        <v>0</v>
      </c>
      <c r="AQ442" s="554">
        <f t="shared" si="318"/>
        <v>0</v>
      </c>
      <c r="AR442" s="555">
        <f t="shared" ca="1" si="318"/>
        <v>0</v>
      </c>
      <c r="AS442" s="555">
        <f t="shared" ca="1" si="318"/>
        <v>0</v>
      </c>
      <c r="AT442" s="555">
        <f t="shared" ca="1" si="318"/>
        <v>0</v>
      </c>
      <c r="AU442" s="555">
        <f t="shared" ca="1" si="318"/>
        <v>0</v>
      </c>
      <c r="AV442" s="555">
        <f t="shared" ca="1" si="318"/>
        <v>0</v>
      </c>
      <c r="AW442" s="555">
        <f t="shared" ca="1" si="318"/>
        <v>0</v>
      </c>
      <c r="AX442" s="555">
        <f t="shared" ca="1" si="318"/>
        <v>0</v>
      </c>
      <c r="AY442" s="555">
        <f t="shared" ca="1" si="318"/>
        <v>0</v>
      </c>
      <c r="AZ442" s="555">
        <f t="shared" ca="1" si="318"/>
        <v>0</v>
      </c>
      <c r="BA442" s="555">
        <f t="shared" ca="1" si="318"/>
        <v>0</v>
      </c>
      <c r="BB442" s="555">
        <f t="shared" ca="1" si="318"/>
        <v>0</v>
      </c>
      <c r="BC442" s="362"/>
    </row>
    <row r="443" spans="1:55" s="23" customFormat="1">
      <c r="A443" s="520" t="s">
        <v>480</v>
      </c>
      <c r="B443" s="522"/>
      <c r="C443" s="553">
        <f t="shared" ref="C443:AH443" si="319">IF(C218&lt;0,C218,0)</f>
        <v>0</v>
      </c>
      <c r="D443" s="553">
        <f t="shared" si="319"/>
        <v>0</v>
      </c>
      <c r="E443" s="553">
        <f t="shared" si="319"/>
        <v>0</v>
      </c>
      <c r="F443" s="553">
        <f t="shared" si="319"/>
        <v>0</v>
      </c>
      <c r="G443" s="553">
        <f t="shared" si="319"/>
        <v>0</v>
      </c>
      <c r="H443" s="553">
        <f t="shared" si="319"/>
        <v>0</v>
      </c>
      <c r="I443" s="553">
        <f t="shared" si="319"/>
        <v>0</v>
      </c>
      <c r="J443" s="553">
        <f t="shared" si="319"/>
        <v>0</v>
      </c>
      <c r="K443" s="553">
        <f t="shared" si="319"/>
        <v>0</v>
      </c>
      <c r="L443" s="553">
        <f t="shared" si="319"/>
        <v>0</v>
      </c>
      <c r="M443" s="553">
        <f t="shared" si="319"/>
        <v>0</v>
      </c>
      <c r="N443" s="553">
        <f t="shared" si="319"/>
        <v>0</v>
      </c>
      <c r="O443" s="553">
        <f t="shared" si="319"/>
        <v>0</v>
      </c>
      <c r="P443" s="553">
        <f t="shared" si="319"/>
        <v>0</v>
      </c>
      <c r="Q443" s="553">
        <f t="shared" si="319"/>
        <v>0</v>
      </c>
      <c r="R443" s="553">
        <f t="shared" si="319"/>
        <v>0</v>
      </c>
      <c r="S443" s="553">
        <f t="shared" si="319"/>
        <v>0</v>
      </c>
      <c r="T443" s="553">
        <f t="shared" si="319"/>
        <v>0</v>
      </c>
      <c r="U443" s="553">
        <f t="shared" si="319"/>
        <v>0</v>
      </c>
      <c r="V443" s="553">
        <f t="shared" si="319"/>
        <v>0</v>
      </c>
      <c r="W443" s="553">
        <f t="shared" si="319"/>
        <v>0</v>
      </c>
      <c r="X443" s="553">
        <f t="shared" si="319"/>
        <v>0</v>
      </c>
      <c r="Y443" s="553">
        <f t="shared" si="319"/>
        <v>0</v>
      </c>
      <c r="Z443" s="553">
        <f t="shared" si="319"/>
        <v>0</v>
      </c>
      <c r="AA443" s="553">
        <f t="shared" si="319"/>
        <v>0</v>
      </c>
      <c r="AB443" s="553">
        <f t="shared" si="319"/>
        <v>0</v>
      </c>
      <c r="AC443" s="553">
        <f t="shared" si="319"/>
        <v>0</v>
      </c>
      <c r="AD443" s="553">
        <f t="shared" si="319"/>
        <v>0</v>
      </c>
      <c r="AE443" s="553">
        <f t="shared" si="319"/>
        <v>0</v>
      </c>
      <c r="AF443" s="553">
        <f t="shared" si="319"/>
        <v>0</v>
      </c>
      <c r="AG443" s="553">
        <f t="shared" si="319"/>
        <v>0</v>
      </c>
      <c r="AH443" s="553">
        <f t="shared" si="319"/>
        <v>0</v>
      </c>
      <c r="AI443" s="553">
        <f t="shared" ref="AI443:BB443" si="320">IF(AI218&lt;0,AI218,0)</f>
        <v>0</v>
      </c>
      <c r="AJ443" s="553">
        <f t="shared" si="320"/>
        <v>0</v>
      </c>
      <c r="AK443" s="553">
        <f t="shared" si="320"/>
        <v>0</v>
      </c>
      <c r="AL443" s="553">
        <f t="shared" si="320"/>
        <v>0</v>
      </c>
      <c r="AM443" s="553">
        <f t="shared" si="320"/>
        <v>0</v>
      </c>
      <c r="AN443" s="553">
        <f t="shared" si="320"/>
        <v>0</v>
      </c>
      <c r="AO443" s="553">
        <f t="shared" si="320"/>
        <v>0</v>
      </c>
      <c r="AP443" s="553">
        <f t="shared" si="320"/>
        <v>0</v>
      </c>
      <c r="AQ443" s="554">
        <f t="shared" si="320"/>
        <v>0</v>
      </c>
      <c r="AR443" s="555">
        <f t="shared" si="320"/>
        <v>0</v>
      </c>
      <c r="AS443" s="555">
        <f t="shared" si="320"/>
        <v>0</v>
      </c>
      <c r="AT443" s="555">
        <f t="shared" si="320"/>
        <v>0</v>
      </c>
      <c r="AU443" s="555">
        <f t="shared" si="320"/>
        <v>0</v>
      </c>
      <c r="AV443" s="555">
        <f t="shared" si="320"/>
        <v>0</v>
      </c>
      <c r="AW443" s="555">
        <f t="shared" si="320"/>
        <v>0</v>
      </c>
      <c r="AX443" s="555">
        <f t="shared" si="320"/>
        <v>0</v>
      </c>
      <c r="AY443" s="555">
        <f t="shared" si="320"/>
        <v>0</v>
      </c>
      <c r="AZ443" s="555">
        <f t="shared" si="320"/>
        <v>0</v>
      </c>
      <c r="BA443" s="555">
        <f t="shared" si="320"/>
        <v>0</v>
      </c>
      <c r="BB443" s="555">
        <f t="shared" si="320"/>
        <v>0</v>
      </c>
      <c r="BC443" s="362"/>
    </row>
    <row r="444" spans="1:55" s="23" customFormat="1">
      <c r="A444" s="520" t="s">
        <v>33</v>
      </c>
      <c r="B444" s="522"/>
      <c r="C444" s="553">
        <f t="shared" ref="C444:AH444" si="321">IF(AND(ISBLANK(C22),ISBLANK(C25)),0,ROUND(C149-C22-C25,6))</f>
        <v>0</v>
      </c>
      <c r="D444" s="553">
        <f t="shared" si="321"/>
        <v>0</v>
      </c>
      <c r="E444" s="553">
        <f t="shared" si="321"/>
        <v>0</v>
      </c>
      <c r="F444" s="553">
        <f t="shared" si="321"/>
        <v>0</v>
      </c>
      <c r="G444" s="553">
        <f t="shared" si="321"/>
        <v>0</v>
      </c>
      <c r="H444" s="553">
        <f t="shared" si="321"/>
        <v>0</v>
      </c>
      <c r="I444" s="553">
        <f t="shared" si="321"/>
        <v>0</v>
      </c>
      <c r="J444" s="553">
        <f t="shared" si="321"/>
        <v>0</v>
      </c>
      <c r="K444" s="553">
        <f t="shared" si="321"/>
        <v>0</v>
      </c>
      <c r="L444" s="553">
        <f t="shared" si="321"/>
        <v>0</v>
      </c>
      <c r="M444" s="553">
        <f t="shared" si="321"/>
        <v>0</v>
      </c>
      <c r="N444" s="553">
        <f t="shared" si="321"/>
        <v>0</v>
      </c>
      <c r="O444" s="553">
        <f t="shared" si="321"/>
        <v>0</v>
      </c>
      <c r="P444" s="553">
        <f t="shared" si="321"/>
        <v>0</v>
      </c>
      <c r="Q444" s="553">
        <f t="shared" si="321"/>
        <v>0</v>
      </c>
      <c r="R444" s="553">
        <f t="shared" si="321"/>
        <v>0</v>
      </c>
      <c r="S444" s="553">
        <f t="shared" si="321"/>
        <v>0</v>
      </c>
      <c r="T444" s="553">
        <f t="shared" si="321"/>
        <v>0</v>
      </c>
      <c r="U444" s="553">
        <f t="shared" si="321"/>
        <v>0</v>
      </c>
      <c r="V444" s="553">
        <f t="shared" si="321"/>
        <v>0</v>
      </c>
      <c r="W444" s="553">
        <f t="shared" si="321"/>
        <v>0</v>
      </c>
      <c r="X444" s="553">
        <f t="shared" si="321"/>
        <v>0</v>
      </c>
      <c r="Y444" s="553">
        <f t="shared" si="321"/>
        <v>0</v>
      </c>
      <c r="Z444" s="553">
        <f t="shared" si="321"/>
        <v>0</v>
      </c>
      <c r="AA444" s="553">
        <f t="shared" si="321"/>
        <v>0</v>
      </c>
      <c r="AB444" s="553">
        <f t="shared" si="321"/>
        <v>0</v>
      </c>
      <c r="AC444" s="553">
        <f t="shared" si="321"/>
        <v>0</v>
      </c>
      <c r="AD444" s="553">
        <f t="shared" si="321"/>
        <v>0</v>
      </c>
      <c r="AE444" s="553">
        <f t="shared" si="321"/>
        <v>0</v>
      </c>
      <c r="AF444" s="553">
        <f t="shared" si="321"/>
        <v>0</v>
      </c>
      <c r="AG444" s="553">
        <f t="shared" si="321"/>
        <v>0</v>
      </c>
      <c r="AH444" s="553">
        <f t="shared" si="321"/>
        <v>0</v>
      </c>
      <c r="AI444" s="553">
        <f t="shared" ref="AI444:BB444" si="322">IF(AND(ISBLANK(AI22),ISBLANK(AI25)),0,ROUND(AI149-AI22-AI25,6))</f>
        <v>0</v>
      </c>
      <c r="AJ444" s="553">
        <f t="shared" si="322"/>
        <v>0</v>
      </c>
      <c r="AK444" s="553">
        <f t="shared" si="322"/>
        <v>0</v>
      </c>
      <c r="AL444" s="553">
        <f t="shared" si="322"/>
        <v>0</v>
      </c>
      <c r="AM444" s="553">
        <f t="shared" si="322"/>
        <v>0</v>
      </c>
      <c r="AN444" s="553">
        <f t="shared" si="322"/>
        <v>0</v>
      </c>
      <c r="AO444" s="553">
        <f t="shared" si="322"/>
        <v>0</v>
      </c>
      <c r="AP444" s="553">
        <f t="shared" si="322"/>
        <v>0</v>
      </c>
      <c r="AQ444" s="554">
        <f t="shared" si="322"/>
        <v>0</v>
      </c>
      <c r="AR444" s="555">
        <f t="shared" si="322"/>
        <v>0</v>
      </c>
      <c r="AS444" s="555">
        <f t="shared" si="322"/>
        <v>0</v>
      </c>
      <c r="AT444" s="555">
        <f t="shared" si="322"/>
        <v>0</v>
      </c>
      <c r="AU444" s="555">
        <f t="shared" si="322"/>
        <v>0</v>
      </c>
      <c r="AV444" s="555">
        <f t="shared" si="322"/>
        <v>0</v>
      </c>
      <c r="AW444" s="555">
        <f t="shared" si="322"/>
        <v>0</v>
      </c>
      <c r="AX444" s="555">
        <f t="shared" si="322"/>
        <v>0</v>
      </c>
      <c r="AY444" s="555">
        <f t="shared" si="322"/>
        <v>0</v>
      </c>
      <c r="AZ444" s="555">
        <f t="shared" si="322"/>
        <v>0</v>
      </c>
      <c r="BA444" s="555">
        <f t="shared" si="322"/>
        <v>0</v>
      </c>
      <c r="BB444" s="555">
        <f t="shared" si="322"/>
        <v>0</v>
      </c>
      <c r="BC444" s="362"/>
    </row>
    <row r="445" spans="1:55" s="23" customFormat="1">
      <c r="A445" s="520" t="s">
        <v>34</v>
      </c>
      <c r="B445" s="522"/>
      <c r="C445" s="553">
        <f>IF(ISBLANK(INDEX(MO_IS_FirstRow,0,COLUMN())),0,IF(OR(C368=B368,C368=D368),"CHECK",0))</f>
        <v>0</v>
      </c>
      <c r="D445" s="553">
        <f>IF(ISBLANK(INDEX(MO_IS_FirstRow,0,COLUMN())),0,IF(OR(D368=C368,D368=E368),"CHECK",0))</f>
        <v>0</v>
      </c>
      <c r="E445" s="553">
        <f>IF(ISBLANK(INDEX(MO_IS_FirstRow,0,COLUMN())),0,IF(OR(E368=D368,E368=F368),"CHECK",0))</f>
        <v>0</v>
      </c>
      <c r="F445" s="553">
        <f>IF(ISBLANK(INDEX(MO_IS_FirstRow,0,COLUMN())),0,IF(OR(F368=E368,F368=K368),"CHECK",0))</f>
        <v>0</v>
      </c>
      <c r="G445" s="553">
        <f>IF(ISBLANK(INDEX(MO_IS_FirstRow,0,COLUMN())),0,IF(OR(G368=B368,G368=H368,G368=E368),"CHECK",0))</f>
        <v>0</v>
      </c>
      <c r="H445" s="553">
        <f>IF(ISBLANK(INDEX(MO_IS_FirstRow,0,COLUMN())),0,IF(OR(H368=C368,H368=I368,H368=G368),"CHECK",0))</f>
        <v>0</v>
      </c>
      <c r="I445" s="553">
        <f>IF(ISBLANK(INDEX(MO_IS_FirstRow,0,COLUMN())),0,IF(OR(I368=D368,I368=J368,I368=H368),"CHECK",0))</f>
        <v>0</v>
      </c>
      <c r="J445" s="553">
        <f>IF(ISBLANK(INDEX(MO_IS_FirstRow,0,COLUMN())),0,IF(OR(J368=E368,J368=K368,J368=I368),"CHECK",0))</f>
        <v>0</v>
      </c>
      <c r="K445" s="553">
        <f>IF(ISBLANK(INDEX(MO_IS_FirstRow,0,COLUMN())),0,IF(K368=F368,"CHECK",0))</f>
        <v>0</v>
      </c>
      <c r="L445" s="553">
        <f>IF(ISBLANK(INDEX(MO_IS_FirstRow,0,COLUMN())),0,IF(OR(L368=G368,L368=M368,L368=J368),"CHECK",0))</f>
        <v>0</v>
      </c>
      <c r="M445" s="553">
        <f>IF(ISBLANK(INDEX(MO_IS_FirstRow,0,COLUMN())),0,IF(OR(M368=H368,M368=N368,M368=L368),"CHECK",0))</f>
        <v>0</v>
      </c>
      <c r="N445" s="553">
        <f>IF(ISBLANK(INDEX(MO_IS_FirstRow,0,COLUMN())),0,IF(OR(N368=I368,N368=O368,N368=M368),"CHECK",0))</f>
        <v>0</v>
      </c>
      <c r="O445" s="553">
        <f>IF(ISBLANK(INDEX(MO_IS_FirstRow,0,COLUMN())),0,IF(OR(O368=J368,O368=P368,O368=N368),"CHECK",0))</f>
        <v>0</v>
      </c>
      <c r="P445" s="553">
        <f>IF(ISBLANK(INDEX(MO_IS_FirstRow,0,COLUMN())),0,IF(P368=K368,"CHECK",0))</f>
        <v>0</v>
      </c>
      <c r="Q445" s="553">
        <f>IF(ISBLANK(INDEX(MO_IS_FirstRow,0,COLUMN())),0,IF(OR(Q368=L368,Q368=R368,Q368=O368),"CHECK",0))</f>
        <v>0</v>
      </c>
      <c r="R445" s="553">
        <f>IF(ISBLANK(INDEX(MO_IS_FirstRow,0,COLUMN())),0,IF(OR(R368=M368,R368=S368,R368=Q368),"CHECK",0))</f>
        <v>0</v>
      </c>
      <c r="S445" s="553">
        <f>IF(ISBLANK(INDEX(MO_IS_FirstRow,0,COLUMN())),0,IF(OR(S368=N368,S368=T368,S368=R368),"CHECK",0))</f>
        <v>0</v>
      </c>
      <c r="T445" s="553">
        <f>IF(ISBLANK(INDEX(MO_IS_FirstRow,0,COLUMN())),0,IF(OR(T368=O368,T368=U368,T368=S368),"CHECK",0))</f>
        <v>0</v>
      </c>
      <c r="U445" s="553">
        <f>IF(ISBLANK(INDEX(MO_IS_FirstRow,0,COLUMN())),0,IF(U368=P368,"CHECK",0))</f>
        <v>0</v>
      </c>
      <c r="V445" s="553">
        <f>IF(ISBLANK(INDEX(MO_IS_FirstRow,0,COLUMN())),0,IF(OR(V368=Q368,V368=W368,V368=T368),"CHECK",0))</f>
        <v>0</v>
      </c>
      <c r="W445" s="553">
        <f>IF(ISBLANK(INDEX(MO_IS_FirstRow,0,COLUMN())),0,IF(OR(W368=R368,W368=X368,W368=V368),"CHECK",0))</f>
        <v>0</v>
      </c>
      <c r="X445" s="553">
        <f>IF(ISBLANK(INDEX(MO_IS_FirstRow,0,COLUMN())),0,IF(OR(X368=S368,X368=Y368,X368=W368),"CHECK",0))</f>
        <v>0</v>
      </c>
      <c r="Y445" s="553">
        <f>IF(ISBLANK(INDEX(MO_IS_FirstRow,0,COLUMN())),0,IF(OR(Y368=T368,Y368=Z368,Y368=X368),"CHECK",0))</f>
        <v>0</v>
      </c>
      <c r="Z445" s="553">
        <f>IF(ISBLANK(INDEX(MO_IS_FirstRow,0,COLUMN())),0,IF(Z368=U368,"CHECK",0))</f>
        <v>0</v>
      </c>
      <c r="AA445" s="553">
        <f>IF(ISBLANK(INDEX(MO_IS_FirstRow,0,COLUMN())),0,IF(OR(AA368=V368,AA368=AB368,AA368=Y368),"CHECK",0))</f>
        <v>0</v>
      </c>
      <c r="AB445" s="553">
        <f>IF(ISBLANK(INDEX(MO_IS_FirstRow,0,COLUMN())),0,IF(OR(AB368=W368,AB368=AC368,AB368=AA368),"CHECK",0))</f>
        <v>0</v>
      </c>
      <c r="AC445" s="553">
        <f>IF(ISBLANK(INDEX(MO_IS_FirstRow,0,COLUMN())),0,IF(OR(AC368=X368,AC368=AD368,AC368=AB368),"CHECK",0))</f>
        <v>0</v>
      </c>
      <c r="AD445" s="553">
        <f>IF(ISBLANK(INDEX(MO_IS_FirstRow,0,COLUMN())),0,IF(OR(AD368=Y368,AD368=AE368,AD368=AC368),"CHECK",0))</f>
        <v>0</v>
      </c>
      <c r="AE445" s="553">
        <f>IF(ISBLANK(INDEX(MO_IS_FirstRow,0,COLUMN())),0,IF(AE368=Z368,"CHECK",0))</f>
        <v>0</v>
      </c>
      <c r="AF445" s="553">
        <f>IF(ISBLANK(INDEX(MO_IS_FirstRow,0,COLUMN())),0,IF(OR(AF368=AA368,AF368=AG368,AF368=AD368),"CHECK",0))</f>
        <v>0</v>
      </c>
      <c r="AG445" s="553">
        <f>IF(ISBLANK(INDEX(MO_IS_FirstRow,0,COLUMN())),0,IF(OR(AG368=AB368,AG368=AH368,AG368=AF368),"CHECK",0))</f>
        <v>0</v>
      </c>
      <c r="AH445" s="553">
        <f>IF(ISBLANK(INDEX(MO_IS_FirstRow,0,COLUMN())),0,IF(OR(AH368=AC368,AH368=AI368,AH368=AG368),"CHECK",0))</f>
        <v>0</v>
      </c>
      <c r="AI445" s="553">
        <f>IF(ISBLANK(INDEX(MO_IS_FirstRow,0,COLUMN())),0,IF(OR(AI368=AD368,AI368=AJ368,AI368=AH368),"CHECK",0))</f>
        <v>0</v>
      </c>
      <c r="AJ445" s="553">
        <f>IF(ISBLANK(INDEX(MO_IS_FirstRow,0,COLUMN())),0,IF(AJ368=AE368,"CHECK",0))</f>
        <v>0</v>
      </c>
      <c r="AK445" s="553">
        <f>IF(ISBLANK(INDEX(MO_IS_FirstRow,0,COLUMN())),0,IF(OR(AK368=AF368,AK368=AL368,AK368=AI368),"CHECK",0))</f>
        <v>0</v>
      </c>
      <c r="AL445" s="553">
        <f>IF(ISBLANK(INDEX(MO_IS_FirstRow,0,COLUMN())),0,IF(OR(AL368=AG368,AL368=AM368,AL368=AK368),"CHECK",0))</f>
        <v>0</v>
      </c>
      <c r="AM445" s="553">
        <f>IF(ISBLANK(INDEX(MO_IS_FirstRow,0,COLUMN())),0,IF(OR(AM368=AH368,AM368=AN368,AM368=AL368),"CHECK",0))</f>
        <v>0</v>
      </c>
      <c r="AN445" s="553">
        <f>IF(ISBLANK(INDEX(MO_IS_FirstRow,0,COLUMN())),0,IF(OR(AN368=AI368,AN368=AO368,AN368=AM368),"CHECK",0))</f>
        <v>0</v>
      </c>
      <c r="AO445" s="553">
        <f>IF(ISBLANK(INDEX(MO_IS_FirstRow,0,COLUMN())),0,IF(AO368=AJ368,"CHECK",0))</f>
        <v>0</v>
      </c>
      <c r="AP445" s="553">
        <f>IF(ISBLANK(INDEX(MO_IS_FirstRow,0,COLUMN())),0,IF(OR(AP368=AK368,AP368=AQ368,AP368=AN368),"CHECK",0))</f>
        <v>0</v>
      </c>
      <c r="AQ445" s="554">
        <f ca="1">IF(ISBLANK(INDEX(MO_IS_FirstRow,0,COLUMN())),0,IF(OR(AQ368=AL368,AQ368=AR368,AQ368=AP368),"CHECK",0))</f>
        <v>0</v>
      </c>
      <c r="AR445" s="555"/>
      <c r="AS445" s="555"/>
      <c r="AT445" s="555"/>
      <c r="AU445" s="555"/>
      <c r="AV445" s="555"/>
      <c r="AW445" s="555"/>
      <c r="AX445" s="555"/>
      <c r="AY445" s="555"/>
      <c r="AZ445" s="555"/>
      <c r="BA445" s="555"/>
      <c r="BB445" s="555"/>
      <c r="BC445" s="362"/>
    </row>
    <row r="446" spans="1:55" s="23" customFormat="1">
      <c r="A446" s="520" t="s">
        <v>113</v>
      </c>
      <c r="B446" s="522"/>
      <c r="C446" s="553">
        <f>IF(ISBLANK(INDEX(MO_IS_FirstRow,0,COLUMN())),0,IF(OR(C171=B171,C171=D171),"CHECK",0))</f>
        <v>0</v>
      </c>
      <c r="D446" s="553">
        <f>IF(ISBLANK(INDEX(MO_IS_FirstRow,0,COLUMN())),0,IF(OR(D171=C171,D171=E171),"CHECK",0))</f>
        <v>0</v>
      </c>
      <c r="E446" s="553">
        <f>IF(ISBLANK(INDEX(MO_IS_FirstRow,0,COLUMN())),0,IF(OR(E171=D171,E171=F171),"CHECK",0))</f>
        <v>0</v>
      </c>
      <c r="F446" s="553">
        <f>IF(ISBLANK(INDEX(MO_IS_FirstRow,0,COLUMN())),0,IF(OR(F171=E171,F171=K171),"CHECK",0))</f>
        <v>0</v>
      </c>
      <c r="G446" s="553">
        <f>IF(ISBLANK(INDEX(MO_IS_FirstRow,0,COLUMN())),0,IF(OR(G171=B171,G171=H171,G171=E171),"CHECK",0))</f>
        <v>0</v>
      </c>
      <c r="H446" s="553">
        <f>IF(ISBLANK(INDEX(MO_IS_FirstRow,0,COLUMN())),0,IF(OR(H171=C171,H171=I171,H171=G171),"CHECK",0))</f>
        <v>0</v>
      </c>
      <c r="I446" s="553">
        <f>IF(ISBLANK(INDEX(MO_IS_FirstRow,0,COLUMN())),0,IF(OR(I171=D171,I171=J171,I171=H171),"CHECK",0))</f>
        <v>0</v>
      </c>
      <c r="J446" s="553">
        <f>IF(ISBLANK(INDEX(MO_IS_FirstRow,0,COLUMN())),0,IF(OR(J171=E171,J171=K171,J171=I171),"CHECK",0))</f>
        <v>0</v>
      </c>
      <c r="K446" s="553">
        <f>IF(ISBLANK(INDEX(MO_IS_FirstRow,0,COLUMN())),0,IF(K171=F171,"CHECK",0))</f>
        <v>0</v>
      </c>
      <c r="L446" s="553">
        <f>IF(ISBLANK(INDEX(MO_IS_FirstRow,0,COLUMN())),0,IF(OR(L171=G171,L171=M171,L171=J171),"CHECK",0))</f>
        <v>0</v>
      </c>
      <c r="M446" s="553">
        <f>IF(ISBLANK(INDEX(MO_IS_FirstRow,0,COLUMN())),0,IF(OR(M171=H171,M171=N171,M171=L171),"CHECK",0))</f>
        <v>0</v>
      </c>
      <c r="N446" s="553">
        <f>IF(ISBLANK(INDEX(MO_IS_FirstRow,0,COLUMN())),0,IF(OR(N171=I171,N171=O171,N171=M171),"CHECK",0))</f>
        <v>0</v>
      </c>
      <c r="O446" s="553">
        <f>IF(ISBLANK(INDEX(MO_IS_FirstRow,0,COLUMN())),0,IF(OR(O171=J171,O171=P171,O171=N171),"CHECK",0))</f>
        <v>0</v>
      </c>
      <c r="P446" s="553">
        <f>IF(ISBLANK(INDEX(MO_IS_FirstRow,0,COLUMN())),0,IF(P171=K171,"CHECK",0))</f>
        <v>0</v>
      </c>
      <c r="Q446" s="553">
        <f>IF(ISBLANK(INDEX(MO_IS_FirstRow,0,COLUMN())),0,IF(OR(Q171=L171,Q171=R171,Q171=O171),"CHECK",0))</f>
        <v>0</v>
      </c>
      <c r="R446" s="553">
        <f>IF(ISBLANK(INDEX(MO_IS_FirstRow,0,COLUMN())),0,IF(OR(R171=M171,R171=S171,R171=Q171),"CHECK",0))</f>
        <v>0</v>
      </c>
      <c r="S446" s="553">
        <f>IF(ISBLANK(INDEX(MO_IS_FirstRow,0,COLUMN())),0,IF(OR(S171=N171,S171=T171,S171=R171),"CHECK",0))</f>
        <v>0</v>
      </c>
      <c r="T446" s="553">
        <f>IF(ISBLANK(INDEX(MO_IS_FirstRow,0,COLUMN())),0,IF(OR(T171=O171,T171=U171,T171=S171),"CHECK",0))</f>
        <v>0</v>
      </c>
      <c r="U446" s="553">
        <f>IF(ISBLANK(INDEX(MO_IS_FirstRow,0,COLUMN())),0,IF(U171=P171,"CHECK",0))</f>
        <v>0</v>
      </c>
      <c r="V446" s="553">
        <f>IF(ISBLANK(INDEX(MO_IS_FirstRow,0,COLUMN())),0,IF(OR(V171=Q171,V171=W171,V171=T171),"CHECK",0))</f>
        <v>0</v>
      </c>
      <c r="W446" s="553">
        <f>IF(ISBLANK(INDEX(MO_IS_FirstRow,0,COLUMN())),0,IF(OR(W171=R171,W171=X171,W171=V171),"CHECK",0))</f>
        <v>0</v>
      </c>
      <c r="X446" s="553">
        <f>IF(ISBLANK(INDEX(MO_IS_FirstRow,0,COLUMN())),0,IF(OR(X171=S171,X171=Y171,X171=W171),"CHECK",0))</f>
        <v>0</v>
      </c>
      <c r="Y446" s="553">
        <f>IF(ISBLANK(INDEX(MO_IS_FirstRow,0,COLUMN())),0,IF(OR(Y171=T171,Y171=Z171,Y171=X171),"CHECK",0))</f>
        <v>0</v>
      </c>
      <c r="Z446" s="553">
        <f>IF(ISBLANK(INDEX(MO_IS_FirstRow,0,COLUMN())),0,IF(Z171=U171,"CHECK",0))</f>
        <v>0</v>
      </c>
      <c r="AA446" s="553">
        <f>IF(ISBLANK(INDEX(MO_IS_FirstRow,0,COLUMN())),0,IF(OR(AA171=V171,AA171=AB171,AA171=Y171),"CHECK",0))</f>
        <v>0</v>
      </c>
      <c r="AB446" s="553">
        <f>IF(ISBLANK(INDEX(MO_IS_FirstRow,0,COLUMN())),0,IF(OR(AB171=W171,AB171=AC171,AB171=AA171),"CHECK",0))</f>
        <v>0</v>
      </c>
      <c r="AC446" s="553">
        <f>IF(ISBLANK(INDEX(MO_IS_FirstRow,0,COLUMN())),0,IF(OR(AC171=X171,AC171=AD171,AC171=AB171),"CHECK",0))</f>
        <v>0</v>
      </c>
      <c r="AD446" s="553">
        <f>IF(ISBLANK(INDEX(MO_IS_FirstRow,0,COLUMN())),0,IF(OR(AD171=Y171,AD171=AE171,AD171=AC171),"CHECK",0))</f>
        <v>0</v>
      </c>
      <c r="AE446" s="553">
        <f>IF(ISBLANK(INDEX(MO_IS_FirstRow,0,COLUMN())),0,IF(AE171=Z171,"CHECK",0))</f>
        <v>0</v>
      </c>
      <c r="AF446" s="553">
        <f>IF(ISBLANK(INDEX(MO_IS_FirstRow,0,COLUMN())),0,IF(OR(AF171=AA171,AF171=AG171,AF171=AD171),"CHECK",0))</f>
        <v>0</v>
      </c>
      <c r="AG446" s="553">
        <f>IF(ISBLANK(INDEX(MO_IS_FirstRow,0,COLUMN())),0,IF(OR(AG171=AB171,AG171=AH171,AG171=AF171),"CHECK",0))</f>
        <v>0</v>
      </c>
      <c r="AH446" s="553">
        <f>IF(ISBLANK(INDEX(MO_IS_FirstRow,0,COLUMN())),0,IF(OR(AH171=AC171,AH171=AI171,AH171=AG171),"CHECK",0))</f>
        <v>0</v>
      </c>
      <c r="AI446" s="553">
        <f>IF(ISBLANK(INDEX(MO_IS_FirstRow,0,COLUMN())),0,IF(OR(AI171=AD171,AI171=AJ171,AI171=AH171),"CHECK",0))</f>
        <v>0</v>
      </c>
      <c r="AJ446" s="553">
        <f>IF(ISBLANK(INDEX(MO_IS_FirstRow,0,COLUMN())),0,IF(AJ171=AE171,"CHECK",0))</f>
        <v>0</v>
      </c>
      <c r="AK446" s="553">
        <f>IF(ISBLANK(INDEX(MO_IS_FirstRow,0,COLUMN())),0,IF(OR(AK171=AF171,AK171=AL171,AK171=AI171),"CHECK",0))</f>
        <v>0</v>
      </c>
      <c r="AL446" s="553">
        <f>IF(ISBLANK(INDEX(MO_IS_FirstRow,0,COLUMN())),0,IF(OR(AL171=AG171,AL171=AM171,AL171=AK171),"CHECK",0))</f>
        <v>0</v>
      </c>
      <c r="AM446" s="553">
        <f>IF(ISBLANK(INDEX(MO_IS_FirstRow,0,COLUMN())),0,IF(OR(AM171=AH171,AM171=AN171,AM171=AL171),"CHECK",0))</f>
        <v>0</v>
      </c>
      <c r="AN446" s="553">
        <f>IF(ISBLANK(INDEX(MO_IS_FirstRow,0,COLUMN())),0,IF(OR(AN171=AI171,AN171=AO171,AN171=AM171),"CHECK",0))</f>
        <v>0</v>
      </c>
      <c r="AO446" s="553">
        <f>IF(ISBLANK(INDEX(MO_IS_FirstRow,0,COLUMN())),0,IF(AO171=AJ171,"CHECK",0))</f>
        <v>0</v>
      </c>
      <c r="AP446" s="553">
        <f>IF(ISBLANK(INDEX(MO_IS_FirstRow,0,COLUMN())),0,IF(OR(AP171=AK171,AP171=AQ171,AP171=AN171),"CHECK",0))</f>
        <v>0</v>
      </c>
      <c r="AQ446" s="554">
        <f>IF(ISBLANK(INDEX(MO_IS_FirstRow,0,COLUMN())),0,IF(OR(AQ171=AL171,AQ171=AR171,AQ171=AP171),"CHECK",0))</f>
        <v>0</v>
      </c>
      <c r="AR446" s="555"/>
      <c r="AS446" s="555"/>
      <c r="AT446" s="555"/>
      <c r="AU446" s="555"/>
      <c r="AV446" s="555"/>
      <c r="AW446" s="555"/>
      <c r="AX446" s="555"/>
      <c r="AY446" s="555"/>
      <c r="AZ446" s="555"/>
      <c r="BA446" s="555"/>
      <c r="BB446" s="555"/>
      <c r="BC446" s="362"/>
    </row>
    <row r="447" spans="1:55" s="23" customFormat="1">
      <c r="A447" s="520" t="s">
        <v>35</v>
      </c>
      <c r="B447" s="522"/>
      <c r="C447" s="553">
        <f>IF(OR(C403=B403,C403=D403),"CHECK",0)</f>
        <v>0</v>
      </c>
      <c r="D447" s="553">
        <f>IF(OR(D403=C403,D403=E403),"CHECK",0)</f>
        <v>0</v>
      </c>
      <c r="E447" s="553">
        <f>IF(OR(E403=D403,E403=F403),"CHECK",0)</f>
        <v>0</v>
      </c>
      <c r="F447" s="553">
        <f>IF(OR(F403=E403,F403=K403),"CHECK",0)</f>
        <v>0</v>
      </c>
      <c r="G447" s="553">
        <f>IF(OR(G403=B403,G403=H403,G403=E403),"CHECK",0)</f>
        <v>0</v>
      </c>
      <c r="H447" s="553">
        <f>IF(OR(H403=C403,H403=I403,H403=G403),"CHECK",0)</f>
        <v>0</v>
      </c>
      <c r="I447" s="553">
        <f>IF(OR(I403=D403,I403=J403,I403=H403),"CHECK",0)</f>
        <v>0</v>
      </c>
      <c r="J447" s="553">
        <f>IF(OR(J403=E403,J403=I403),"CHECK",0)</f>
        <v>0</v>
      </c>
      <c r="K447" s="553">
        <f>IF(K403=F403,"CHECK",0)</f>
        <v>0</v>
      </c>
      <c r="L447" s="553">
        <f>IF(OR(L403=G403,L403=M403,L403=J403),"CHECK",0)</f>
        <v>0</v>
      </c>
      <c r="M447" s="553">
        <f>IF(OR(M403=H403,M403=N403,M403=L403),"CHECK",0)</f>
        <v>0</v>
      </c>
      <c r="N447" s="553">
        <f>IF(OR(N403=I403,N403=O403,N403=M403),"CHECK",0)</f>
        <v>0</v>
      </c>
      <c r="O447" s="553">
        <f>IF(OR(O403=J403,O403=N403),"CHECK",0)</f>
        <v>0</v>
      </c>
      <c r="P447" s="553">
        <f>IF(P403=K403,"CHECK",0)</f>
        <v>0</v>
      </c>
      <c r="Q447" s="553">
        <f>IF(OR(Q403=L403,Q403=R403,Q403=O403),"CHECK",0)</f>
        <v>0</v>
      </c>
      <c r="R447" s="553">
        <f>IF(OR(R403=M403,R403=S403,R403=Q403),"CHECK",0)</f>
        <v>0</v>
      </c>
      <c r="S447" s="553">
        <f>IF(OR(S403=N403,S403=T403,S403=R403),"CHECK",0)</f>
        <v>0</v>
      </c>
      <c r="T447" s="553">
        <f>IF(OR(T403=O403,T403=S403),"CHECK",0)</f>
        <v>0</v>
      </c>
      <c r="U447" s="553">
        <f>IF(U403=P403,"CHECK",0)</f>
        <v>0</v>
      </c>
      <c r="V447" s="553">
        <f>IF(OR(V403=Q403,V403=W403,V403=T403),"CHECK",0)</f>
        <v>0</v>
      </c>
      <c r="W447" s="553">
        <f>IF(OR(W403=R403,W403=X403,W403=V403),"CHECK",0)</f>
        <v>0</v>
      </c>
      <c r="X447" s="553">
        <f>IF(OR(X403=S403,X403=Y403,X403=W403),"CHECK",0)</f>
        <v>0</v>
      </c>
      <c r="Y447" s="553">
        <f>IF(OR(Y403=T403,Y403=X403),"CHECK",0)</f>
        <v>0</v>
      </c>
      <c r="Z447" s="553">
        <f>IF(Z403=U403,"CHECK",0)</f>
        <v>0</v>
      </c>
      <c r="AA447" s="553">
        <f>IF(OR(AA403=V403,AA403=AB403,AA403=Y403),"CHECK",0)</f>
        <v>0</v>
      </c>
      <c r="AB447" s="553">
        <f>IF(OR(AB403=W403,AB403=AC403,AB403=AA403),"CHECK",0)</f>
        <v>0</v>
      </c>
      <c r="AC447" s="553">
        <f>IF(OR(AC403=X403,AC403=AD403,AC403=AB403),"CHECK",0)</f>
        <v>0</v>
      </c>
      <c r="AD447" s="553">
        <f>IF(OR(AD403=Y403,AD403=AC403),"CHECK",0)</f>
        <v>0</v>
      </c>
      <c r="AE447" s="553">
        <f>IF(AE403=Z403,"CHECK",0)</f>
        <v>0</v>
      </c>
      <c r="AF447" s="553">
        <f>IF(OR(AF403=AA403,AF403=AG403,AF403=AD403),"CHECK",0)</f>
        <v>0</v>
      </c>
      <c r="AG447" s="553">
        <f>IF(OR(AG403=AB403,AG403=AH403,AG403=AF403),"CHECK",0)</f>
        <v>0</v>
      </c>
      <c r="AH447" s="553">
        <f>IF(OR(AH403=AC403,AH403=AI403,AH403=AG403),"CHECK",0)</f>
        <v>0</v>
      </c>
      <c r="AI447" s="553">
        <f>IF(OR(AI403=AD403,AI403=AH403),"CHECK",0)</f>
        <v>0</v>
      </c>
      <c r="AJ447" s="553">
        <f>IF(AJ403=AE403,"CHECK",0)</f>
        <v>0</v>
      </c>
      <c r="AK447" s="553">
        <f>IF(OR(AK403=AF403,AK403=AL403,AK403=AI403),"CHECK",0)</f>
        <v>0</v>
      </c>
      <c r="AL447" s="553">
        <f>IF(OR(AL403=AG403,AL403=AM403,AL403=AK403),"CHECK",0)</f>
        <v>0</v>
      </c>
      <c r="AM447" s="553">
        <f>IF(OR(AM403=AH403,AM403=AN403,AM403=AL403),"CHECK",0)</f>
        <v>0</v>
      </c>
      <c r="AN447" s="553">
        <f>IF(OR(AN403=AI403,AN403=AM403),"CHECK",0)</f>
        <v>0</v>
      </c>
      <c r="AO447" s="553">
        <f>IF(AO403=AJ403,"CHECK",0)</f>
        <v>0</v>
      </c>
      <c r="AP447" s="553">
        <f>IF(OR(AP403=AK403,AP403=AQ403,AP403=AN403),"CHECK",0)</f>
        <v>0</v>
      </c>
      <c r="AQ447" s="554">
        <f ca="1">IF(OR(AQ403=AL403,AQ403=AR403,AQ403=AP403),"CHECK",0)</f>
        <v>0</v>
      </c>
      <c r="AR447" s="555"/>
      <c r="AS447" s="555"/>
      <c r="AT447" s="555"/>
      <c r="AU447" s="555"/>
      <c r="AV447" s="555"/>
      <c r="AW447" s="555"/>
      <c r="AX447" s="555"/>
      <c r="AY447" s="555"/>
      <c r="AZ447" s="555"/>
      <c r="BA447" s="555"/>
      <c r="BB447" s="555"/>
      <c r="BC447" s="362"/>
    </row>
    <row r="448" spans="1:55" s="23" customFormat="1">
      <c r="A448" s="520" t="s">
        <v>86</v>
      </c>
      <c r="B448" s="522"/>
      <c r="C448" s="553">
        <f t="shared" ref="C448:AH448" si="323">IF(ISBLANK(INDEX(MO_IS_FirstRow,0,COLUMN())),0,ROUND(C371-C312,6))</f>
        <v>0</v>
      </c>
      <c r="D448" s="553">
        <f t="shared" si="323"/>
        <v>0</v>
      </c>
      <c r="E448" s="553">
        <f t="shared" si="323"/>
        <v>0</v>
      </c>
      <c r="F448" s="553">
        <f t="shared" si="323"/>
        <v>0</v>
      </c>
      <c r="G448" s="553">
        <f t="shared" si="323"/>
        <v>0</v>
      </c>
      <c r="H448" s="553">
        <f t="shared" si="323"/>
        <v>0</v>
      </c>
      <c r="I448" s="553">
        <f t="shared" si="323"/>
        <v>0</v>
      </c>
      <c r="J448" s="553">
        <f t="shared" si="323"/>
        <v>0</v>
      </c>
      <c r="K448" s="553">
        <f t="shared" si="323"/>
        <v>0</v>
      </c>
      <c r="L448" s="553">
        <f t="shared" si="323"/>
        <v>0</v>
      </c>
      <c r="M448" s="553">
        <f t="shared" si="323"/>
        <v>0</v>
      </c>
      <c r="N448" s="553">
        <f t="shared" si="323"/>
        <v>0</v>
      </c>
      <c r="O448" s="553">
        <f t="shared" si="323"/>
        <v>0</v>
      </c>
      <c r="P448" s="553">
        <f t="shared" si="323"/>
        <v>0</v>
      </c>
      <c r="Q448" s="553">
        <f t="shared" si="323"/>
        <v>0</v>
      </c>
      <c r="R448" s="553">
        <f t="shared" si="323"/>
        <v>0</v>
      </c>
      <c r="S448" s="553">
        <f t="shared" si="323"/>
        <v>0</v>
      </c>
      <c r="T448" s="553">
        <f t="shared" si="323"/>
        <v>0</v>
      </c>
      <c r="U448" s="553">
        <f t="shared" si="323"/>
        <v>0</v>
      </c>
      <c r="V448" s="553">
        <f t="shared" si="323"/>
        <v>0</v>
      </c>
      <c r="W448" s="553">
        <f t="shared" si="323"/>
        <v>0</v>
      </c>
      <c r="X448" s="553">
        <f t="shared" si="323"/>
        <v>0</v>
      </c>
      <c r="Y448" s="553">
        <f t="shared" si="323"/>
        <v>0</v>
      </c>
      <c r="Z448" s="553">
        <f t="shared" si="323"/>
        <v>0</v>
      </c>
      <c r="AA448" s="553">
        <f t="shared" si="323"/>
        <v>0</v>
      </c>
      <c r="AB448" s="553">
        <f t="shared" si="323"/>
        <v>0</v>
      </c>
      <c r="AC448" s="553">
        <f t="shared" si="323"/>
        <v>0</v>
      </c>
      <c r="AD448" s="553">
        <f t="shared" si="323"/>
        <v>0</v>
      </c>
      <c r="AE448" s="553">
        <f t="shared" si="323"/>
        <v>0</v>
      </c>
      <c r="AF448" s="553">
        <f t="shared" si="323"/>
        <v>0</v>
      </c>
      <c r="AG448" s="553">
        <f t="shared" si="323"/>
        <v>0</v>
      </c>
      <c r="AH448" s="553">
        <f t="shared" si="323"/>
        <v>0</v>
      </c>
      <c r="AI448" s="553">
        <f t="shared" ref="AI448:BB448" si="324">IF(ISBLANK(INDEX(MO_IS_FirstRow,0,COLUMN())),0,ROUND(AI371-AI312,6))</f>
        <v>0</v>
      </c>
      <c r="AJ448" s="553">
        <f t="shared" si="324"/>
        <v>0</v>
      </c>
      <c r="AK448" s="553">
        <f t="shared" si="324"/>
        <v>0</v>
      </c>
      <c r="AL448" s="553">
        <f t="shared" si="324"/>
        <v>0</v>
      </c>
      <c r="AM448" s="553">
        <f t="shared" si="324"/>
        <v>0</v>
      </c>
      <c r="AN448" s="553">
        <f t="shared" si="324"/>
        <v>0</v>
      </c>
      <c r="AO448" s="553">
        <f t="shared" si="324"/>
        <v>0</v>
      </c>
      <c r="AP448" s="553">
        <f t="shared" si="324"/>
        <v>0</v>
      </c>
      <c r="AQ448" s="554">
        <f t="shared" si="324"/>
        <v>0</v>
      </c>
      <c r="AR448" s="555">
        <f t="shared" si="324"/>
        <v>0</v>
      </c>
      <c r="AS448" s="555">
        <f t="shared" si="324"/>
        <v>0</v>
      </c>
      <c r="AT448" s="555">
        <f t="shared" si="324"/>
        <v>0</v>
      </c>
      <c r="AU448" s="555">
        <f t="shared" si="324"/>
        <v>0</v>
      </c>
      <c r="AV448" s="555">
        <f t="shared" si="324"/>
        <v>0</v>
      </c>
      <c r="AW448" s="555">
        <f t="shared" si="324"/>
        <v>0</v>
      </c>
      <c r="AX448" s="555">
        <f t="shared" si="324"/>
        <v>0</v>
      </c>
      <c r="AY448" s="555">
        <f t="shared" si="324"/>
        <v>0</v>
      </c>
      <c r="AZ448" s="555">
        <f t="shared" si="324"/>
        <v>0</v>
      </c>
      <c r="BA448" s="555">
        <f t="shared" si="324"/>
        <v>0</v>
      </c>
      <c r="BB448" s="555">
        <f t="shared" si="324"/>
        <v>0</v>
      </c>
      <c r="BC448" s="362"/>
    </row>
    <row r="449" spans="1:55" s="23" customFormat="1">
      <c r="A449" s="520" t="s">
        <v>85</v>
      </c>
      <c r="B449" s="522"/>
      <c r="C449" s="553">
        <f t="shared" ref="C449:AH449" si="325">ROUND(INDEX(MO_CFSum_Capex,0,COLUMN())-C346,6)</f>
        <v>0</v>
      </c>
      <c r="D449" s="553">
        <f t="shared" si="325"/>
        <v>0</v>
      </c>
      <c r="E449" s="553">
        <f t="shared" si="325"/>
        <v>0</v>
      </c>
      <c r="F449" s="553">
        <f t="shared" si="325"/>
        <v>0</v>
      </c>
      <c r="G449" s="553">
        <f t="shared" si="325"/>
        <v>0</v>
      </c>
      <c r="H449" s="553">
        <f t="shared" si="325"/>
        <v>0</v>
      </c>
      <c r="I449" s="553">
        <f t="shared" si="325"/>
        <v>0</v>
      </c>
      <c r="J449" s="553">
        <f t="shared" si="325"/>
        <v>0</v>
      </c>
      <c r="K449" s="553">
        <f t="shared" si="325"/>
        <v>0</v>
      </c>
      <c r="L449" s="553">
        <f t="shared" si="325"/>
        <v>0</v>
      </c>
      <c r="M449" s="553">
        <f t="shared" si="325"/>
        <v>0</v>
      </c>
      <c r="N449" s="553">
        <f t="shared" si="325"/>
        <v>0</v>
      </c>
      <c r="O449" s="553">
        <f t="shared" si="325"/>
        <v>0</v>
      </c>
      <c r="P449" s="553">
        <f t="shared" si="325"/>
        <v>0</v>
      </c>
      <c r="Q449" s="553">
        <f t="shared" si="325"/>
        <v>0</v>
      </c>
      <c r="R449" s="553">
        <f t="shared" si="325"/>
        <v>0</v>
      </c>
      <c r="S449" s="553">
        <f t="shared" si="325"/>
        <v>0</v>
      </c>
      <c r="T449" s="553">
        <f t="shared" si="325"/>
        <v>0</v>
      </c>
      <c r="U449" s="553">
        <f t="shared" si="325"/>
        <v>0</v>
      </c>
      <c r="V449" s="553">
        <f t="shared" si="325"/>
        <v>0</v>
      </c>
      <c r="W449" s="553">
        <f t="shared" si="325"/>
        <v>0</v>
      </c>
      <c r="X449" s="553">
        <f t="shared" si="325"/>
        <v>0</v>
      </c>
      <c r="Y449" s="553">
        <f t="shared" si="325"/>
        <v>0</v>
      </c>
      <c r="Z449" s="553">
        <f t="shared" si="325"/>
        <v>0</v>
      </c>
      <c r="AA449" s="553">
        <f t="shared" si="325"/>
        <v>0</v>
      </c>
      <c r="AB449" s="553">
        <f t="shared" si="325"/>
        <v>0</v>
      </c>
      <c r="AC449" s="553">
        <f t="shared" si="325"/>
        <v>0</v>
      </c>
      <c r="AD449" s="553">
        <f t="shared" si="325"/>
        <v>0</v>
      </c>
      <c r="AE449" s="553">
        <f t="shared" si="325"/>
        <v>0</v>
      </c>
      <c r="AF449" s="553">
        <f t="shared" si="325"/>
        <v>0</v>
      </c>
      <c r="AG449" s="553">
        <f t="shared" si="325"/>
        <v>0</v>
      </c>
      <c r="AH449" s="553">
        <f t="shared" si="325"/>
        <v>0</v>
      </c>
      <c r="AI449" s="553">
        <f t="shared" ref="AI449:BB449" si="326">ROUND(INDEX(MO_CFSum_Capex,0,COLUMN())-AI346,6)</f>
        <v>0</v>
      </c>
      <c r="AJ449" s="553">
        <f t="shared" si="326"/>
        <v>0</v>
      </c>
      <c r="AK449" s="553">
        <f t="shared" si="326"/>
        <v>0</v>
      </c>
      <c r="AL449" s="553">
        <f t="shared" si="326"/>
        <v>0</v>
      </c>
      <c r="AM449" s="553">
        <f t="shared" si="326"/>
        <v>0</v>
      </c>
      <c r="AN449" s="553">
        <f t="shared" si="326"/>
        <v>0</v>
      </c>
      <c r="AO449" s="553">
        <f t="shared" si="326"/>
        <v>0</v>
      </c>
      <c r="AP449" s="553">
        <f t="shared" si="326"/>
        <v>0</v>
      </c>
      <c r="AQ449" s="554">
        <f t="shared" si="326"/>
        <v>0</v>
      </c>
      <c r="AR449" s="555">
        <f t="shared" si="326"/>
        <v>0</v>
      </c>
      <c r="AS449" s="555">
        <f t="shared" si="326"/>
        <v>0</v>
      </c>
      <c r="AT449" s="555">
        <f t="shared" si="326"/>
        <v>0</v>
      </c>
      <c r="AU449" s="555">
        <f t="shared" si="326"/>
        <v>0</v>
      </c>
      <c r="AV449" s="555">
        <f t="shared" si="326"/>
        <v>0</v>
      </c>
      <c r="AW449" s="555">
        <f t="shared" si="326"/>
        <v>0</v>
      </c>
      <c r="AX449" s="555">
        <f t="shared" si="326"/>
        <v>0</v>
      </c>
      <c r="AY449" s="555">
        <f t="shared" si="326"/>
        <v>0</v>
      </c>
      <c r="AZ449" s="555">
        <f t="shared" si="326"/>
        <v>0</v>
      </c>
      <c r="BA449" s="555">
        <f t="shared" si="326"/>
        <v>0</v>
      </c>
      <c r="BB449" s="555">
        <f t="shared" si="326"/>
        <v>0</v>
      </c>
      <c r="BC449" s="362"/>
    </row>
    <row r="450" spans="1:55" s="23" customFormat="1">
      <c r="A450" s="520" t="s">
        <v>102</v>
      </c>
      <c r="B450" s="522"/>
      <c r="C450" s="553">
        <f t="shared" ref="C450:AH450" si="327">IF(ISBLANK(INDEX(MO_IS_FirstRow,0,COLUMN())),0,IF(MOD(C93*1000000,1)=0,"Check",0))</f>
        <v>0</v>
      </c>
      <c r="D450" s="553">
        <f t="shared" si="327"/>
        <v>0</v>
      </c>
      <c r="E450" s="553">
        <f t="shared" si="327"/>
        <v>0</v>
      </c>
      <c r="F450" s="553">
        <f t="shared" si="327"/>
        <v>0</v>
      </c>
      <c r="G450" s="553">
        <f t="shared" si="327"/>
        <v>0</v>
      </c>
      <c r="H450" s="553">
        <f t="shared" si="327"/>
        <v>0</v>
      </c>
      <c r="I450" s="553">
        <f t="shared" si="327"/>
        <v>0</v>
      </c>
      <c r="J450" s="553">
        <f t="shared" si="327"/>
        <v>0</v>
      </c>
      <c r="K450" s="553">
        <f t="shared" si="327"/>
        <v>0</v>
      </c>
      <c r="L450" s="553">
        <f t="shared" si="327"/>
        <v>0</v>
      </c>
      <c r="M450" s="553">
        <f t="shared" si="327"/>
        <v>0</v>
      </c>
      <c r="N450" s="553">
        <f t="shared" si="327"/>
        <v>0</v>
      </c>
      <c r="O450" s="553">
        <f t="shared" si="327"/>
        <v>0</v>
      </c>
      <c r="P450" s="553">
        <f t="shared" si="327"/>
        <v>0</v>
      </c>
      <c r="Q450" s="553">
        <f t="shared" si="327"/>
        <v>0</v>
      </c>
      <c r="R450" s="553">
        <f t="shared" si="327"/>
        <v>0</v>
      </c>
      <c r="S450" s="553">
        <f t="shared" si="327"/>
        <v>0</v>
      </c>
      <c r="T450" s="553">
        <f t="shared" si="327"/>
        <v>0</v>
      </c>
      <c r="U450" s="553">
        <f t="shared" si="327"/>
        <v>0</v>
      </c>
      <c r="V450" s="553">
        <f t="shared" si="327"/>
        <v>0</v>
      </c>
      <c r="W450" s="553">
        <f t="shared" si="327"/>
        <v>0</v>
      </c>
      <c r="X450" s="553">
        <f t="shared" si="327"/>
        <v>0</v>
      </c>
      <c r="Y450" s="553">
        <f t="shared" si="327"/>
        <v>0</v>
      </c>
      <c r="Z450" s="553">
        <f t="shared" si="327"/>
        <v>0</v>
      </c>
      <c r="AA450" s="553">
        <f t="shared" si="327"/>
        <v>0</v>
      </c>
      <c r="AB450" s="553">
        <f t="shared" si="327"/>
        <v>0</v>
      </c>
      <c r="AC450" s="553">
        <f t="shared" si="327"/>
        <v>0</v>
      </c>
      <c r="AD450" s="553">
        <f t="shared" si="327"/>
        <v>0</v>
      </c>
      <c r="AE450" s="553">
        <f t="shared" si="327"/>
        <v>0</v>
      </c>
      <c r="AF450" s="553">
        <f t="shared" si="327"/>
        <v>0</v>
      </c>
      <c r="AG450" s="553">
        <f t="shared" si="327"/>
        <v>0</v>
      </c>
      <c r="AH450" s="553">
        <f t="shared" si="327"/>
        <v>0</v>
      </c>
      <c r="AI450" s="553">
        <f t="shared" ref="AI450:BB450" si="328">IF(ISBLANK(INDEX(MO_IS_FirstRow,0,COLUMN())),0,IF(MOD(AI93*1000000,1)=0,"Check",0))</f>
        <v>0</v>
      </c>
      <c r="AJ450" s="553">
        <f t="shared" si="328"/>
        <v>0</v>
      </c>
      <c r="AK450" s="553">
        <f t="shared" si="328"/>
        <v>0</v>
      </c>
      <c r="AL450" s="553">
        <f t="shared" si="328"/>
        <v>0</v>
      </c>
      <c r="AM450" s="553">
        <f t="shared" si="328"/>
        <v>0</v>
      </c>
      <c r="AN450" s="553">
        <f t="shared" si="328"/>
        <v>0</v>
      </c>
      <c r="AO450" s="553">
        <f t="shared" si="328"/>
        <v>0</v>
      </c>
      <c r="AP450" s="553">
        <f t="shared" si="328"/>
        <v>0</v>
      </c>
      <c r="AQ450" s="554">
        <f t="shared" si="328"/>
        <v>0</v>
      </c>
      <c r="AR450" s="555">
        <f t="shared" si="328"/>
        <v>0</v>
      </c>
      <c r="AS450" s="555">
        <f t="shared" si="328"/>
        <v>0</v>
      </c>
      <c r="AT450" s="555">
        <f t="shared" si="328"/>
        <v>0</v>
      </c>
      <c r="AU450" s="555">
        <f t="shared" si="328"/>
        <v>0</v>
      </c>
      <c r="AV450" s="555">
        <f t="shared" si="328"/>
        <v>0</v>
      </c>
      <c r="AW450" s="555">
        <f t="shared" si="328"/>
        <v>0</v>
      </c>
      <c r="AX450" s="555">
        <f t="shared" si="328"/>
        <v>0</v>
      </c>
      <c r="AY450" s="555">
        <f t="shared" si="328"/>
        <v>0</v>
      </c>
      <c r="AZ450" s="555">
        <f t="shared" si="328"/>
        <v>0</v>
      </c>
      <c r="BA450" s="555">
        <f t="shared" si="328"/>
        <v>0</v>
      </c>
      <c r="BB450" s="555">
        <f t="shared" si="328"/>
        <v>0</v>
      </c>
      <c r="BC450" s="362"/>
    </row>
    <row r="451" spans="1:55" s="23" customFormat="1">
      <c r="A451" s="520" t="s">
        <v>417</v>
      </c>
      <c r="B451" s="522"/>
      <c r="C451" s="553"/>
      <c r="D451" s="553"/>
      <c r="E451" s="553"/>
      <c r="F451" s="553"/>
      <c r="G451" s="553"/>
      <c r="H451" s="553"/>
      <c r="I451" s="553"/>
      <c r="J451" s="553"/>
      <c r="K451" s="553"/>
      <c r="L451" s="553"/>
      <c r="M451" s="553"/>
      <c r="N451" s="553"/>
      <c r="O451" s="553"/>
      <c r="P451" s="553"/>
      <c r="Q451" s="562"/>
      <c r="R451" s="562"/>
      <c r="S451" s="562"/>
      <c r="T451" s="562"/>
      <c r="U451" s="553"/>
      <c r="V451" s="562"/>
      <c r="W451" s="562"/>
      <c r="X451" s="562"/>
      <c r="Y451" s="562"/>
      <c r="Z451" s="553"/>
      <c r="AA451" s="553"/>
      <c r="AB451" s="553"/>
      <c r="AC451" s="553"/>
      <c r="AD451" s="553"/>
      <c r="AE451" s="553"/>
      <c r="AF451" s="553"/>
      <c r="AG451" s="553"/>
      <c r="AH451" s="553"/>
      <c r="AI451" s="553"/>
      <c r="AJ451" s="553"/>
      <c r="AK451" s="553"/>
      <c r="AL451" s="553"/>
      <c r="AM451" s="553"/>
      <c r="AN451" s="553"/>
      <c r="AO451" s="553"/>
      <c r="AP451" s="553"/>
      <c r="AQ451" s="554"/>
      <c r="AR451" s="555"/>
      <c r="AS451" s="555"/>
      <c r="AT451" s="555">
        <f>IF(ISBLANK(INDEX(MO_IS_FirstRow,0,COLUMN())),0,ROUND(AT134-SUM(AP134,AQ134,AR134,AS134),6)+ROUND(AT127-SUM(AP127,AQ127,AR127,AS127),6)+ROUND(AT121-SUM(AP121,AQ121,AR121,AS121),6))</f>
        <v>0</v>
      </c>
      <c r="AU451" s="555"/>
      <c r="AV451" s="555"/>
      <c r="AW451" s="555"/>
      <c r="AX451" s="555"/>
      <c r="AY451" s="555">
        <f>IF(ISBLANK(INDEX(MO_IS_FirstRow,0,COLUMN())),0,ROUND(AY134-SUM(AU134,AV134,AW134,AX134),6)+ROUND(AY127-SUM(AU127,AV127,AW127,AX127),6)+ROUND(AY121-SUM(AU121,AV121,AW121,AX121),6))</f>
        <v>0</v>
      </c>
      <c r="AZ451" s="555"/>
      <c r="BA451" s="555"/>
      <c r="BB451" s="555"/>
      <c r="BC451" s="362"/>
    </row>
    <row r="452" spans="1:55" s="23" customFormat="1">
      <c r="A452" s="520" t="s">
        <v>110</v>
      </c>
      <c r="B452" s="522"/>
      <c r="C452" s="553">
        <f t="shared" ref="C452:AH452" si="329">IF(ISBLANK(INDEX(MO_IS_FirstRow,0,COLUMN())),0,IF(OR(ISBLANK(INDEX(MO_RIS_ShareCount_WAB,1,COLUMN())),ISBLANK(INDEX(MO_RIS_ShareCount_WAD,1,COLUMN()))),"BLANK",IF(OR(INDEX(MO_RIS_ShareCount_WAB,1,COLUMN())=INDEX(MO_RIS_ShareCount_WAB,1,COLUMN()-1),INDEX(MO_RIS_ShareCount_WAD,1,COLUMN())=INDEX(MO_RIS_ShareCount_WAD,1,COLUMN()-1)),"CHECK",0)))</f>
        <v>0</v>
      </c>
      <c r="D452" s="553">
        <f t="shared" si="329"/>
        <v>0</v>
      </c>
      <c r="E452" s="553">
        <f t="shared" si="329"/>
        <v>0</v>
      </c>
      <c r="F452" s="553">
        <f t="shared" si="329"/>
        <v>0</v>
      </c>
      <c r="G452" s="553">
        <f t="shared" si="329"/>
        <v>0</v>
      </c>
      <c r="H452" s="553">
        <f t="shared" si="329"/>
        <v>0</v>
      </c>
      <c r="I452" s="553">
        <f t="shared" si="329"/>
        <v>0</v>
      </c>
      <c r="J452" s="553">
        <f t="shared" si="329"/>
        <v>0</v>
      </c>
      <c r="K452" s="553">
        <f t="shared" si="329"/>
        <v>0</v>
      </c>
      <c r="L452" s="553">
        <f t="shared" si="329"/>
        <v>0</v>
      </c>
      <c r="M452" s="553">
        <f t="shared" si="329"/>
        <v>0</v>
      </c>
      <c r="N452" s="553">
        <f t="shared" si="329"/>
        <v>0</v>
      </c>
      <c r="O452" s="553">
        <f t="shared" si="329"/>
        <v>0</v>
      </c>
      <c r="P452" s="553">
        <f t="shared" si="329"/>
        <v>0</v>
      </c>
      <c r="Q452" s="553">
        <f t="shared" si="329"/>
        <v>0</v>
      </c>
      <c r="R452" s="553">
        <f t="shared" si="329"/>
        <v>0</v>
      </c>
      <c r="S452" s="553">
        <f t="shared" si="329"/>
        <v>0</v>
      </c>
      <c r="T452" s="553">
        <f t="shared" si="329"/>
        <v>0</v>
      </c>
      <c r="U452" s="553">
        <f t="shared" si="329"/>
        <v>0</v>
      </c>
      <c r="V452" s="553">
        <f t="shared" si="329"/>
        <v>0</v>
      </c>
      <c r="W452" s="553">
        <f t="shared" si="329"/>
        <v>0</v>
      </c>
      <c r="X452" s="553">
        <f t="shared" si="329"/>
        <v>0</v>
      </c>
      <c r="Y452" s="553">
        <f t="shared" si="329"/>
        <v>0</v>
      </c>
      <c r="Z452" s="553">
        <f t="shared" si="329"/>
        <v>0</v>
      </c>
      <c r="AA452" s="553">
        <f t="shared" si="329"/>
        <v>0</v>
      </c>
      <c r="AB452" s="553">
        <f t="shared" si="329"/>
        <v>0</v>
      </c>
      <c r="AC452" s="553">
        <f t="shared" si="329"/>
        <v>0</v>
      </c>
      <c r="AD452" s="553">
        <f t="shared" si="329"/>
        <v>0</v>
      </c>
      <c r="AE452" s="553">
        <f t="shared" si="329"/>
        <v>0</v>
      </c>
      <c r="AF452" s="553">
        <f t="shared" si="329"/>
        <v>0</v>
      </c>
      <c r="AG452" s="553">
        <f t="shared" si="329"/>
        <v>0</v>
      </c>
      <c r="AH452" s="553">
        <f t="shared" si="329"/>
        <v>0</v>
      </c>
      <c r="AI452" s="553">
        <f t="shared" ref="AI452:BB452" si="330">IF(ISBLANK(INDEX(MO_IS_FirstRow,0,COLUMN())),0,IF(OR(ISBLANK(INDEX(MO_RIS_ShareCount_WAB,1,COLUMN())),ISBLANK(INDEX(MO_RIS_ShareCount_WAD,1,COLUMN()))),"BLANK",IF(OR(INDEX(MO_RIS_ShareCount_WAB,1,COLUMN())=INDEX(MO_RIS_ShareCount_WAB,1,COLUMN()-1),INDEX(MO_RIS_ShareCount_WAD,1,COLUMN())=INDEX(MO_RIS_ShareCount_WAD,1,COLUMN()-1)),"CHECK",0)))</f>
        <v>0</v>
      </c>
      <c r="AJ452" s="553">
        <f t="shared" si="330"/>
        <v>0</v>
      </c>
      <c r="AK452" s="553">
        <f t="shared" si="330"/>
        <v>0</v>
      </c>
      <c r="AL452" s="553">
        <f t="shared" si="330"/>
        <v>0</v>
      </c>
      <c r="AM452" s="553">
        <f t="shared" si="330"/>
        <v>0</v>
      </c>
      <c r="AN452" s="553">
        <f t="shared" si="330"/>
        <v>0</v>
      </c>
      <c r="AO452" s="553">
        <f t="shared" si="330"/>
        <v>0</v>
      </c>
      <c r="AP452" s="553">
        <f t="shared" si="330"/>
        <v>0</v>
      </c>
      <c r="AQ452" s="554">
        <f t="shared" si="330"/>
        <v>0</v>
      </c>
      <c r="AR452" s="555">
        <f t="shared" si="330"/>
        <v>0</v>
      </c>
      <c r="AS452" s="555">
        <f t="shared" si="330"/>
        <v>0</v>
      </c>
      <c r="AT452" s="555">
        <f t="shared" si="330"/>
        <v>0</v>
      </c>
      <c r="AU452" s="555">
        <f t="shared" si="330"/>
        <v>0</v>
      </c>
      <c r="AV452" s="555">
        <f t="shared" si="330"/>
        <v>0</v>
      </c>
      <c r="AW452" s="555">
        <f t="shared" si="330"/>
        <v>0</v>
      </c>
      <c r="AX452" s="555">
        <f t="shared" si="330"/>
        <v>0</v>
      </c>
      <c r="AY452" s="555">
        <f t="shared" si="330"/>
        <v>0</v>
      </c>
      <c r="AZ452" s="555">
        <f t="shared" si="330"/>
        <v>0</v>
      </c>
      <c r="BA452" s="555">
        <f t="shared" si="330"/>
        <v>0</v>
      </c>
      <c r="BB452" s="555">
        <f t="shared" si="330"/>
        <v>0</v>
      </c>
      <c r="BC452" s="362"/>
    </row>
    <row r="453" spans="1:55" s="23" customFormat="1">
      <c r="A453" s="520" t="s">
        <v>118</v>
      </c>
      <c r="B453" s="522"/>
      <c r="C453" s="553">
        <f t="shared" ref="C453:AH453" si="331">ROUND(1-INDEX(MO_MA_COGS,0,COLUMN())-INDEX(MO_MA_SGA,0,COLUMN())-INDEX(MO_MA_EBITDA,0,COLUMN()),6)</f>
        <v>0</v>
      </c>
      <c r="D453" s="553">
        <f t="shared" si="331"/>
        <v>0</v>
      </c>
      <c r="E453" s="553">
        <f t="shared" si="331"/>
        <v>0</v>
      </c>
      <c r="F453" s="553">
        <f t="shared" si="331"/>
        <v>0</v>
      </c>
      <c r="G453" s="553">
        <f t="shared" si="331"/>
        <v>0</v>
      </c>
      <c r="H453" s="553">
        <f t="shared" si="331"/>
        <v>0</v>
      </c>
      <c r="I453" s="553">
        <f t="shared" si="331"/>
        <v>0</v>
      </c>
      <c r="J453" s="553">
        <f t="shared" si="331"/>
        <v>0</v>
      </c>
      <c r="K453" s="553">
        <f t="shared" si="331"/>
        <v>0</v>
      </c>
      <c r="L453" s="553">
        <f t="shared" si="331"/>
        <v>0</v>
      </c>
      <c r="M453" s="553">
        <f t="shared" si="331"/>
        <v>0</v>
      </c>
      <c r="N453" s="553">
        <f t="shared" si="331"/>
        <v>0</v>
      </c>
      <c r="O453" s="553">
        <f t="shared" si="331"/>
        <v>0</v>
      </c>
      <c r="P453" s="553">
        <f t="shared" si="331"/>
        <v>0</v>
      </c>
      <c r="Q453" s="553">
        <f t="shared" si="331"/>
        <v>0</v>
      </c>
      <c r="R453" s="553">
        <f t="shared" si="331"/>
        <v>0</v>
      </c>
      <c r="S453" s="553">
        <f t="shared" si="331"/>
        <v>0</v>
      </c>
      <c r="T453" s="553">
        <f t="shared" si="331"/>
        <v>0</v>
      </c>
      <c r="U453" s="553">
        <f t="shared" si="331"/>
        <v>0</v>
      </c>
      <c r="V453" s="553">
        <f t="shared" si="331"/>
        <v>0</v>
      </c>
      <c r="W453" s="553">
        <f t="shared" si="331"/>
        <v>0</v>
      </c>
      <c r="X453" s="553">
        <f t="shared" si="331"/>
        <v>0</v>
      </c>
      <c r="Y453" s="553">
        <f t="shared" si="331"/>
        <v>0</v>
      </c>
      <c r="Z453" s="553">
        <f t="shared" si="331"/>
        <v>0</v>
      </c>
      <c r="AA453" s="553">
        <f t="shared" si="331"/>
        <v>0</v>
      </c>
      <c r="AB453" s="553">
        <f t="shared" si="331"/>
        <v>0</v>
      </c>
      <c r="AC453" s="553">
        <f t="shared" si="331"/>
        <v>0</v>
      </c>
      <c r="AD453" s="553">
        <f t="shared" si="331"/>
        <v>0</v>
      </c>
      <c r="AE453" s="553">
        <f t="shared" si="331"/>
        <v>0</v>
      </c>
      <c r="AF453" s="553">
        <f t="shared" si="331"/>
        <v>0</v>
      </c>
      <c r="AG453" s="553">
        <f t="shared" si="331"/>
        <v>0</v>
      </c>
      <c r="AH453" s="553">
        <f t="shared" si="331"/>
        <v>0</v>
      </c>
      <c r="AI453" s="553">
        <f t="shared" ref="AI453:BB453" si="332">ROUND(1-INDEX(MO_MA_COGS,0,COLUMN())-INDEX(MO_MA_SGA,0,COLUMN())-INDEX(MO_MA_EBITDA,0,COLUMN()),6)</f>
        <v>0</v>
      </c>
      <c r="AJ453" s="553">
        <f t="shared" si="332"/>
        <v>0</v>
      </c>
      <c r="AK453" s="553">
        <f t="shared" si="332"/>
        <v>0</v>
      </c>
      <c r="AL453" s="553">
        <f t="shared" si="332"/>
        <v>0</v>
      </c>
      <c r="AM453" s="553">
        <f t="shared" si="332"/>
        <v>0</v>
      </c>
      <c r="AN453" s="553">
        <f t="shared" si="332"/>
        <v>0</v>
      </c>
      <c r="AO453" s="553">
        <f t="shared" si="332"/>
        <v>0</v>
      </c>
      <c r="AP453" s="553">
        <f t="shared" si="332"/>
        <v>0</v>
      </c>
      <c r="AQ453" s="554">
        <f t="shared" si="332"/>
        <v>0</v>
      </c>
      <c r="AR453" s="555">
        <f t="shared" si="332"/>
        <v>0</v>
      </c>
      <c r="AS453" s="555">
        <f t="shared" si="332"/>
        <v>0</v>
      </c>
      <c r="AT453" s="555">
        <f t="shared" si="332"/>
        <v>0</v>
      </c>
      <c r="AU453" s="555">
        <f t="shared" si="332"/>
        <v>0</v>
      </c>
      <c r="AV453" s="555">
        <f t="shared" si="332"/>
        <v>0</v>
      </c>
      <c r="AW453" s="555">
        <f t="shared" si="332"/>
        <v>0</v>
      </c>
      <c r="AX453" s="555">
        <f t="shared" si="332"/>
        <v>0</v>
      </c>
      <c r="AY453" s="555">
        <f t="shared" si="332"/>
        <v>0</v>
      </c>
      <c r="AZ453" s="555">
        <f t="shared" si="332"/>
        <v>0</v>
      </c>
      <c r="BA453" s="555">
        <f t="shared" si="332"/>
        <v>0</v>
      </c>
      <c r="BB453" s="555">
        <f t="shared" si="332"/>
        <v>0</v>
      </c>
      <c r="BC453" s="362"/>
    </row>
    <row r="454" spans="1:55" s="23" customFormat="1">
      <c r="A454" s="520" t="s">
        <v>103</v>
      </c>
      <c r="B454" s="522"/>
      <c r="C454" s="553">
        <f t="shared" ref="C454:AH454" si="333">IF(OR(INDEX(MO_CFSum_Acquisition,1,COLUMN())&gt;0,INDEX(MO_CFSum_Divestiture,1,COLUMN())&lt;0,INDEX(MO_CFSum_Capex,1,COLUMN())&gt;0,INDEX(MO_CFSum_Dividend,1,COLUMN())&gt;0),"CHECK",0)</f>
        <v>0</v>
      </c>
      <c r="D454" s="553">
        <f t="shared" si="333"/>
        <v>0</v>
      </c>
      <c r="E454" s="553">
        <f t="shared" si="333"/>
        <v>0</v>
      </c>
      <c r="F454" s="553">
        <f t="shared" si="333"/>
        <v>0</v>
      </c>
      <c r="G454" s="553">
        <f t="shared" si="333"/>
        <v>0</v>
      </c>
      <c r="H454" s="553">
        <f t="shared" si="333"/>
        <v>0</v>
      </c>
      <c r="I454" s="553">
        <f t="shared" si="333"/>
        <v>0</v>
      </c>
      <c r="J454" s="553">
        <f t="shared" si="333"/>
        <v>0</v>
      </c>
      <c r="K454" s="553">
        <f t="shared" si="333"/>
        <v>0</v>
      </c>
      <c r="L454" s="553">
        <f t="shared" si="333"/>
        <v>0</v>
      </c>
      <c r="M454" s="553" t="str">
        <f t="shared" si="333"/>
        <v>CHECK</v>
      </c>
      <c r="N454" s="553">
        <f t="shared" si="333"/>
        <v>0</v>
      </c>
      <c r="O454" s="553" t="str">
        <f t="shared" si="333"/>
        <v>CHECK</v>
      </c>
      <c r="P454" s="553">
        <f t="shared" si="333"/>
        <v>0</v>
      </c>
      <c r="Q454" s="553">
        <f t="shared" si="333"/>
        <v>0</v>
      </c>
      <c r="R454" s="553">
        <f t="shared" si="333"/>
        <v>0</v>
      </c>
      <c r="S454" s="553" t="str">
        <f t="shared" si="333"/>
        <v>CHECK</v>
      </c>
      <c r="T454" s="553" t="str">
        <f t="shared" si="333"/>
        <v>CHECK</v>
      </c>
      <c r="U454" s="553">
        <f t="shared" si="333"/>
        <v>0</v>
      </c>
      <c r="V454" s="553">
        <f t="shared" si="333"/>
        <v>0</v>
      </c>
      <c r="W454" s="553">
        <f t="shared" si="333"/>
        <v>0</v>
      </c>
      <c r="X454" s="553">
        <f t="shared" si="333"/>
        <v>0</v>
      </c>
      <c r="Y454" s="553">
        <f t="shared" si="333"/>
        <v>0</v>
      </c>
      <c r="Z454" s="553">
        <f t="shared" si="333"/>
        <v>0</v>
      </c>
      <c r="AA454" s="553">
        <f t="shared" si="333"/>
        <v>0</v>
      </c>
      <c r="AB454" s="553">
        <f t="shared" si="333"/>
        <v>0</v>
      </c>
      <c r="AC454" s="553" t="str">
        <f t="shared" si="333"/>
        <v>CHECK</v>
      </c>
      <c r="AD454" s="553">
        <f t="shared" si="333"/>
        <v>0</v>
      </c>
      <c r="AE454" s="553">
        <f t="shared" si="333"/>
        <v>0</v>
      </c>
      <c r="AF454" s="553">
        <f t="shared" si="333"/>
        <v>0</v>
      </c>
      <c r="AG454" s="553">
        <f t="shared" si="333"/>
        <v>0</v>
      </c>
      <c r="AH454" s="553">
        <f t="shared" si="333"/>
        <v>0</v>
      </c>
      <c r="AI454" s="553">
        <f t="shared" ref="AI454:BB454" si="334">IF(OR(INDEX(MO_CFSum_Acquisition,1,COLUMN())&gt;0,INDEX(MO_CFSum_Divestiture,1,COLUMN())&lt;0,INDEX(MO_CFSum_Capex,1,COLUMN())&gt;0,INDEX(MO_CFSum_Dividend,1,COLUMN())&gt;0),"CHECK",0)</f>
        <v>0</v>
      </c>
      <c r="AJ454" s="553">
        <f t="shared" si="334"/>
        <v>0</v>
      </c>
      <c r="AK454" s="553">
        <f t="shared" si="334"/>
        <v>0</v>
      </c>
      <c r="AL454" s="553">
        <f t="shared" si="334"/>
        <v>0</v>
      </c>
      <c r="AM454" s="553">
        <f t="shared" si="334"/>
        <v>0</v>
      </c>
      <c r="AN454" s="553">
        <f t="shared" si="334"/>
        <v>0</v>
      </c>
      <c r="AO454" s="553">
        <f t="shared" si="334"/>
        <v>0</v>
      </c>
      <c r="AP454" s="553">
        <f t="shared" si="334"/>
        <v>0</v>
      </c>
      <c r="AQ454" s="554">
        <f t="shared" si="334"/>
        <v>0</v>
      </c>
      <c r="AR454" s="555">
        <f t="shared" ca="1" si="334"/>
        <v>0</v>
      </c>
      <c r="AS454" s="555">
        <f t="shared" ca="1" si="334"/>
        <v>0</v>
      </c>
      <c r="AT454" s="555">
        <f t="shared" ca="1" si="334"/>
        <v>0</v>
      </c>
      <c r="AU454" s="555">
        <f t="shared" ca="1" si="334"/>
        <v>0</v>
      </c>
      <c r="AV454" s="555">
        <f t="shared" ca="1" si="334"/>
        <v>0</v>
      </c>
      <c r="AW454" s="555">
        <f t="shared" ca="1" si="334"/>
        <v>0</v>
      </c>
      <c r="AX454" s="555">
        <f t="shared" ca="1" si="334"/>
        <v>0</v>
      </c>
      <c r="AY454" s="555">
        <f t="shared" ca="1" si="334"/>
        <v>0</v>
      </c>
      <c r="AZ454" s="555">
        <f t="shared" ca="1" si="334"/>
        <v>0</v>
      </c>
      <c r="BA454" s="555">
        <f t="shared" ca="1" si="334"/>
        <v>0</v>
      </c>
      <c r="BB454" s="555">
        <f t="shared" ca="1" si="334"/>
        <v>0</v>
      </c>
      <c r="BC454" s="362"/>
    </row>
    <row r="455" spans="1:55" s="23" customFormat="1">
      <c r="A455" s="520" t="s">
        <v>108</v>
      </c>
      <c r="B455" s="522"/>
      <c r="C455" s="553"/>
      <c r="D455" s="553"/>
      <c r="E455" s="553"/>
      <c r="F455" s="553"/>
      <c r="G455" s="553"/>
      <c r="H455" s="553"/>
      <c r="I455" s="553"/>
      <c r="J455" s="553"/>
      <c r="K455" s="553">
        <f>ROUND(K171-SUM(G171,H171,I171,J171),6)</f>
        <v>0</v>
      </c>
      <c r="L455" s="553"/>
      <c r="M455" s="553"/>
      <c r="N455" s="553"/>
      <c r="O455" s="553"/>
      <c r="P455" s="553">
        <f>ROUND(P171-SUM(L171,M171,N171,O171),6)</f>
        <v>0</v>
      </c>
      <c r="Q455" s="553"/>
      <c r="R455" s="553"/>
      <c r="S455" s="553"/>
      <c r="T455" s="553"/>
      <c r="U455" s="553">
        <f>ROUND(U171-SUM(Q171,R171,S171,T171),6)</f>
        <v>0</v>
      </c>
      <c r="V455" s="553"/>
      <c r="W455" s="553"/>
      <c r="X455" s="553"/>
      <c r="Y455" s="553"/>
      <c r="Z455" s="553">
        <f>ROUND(Z171-SUM(V171,W171,X171,Y171),6)</f>
        <v>0</v>
      </c>
      <c r="AA455" s="553"/>
      <c r="AB455" s="553"/>
      <c r="AC455" s="553"/>
      <c r="AD455" s="553"/>
      <c r="AE455" s="553">
        <f>ROUND(AE171-SUM(AA171,AB171,AC171,AD171),6)</f>
        <v>0</v>
      </c>
      <c r="AF455" s="553"/>
      <c r="AG455" s="553"/>
      <c r="AH455" s="553"/>
      <c r="AI455" s="553"/>
      <c r="AJ455" s="553">
        <f>ROUND(AJ171-SUM(AF171,AG171,AH171,AI171),6)</f>
        <v>0</v>
      </c>
      <c r="AK455" s="553"/>
      <c r="AL455" s="553"/>
      <c r="AM455" s="553"/>
      <c r="AN455" s="553"/>
      <c r="AO455" s="553">
        <f>ROUND(AO171-SUM(AK171,AL171,AM171,AN171),6)</f>
        <v>0</v>
      </c>
      <c r="AP455" s="553"/>
      <c r="AQ455" s="554"/>
      <c r="AR455" s="555"/>
      <c r="AS455" s="555"/>
      <c r="AT455" s="555">
        <f ca="1">ROUND(AT171-SUM(AP171,AQ171,AR171,AS171),6)</f>
        <v>0</v>
      </c>
      <c r="AU455" s="555"/>
      <c r="AV455" s="555"/>
      <c r="AW455" s="555"/>
      <c r="AX455" s="555"/>
      <c r="AY455" s="555">
        <f ca="1">ROUND(AY171-SUM(AU171,AV171,AW171,AX171),6)</f>
        <v>0</v>
      </c>
      <c r="AZ455" s="555"/>
      <c r="BA455" s="555"/>
      <c r="BB455" s="555"/>
      <c r="BC455" s="362"/>
    </row>
    <row r="456" spans="1:55" s="23" customFormat="1">
      <c r="A456" s="520" t="s">
        <v>109</v>
      </c>
      <c r="B456" s="522"/>
      <c r="C456" s="553"/>
      <c r="D456" s="553"/>
      <c r="E456" s="553"/>
      <c r="F456" s="553"/>
      <c r="G456" s="553"/>
      <c r="H456" s="553"/>
      <c r="I456" s="553"/>
      <c r="J456" s="553"/>
      <c r="K456" s="553">
        <f>ROUND(SUM(G180,H180,I180,J180)-INDEX(MO_RIS_NI_NONGAAP_Diluted,1,COLUMN()),6)</f>
        <v>0</v>
      </c>
      <c r="L456" s="553"/>
      <c r="M456" s="553"/>
      <c r="N456" s="553"/>
      <c r="O456" s="553"/>
      <c r="P456" s="553">
        <f>ROUND(SUM(L180,M180,N180,O180)-INDEX(MO_RIS_NI_NONGAAP_Diluted,1,COLUMN()),6)</f>
        <v>0</v>
      </c>
      <c r="Q456" s="553"/>
      <c r="R456" s="553"/>
      <c r="S456" s="553"/>
      <c r="T456" s="553"/>
      <c r="U456" s="553">
        <f>ROUND(SUM(Q180,R180,S180,T180)-INDEX(MO_RIS_NI_NONGAAP_Diluted,1,COLUMN()),6)</f>
        <v>0</v>
      </c>
      <c r="V456" s="553"/>
      <c r="W456" s="553"/>
      <c r="X456" s="553"/>
      <c r="Y456" s="553"/>
      <c r="Z456" s="553">
        <f>ROUND(SUM(V180,W180,X180,Y180)-INDEX(MO_RIS_NI_NONGAAP_Diluted,1,COLUMN()),6)</f>
        <v>0</v>
      </c>
      <c r="AA456" s="553"/>
      <c r="AB456" s="553"/>
      <c r="AC456" s="553"/>
      <c r="AD456" s="553"/>
      <c r="AE456" s="553">
        <f>ROUND(SUM(AA180,AB180,AC180,AD180)-INDEX(MO_RIS_NI_NONGAAP_Diluted,1,COLUMN()),6)</f>
        <v>0</v>
      </c>
      <c r="AF456" s="553"/>
      <c r="AG456" s="553"/>
      <c r="AH456" s="553"/>
      <c r="AI456" s="553"/>
      <c r="AJ456" s="553">
        <f>ROUND(SUM(AF180,AG180,AH180,AI180)-INDEX(MO_RIS_NI_NONGAAP_Diluted,1,COLUMN()),6)</f>
        <v>0</v>
      </c>
      <c r="AK456" s="553"/>
      <c r="AL456" s="553"/>
      <c r="AM456" s="553"/>
      <c r="AN456" s="553"/>
      <c r="AO456" s="553">
        <f>ROUND(SUM(AK180,AL180,AM180,AN180)-INDEX(MO_RIS_NI_NONGAAP_Diluted,1,COLUMN()),6)</f>
        <v>-1.343</v>
      </c>
      <c r="AP456" s="553"/>
      <c r="AQ456" s="554"/>
      <c r="AR456" s="555"/>
      <c r="AS456" s="555"/>
      <c r="AT456" s="555">
        <f ca="1">ROUND(SUM(AP180,AQ180,AR180,AS180)-INDEX(MO_RIS_NI_NONGAAP_Diluted,1,COLUMN()),6)</f>
        <v>0</v>
      </c>
      <c r="AU456" s="555"/>
      <c r="AV456" s="555"/>
      <c r="AW456" s="555"/>
      <c r="AX456" s="555"/>
      <c r="AY456" s="555">
        <f ca="1">ROUND(SUM(AU180,AV180,AW180,AX180)-INDEX(MO_RIS_NI_NONGAAP_Diluted,1,COLUMN()),6)</f>
        <v>0</v>
      </c>
      <c r="AZ456" s="555"/>
      <c r="BA456" s="555"/>
      <c r="BB456" s="555"/>
      <c r="BC456" s="362"/>
    </row>
    <row r="457" spans="1:55" s="23" customFormat="1">
      <c r="A457" s="520" t="s">
        <v>107</v>
      </c>
      <c r="B457" s="522"/>
      <c r="C457" s="553"/>
      <c r="D457" s="553"/>
      <c r="E457" s="553"/>
      <c r="F457" s="553"/>
      <c r="G457" s="553"/>
      <c r="H457" s="553"/>
      <c r="I457" s="553"/>
      <c r="J457" s="553"/>
      <c r="K457" s="553">
        <f ca="1">ROUND(SUM(G330,H330,I330,J330)-SUM(OFFSET(INDEX(MO_CFS_CFO_BeforeWC,1,COLUMN()),ROW(INDEX(MO_SubSection_CFS_CFO,1,COLUMN()))-ROW(INDEX(MO_CFS_CFO_BeforeWC,1,COLUMN())),0,ROW(INDEX(MO_CFS_CFO_BeforeWC,1,COLUMN()))-ROW(INDEX(MO_SubSection_CFS_CFO,1,COLUMN())),1)),6)</f>
        <v>0</v>
      </c>
      <c r="L457" s="553"/>
      <c r="M457" s="553"/>
      <c r="N457" s="553"/>
      <c r="O457" s="553"/>
      <c r="P457" s="553">
        <f ca="1">ROUND(SUM(L330,M330,N330,O330)-SUM(OFFSET(INDEX(MO_CFS_CFO_BeforeWC,1,COLUMN()),ROW(INDEX(MO_SubSection_CFS_CFO,1,COLUMN()))-ROW(INDEX(MO_CFS_CFO_BeforeWC,1,COLUMN())),0,ROW(INDEX(MO_CFS_CFO_BeforeWC,1,COLUMN()))-ROW(INDEX(MO_SubSection_CFS_CFO,1,COLUMN())),1)),6)</f>
        <v>0</v>
      </c>
      <c r="Q457" s="553"/>
      <c r="R457" s="553"/>
      <c r="S457" s="553"/>
      <c r="T457" s="553"/>
      <c r="U457" s="553">
        <f ca="1">ROUND(SUM(Q330,R330,S330,T330)-SUM(OFFSET(INDEX(MO_CFS_CFO_BeforeWC,1,COLUMN()),ROW(INDEX(MO_SubSection_CFS_CFO,1,COLUMN()))-ROW(INDEX(MO_CFS_CFO_BeforeWC,1,COLUMN())),0,ROW(INDEX(MO_CFS_CFO_BeforeWC,1,COLUMN()))-ROW(INDEX(MO_SubSection_CFS_CFO,1,COLUMN())),1)),6)</f>
        <v>0</v>
      </c>
      <c r="V457" s="553"/>
      <c r="W457" s="553"/>
      <c r="X457" s="553"/>
      <c r="Y457" s="553"/>
      <c r="Z457" s="553">
        <f ca="1">ROUND(SUM(V330,W330,X330,Y330)-SUM(OFFSET(INDEX(MO_CFS_CFO_BeforeWC,1,COLUMN()),ROW(INDEX(MO_SubSection_CFS_CFO,1,COLUMN()))-ROW(INDEX(MO_CFS_CFO_BeforeWC,1,COLUMN())),0,ROW(INDEX(MO_CFS_CFO_BeforeWC,1,COLUMN()))-ROW(INDEX(MO_SubSection_CFS_CFO,1,COLUMN())),1)),6)</f>
        <v>0</v>
      </c>
      <c r="AA457" s="553"/>
      <c r="AB457" s="553"/>
      <c r="AC457" s="553"/>
      <c r="AD457" s="553"/>
      <c r="AE457" s="553">
        <f ca="1">ROUND(SUM(AA330,AB330,AC330,AD330)-SUM(OFFSET(INDEX(MO_CFS_CFO_BeforeWC,1,COLUMN()),ROW(INDEX(MO_SubSection_CFS_CFO,1,COLUMN()))-ROW(INDEX(MO_CFS_CFO_BeforeWC,1,COLUMN())),0,ROW(INDEX(MO_CFS_CFO_BeforeWC,1,COLUMN()))-ROW(INDEX(MO_SubSection_CFS_CFO,1,COLUMN())),1)),6)</f>
        <v>0</v>
      </c>
      <c r="AF457" s="553"/>
      <c r="AG457" s="553"/>
      <c r="AH457" s="553"/>
      <c r="AI457" s="553"/>
      <c r="AJ457" s="553">
        <f ca="1">ROUND(SUM(AF330,AG330,AH330,AI330)-SUM(OFFSET(INDEX(MO_CFS_CFO_BeforeWC,1,COLUMN()),ROW(INDEX(MO_SubSection_CFS_CFO,1,COLUMN()))-ROW(INDEX(MO_CFS_CFO_BeforeWC,1,COLUMN())),0,ROW(INDEX(MO_CFS_CFO_BeforeWC,1,COLUMN()))-ROW(INDEX(MO_SubSection_CFS_CFO,1,COLUMN())),1)),6)</f>
        <v>0</v>
      </c>
      <c r="AK457" s="553"/>
      <c r="AL457" s="553"/>
      <c r="AM457" s="553"/>
      <c r="AN457" s="553"/>
      <c r="AO457" s="553">
        <f ca="1">ROUND(SUM(AK330,AL330,AM330,AN330)-SUM(OFFSET(INDEX(MO_CFS_CFO_BeforeWC,1,COLUMN()),ROW(INDEX(MO_SubSection_CFS_CFO,1,COLUMN()))-ROW(INDEX(MO_CFS_CFO_BeforeWC,1,COLUMN())),0,ROW(INDEX(MO_CFS_CFO_BeforeWC,1,COLUMN()))-ROW(INDEX(MO_SubSection_CFS_CFO,1,COLUMN())),1)),6)</f>
        <v>0</v>
      </c>
      <c r="AP457" s="553"/>
      <c r="AQ457" s="554"/>
      <c r="AR457" s="555"/>
      <c r="AS457" s="555"/>
      <c r="AT457" s="555">
        <f ca="1">ROUND(SUM(AP330,AQ330,AR330,AS330)-SUM(OFFSET(INDEX(MO_CFS_CFO_BeforeWC,1,COLUMN()),ROW(INDEX(MO_SubSection_CFS_CFO,1,COLUMN()))-ROW(INDEX(MO_CFS_CFO_BeforeWC,1,COLUMN())),0,ROW(INDEX(MO_CFS_CFO_BeforeWC,1,COLUMN()))-ROW(INDEX(MO_SubSection_CFS_CFO,1,COLUMN())),1)),6)</f>
        <v>0</v>
      </c>
      <c r="AU457" s="555"/>
      <c r="AV457" s="555"/>
      <c r="AW457" s="555"/>
      <c r="AX457" s="555"/>
      <c r="AY457" s="555">
        <f ca="1">ROUND(SUM(AU330,AV330,AW330,AX330)-SUM(OFFSET(INDEX(MO_CFS_CFO_BeforeWC,1,COLUMN()),ROW(INDEX(MO_SubSection_CFS_CFO,1,COLUMN()))-ROW(INDEX(MO_CFS_CFO_BeforeWC,1,COLUMN())),0,ROW(INDEX(MO_CFS_CFO_BeforeWC,1,COLUMN()))-ROW(INDEX(MO_SubSection_CFS_CFO,1,COLUMN())),1)),6)</f>
        <v>0</v>
      </c>
      <c r="AZ457" s="555"/>
      <c r="BA457" s="555"/>
      <c r="BB457" s="555"/>
      <c r="BC457" s="362"/>
    </row>
    <row r="458" spans="1:55" s="23" customFormat="1">
      <c r="A458" s="520" t="s">
        <v>104</v>
      </c>
      <c r="B458" s="522"/>
      <c r="C458" s="553"/>
      <c r="D458" s="553"/>
      <c r="E458" s="553"/>
      <c r="F458" s="553"/>
      <c r="G458" s="553"/>
      <c r="H458" s="553"/>
      <c r="I458" s="553"/>
      <c r="J458" s="553"/>
      <c r="K458" s="553">
        <f ca="1">ROUND(SUM(G341,H341,I341,J341)-SUM(OFFSET(INDEX(MO_CFS_CFO,1,COLUMN()),ROW(INDEX(MO_CFS_CFO_BeforeWC,1,COLUMN()))-ROW(INDEX(MO_CFS_CFO,1,COLUMN())),0,ROW(INDEX(MO_CFS_CFO,1,COLUMN()))-ROW(INDEX(MO_CFS_CFO_BeforeWC,1,COLUMN())),1)),6)</f>
        <v>0</v>
      </c>
      <c r="L458" s="553"/>
      <c r="M458" s="553"/>
      <c r="N458" s="553"/>
      <c r="O458" s="553"/>
      <c r="P458" s="553">
        <f ca="1">ROUND(SUM(L341,M341,N341,O341)-SUM(OFFSET(INDEX(MO_CFS_CFO,1,COLUMN()),ROW(INDEX(MO_CFS_CFO_BeforeWC,1,COLUMN()))-ROW(INDEX(MO_CFS_CFO,1,COLUMN())),0,ROW(INDEX(MO_CFS_CFO,1,COLUMN()))-ROW(INDEX(MO_CFS_CFO_BeforeWC,1,COLUMN())),1)),6)</f>
        <v>0</v>
      </c>
      <c r="Q458" s="553"/>
      <c r="R458" s="553"/>
      <c r="S458" s="553"/>
      <c r="T458" s="553"/>
      <c r="U458" s="553">
        <f ca="1">ROUND(SUM(Q341,R341,S341,T341)-SUM(OFFSET(INDEX(MO_CFS_CFO,1,COLUMN()),ROW(INDEX(MO_CFS_CFO_BeforeWC,1,COLUMN()))-ROW(INDEX(MO_CFS_CFO,1,COLUMN())),0,ROW(INDEX(MO_CFS_CFO,1,COLUMN()))-ROW(INDEX(MO_CFS_CFO_BeforeWC,1,COLUMN())),1)),6)</f>
        <v>0</v>
      </c>
      <c r="V458" s="553"/>
      <c r="W458" s="553"/>
      <c r="X458" s="553"/>
      <c r="Y458" s="553"/>
      <c r="Z458" s="553">
        <f ca="1">ROUND(SUM(V341,W341,X341,Y341)-SUM(OFFSET(INDEX(MO_CFS_CFO,1,COLUMN()),ROW(INDEX(MO_CFS_CFO_BeforeWC,1,COLUMN()))-ROW(INDEX(MO_CFS_CFO,1,COLUMN())),0,ROW(INDEX(MO_CFS_CFO,1,COLUMN()))-ROW(INDEX(MO_CFS_CFO_BeforeWC,1,COLUMN())),1)),6)</f>
        <v>0</v>
      </c>
      <c r="AA458" s="553"/>
      <c r="AB458" s="553"/>
      <c r="AC458" s="553"/>
      <c r="AD458" s="553"/>
      <c r="AE458" s="553">
        <f ca="1">ROUND(SUM(AA341,AB341,AC341,AD341)-SUM(OFFSET(INDEX(MO_CFS_CFO,1,COLUMN()),ROW(INDEX(MO_CFS_CFO_BeforeWC,1,COLUMN()))-ROW(INDEX(MO_CFS_CFO,1,COLUMN())),0,ROW(INDEX(MO_CFS_CFO,1,COLUMN()))-ROW(INDEX(MO_CFS_CFO_BeforeWC,1,COLUMN())),1)),6)</f>
        <v>0</v>
      </c>
      <c r="AF458" s="553"/>
      <c r="AG458" s="553"/>
      <c r="AH458" s="553"/>
      <c r="AI458" s="553"/>
      <c r="AJ458" s="553">
        <f ca="1">ROUND(SUM(AF341,AG341,AH341,AI341)-SUM(OFFSET(INDEX(MO_CFS_CFO,1,COLUMN()),ROW(INDEX(MO_CFS_CFO_BeforeWC,1,COLUMN()))-ROW(INDEX(MO_CFS_CFO,1,COLUMN())),0,ROW(INDEX(MO_CFS_CFO,1,COLUMN()))-ROW(INDEX(MO_CFS_CFO_BeforeWC,1,COLUMN())),1)),6)</f>
        <v>0</v>
      </c>
      <c r="AK458" s="553"/>
      <c r="AL458" s="553"/>
      <c r="AM458" s="553"/>
      <c r="AN458" s="553"/>
      <c r="AO458" s="553">
        <f ca="1">ROUND(SUM(AK341,AL341,AM341,AN341)-SUM(OFFSET(INDEX(MO_CFS_CFO,1,COLUMN()),ROW(INDEX(MO_CFS_CFO_BeforeWC,1,COLUMN()))-ROW(INDEX(MO_CFS_CFO,1,COLUMN())),0,ROW(INDEX(MO_CFS_CFO,1,COLUMN()))-ROW(INDEX(MO_CFS_CFO_BeforeWC,1,COLUMN())),1)),6)</f>
        <v>0</v>
      </c>
      <c r="AP458" s="553"/>
      <c r="AQ458" s="554"/>
      <c r="AR458" s="555"/>
      <c r="AS458" s="555"/>
      <c r="AT458" s="555">
        <f ca="1">ROUND(SUM(AP341,AQ341,AR341,AS341)-SUM(OFFSET(INDEX(MO_CFS_CFO,1,COLUMN()),ROW(INDEX(MO_CFS_CFO_BeforeWC,1,COLUMN()))-ROW(INDEX(MO_CFS_CFO,1,COLUMN())),0,ROW(INDEX(MO_CFS_CFO,1,COLUMN()))-ROW(INDEX(MO_CFS_CFO_BeforeWC,1,COLUMN())),1)),6)</f>
        <v>0</v>
      </c>
      <c r="AU458" s="555"/>
      <c r="AV458" s="555"/>
      <c r="AW458" s="555"/>
      <c r="AX458" s="555"/>
      <c r="AY458" s="555">
        <f ca="1">ROUND(SUM(AU341,AV341,AW341,AX341)-SUM(OFFSET(INDEX(MO_CFS_CFO,1,COLUMN()),ROW(INDEX(MO_CFS_CFO_BeforeWC,1,COLUMN()))-ROW(INDEX(MO_CFS_CFO,1,COLUMN())),0,ROW(INDEX(MO_CFS_CFO,1,COLUMN()))-ROW(INDEX(MO_CFS_CFO_BeforeWC,1,COLUMN())),1)),6)</f>
        <v>0</v>
      </c>
      <c r="AZ458" s="555"/>
      <c r="BA458" s="555"/>
      <c r="BB458" s="555"/>
      <c r="BC458" s="362"/>
    </row>
    <row r="459" spans="1:55" s="23" customFormat="1">
      <c r="A459" s="520" t="s">
        <v>105</v>
      </c>
      <c r="B459" s="522"/>
      <c r="C459" s="553"/>
      <c r="D459" s="553"/>
      <c r="E459" s="553"/>
      <c r="F459" s="553"/>
      <c r="G459" s="553"/>
      <c r="H459" s="553"/>
      <c r="I459" s="553"/>
      <c r="J459" s="553"/>
      <c r="K459" s="553">
        <f ca="1">ROUND(SUM(G349,H349,I349,J349)-SUM(OFFSET(INDEX(MO_CFS_CFI,1,COLUMN()),ROW(INDEX(MO_SubSection_CFS_CFI,1,COLUMN()))-ROW(INDEX(MO_CFS_CFI,1,COLUMN())),0,ROW(INDEX(MO_CFS_CFI,1,COLUMN()))-ROW(INDEX(MO_SubSection_CFS_CFI,1,COLUMN())),1)),6)</f>
        <v>0</v>
      </c>
      <c r="L459" s="553"/>
      <c r="M459" s="553"/>
      <c r="N459" s="553"/>
      <c r="O459" s="553"/>
      <c r="P459" s="553">
        <f ca="1">ROUND(SUM(L349,M349,N349,O349)-SUM(OFFSET(INDEX(MO_CFS_CFI,1,COLUMN()),ROW(INDEX(MO_SubSection_CFS_CFI,1,COLUMN()))-ROW(INDEX(MO_CFS_CFI,1,COLUMN())),0,ROW(INDEX(MO_CFS_CFI,1,COLUMN()))-ROW(INDEX(MO_SubSection_CFS_CFI,1,COLUMN())),1)),6)</f>
        <v>0</v>
      </c>
      <c r="Q459" s="553"/>
      <c r="R459" s="553"/>
      <c r="S459" s="553"/>
      <c r="T459" s="553"/>
      <c r="U459" s="553">
        <f ca="1">ROUND(SUM(Q349,R349,S349,T349)-SUM(OFFSET(INDEX(MO_CFS_CFI,1,COLUMN()),ROW(INDEX(MO_SubSection_CFS_CFI,1,COLUMN()))-ROW(INDEX(MO_CFS_CFI,1,COLUMN())),0,ROW(INDEX(MO_CFS_CFI,1,COLUMN()))-ROW(INDEX(MO_SubSection_CFS_CFI,1,COLUMN())),1)),6)</f>
        <v>0</v>
      </c>
      <c r="V459" s="553"/>
      <c r="W459" s="553"/>
      <c r="X459" s="553"/>
      <c r="Y459" s="553"/>
      <c r="Z459" s="553">
        <f ca="1">ROUND(SUM(V349,W349,X349,Y349)-SUM(OFFSET(INDEX(MO_CFS_CFI,1,COLUMN()),ROW(INDEX(MO_SubSection_CFS_CFI,1,COLUMN()))-ROW(INDEX(MO_CFS_CFI,1,COLUMN())),0,ROW(INDEX(MO_CFS_CFI,1,COLUMN()))-ROW(INDEX(MO_SubSection_CFS_CFI,1,COLUMN())),1)),6)</f>
        <v>0</v>
      </c>
      <c r="AA459" s="553"/>
      <c r="AB459" s="553"/>
      <c r="AC459" s="553"/>
      <c r="AD459" s="553"/>
      <c r="AE459" s="553">
        <f ca="1">ROUND(SUM(AA349,AB349,AC349,AD349)-SUM(OFFSET(INDEX(MO_CFS_CFI,1,COLUMN()),ROW(INDEX(MO_SubSection_CFS_CFI,1,COLUMN()))-ROW(INDEX(MO_CFS_CFI,1,COLUMN())),0,ROW(INDEX(MO_CFS_CFI,1,COLUMN()))-ROW(INDEX(MO_SubSection_CFS_CFI,1,COLUMN())),1)),6)</f>
        <v>0</v>
      </c>
      <c r="AF459" s="553"/>
      <c r="AG459" s="553"/>
      <c r="AH459" s="553"/>
      <c r="AI459" s="553"/>
      <c r="AJ459" s="553">
        <f ca="1">ROUND(SUM(AF349,AG349,AH349,AI349)-SUM(OFFSET(INDEX(MO_CFS_CFI,1,COLUMN()),ROW(INDEX(MO_SubSection_CFS_CFI,1,COLUMN()))-ROW(INDEX(MO_CFS_CFI,1,COLUMN())),0,ROW(INDEX(MO_CFS_CFI,1,COLUMN()))-ROW(INDEX(MO_SubSection_CFS_CFI,1,COLUMN())),1)),6)</f>
        <v>0</v>
      </c>
      <c r="AK459" s="553"/>
      <c r="AL459" s="553"/>
      <c r="AM459" s="553"/>
      <c r="AN459" s="553"/>
      <c r="AO459" s="553">
        <f ca="1">ROUND(SUM(AK349,AL349,AM349,AN349)-SUM(OFFSET(INDEX(MO_CFS_CFI,1,COLUMN()),ROW(INDEX(MO_SubSection_CFS_CFI,1,COLUMN()))-ROW(INDEX(MO_CFS_CFI,1,COLUMN())),0,ROW(INDEX(MO_CFS_CFI,1,COLUMN()))-ROW(INDEX(MO_SubSection_CFS_CFI,1,COLUMN())),1)),6)</f>
        <v>0</v>
      </c>
      <c r="AP459" s="553"/>
      <c r="AQ459" s="554"/>
      <c r="AR459" s="555"/>
      <c r="AS459" s="555"/>
      <c r="AT459" s="555">
        <f ca="1">ROUND(SUM(AP349,AQ349,AR349,AS349)-SUM(OFFSET(INDEX(MO_CFS_CFI,1,COLUMN()),ROW(INDEX(MO_SubSection_CFS_CFI,1,COLUMN()))-ROW(INDEX(MO_CFS_CFI,1,COLUMN())),0,ROW(INDEX(MO_CFS_CFI,1,COLUMN()))-ROW(INDEX(MO_SubSection_CFS_CFI,1,COLUMN())),1)),6)</f>
        <v>0</v>
      </c>
      <c r="AU459" s="555"/>
      <c r="AV459" s="555"/>
      <c r="AW459" s="555"/>
      <c r="AX459" s="555"/>
      <c r="AY459" s="555">
        <f ca="1">ROUND(SUM(AU349,AV349,AW349,AX349)-SUM(OFFSET(INDEX(MO_CFS_CFI,1,COLUMN()),ROW(INDEX(MO_SubSection_CFS_CFI,1,COLUMN()))-ROW(INDEX(MO_CFS_CFI,1,COLUMN())),0,ROW(INDEX(MO_CFS_CFI,1,COLUMN()))-ROW(INDEX(MO_SubSection_CFS_CFI,1,COLUMN())),1)),6)</f>
        <v>0</v>
      </c>
      <c r="AZ459" s="555"/>
      <c r="BA459" s="555"/>
      <c r="BB459" s="555"/>
      <c r="BC459" s="362"/>
    </row>
    <row r="460" spans="1:55" s="23" customFormat="1">
      <c r="A460" s="520" t="s">
        <v>106</v>
      </c>
      <c r="B460" s="522"/>
      <c r="C460" s="553"/>
      <c r="D460" s="553"/>
      <c r="E460" s="553"/>
      <c r="F460" s="553"/>
      <c r="G460" s="553"/>
      <c r="H460" s="553"/>
      <c r="I460" s="553"/>
      <c r="J460" s="553"/>
      <c r="K460" s="553">
        <f ca="1">ROUND(SUM(G365,H365,I365,J365)-SUM(OFFSET(INDEX(MO_CFS_CFF,1,COLUMN()),ROW(INDEX(MO_SubSection_CFS_CFF,1,COLUMN()))-ROW(INDEX(MO_CFS_CFF,1,COLUMN())),0,ROW(INDEX(MO_CFS_CFF,1,COLUMN()))-ROW(INDEX(MO_SubSection_CFS_CFF,1,COLUMN())),1)),6)</f>
        <v>0</v>
      </c>
      <c r="L460" s="553"/>
      <c r="M460" s="553"/>
      <c r="N460" s="553"/>
      <c r="O460" s="553"/>
      <c r="P460" s="553">
        <f ca="1">ROUND(SUM(L365,M365,N365,O365)-SUM(OFFSET(INDEX(MO_CFS_CFF,1,COLUMN()),ROW(INDEX(MO_SubSection_CFS_CFF,1,COLUMN()))-ROW(INDEX(MO_CFS_CFF,1,COLUMN())),0,ROW(INDEX(MO_CFS_CFF,1,COLUMN()))-ROW(INDEX(MO_SubSection_CFS_CFF,1,COLUMN())),1)),6)</f>
        <v>0</v>
      </c>
      <c r="Q460" s="553"/>
      <c r="R460" s="553"/>
      <c r="S460" s="553"/>
      <c r="T460" s="553"/>
      <c r="U460" s="553">
        <f ca="1">ROUND(SUM(Q365,R365,S365,T365)-SUM(OFFSET(INDEX(MO_CFS_CFF,1,COLUMN()),ROW(INDEX(MO_SubSection_CFS_CFF,1,COLUMN()))-ROW(INDEX(MO_CFS_CFF,1,COLUMN())),0,ROW(INDEX(MO_CFS_CFF,1,COLUMN()))-ROW(INDEX(MO_SubSection_CFS_CFF,1,COLUMN())),1)),6)</f>
        <v>0</v>
      </c>
      <c r="V460" s="553"/>
      <c r="W460" s="553"/>
      <c r="X460" s="553"/>
      <c r="Y460" s="553"/>
      <c r="Z460" s="553">
        <f ca="1">ROUND(SUM(V365,W365,X365,Y365)-SUM(OFFSET(INDEX(MO_CFS_CFF,1,COLUMN()),ROW(INDEX(MO_SubSection_CFS_CFF,1,COLUMN()))-ROW(INDEX(MO_CFS_CFF,1,COLUMN())),0,ROW(INDEX(MO_CFS_CFF,1,COLUMN()))-ROW(INDEX(MO_SubSection_CFS_CFF,1,COLUMN())),1)),6)</f>
        <v>0</v>
      </c>
      <c r="AA460" s="553"/>
      <c r="AB460" s="553"/>
      <c r="AC460" s="553"/>
      <c r="AD460" s="553"/>
      <c r="AE460" s="553">
        <f ca="1">ROUND(SUM(AA365,AB365,AC365,AD365)-SUM(OFFSET(INDEX(MO_CFS_CFF,1,COLUMN()),ROW(INDEX(MO_SubSection_CFS_CFF,1,COLUMN()))-ROW(INDEX(MO_CFS_CFF,1,COLUMN())),0,ROW(INDEX(MO_CFS_CFF,1,COLUMN()))-ROW(INDEX(MO_SubSection_CFS_CFF,1,COLUMN())),1)),6)</f>
        <v>0</v>
      </c>
      <c r="AF460" s="553"/>
      <c r="AG460" s="553"/>
      <c r="AH460" s="553"/>
      <c r="AI460" s="553"/>
      <c r="AJ460" s="553">
        <f ca="1">ROUND(SUM(AF365,AG365,AH365,AI365)-SUM(OFFSET(INDEX(MO_CFS_CFF,1,COLUMN()),ROW(INDEX(MO_SubSection_CFS_CFF,1,COLUMN()))-ROW(INDEX(MO_CFS_CFF,1,COLUMN())),0,ROW(INDEX(MO_CFS_CFF,1,COLUMN()))-ROW(INDEX(MO_SubSection_CFS_CFF,1,COLUMN())),1)),6)</f>
        <v>0</v>
      </c>
      <c r="AK460" s="553"/>
      <c r="AL460" s="553"/>
      <c r="AM460" s="553"/>
      <c r="AN460" s="553"/>
      <c r="AO460" s="553">
        <f ca="1">ROUND(SUM(AK365,AL365,AM365,AN365)-SUM(OFFSET(INDEX(MO_CFS_CFF,1,COLUMN()),ROW(INDEX(MO_SubSection_CFS_CFF,1,COLUMN()))-ROW(INDEX(MO_CFS_CFF,1,COLUMN())),0,ROW(INDEX(MO_CFS_CFF,1,COLUMN()))-ROW(INDEX(MO_SubSection_CFS_CFF,1,COLUMN())),1)),6)</f>
        <v>0</v>
      </c>
      <c r="AP460" s="553"/>
      <c r="AQ460" s="554"/>
      <c r="AR460" s="555"/>
      <c r="AS460" s="555"/>
      <c r="AT460" s="555">
        <f ca="1">ROUND(SUM(AP365,AQ365,AR365,AS365)-SUM(OFFSET(INDEX(MO_CFS_CFF,1,COLUMN()),ROW(INDEX(MO_SubSection_CFS_CFF,1,COLUMN()))-ROW(INDEX(MO_CFS_CFF,1,COLUMN())),0,ROW(INDEX(MO_CFS_CFF,1,COLUMN()))-ROW(INDEX(MO_SubSection_CFS_CFF,1,COLUMN())),1)),6)</f>
        <v>0</v>
      </c>
      <c r="AU460" s="555"/>
      <c r="AV460" s="555"/>
      <c r="AW460" s="555"/>
      <c r="AX460" s="555"/>
      <c r="AY460" s="555">
        <f ca="1">ROUND(SUM(AU365,AV365,AW365,AX365)-SUM(OFFSET(INDEX(MO_CFS_CFF,1,COLUMN()),ROW(INDEX(MO_SubSection_CFS_CFF,1,COLUMN()))-ROW(INDEX(MO_CFS_CFF,1,COLUMN())),0,ROW(INDEX(MO_CFS_CFF,1,COLUMN()))-ROW(INDEX(MO_SubSection_CFS_CFF,1,COLUMN())),1)),6)</f>
        <v>0</v>
      </c>
      <c r="AZ460" s="555"/>
      <c r="BA460" s="555"/>
      <c r="BB460" s="555"/>
      <c r="BC460" s="362"/>
    </row>
    <row r="461" spans="1:55" s="23" customFormat="1">
      <c r="A461" s="520" t="s">
        <v>117</v>
      </c>
      <c r="B461" s="522"/>
      <c r="C461" s="553"/>
      <c r="D461" s="553"/>
      <c r="E461" s="553"/>
      <c r="F461" s="553"/>
      <c r="G461" s="553"/>
      <c r="H461" s="553"/>
      <c r="I461" s="553"/>
      <c r="J461" s="553"/>
      <c r="K461" s="553">
        <f>ROUND(SUM(INDEX(MO_CFSum_Acquisition,0,COLUMN()),INDEX(MO_CFSum_Capex,0,COLUMN()),INDEX(MO_CFSum_Divestiture,0,COLUMN()),INDEX(MO_CFSum_Dividend,0,COLUMN()))-SUM(G200,H200,I200,J200,G201,H201,I201,J201,G202,H202,I202,J202)-SUM(G198,H198,I198,J198),6)</f>
        <v>0</v>
      </c>
      <c r="L461" s="553"/>
      <c r="M461" s="553"/>
      <c r="N461" s="553"/>
      <c r="O461" s="553"/>
      <c r="P461" s="553">
        <f>ROUND(SUM(INDEX(MO_CFSum_Acquisition,0,COLUMN()),INDEX(MO_CFSum_Capex,0,COLUMN()),INDEX(MO_CFSum_Divestiture,0,COLUMN()),INDEX(MO_CFSum_Dividend,0,COLUMN()))-SUM(L200,M200,N200,O200,L201,M201,N201,O201,L202,M202,N202,O202)-SUM(L198,M198,N198,O198),6)</f>
        <v>0</v>
      </c>
      <c r="Q461" s="562"/>
      <c r="R461" s="562"/>
      <c r="S461" s="562"/>
      <c r="T461" s="562"/>
      <c r="U461" s="553">
        <f>ROUND(SUM(INDEX(MO_CFSum_Acquisition,0,COLUMN()),INDEX(MO_CFSum_Capex,0,COLUMN()),INDEX(MO_CFSum_Divestiture,0,COLUMN()),INDEX(MO_CFSum_Dividend,0,COLUMN()))-SUM(Q200,R200,S200,T200,Q201,R201,S201,T201,Q202,R202,S202,T202)-SUM(Q198,R198,S198,T198),6)</f>
        <v>0</v>
      </c>
      <c r="V461" s="562"/>
      <c r="W461" s="562"/>
      <c r="X461" s="562"/>
      <c r="Y461" s="562"/>
      <c r="Z461" s="553">
        <f>ROUND(SUM(INDEX(MO_CFSum_Acquisition,0,COLUMN()),INDEX(MO_CFSum_Capex,0,COLUMN()),INDEX(MO_CFSum_Divestiture,0,COLUMN()),INDEX(MO_CFSum_Dividend,0,COLUMN()))-SUM(V200,W200,X200,Y200,V201,W201,X201,Y201,V202,W202,X202,Y202)-SUM(V198,W198,X198,Y198),6)</f>
        <v>0</v>
      </c>
      <c r="AA461" s="553"/>
      <c r="AB461" s="553"/>
      <c r="AC461" s="553"/>
      <c r="AD461" s="553"/>
      <c r="AE461" s="553">
        <f>ROUND(SUM(INDEX(MO_CFSum_Acquisition,0,COLUMN()),INDEX(MO_CFSum_Capex,0,COLUMN()),INDEX(MO_CFSum_Divestiture,0,COLUMN()),INDEX(MO_CFSum_Dividend,0,COLUMN()))-SUM(AA200,AB200,AC200,AD200,AA201,AB201,AC201,AD201,AA202,AB202,AC202,AD202)-SUM(AA198,AB198,AC198,AD198),6)</f>
        <v>0</v>
      </c>
      <c r="AF461" s="553"/>
      <c r="AG461" s="553"/>
      <c r="AH461" s="553"/>
      <c r="AI461" s="553"/>
      <c r="AJ461" s="553">
        <f>ROUND(SUM(INDEX(MO_CFSum_Acquisition,0,COLUMN()),INDEX(MO_CFSum_Capex,0,COLUMN()),INDEX(MO_CFSum_Divestiture,0,COLUMN()),INDEX(MO_CFSum_Dividend,0,COLUMN()))-SUM(AF200,AG200,AH200,AI200,AF201,AG201,AH201,AI201,AF202,AG202,AH202,AI202)-SUM(AF198,AG198,AH198,AI198),6)</f>
        <v>0</v>
      </c>
      <c r="AK461" s="553"/>
      <c r="AL461" s="553"/>
      <c r="AM461" s="553"/>
      <c r="AN461" s="553"/>
      <c r="AO461" s="553">
        <f>ROUND(SUM(INDEX(MO_CFSum_Acquisition,0,COLUMN()),INDEX(MO_CFSum_Capex,0,COLUMN()),INDEX(MO_CFSum_Divestiture,0,COLUMN()),INDEX(MO_CFSum_Dividend,0,COLUMN()))-SUM(AK200,AL200,AM200,AN200,AK201,AL201,AM201,AN201,AK202,AL202,AM202,AN202)-SUM(AK198,AL198,AM198,AN198),6)</f>
        <v>0</v>
      </c>
      <c r="AP461" s="553"/>
      <c r="AQ461" s="554"/>
      <c r="AR461" s="555"/>
      <c r="AS461" s="555"/>
      <c r="AT461" s="555">
        <f ca="1">ROUND(SUM(INDEX(MO_CFSum_Acquisition,0,COLUMN()),INDEX(MO_CFSum_Capex,0,COLUMN()),INDEX(MO_CFSum_Divestiture,0,COLUMN()),INDEX(MO_CFSum_Dividend,0,COLUMN()))-SUM(AP200,AQ200,AR200,AS200,AP201,AQ201,AR201,AS201,AP202,AQ202,AR202,AS202)-SUM(AP198,AQ198,AR198,AS198),6)</f>
        <v>0</v>
      </c>
      <c r="AU461" s="555"/>
      <c r="AV461" s="555"/>
      <c r="AW461" s="555"/>
      <c r="AX461" s="555"/>
      <c r="AY461" s="555">
        <f ca="1">ROUND(SUM(INDEX(MO_CFSum_Acquisition,0,COLUMN()),INDEX(MO_CFSum_Capex,0,COLUMN()),INDEX(MO_CFSum_Divestiture,0,COLUMN()),INDEX(MO_CFSum_Dividend,0,COLUMN()))-SUM(AU200,AV200,AW200,AX200,AU201,AV201,AW201,AX201,AU202,AV202,AW202,AX202)-SUM(AU198,AV198,AW198,AX198),6)</f>
        <v>0</v>
      </c>
      <c r="AZ461" s="555"/>
      <c r="BA461" s="555"/>
      <c r="BB461" s="555"/>
      <c r="BC461" s="362"/>
    </row>
    <row r="462" spans="1:55" s="23" customFormat="1">
      <c r="A462" s="520"/>
      <c r="B462" s="522"/>
      <c r="C462" s="549"/>
      <c r="D462" s="549"/>
      <c r="E462" s="549"/>
      <c r="F462" s="549"/>
      <c r="G462" s="549"/>
      <c r="H462" s="549"/>
      <c r="I462" s="549"/>
      <c r="J462" s="549"/>
      <c r="K462" s="549"/>
      <c r="L462" s="549"/>
      <c r="M462" s="549"/>
      <c r="N462" s="549"/>
      <c r="O462" s="549"/>
      <c r="P462" s="549"/>
      <c r="Q462" s="549"/>
      <c r="R462" s="549"/>
      <c r="S462" s="549"/>
      <c r="T462" s="549"/>
      <c r="U462" s="549"/>
      <c r="V462" s="549"/>
      <c r="W462" s="543"/>
      <c r="X462" s="543"/>
      <c r="Y462" s="549"/>
      <c r="Z462" s="549"/>
      <c r="AA462" s="543"/>
      <c r="AB462" s="543"/>
      <c r="AC462" s="543"/>
      <c r="AD462" s="549"/>
      <c r="AE462" s="549"/>
      <c r="AF462" s="543"/>
      <c r="AG462" s="543"/>
      <c r="AH462" s="543"/>
      <c r="AI462" s="547"/>
      <c r="AJ462" s="547"/>
      <c r="AK462" s="534"/>
      <c r="AL462" s="534"/>
      <c r="AM462" s="534"/>
      <c r="AN462" s="547"/>
      <c r="AO462" s="547"/>
      <c r="AP462" s="534"/>
      <c r="AQ462" s="535"/>
      <c r="AR462" s="536"/>
      <c r="AS462" s="536"/>
      <c r="AT462" s="536"/>
      <c r="AU462" s="536"/>
      <c r="AV462" s="536"/>
      <c r="AW462" s="536"/>
      <c r="AX462" s="536"/>
      <c r="AY462" s="536"/>
      <c r="AZ462" s="536"/>
      <c r="BA462" s="536"/>
      <c r="BB462" s="536"/>
      <c r="BC462" s="362"/>
    </row>
    <row r="463" spans="1:55" s="4" customFormat="1">
      <c r="A463" s="524" t="s">
        <v>89</v>
      </c>
      <c r="B463" s="524"/>
      <c r="C463" s="524"/>
      <c r="D463" s="524"/>
      <c r="E463" s="524"/>
      <c r="F463" s="524"/>
      <c r="G463" s="524"/>
      <c r="H463" s="524"/>
      <c r="I463" s="524"/>
      <c r="J463" s="524"/>
      <c r="K463" s="524"/>
      <c r="L463" s="524"/>
      <c r="M463" s="524"/>
      <c r="N463" s="524"/>
      <c r="O463" s="524"/>
      <c r="P463" s="524"/>
      <c r="Q463" s="524"/>
      <c r="R463" s="524"/>
      <c r="S463" s="524"/>
      <c r="T463" s="524"/>
      <c r="U463" s="524"/>
      <c r="V463" s="524"/>
      <c r="W463" s="524"/>
      <c r="X463" s="524"/>
      <c r="Y463" s="524"/>
      <c r="Z463" s="524"/>
      <c r="AA463" s="524"/>
      <c r="AB463" s="524"/>
      <c r="AC463" s="524"/>
      <c r="AD463" s="524"/>
      <c r="AE463" s="524"/>
      <c r="AF463" s="524"/>
      <c r="AG463" s="524"/>
      <c r="AH463" s="524"/>
      <c r="AI463" s="523"/>
      <c r="AJ463" s="523"/>
      <c r="AK463" s="523"/>
      <c r="AL463" s="523"/>
      <c r="AM463" s="523"/>
      <c r="AN463" s="523"/>
      <c r="AO463" s="550"/>
      <c r="AP463" s="550"/>
      <c r="AQ463" s="551"/>
      <c r="AR463" s="524"/>
      <c r="AS463" s="524"/>
      <c r="AT463" s="524"/>
      <c r="AU463" s="524"/>
      <c r="AV463" s="524"/>
      <c r="AW463" s="524"/>
      <c r="AX463" s="524"/>
      <c r="AY463" s="524"/>
      <c r="AZ463" s="524"/>
      <c r="BA463" s="524"/>
      <c r="BB463" s="524"/>
      <c r="BC463" s="363"/>
    </row>
    <row r="464" spans="1:55" s="23" customFormat="1">
      <c r="A464" s="241"/>
      <c r="B464" s="520"/>
      <c r="C464" s="93"/>
      <c r="D464" s="93"/>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15"/>
      <c r="AJ464" s="515"/>
      <c r="AK464" s="515"/>
      <c r="AL464" s="515"/>
      <c r="AM464" s="515"/>
      <c r="AN464" s="515"/>
      <c r="AO464" s="534"/>
      <c r="AP464" s="534"/>
      <c r="AQ464" s="535"/>
      <c r="AR464" s="516"/>
      <c r="AS464" s="516"/>
      <c r="AT464" s="516"/>
      <c r="AU464" s="516"/>
      <c r="AV464" s="516"/>
      <c r="AW464" s="516"/>
      <c r="AX464" s="516"/>
      <c r="AY464" s="516"/>
      <c r="AZ464" s="516"/>
      <c r="BA464" s="516"/>
      <c r="BB464" s="516"/>
      <c r="BC464" s="362"/>
    </row>
    <row r="465" spans="1:55" s="47" customFormat="1">
      <c r="A465" s="329" t="s">
        <v>111</v>
      </c>
      <c r="B465" s="473"/>
      <c r="C465" s="474"/>
      <c r="D465" s="474"/>
      <c r="E465" s="473"/>
      <c r="F465" s="473"/>
      <c r="G465" s="473"/>
      <c r="H465" s="473"/>
      <c r="I465" s="473"/>
      <c r="J465" s="473"/>
      <c r="K465" s="473"/>
      <c r="L465" s="473"/>
      <c r="M465" s="473"/>
      <c r="N465" s="473"/>
      <c r="O465" s="473"/>
      <c r="P465" s="473"/>
      <c r="Q465" s="473"/>
      <c r="R465" s="473"/>
      <c r="S465" s="473"/>
      <c r="T465" s="473"/>
      <c r="U465" s="473"/>
      <c r="V465" s="473"/>
      <c r="W465" s="473"/>
      <c r="X465" s="473"/>
      <c r="Y465" s="473"/>
      <c r="Z465" s="473"/>
      <c r="AA465" s="473"/>
      <c r="AB465" s="473"/>
      <c r="AC465" s="473"/>
      <c r="AD465" s="473"/>
      <c r="AE465" s="473"/>
      <c r="AF465" s="473"/>
      <c r="AG465" s="473"/>
      <c r="AH465" s="473"/>
      <c r="AI465" s="475"/>
      <c r="AJ465" s="475"/>
      <c r="AK465" s="475"/>
      <c r="AL465" s="475"/>
      <c r="AM465" s="475"/>
      <c r="AN465" s="475"/>
      <c r="AO465" s="475"/>
      <c r="AP465" s="475"/>
      <c r="AQ465" s="476"/>
      <c r="AR465" s="496"/>
      <c r="AS465" s="496"/>
      <c r="AT465" s="496"/>
      <c r="AU465" s="496"/>
      <c r="AV465" s="496"/>
      <c r="AW465" s="496"/>
      <c r="AX465" s="496"/>
      <c r="AY465" s="496"/>
      <c r="AZ465" s="496"/>
      <c r="BA465" s="496"/>
      <c r="BB465" s="496"/>
      <c r="BC465" s="46"/>
    </row>
    <row r="466" spans="1:55" s="49" customFormat="1">
      <c r="A466" s="330" t="s">
        <v>202</v>
      </c>
      <c r="B466" s="477"/>
      <c r="C466" s="478"/>
      <c r="D466" s="478"/>
      <c r="E466" s="477"/>
      <c r="F466" s="477"/>
      <c r="G466" s="477"/>
      <c r="H466" s="477"/>
      <c r="I466" s="477"/>
      <c r="J466" s="477"/>
      <c r="K466" s="477"/>
      <c r="L466" s="477"/>
      <c r="M466" s="477"/>
      <c r="N466" s="477"/>
      <c r="O466" s="477"/>
      <c r="P466" s="477"/>
      <c r="Q466" s="477"/>
      <c r="R466" s="477"/>
      <c r="S466" s="477"/>
      <c r="T466" s="477"/>
      <c r="U466" s="477"/>
      <c r="V466" s="477"/>
      <c r="W466" s="477"/>
      <c r="X466" s="477"/>
      <c r="Y466" s="477"/>
      <c r="Z466" s="477"/>
      <c r="AA466" s="477"/>
      <c r="AB466" s="477"/>
      <c r="AC466" s="477"/>
      <c r="AD466" s="477"/>
      <c r="AE466" s="477"/>
      <c r="AF466" s="477"/>
      <c r="AG466" s="477"/>
      <c r="AH466" s="477"/>
      <c r="AI466" s="479"/>
      <c r="AJ466" s="479"/>
      <c r="AK466" s="479"/>
      <c r="AL466" s="479"/>
      <c r="AM466" s="479"/>
      <c r="AN466" s="479"/>
      <c r="AO466" s="479"/>
      <c r="AP466" s="479"/>
      <c r="AQ466" s="480"/>
      <c r="AR466" s="497"/>
      <c r="AS466" s="497"/>
      <c r="AT466" s="497"/>
      <c r="AU466" s="497"/>
      <c r="AV466" s="497"/>
      <c r="AW466" s="497"/>
      <c r="AX466" s="497"/>
      <c r="AY466" s="497"/>
      <c r="AZ466" s="497"/>
      <c r="BA466" s="497"/>
      <c r="BB466" s="497"/>
      <c r="BC466" s="48"/>
    </row>
    <row r="467" spans="1:55" s="49" customFormat="1">
      <c r="A467" s="331" t="s">
        <v>203</v>
      </c>
      <c r="B467" s="477"/>
      <c r="C467" s="478"/>
      <c r="D467" s="478"/>
      <c r="E467" s="477"/>
      <c r="F467" s="477"/>
      <c r="G467" s="477"/>
      <c r="H467" s="477"/>
      <c r="I467" s="477"/>
      <c r="J467" s="477"/>
      <c r="K467" s="477"/>
      <c r="L467" s="477"/>
      <c r="M467" s="477"/>
      <c r="N467" s="477"/>
      <c r="O467" s="477"/>
      <c r="P467" s="477"/>
      <c r="Q467" s="477"/>
      <c r="R467" s="477"/>
      <c r="S467" s="477"/>
      <c r="T467" s="477"/>
      <c r="U467" s="477"/>
      <c r="V467" s="477"/>
      <c r="W467" s="477"/>
      <c r="X467" s="477"/>
      <c r="Y467" s="477"/>
      <c r="Z467" s="477"/>
      <c r="AA467" s="477"/>
      <c r="AB467" s="477"/>
      <c r="AC467" s="477"/>
      <c r="AD467" s="477"/>
      <c r="AE467" s="477"/>
      <c r="AF467" s="477"/>
      <c r="AG467" s="477"/>
      <c r="AH467" s="477"/>
      <c r="AI467" s="479"/>
      <c r="AJ467" s="479"/>
      <c r="AK467" s="479"/>
      <c r="AL467" s="479"/>
      <c r="AM467" s="479"/>
      <c r="AN467" s="479"/>
      <c r="AO467" s="479"/>
      <c r="AP467" s="479"/>
      <c r="AQ467" s="480"/>
      <c r="AR467" s="497"/>
      <c r="AS467" s="497"/>
      <c r="AT467" s="497"/>
      <c r="AU467" s="497"/>
      <c r="AV467" s="497"/>
      <c r="AW467" s="497"/>
      <c r="AX467" s="497"/>
      <c r="AY467" s="497"/>
      <c r="AZ467" s="497"/>
      <c r="BA467" s="497"/>
      <c r="BB467" s="497"/>
      <c r="BC467" s="48"/>
    </row>
    <row r="468" spans="1:55" s="49" customFormat="1">
      <c r="A468" s="332" t="s">
        <v>204</v>
      </c>
      <c r="B468" s="477"/>
      <c r="C468" s="478"/>
      <c r="D468" s="478"/>
      <c r="E468" s="477"/>
      <c r="F468" s="477"/>
      <c r="G468" s="477"/>
      <c r="H468" s="477"/>
      <c r="I468" s="477"/>
      <c r="J468" s="477"/>
      <c r="K468" s="477"/>
      <c r="L468" s="477"/>
      <c r="M468" s="477"/>
      <c r="N468" s="477"/>
      <c r="O468" s="477"/>
      <c r="P468" s="477"/>
      <c r="Q468" s="477"/>
      <c r="R468" s="477"/>
      <c r="S468" s="477"/>
      <c r="T468" s="477"/>
      <c r="U468" s="477"/>
      <c r="V468" s="477"/>
      <c r="W468" s="477"/>
      <c r="X468" s="477"/>
      <c r="Y468" s="477"/>
      <c r="Z468" s="477"/>
      <c r="AA468" s="477"/>
      <c r="AB468" s="477"/>
      <c r="AC468" s="477"/>
      <c r="AD468" s="477"/>
      <c r="AE468" s="477"/>
      <c r="AF468" s="477"/>
      <c r="AG468" s="477"/>
      <c r="AH468" s="477"/>
      <c r="AI468" s="479"/>
      <c r="AJ468" s="479"/>
      <c r="AK468" s="479"/>
      <c r="AL468" s="479"/>
      <c r="AM468" s="479"/>
      <c r="AN468" s="479"/>
      <c r="AO468" s="479"/>
      <c r="AP468" s="479"/>
      <c r="AQ468" s="480"/>
      <c r="AR468" s="497"/>
      <c r="AS468" s="497"/>
      <c r="AT468" s="497"/>
      <c r="AU468" s="497"/>
      <c r="AV468" s="497"/>
      <c r="AW468" s="497"/>
      <c r="AX468" s="497"/>
      <c r="AY468" s="497"/>
      <c r="AZ468" s="497"/>
      <c r="BA468" s="497"/>
      <c r="BB468" s="497"/>
      <c r="BC468" s="48"/>
    </row>
    <row r="469" spans="1:55" s="49" customFormat="1">
      <c r="A469" s="333" t="s">
        <v>291</v>
      </c>
      <c r="B469" s="477"/>
      <c r="C469" s="478"/>
      <c r="D469" s="478"/>
      <c r="E469" s="477"/>
      <c r="F469" s="477"/>
      <c r="G469" s="477"/>
      <c r="H469" s="477"/>
      <c r="I469" s="477"/>
      <c r="J469" s="477"/>
      <c r="K469" s="477"/>
      <c r="L469" s="477"/>
      <c r="M469" s="477"/>
      <c r="N469" s="477"/>
      <c r="O469" s="477"/>
      <c r="P469" s="477"/>
      <c r="Q469" s="477"/>
      <c r="R469" s="477"/>
      <c r="S469" s="477"/>
      <c r="T469" s="477"/>
      <c r="U469" s="477"/>
      <c r="V469" s="477"/>
      <c r="W469" s="477"/>
      <c r="X469" s="477"/>
      <c r="Y469" s="477"/>
      <c r="Z469" s="477"/>
      <c r="AA469" s="477"/>
      <c r="AB469" s="477"/>
      <c r="AC469" s="477"/>
      <c r="AD469" s="477"/>
      <c r="AE469" s="477"/>
      <c r="AF469" s="477"/>
      <c r="AG469" s="477"/>
      <c r="AH469" s="477"/>
      <c r="AI469" s="479"/>
      <c r="AJ469" s="479"/>
      <c r="AK469" s="479"/>
      <c r="AL469" s="479"/>
      <c r="AM469" s="479"/>
      <c r="AN469" s="479"/>
      <c r="AO469" s="479"/>
      <c r="AP469" s="479"/>
      <c r="AQ469" s="480"/>
      <c r="AR469" s="497"/>
      <c r="AS469" s="497"/>
      <c r="AT469" s="497"/>
      <c r="AU469" s="497"/>
      <c r="AV469" s="497"/>
      <c r="AW469" s="497"/>
      <c r="AX469" s="497"/>
      <c r="AY469" s="497"/>
      <c r="AZ469" s="497"/>
      <c r="BA469" s="497"/>
      <c r="BB469" s="497"/>
      <c r="BC469" s="48"/>
    </row>
    <row r="470" spans="1:55" s="49" customFormat="1">
      <c r="A470" s="241"/>
      <c r="B470" s="477"/>
      <c r="C470" s="478"/>
      <c r="D470" s="478"/>
      <c r="E470" s="477"/>
      <c r="F470" s="477"/>
      <c r="G470" s="477"/>
      <c r="H470" s="477"/>
      <c r="I470" s="477"/>
      <c r="J470" s="477"/>
      <c r="K470" s="477"/>
      <c r="L470" s="477"/>
      <c r="M470" s="477"/>
      <c r="N470" s="477"/>
      <c r="O470" s="477"/>
      <c r="P470" s="477"/>
      <c r="Q470" s="477"/>
      <c r="R470" s="477"/>
      <c r="S470" s="477"/>
      <c r="T470" s="477"/>
      <c r="U470" s="477"/>
      <c r="V470" s="477"/>
      <c r="W470" s="477"/>
      <c r="X470" s="477"/>
      <c r="Y470" s="477"/>
      <c r="Z470" s="477"/>
      <c r="AA470" s="477"/>
      <c r="AB470" s="477"/>
      <c r="AC470" s="477"/>
      <c r="AD470" s="477"/>
      <c r="AE470" s="477"/>
      <c r="AF470" s="477"/>
      <c r="AG470" s="477"/>
      <c r="AH470" s="477"/>
      <c r="AI470" s="479"/>
      <c r="AJ470" s="479"/>
      <c r="AK470" s="479"/>
      <c r="AL470" s="479"/>
      <c r="AM470" s="479"/>
      <c r="AN470" s="479"/>
      <c r="AO470" s="479"/>
      <c r="AP470" s="479"/>
      <c r="AQ470" s="480"/>
      <c r="AR470" s="497"/>
      <c r="AS470" s="497"/>
      <c r="AT470" s="497"/>
      <c r="AU470" s="497"/>
      <c r="AV470" s="497"/>
      <c r="AW470" s="497"/>
      <c r="AX470" s="497"/>
      <c r="AY470" s="497"/>
      <c r="AZ470" s="497"/>
      <c r="BA470" s="497"/>
      <c r="BB470" s="497"/>
      <c r="BC470" s="48"/>
    </row>
    <row r="471" spans="1:55" s="41" customFormat="1">
      <c r="A471" s="337" t="s">
        <v>91</v>
      </c>
      <c r="B471" s="334"/>
      <c r="C471" s="481"/>
      <c r="D471" s="481"/>
      <c r="E471" s="481"/>
      <c r="F471" s="481"/>
      <c r="G471" s="481"/>
      <c r="H471" s="481"/>
      <c r="I471" s="481"/>
      <c r="J471" s="481"/>
      <c r="K471" s="481"/>
      <c r="L471" s="481"/>
      <c r="M471" s="481"/>
      <c r="N471" s="481"/>
      <c r="O471" s="481"/>
      <c r="P471" s="481"/>
      <c r="Q471" s="481"/>
      <c r="R471" s="481"/>
      <c r="S471" s="481"/>
      <c r="T471" s="481"/>
      <c r="U471" s="481"/>
      <c r="V471" s="481"/>
      <c r="W471" s="481"/>
      <c r="X471" s="481"/>
      <c r="Y471" s="481"/>
      <c r="Z471" s="481"/>
      <c r="AA471" s="481"/>
      <c r="AB471" s="481"/>
      <c r="AC471" s="481"/>
      <c r="AD471" s="481"/>
      <c r="AE471" s="481"/>
      <c r="AF471" s="481"/>
      <c r="AG471" s="481"/>
      <c r="AH471" s="481"/>
      <c r="AI471" s="482"/>
      <c r="AJ471" s="482"/>
      <c r="AK471" s="482"/>
      <c r="AL471" s="482"/>
      <c r="AM471" s="482"/>
      <c r="AN471" s="482"/>
      <c r="AO471" s="482"/>
      <c r="AP471" s="482"/>
      <c r="AQ471" s="483"/>
      <c r="AR471" s="498"/>
      <c r="AS471" s="498"/>
      <c r="AT471" s="498"/>
      <c r="AU471" s="498"/>
      <c r="AV471" s="498"/>
      <c r="AW471" s="498"/>
      <c r="AX471" s="498"/>
      <c r="AY471" s="498"/>
      <c r="AZ471" s="498"/>
      <c r="BA471" s="498"/>
      <c r="BB471" s="498"/>
      <c r="BC471" s="50"/>
    </row>
    <row r="472" spans="1:55" s="49" customFormat="1">
      <c r="A472" s="326" t="s">
        <v>80</v>
      </c>
      <c r="B472" s="335">
        <v>1</v>
      </c>
      <c r="C472" s="477"/>
      <c r="D472" s="478"/>
      <c r="E472" s="477"/>
      <c r="F472" s="477"/>
      <c r="G472" s="477"/>
      <c r="H472" s="477"/>
      <c r="I472" s="477"/>
      <c r="J472" s="477"/>
      <c r="K472" s="477"/>
      <c r="L472" s="477"/>
      <c r="M472" s="477"/>
      <c r="N472" s="477"/>
      <c r="O472" s="477"/>
      <c r="P472" s="477"/>
      <c r="Q472" s="477"/>
      <c r="R472" s="477"/>
      <c r="S472" s="477"/>
      <c r="T472" s="477"/>
      <c r="U472" s="477"/>
      <c r="V472" s="477"/>
      <c r="W472" s="477"/>
      <c r="X472" s="477"/>
      <c r="Y472" s="477"/>
      <c r="Z472" s="477"/>
      <c r="AA472" s="477"/>
      <c r="AB472" s="477"/>
      <c r="AC472" s="477"/>
      <c r="AD472" s="477"/>
      <c r="AE472" s="477"/>
      <c r="AF472" s="477"/>
      <c r="AG472" s="477"/>
      <c r="AH472" s="477"/>
      <c r="AI472" s="479"/>
      <c r="AJ472" s="479"/>
      <c r="AK472" s="479"/>
      <c r="AL472" s="479"/>
      <c r="AM472" s="479"/>
      <c r="AN472" s="479"/>
      <c r="AO472" s="479"/>
      <c r="AP472" s="479"/>
      <c r="AQ472" s="480"/>
      <c r="AR472" s="497"/>
      <c r="AS472" s="497"/>
      <c r="AT472" s="497"/>
      <c r="AU472" s="497"/>
      <c r="AV472" s="497"/>
      <c r="AW472" s="497"/>
      <c r="AX472" s="497"/>
      <c r="AY472" s="497"/>
      <c r="AZ472" s="497"/>
      <c r="BA472" s="497"/>
      <c r="BB472" s="497"/>
      <c r="BC472" s="48"/>
    </row>
    <row r="473" spans="1:55" s="49" customFormat="1">
      <c r="A473" s="326" t="s">
        <v>81</v>
      </c>
      <c r="B473" s="335">
        <v>2</v>
      </c>
      <c r="C473" s="477"/>
      <c r="D473" s="478"/>
      <c r="E473" s="477"/>
      <c r="F473" s="477"/>
      <c r="G473" s="477"/>
      <c r="H473" s="477"/>
      <c r="I473" s="477"/>
      <c r="J473" s="477"/>
      <c r="K473" s="477"/>
      <c r="L473" s="477"/>
      <c r="M473" s="477"/>
      <c r="N473" s="477"/>
      <c r="O473" s="477"/>
      <c r="P473" s="477"/>
      <c r="Q473" s="477"/>
      <c r="R473" s="477"/>
      <c r="S473" s="477"/>
      <c r="T473" s="477"/>
      <c r="U473" s="477"/>
      <c r="V473" s="477"/>
      <c r="W473" s="477"/>
      <c r="X473" s="477"/>
      <c r="Y473" s="477"/>
      <c r="Z473" s="477"/>
      <c r="AA473" s="477"/>
      <c r="AB473" s="477"/>
      <c r="AC473" s="477"/>
      <c r="AD473" s="477"/>
      <c r="AE473" s="477"/>
      <c r="AF473" s="477"/>
      <c r="AG473" s="477"/>
      <c r="AH473" s="477"/>
      <c r="AI473" s="479"/>
      <c r="AJ473" s="479"/>
      <c r="AK473" s="479"/>
      <c r="AL473" s="479"/>
      <c r="AM473" s="479"/>
      <c r="AN473" s="479"/>
      <c r="AO473" s="479"/>
      <c r="AP473" s="479"/>
      <c r="AQ473" s="480"/>
      <c r="AR473" s="497"/>
      <c r="AS473" s="497"/>
      <c r="AT473" s="497"/>
      <c r="AU473" s="497"/>
      <c r="AV473" s="497"/>
      <c r="AW473" s="497"/>
      <c r="AX473" s="497"/>
      <c r="AY473" s="497"/>
      <c r="AZ473" s="497"/>
      <c r="BA473" s="497"/>
      <c r="BB473" s="497"/>
      <c r="BC473" s="48"/>
    </row>
    <row r="474" spans="1:55" s="49" customFormat="1">
      <c r="A474" s="328" t="s">
        <v>384</v>
      </c>
      <c r="B474" s="336">
        <v>3</v>
      </c>
      <c r="C474" s="477"/>
      <c r="D474" s="478"/>
      <c r="E474" s="477"/>
      <c r="F474" s="477"/>
      <c r="G474" s="477"/>
      <c r="H474" s="477"/>
      <c r="I474" s="477"/>
      <c r="J474" s="477"/>
      <c r="K474" s="477"/>
      <c r="L474" s="477"/>
      <c r="M474" s="477"/>
      <c r="N474" s="477"/>
      <c r="O474" s="477"/>
      <c r="P474" s="477"/>
      <c r="Q474" s="477"/>
      <c r="R474" s="477"/>
      <c r="S474" s="477"/>
      <c r="T474" s="477"/>
      <c r="U474" s="477"/>
      <c r="V474" s="477"/>
      <c r="W474" s="477"/>
      <c r="X474" s="477"/>
      <c r="Y474" s="477"/>
      <c r="Z474" s="477"/>
      <c r="AA474" s="477"/>
      <c r="AB474" s="477"/>
      <c r="AC474" s="477"/>
      <c r="AD474" s="477"/>
      <c r="AE474" s="477"/>
      <c r="AF474" s="477"/>
      <c r="AG474" s="477"/>
      <c r="AH474" s="477"/>
      <c r="AI474" s="479"/>
      <c r="AJ474" s="479"/>
      <c r="AK474" s="479"/>
      <c r="AL474" s="479"/>
      <c r="AM474" s="479"/>
      <c r="AN474" s="479"/>
      <c r="AO474" s="479"/>
      <c r="AP474" s="479"/>
      <c r="AQ474" s="480"/>
      <c r="AR474" s="497"/>
      <c r="AS474" s="497"/>
      <c r="AT474" s="497"/>
      <c r="AU474" s="497"/>
      <c r="AV474" s="497"/>
      <c r="AW474" s="497"/>
      <c r="AX474" s="497"/>
      <c r="AY474" s="497"/>
      <c r="AZ474" s="497"/>
      <c r="BA474" s="497"/>
      <c r="BB474" s="497"/>
      <c r="BC474" s="48"/>
    </row>
    <row r="475" spans="1:55" s="49" customFormat="1">
      <c r="A475" s="484"/>
      <c r="B475" s="479"/>
      <c r="C475" s="485"/>
      <c r="D475" s="485"/>
      <c r="E475" s="479"/>
      <c r="F475" s="479"/>
      <c r="G475" s="479"/>
      <c r="H475" s="479"/>
      <c r="I475" s="479"/>
      <c r="J475" s="479"/>
      <c r="K475" s="479"/>
      <c r="L475" s="479"/>
      <c r="M475" s="479"/>
      <c r="N475" s="479"/>
      <c r="O475" s="479"/>
      <c r="P475" s="479"/>
      <c r="Q475" s="479"/>
      <c r="R475" s="479"/>
      <c r="S475" s="479"/>
      <c r="T475" s="479"/>
      <c r="U475" s="479"/>
      <c r="V475" s="479"/>
      <c r="W475" s="479"/>
      <c r="X475" s="479"/>
      <c r="Y475" s="479"/>
      <c r="Z475" s="479"/>
      <c r="AA475" s="479"/>
      <c r="AB475" s="479"/>
      <c r="AC475" s="479"/>
      <c r="AD475" s="479"/>
      <c r="AE475" s="479"/>
      <c r="AF475" s="479"/>
      <c r="AG475" s="479"/>
      <c r="AH475" s="479"/>
      <c r="AI475" s="479"/>
      <c r="AJ475" s="479"/>
      <c r="AK475" s="479"/>
      <c r="AL475" s="479"/>
      <c r="AM475" s="479"/>
      <c r="AN475" s="479"/>
      <c r="AO475" s="479"/>
      <c r="AP475" s="479"/>
      <c r="AQ475" s="480"/>
      <c r="AR475" s="499"/>
      <c r="AS475" s="499"/>
      <c r="AT475" s="499"/>
      <c r="AU475" s="499"/>
      <c r="AV475" s="499"/>
      <c r="AW475" s="499"/>
      <c r="AX475" s="499"/>
      <c r="AY475" s="499"/>
      <c r="AZ475" s="499"/>
      <c r="BA475" s="499"/>
      <c r="BB475" s="499"/>
      <c r="BC475" s="275"/>
    </row>
    <row r="476" spans="1:55" s="49" customFormat="1">
      <c r="A476" s="486" t="s">
        <v>484</v>
      </c>
      <c r="B476" s="479"/>
      <c r="C476" s="485"/>
      <c r="D476" s="485"/>
      <c r="E476" s="479"/>
      <c r="F476" s="479"/>
      <c r="G476" s="479"/>
      <c r="H476" s="479"/>
      <c r="I476" s="479"/>
      <c r="J476" s="479"/>
      <c r="K476" s="479"/>
      <c r="L476" s="479"/>
      <c r="M476" s="479"/>
      <c r="N476" s="479"/>
      <c r="O476" s="479"/>
      <c r="P476" s="479"/>
      <c r="Q476" s="479"/>
      <c r="R476" s="479"/>
      <c r="S476" s="479"/>
      <c r="T476" s="479"/>
      <c r="U476" s="479"/>
      <c r="V476" s="479"/>
      <c r="W476" s="479"/>
      <c r="X476" s="479"/>
      <c r="Y476" s="479"/>
      <c r="Z476" s="479"/>
      <c r="AA476" s="479"/>
      <c r="AB476" s="479"/>
      <c r="AC476" s="479"/>
      <c r="AD476" s="479"/>
      <c r="AE476" s="479"/>
      <c r="AF476" s="479"/>
      <c r="AG476" s="479"/>
      <c r="AH476" s="479"/>
      <c r="AI476" s="479"/>
      <c r="AJ476" s="479"/>
      <c r="AK476" s="479"/>
      <c r="AL476" s="479"/>
      <c r="AM476" s="479"/>
      <c r="AN476" s="479"/>
      <c r="AO476" s="479"/>
      <c r="AP476" s="479"/>
      <c r="AQ476" s="480"/>
      <c r="AR476" s="499"/>
      <c r="AS476" s="499"/>
      <c r="AT476" s="499"/>
      <c r="AU476" s="499"/>
      <c r="AV476" s="499"/>
      <c r="AW476" s="499"/>
      <c r="AX476" s="499"/>
      <c r="AY476" s="499"/>
      <c r="AZ476" s="499"/>
      <c r="BA476" s="499"/>
      <c r="BB476" s="499"/>
      <c r="BC476" s="275"/>
    </row>
    <row r="477" spans="1:55" s="49" customFormat="1">
      <c r="A477" s="487" t="str">
        <f>MO_RIS_REV</f>
        <v>Net Revenue</v>
      </c>
      <c r="B477" s="479"/>
      <c r="C477" s="485"/>
      <c r="D477" s="485"/>
      <c r="E477" s="479"/>
      <c r="F477" s="479"/>
      <c r="G477" s="479"/>
      <c r="H477" s="479"/>
      <c r="I477" s="479"/>
      <c r="J477" s="479"/>
      <c r="K477" s="479"/>
      <c r="L477" s="479"/>
      <c r="M477" s="479"/>
      <c r="N477" s="479"/>
      <c r="O477" s="479"/>
      <c r="P477" s="479"/>
      <c r="Q477" s="479"/>
      <c r="R477" s="479"/>
      <c r="S477" s="479"/>
      <c r="T477" s="479"/>
      <c r="U477" s="479"/>
      <c r="V477" s="479"/>
      <c r="W477" s="479"/>
      <c r="X477" s="479"/>
      <c r="Y477" s="479"/>
      <c r="Z477" s="479"/>
      <c r="AA477" s="479"/>
      <c r="AB477" s="479"/>
      <c r="AC477" s="479"/>
      <c r="AD477" s="479"/>
      <c r="AE477" s="479"/>
      <c r="AF477" s="479"/>
      <c r="AG477" s="479"/>
      <c r="AH477" s="479"/>
      <c r="AI477" s="479"/>
      <c r="AJ477" s="479"/>
      <c r="AK477" s="479"/>
      <c r="AL477" s="479"/>
      <c r="AM477" s="479"/>
      <c r="AN477" s="479"/>
      <c r="AO477" s="479"/>
      <c r="AP477" s="479"/>
      <c r="AQ477" s="480"/>
      <c r="AR477" s="499"/>
      <c r="AS477" s="499"/>
      <c r="AT477" s="499"/>
      <c r="AU477" s="499"/>
      <c r="AV477" s="499"/>
      <c r="AW477" s="499"/>
      <c r="AX477" s="499"/>
      <c r="AY477" s="499"/>
      <c r="AZ477" s="499"/>
      <c r="BA477" s="499"/>
      <c r="BB477" s="499"/>
      <c r="BC477" s="275"/>
    </row>
    <row r="478" spans="1:55" s="49" customFormat="1">
      <c r="A478" s="487" t="str">
        <f>MO_RIS_EBITDA_Adj</f>
        <v>Adjusted EBITDA</v>
      </c>
      <c r="B478" s="479"/>
      <c r="C478" s="485"/>
      <c r="D478" s="485"/>
      <c r="E478" s="479"/>
      <c r="F478" s="479"/>
      <c r="G478" s="479"/>
      <c r="H478" s="479"/>
      <c r="I478" s="479"/>
      <c r="J478" s="479"/>
      <c r="K478" s="479"/>
      <c r="L478" s="479"/>
      <c r="M478" s="479"/>
      <c r="N478" s="479"/>
      <c r="O478" s="479"/>
      <c r="P478" s="479"/>
      <c r="Q478" s="479"/>
      <c r="R478" s="479"/>
      <c r="S478" s="479"/>
      <c r="T478" s="479"/>
      <c r="U478" s="479"/>
      <c r="V478" s="479"/>
      <c r="W478" s="479"/>
      <c r="X478" s="479"/>
      <c r="Y478" s="479"/>
      <c r="Z478" s="479"/>
      <c r="AA478" s="479"/>
      <c r="AB478" s="479"/>
      <c r="AC478" s="479"/>
      <c r="AD478" s="479"/>
      <c r="AE478" s="479"/>
      <c r="AF478" s="479"/>
      <c r="AG478" s="479"/>
      <c r="AH478" s="479"/>
      <c r="AI478" s="479"/>
      <c r="AJ478" s="479"/>
      <c r="AK478" s="479"/>
      <c r="AL478" s="479"/>
      <c r="AM478" s="479"/>
      <c r="AN478" s="479"/>
      <c r="AO478" s="479"/>
      <c r="AP478" s="479"/>
      <c r="AQ478" s="480"/>
      <c r="AR478" s="499"/>
      <c r="AS478" s="499"/>
      <c r="AT478" s="499"/>
      <c r="AU478" s="499"/>
      <c r="AV478" s="499"/>
      <c r="AW478" s="499"/>
      <c r="AX478" s="499"/>
      <c r="AY478" s="499"/>
      <c r="AZ478" s="499"/>
      <c r="BA478" s="499"/>
      <c r="BB478" s="499"/>
      <c r="BC478" s="275"/>
    </row>
    <row r="479" spans="1:55" s="49" customFormat="1">
      <c r="A479" s="487" t="str">
        <f>MO_RIS_EPS_WAD_Adj</f>
        <v>Adjusted Earnings Per Share - WAD</v>
      </c>
      <c r="B479" s="479"/>
      <c r="C479" s="485"/>
      <c r="D479" s="485"/>
      <c r="E479" s="479"/>
      <c r="F479" s="479"/>
      <c r="G479" s="479"/>
      <c r="H479" s="479"/>
      <c r="I479" s="479"/>
      <c r="J479" s="479"/>
      <c r="K479" s="479"/>
      <c r="L479" s="479"/>
      <c r="M479" s="479"/>
      <c r="N479" s="479"/>
      <c r="O479" s="479"/>
      <c r="P479" s="479"/>
      <c r="Q479" s="479"/>
      <c r="R479" s="479"/>
      <c r="S479" s="479"/>
      <c r="T479" s="479"/>
      <c r="U479" s="479"/>
      <c r="V479" s="479"/>
      <c r="W479" s="479"/>
      <c r="X479" s="479"/>
      <c r="Y479" s="479"/>
      <c r="Z479" s="479"/>
      <c r="AA479" s="479"/>
      <c r="AB479" s="479"/>
      <c r="AC479" s="479"/>
      <c r="AD479" s="479"/>
      <c r="AE479" s="479"/>
      <c r="AF479" s="479"/>
      <c r="AG479" s="479"/>
      <c r="AH479" s="479"/>
      <c r="AI479" s="479"/>
      <c r="AJ479" s="479"/>
      <c r="AK479" s="479"/>
      <c r="AL479" s="479"/>
      <c r="AM479" s="479"/>
      <c r="AN479" s="479"/>
      <c r="AO479" s="479"/>
      <c r="AP479" s="479"/>
      <c r="AQ479" s="480"/>
      <c r="AR479" s="499"/>
      <c r="AS479" s="499"/>
      <c r="AT479" s="499"/>
      <c r="AU479" s="499"/>
      <c r="AV479" s="499"/>
      <c r="AW479" s="499"/>
      <c r="AX479" s="499"/>
      <c r="AY479" s="499"/>
      <c r="AZ479" s="499"/>
      <c r="BA479" s="499"/>
      <c r="BB479" s="499"/>
      <c r="BC479" s="275"/>
    </row>
    <row r="480" spans="1:55" s="49" customFormat="1">
      <c r="A480" s="487" t="str">
        <f>MO_VA_EV_ToEBITDA</f>
        <v>EV/EBITDA - Avg</v>
      </c>
      <c r="B480" s="479"/>
      <c r="C480" s="485"/>
      <c r="D480" s="485"/>
      <c r="E480" s="479"/>
      <c r="F480" s="479"/>
      <c r="G480" s="479"/>
      <c r="H480" s="479"/>
      <c r="I480" s="479"/>
      <c r="J480" s="479"/>
      <c r="K480" s="479"/>
      <c r="L480" s="479"/>
      <c r="M480" s="479"/>
      <c r="N480" s="479"/>
      <c r="O480" s="479"/>
      <c r="P480" s="479"/>
      <c r="Q480" s="479"/>
      <c r="R480" s="479"/>
      <c r="S480" s="479"/>
      <c r="T480" s="479"/>
      <c r="U480" s="479"/>
      <c r="V480" s="479"/>
      <c r="W480" s="479"/>
      <c r="X480" s="479"/>
      <c r="Y480" s="479"/>
      <c r="Z480" s="479"/>
      <c r="AA480" s="479"/>
      <c r="AB480" s="479"/>
      <c r="AC480" s="479"/>
      <c r="AD480" s="479"/>
      <c r="AE480" s="479"/>
      <c r="AF480" s="479"/>
      <c r="AG480" s="479"/>
      <c r="AH480" s="479"/>
      <c r="AI480" s="479"/>
      <c r="AJ480" s="479"/>
      <c r="AK480" s="479"/>
      <c r="AL480" s="479"/>
      <c r="AM480" s="479"/>
      <c r="AN480" s="479"/>
      <c r="AO480" s="479"/>
      <c r="AP480" s="479"/>
      <c r="AQ480" s="480"/>
      <c r="AR480" s="499"/>
      <c r="AS480" s="499"/>
      <c r="AT480" s="499"/>
      <c r="AU480" s="499"/>
      <c r="AV480" s="499"/>
      <c r="AW480" s="499"/>
      <c r="AX480" s="499"/>
      <c r="AY480" s="499"/>
      <c r="AZ480" s="499"/>
      <c r="BA480" s="499"/>
      <c r="BB480" s="499"/>
      <c r="BC480" s="275"/>
    </row>
    <row r="481" spans="1:55" s="49" customFormat="1">
      <c r="A481" s="487" t="str">
        <f>MO_VA_P_ToE</f>
        <v>P/E - Avg</v>
      </c>
      <c r="B481" s="479"/>
      <c r="C481" s="485"/>
      <c r="D481" s="485"/>
      <c r="E481" s="479"/>
      <c r="F481" s="479"/>
      <c r="G481" s="479"/>
      <c r="H481" s="479"/>
      <c r="I481" s="479"/>
      <c r="J481" s="479"/>
      <c r="K481" s="479"/>
      <c r="L481" s="479"/>
      <c r="M481" s="479"/>
      <c r="N481" s="479"/>
      <c r="O481" s="479"/>
      <c r="P481" s="479"/>
      <c r="Q481" s="479"/>
      <c r="R481" s="479"/>
      <c r="S481" s="479"/>
      <c r="T481" s="479"/>
      <c r="U481" s="479"/>
      <c r="V481" s="479"/>
      <c r="W481" s="479"/>
      <c r="X481" s="479"/>
      <c r="Y481" s="479"/>
      <c r="Z481" s="479"/>
      <c r="AA481" s="479"/>
      <c r="AB481" s="479"/>
      <c r="AC481" s="479"/>
      <c r="AD481" s="479"/>
      <c r="AE481" s="479"/>
      <c r="AF481" s="479"/>
      <c r="AG481" s="479"/>
      <c r="AH481" s="479"/>
      <c r="AI481" s="479"/>
      <c r="AJ481" s="479"/>
      <c r="AK481" s="479"/>
      <c r="AL481" s="479"/>
      <c r="AM481" s="479"/>
      <c r="AN481" s="479"/>
      <c r="AO481" s="479"/>
      <c r="AP481" s="479"/>
      <c r="AQ481" s="480"/>
      <c r="AR481" s="499"/>
      <c r="AS481" s="499"/>
      <c r="AT481" s="499"/>
      <c r="AU481" s="499"/>
      <c r="AV481" s="499"/>
      <c r="AW481" s="499"/>
      <c r="AX481" s="499"/>
      <c r="AY481" s="499"/>
      <c r="AZ481" s="499"/>
      <c r="BA481" s="499"/>
      <c r="BB481" s="499"/>
      <c r="BC481" s="275"/>
    </row>
    <row r="482" spans="1:55" s="49" customFormat="1">
      <c r="A482" s="488"/>
      <c r="B482" s="479"/>
      <c r="C482" s="485"/>
      <c r="D482" s="485"/>
      <c r="E482" s="479"/>
      <c r="F482" s="479"/>
      <c r="G482" s="479"/>
      <c r="H482" s="479"/>
      <c r="I482" s="479"/>
      <c r="J482" s="479"/>
      <c r="K482" s="479"/>
      <c r="L482" s="479"/>
      <c r="M482" s="479"/>
      <c r="N482" s="479"/>
      <c r="O482" s="479"/>
      <c r="P482" s="479"/>
      <c r="Q482" s="479"/>
      <c r="R482" s="479"/>
      <c r="S482" s="479"/>
      <c r="T482" s="479"/>
      <c r="U482" s="479"/>
      <c r="V482" s="479"/>
      <c r="W482" s="479"/>
      <c r="X482" s="479"/>
      <c r="Y482" s="479"/>
      <c r="Z482" s="479"/>
      <c r="AA482" s="479"/>
      <c r="AB482" s="479"/>
      <c r="AC482" s="479"/>
      <c r="AD482" s="479"/>
      <c r="AE482" s="479"/>
      <c r="AF482" s="479"/>
      <c r="AG482" s="479"/>
      <c r="AH482" s="479"/>
      <c r="AI482" s="479"/>
      <c r="AJ482" s="479"/>
      <c r="AK482" s="479"/>
      <c r="AL482" s="479"/>
      <c r="AM482" s="479"/>
      <c r="AN482" s="479"/>
      <c r="AO482" s="479"/>
      <c r="AP482" s="479"/>
      <c r="AQ482" s="480"/>
      <c r="AR482" s="499"/>
      <c r="AS482" s="499"/>
      <c r="AT482" s="499"/>
      <c r="AU482" s="499"/>
      <c r="AV482" s="499"/>
      <c r="AW482" s="499"/>
      <c r="AX482" s="499"/>
      <c r="AY482" s="499"/>
      <c r="AZ482" s="499"/>
      <c r="BA482" s="499"/>
      <c r="BB482" s="499"/>
      <c r="BC482" s="275"/>
    </row>
    <row r="483" spans="1:55" s="49" customFormat="1">
      <c r="A483" s="484"/>
      <c r="B483" s="479"/>
      <c r="C483" s="485"/>
      <c r="D483" s="485"/>
      <c r="E483" s="479"/>
      <c r="F483" s="479"/>
      <c r="G483" s="479"/>
      <c r="H483" s="479"/>
      <c r="I483" s="479"/>
      <c r="J483" s="479"/>
      <c r="K483" s="479"/>
      <c r="L483" s="479"/>
      <c r="M483" s="479"/>
      <c r="N483" s="479"/>
      <c r="O483" s="479"/>
      <c r="P483" s="479"/>
      <c r="Q483" s="479"/>
      <c r="R483" s="479"/>
      <c r="S483" s="479"/>
      <c r="T483" s="479"/>
      <c r="U483" s="479"/>
      <c r="V483" s="479"/>
      <c r="W483" s="479"/>
      <c r="X483" s="479"/>
      <c r="Y483" s="479"/>
      <c r="Z483" s="479"/>
      <c r="AA483" s="479"/>
      <c r="AB483" s="479"/>
      <c r="AC483" s="479"/>
      <c r="AD483" s="479"/>
      <c r="AE483" s="479"/>
      <c r="AF483" s="479"/>
      <c r="AG483" s="479"/>
      <c r="AH483" s="479"/>
      <c r="AI483" s="479"/>
      <c r="AJ483" s="479"/>
      <c r="AK483" s="479"/>
      <c r="AL483" s="479"/>
      <c r="AM483" s="479"/>
      <c r="AN483" s="479"/>
      <c r="AO483" s="1007"/>
      <c r="AP483" s="1007"/>
      <c r="AQ483" s="1008"/>
      <c r="AR483" s="499"/>
      <c r="AS483" s="499"/>
      <c r="AT483" s="499"/>
      <c r="AU483" s="499"/>
      <c r="AV483" s="499"/>
      <c r="AW483" s="499"/>
      <c r="AX483" s="499"/>
      <c r="AY483" s="499"/>
      <c r="AZ483" s="499"/>
      <c r="BA483" s="499"/>
      <c r="BB483" s="499"/>
      <c r="BC483" s="275"/>
    </row>
    <row r="484" spans="1:55" s="4" customFormat="1">
      <c r="A484" s="556" t="s">
        <v>90</v>
      </c>
      <c r="B484" s="539"/>
      <c r="C484" s="539"/>
      <c r="D484" s="539"/>
      <c r="E484" s="539"/>
      <c r="F484" s="539"/>
      <c r="G484" s="539"/>
      <c r="H484" s="539"/>
      <c r="I484" s="539"/>
      <c r="J484" s="539"/>
      <c r="K484" s="539"/>
      <c r="L484" s="539"/>
      <c r="M484" s="539"/>
      <c r="N484" s="539"/>
      <c r="O484" s="539"/>
      <c r="P484" s="539"/>
      <c r="Q484" s="539"/>
      <c r="R484" s="539"/>
      <c r="S484" s="539"/>
      <c r="T484" s="539"/>
      <c r="U484" s="539"/>
      <c r="V484" s="539"/>
      <c r="W484" s="539"/>
      <c r="X484" s="539"/>
      <c r="Y484" s="539"/>
      <c r="Z484" s="539"/>
      <c r="AA484" s="539"/>
      <c r="AB484" s="539"/>
      <c r="AC484" s="539"/>
      <c r="AD484" s="539"/>
      <c r="AE484" s="539"/>
      <c r="AF484" s="539"/>
      <c r="AG484" s="539"/>
      <c r="AH484" s="539"/>
      <c r="AI484" s="539"/>
      <c r="AJ484" s="539"/>
      <c r="AK484" s="539"/>
      <c r="AL484" s="539"/>
      <c r="AM484" s="539"/>
      <c r="AN484" s="539"/>
      <c r="AO484" s="539"/>
      <c r="AP484" s="539"/>
      <c r="AQ484" s="540"/>
      <c r="AR484" s="539" t="str">
        <f t="shared" ref="AR484:BB484" si="335">AR5</f>
        <v>Q3-2020</v>
      </c>
      <c r="AS484" s="539" t="str">
        <f t="shared" si="335"/>
        <v>Q4-2020</v>
      </c>
      <c r="AT484" s="539" t="str">
        <f t="shared" si="335"/>
        <v>FY2020</v>
      </c>
      <c r="AU484" s="539" t="str">
        <f t="shared" si="335"/>
        <v>Q1-2021</v>
      </c>
      <c r="AV484" s="539" t="str">
        <f t="shared" si="335"/>
        <v>Q2-2021</v>
      </c>
      <c r="AW484" s="539" t="str">
        <f t="shared" si="335"/>
        <v>Q3-2021</v>
      </c>
      <c r="AX484" s="539" t="str">
        <f t="shared" si="335"/>
        <v>Q4-2021</v>
      </c>
      <c r="AY484" s="539" t="str">
        <f t="shared" si="335"/>
        <v>FY2021</v>
      </c>
      <c r="AZ484" s="539" t="str">
        <f t="shared" si="335"/>
        <v>FY2022</v>
      </c>
      <c r="BA484" s="539" t="str">
        <f t="shared" si="335"/>
        <v>FY2023</v>
      </c>
      <c r="BB484" s="557" t="str">
        <f t="shared" si="335"/>
        <v>FY2024</v>
      </c>
      <c r="BC484" s="363"/>
    </row>
    <row r="485" spans="1:55" s="4" customFormat="1">
      <c r="A485" s="558" t="s">
        <v>295</v>
      </c>
      <c r="B485" s="541"/>
      <c r="C485" s="541"/>
      <c r="D485" s="541"/>
      <c r="E485" s="541"/>
      <c r="F485" s="541"/>
      <c r="G485" s="541"/>
      <c r="H485" s="541"/>
      <c r="I485" s="541"/>
      <c r="J485" s="541"/>
      <c r="K485" s="541"/>
      <c r="L485" s="541"/>
      <c r="M485" s="541"/>
      <c r="N485" s="541"/>
      <c r="O485" s="541"/>
      <c r="P485" s="541"/>
      <c r="Q485" s="541"/>
      <c r="R485" s="541"/>
      <c r="S485" s="541"/>
      <c r="T485" s="541"/>
      <c r="U485" s="541"/>
      <c r="V485" s="541"/>
      <c r="W485" s="541"/>
      <c r="X485" s="541"/>
      <c r="Y485" s="541"/>
      <c r="Z485" s="541"/>
      <c r="AA485" s="541"/>
      <c r="AB485" s="541"/>
      <c r="AC485" s="541"/>
      <c r="AD485" s="541"/>
      <c r="AE485" s="541"/>
      <c r="AF485" s="541"/>
      <c r="AG485" s="541"/>
      <c r="AH485" s="541"/>
      <c r="AI485" s="541"/>
      <c r="AJ485" s="541"/>
      <c r="AK485" s="541"/>
      <c r="AL485" s="541"/>
      <c r="AM485" s="541"/>
      <c r="AN485" s="541"/>
      <c r="AO485" s="541"/>
      <c r="AP485" s="541"/>
      <c r="AQ485" s="542"/>
      <c r="AR485" s="541" t="str">
        <f t="shared" ref="AR485:BB485" si="336">IF(MO.DataSourceIndex=3,IF(LEFT(AR484,2)="FY","ANNUAL",IF(LEFT(AR484,1)="Q","QUARTERLY","")),IF(LEFT(AR484,2)="FY","FY",IF(LEFT(AR484,1)="Q","FQ","")))</f>
        <v>FQ</v>
      </c>
      <c r="AS485" s="541" t="str">
        <f t="shared" si="336"/>
        <v>FQ</v>
      </c>
      <c r="AT485" s="541" t="str">
        <f t="shared" si="336"/>
        <v>FY</v>
      </c>
      <c r="AU485" s="541" t="str">
        <f t="shared" si="336"/>
        <v>FQ</v>
      </c>
      <c r="AV485" s="541" t="str">
        <f t="shared" si="336"/>
        <v>FQ</v>
      </c>
      <c r="AW485" s="541" t="str">
        <f t="shared" si="336"/>
        <v>FQ</v>
      </c>
      <c r="AX485" s="541" t="str">
        <f t="shared" si="336"/>
        <v>FQ</v>
      </c>
      <c r="AY485" s="541" t="str">
        <f t="shared" si="336"/>
        <v>FY</v>
      </c>
      <c r="AZ485" s="541" t="str">
        <f t="shared" si="336"/>
        <v>FY</v>
      </c>
      <c r="BA485" s="541" t="str">
        <f t="shared" si="336"/>
        <v>FY</v>
      </c>
      <c r="BB485" s="559" t="str">
        <f t="shared" si="336"/>
        <v>FY</v>
      </c>
      <c r="BC485" s="363"/>
    </row>
    <row r="486" spans="1:55" s="4" customFormat="1">
      <c r="A486" s="558" t="s">
        <v>296</v>
      </c>
      <c r="B486" s="541"/>
      <c r="C486" s="541"/>
      <c r="D486" s="541"/>
      <c r="E486" s="541"/>
      <c r="F486" s="541"/>
      <c r="G486" s="541"/>
      <c r="H486" s="541"/>
      <c r="I486" s="541"/>
      <c r="J486" s="541"/>
      <c r="K486" s="541"/>
      <c r="L486" s="541"/>
      <c r="M486" s="541"/>
      <c r="N486" s="541"/>
      <c r="O486" s="541"/>
      <c r="P486" s="541"/>
      <c r="Q486" s="541"/>
      <c r="R486" s="541"/>
      <c r="S486" s="541"/>
      <c r="T486" s="541"/>
      <c r="U486" s="541"/>
      <c r="V486" s="541"/>
      <c r="W486" s="541"/>
      <c r="X486" s="541"/>
      <c r="Y486" s="541"/>
      <c r="Z486" s="541"/>
      <c r="AA486" s="541"/>
      <c r="AB486" s="541"/>
      <c r="AC486" s="541"/>
      <c r="AD486" s="541"/>
      <c r="AE486" s="541"/>
      <c r="AF486" s="541"/>
      <c r="AG486" s="541"/>
      <c r="AH486" s="541"/>
      <c r="AI486" s="541"/>
      <c r="AJ486" s="541"/>
      <c r="AK486" s="541"/>
      <c r="AL486" s="541"/>
      <c r="AM486" s="541"/>
      <c r="AN486" s="541"/>
      <c r="AO486" s="541"/>
      <c r="AP486" s="541"/>
      <c r="AQ486" s="542"/>
      <c r="AR486" s="541">
        <f t="shared" ref="AR486:AY486" ca="1" si="337">IF(MO.DataSourceIndex=3,IF(AR485="ANNUAL",COUNTIF(OFFSET($A$485,,,,COLUMN()),"ANNUAL"),IF(AR485="QUARTERLY",COUNTIF(OFFSET($A$485,,,,COLUMN()),"QUARTERLY"),"")),IF(AR485="FY",COUNTIF(OFFSET($A$485,,,,COLUMN()),"FY"),IF(AR485="FQ",COUNTIF(OFFSET($A$485,,,,COLUMN()),"FQ"),"")))</f>
        <v>1</v>
      </c>
      <c r="AS486" s="541">
        <f t="shared" ca="1" si="337"/>
        <v>2</v>
      </c>
      <c r="AT486" s="541">
        <f t="shared" ca="1" si="337"/>
        <v>1</v>
      </c>
      <c r="AU486" s="541">
        <f t="shared" ca="1" si="337"/>
        <v>3</v>
      </c>
      <c r="AV486" s="541">
        <f t="shared" ca="1" si="337"/>
        <v>4</v>
      </c>
      <c r="AW486" s="541">
        <f t="shared" ca="1" si="337"/>
        <v>5</v>
      </c>
      <c r="AX486" s="541">
        <f t="shared" ca="1" si="337"/>
        <v>6</v>
      </c>
      <c r="AY486" s="541">
        <f t="shared" ca="1" si="337"/>
        <v>2</v>
      </c>
      <c r="AZ486" s="541">
        <f ca="1">IF(MO.DataSourceIndex=3,IF(AZ485="ANNUAL",COUNTIF(OFFSET(A485,,,,COLUMN()),"ANNUAL"),IF(AZ485="QUARTERLY",COUNTIF(OFFSET(A485,,,,COLUMN()),"QUARTERLY"),"")),IF(AZ485="FY",COUNTIF(OFFSET(A485,,,,COLUMN()),"FY"),IF(AZ485="FQ",COUNTIF(OFFSET(A485,,,,COLUMN()),"FQ"),"")))</f>
        <v>3</v>
      </c>
      <c r="BA486" s="541">
        <f ca="1">IF(MO.DataSourceIndex=3,IF(BA485="ANNUAL",COUNTIF(OFFSET(A485,,,,COLUMN()),"ANNUAL"),IF(BA485="QUARTERLY",COUNTIF(OFFSET(A485,,,,COLUMN()),"QUARTERLY"),"")),IF(BA485="FY",COUNTIF(OFFSET(A485,,,,COLUMN()),"FY"),IF(BA485="FQ",COUNTIF(OFFSET(A485,,,,COLUMN()),"FQ"),"")))</f>
        <v>4</v>
      </c>
      <c r="BB486" s="559">
        <f ca="1">IF(MO.DataSourceIndex=3,IF(BB485="ANNUAL",COUNTIF(OFFSET(A485,,,,COLUMN()),"ANNUAL"),IF(BB485="QUARTERLY",COUNTIF(OFFSET(A485,,,,COLUMN()),"QUARTERLY"),"")),IF(BB485="FY",COUNTIF(OFFSET(A485,,,,COLUMN()),"FY"),IF(BB485="FQ",COUNTIF(OFFSET(A485,,,,COLUMN()),"FQ"),"")))</f>
        <v>5</v>
      </c>
      <c r="BC486" s="363"/>
    </row>
    <row r="487" spans="1:55" s="23" customFormat="1">
      <c r="A487" s="326" t="str">
        <f>$A$91</f>
        <v>Consensus Estimates - Gross Margin, %</v>
      </c>
      <c r="B487" s="515"/>
      <c r="C487" s="304"/>
      <c r="D487" s="304"/>
      <c r="E487" s="304"/>
      <c r="F487" s="304"/>
      <c r="G487" s="304"/>
      <c r="H487" s="305"/>
      <c r="I487" s="305"/>
      <c r="J487" s="305"/>
      <c r="K487" s="305"/>
      <c r="L487" s="305"/>
      <c r="M487" s="305"/>
      <c r="N487" s="305"/>
      <c r="O487" s="305"/>
      <c r="P487" s="515"/>
      <c r="Q487" s="515"/>
      <c r="R487" s="515"/>
      <c r="S487" s="515"/>
      <c r="T487" s="515"/>
      <c r="U487" s="515"/>
      <c r="V487" s="515"/>
      <c r="W487" s="515"/>
      <c r="X487" s="515"/>
      <c r="Y487" s="515"/>
      <c r="Z487" s="515"/>
      <c r="AA487" s="515"/>
      <c r="AB487" s="515"/>
      <c r="AC487" s="515"/>
      <c r="AD487" s="515"/>
      <c r="AE487" s="515"/>
      <c r="AF487" s="515"/>
      <c r="AG487" s="515"/>
      <c r="AH487" s="515"/>
      <c r="AI487" s="515"/>
      <c r="AJ487" s="515"/>
      <c r="AK487" s="515"/>
      <c r="AL487" s="515"/>
      <c r="AM487" s="515"/>
      <c r="AN487" s="515"/>
      <c r="AO487" s="534"/>
      <c r="AP487" s="534"/>
      <c r="AQ487" s="535"/>
      <c r="AR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S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T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U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V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W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X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Y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Z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A487" s="305"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B487" s="323"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C487" s="362"/>
    </row>
    <row r="488" spans="1:55" s="23" customFormat="1">
      <c r="A488" s="326" t="str">
        <f>$A$150</f>
        <v>Consensus Estimates - Net Revenue</v>
      </c>
      <c r="B488" s="515"/>
      <c r="C488" s="306"/>
      <c r="D488" s="306"/>
      <c r="E488" s="306"/>
      <c r="F488" s="306"/>
      <c r="G488" s="306"/>
      <c r="H488" s="515"/>
      <c r="I488" s="515"/>
      <c r="J488" s="515"/>
      <c r="K488" s="515"/>
      <c r="L488" s="515"/>
      <c r="M488" s="515"/>
      <c r="N488" s="515"/>
      <c r="O488" s="515"/>
      <c r="P488" s="515"/>
      <c r="Q488" s="515"/>
      <c r="R488" s="515"/>
      <c r="S488" s="515"/>
      <c r="T488" s="515"/>
      <c r="U488" s="515"/>
      <c r="V488" s="515"/>
      <c r="W488" s="515"/>
      <c r="X488" s="515"/>
      <c r="Y488" s="515"/>
      <c r="Z488" s="515"/>
      <c r="AA488" s="515"/>
      <c r="AB488" s="515"/>
      <c r="AC488" s="515"/>
      <c r="AD488" s="515"/>
      <c r="AE488" s="515"/>
      <c r="AF488" s="515"/>
      <c r="AG488" s="515"/>
      <c r="AH488" s="515"/>
      <c r="AI488" s="515"/>
      <c r="AJ488" s="515"/>
      <c r="AK488" s="515"/>
      <c r="AL488" s="515"/>
      <c r="AM488" s="515"/>
      <c r="AN488" s="515"/>
      <c r="AO488" s="534"/>
      <c r="AP488" s="534"/>
      <c r="AQ488" s="535"/>
      <c r="AR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S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T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U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V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W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X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Y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AZ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BA488" s="51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BB488" s="324"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_xll.TR(MO.Ticker.Thomson,"ZAV(TR.RevenueMean(Scale=6))","Period="&amp;INDEX(tb_ConsensusEstimate,2,COLUMN())&amp;INDEX(tb_ConsensusEstimate,3,COLUMN()))),"N/A")</f>
        <v>N/A</v>
      </c>
      <c r="BC488" s="362"/>
    </row>
    <row r="489" spans="1:55" s="23" customFormat="1">
      <c r="A489" s="326" t="str">
        <f>$A$158</f>
        <v>Consensus Estimates - Adjusted EBITDA</v>
      </c>
      <c r="B489" s="515"/>
      <c r="C489" s="306"/>
      <c r="D489" s="306"/>
      <c r="E489" s="306"/>
      <c r="F489" s="306"/>
      <c r="G489" s="306"/>
      <c r="H489" s="515"/>
      <c r="I489" s="515"/>
      <c r="J489" s="515"/>
      <c r="K489" s="515"/>
      <c r="L489" s="515"/>
      <c r="M489" s="515"/>
      <c r="N489" s="515"/>
      <c r="O489" s="515"/>
      <c r="P489" s="515"/>
      <c r="Q489" s="515"/>
      <c r="R489" s="515"/>
      <c r="S489" s="515"/>
      <c r="T489" s="515"/>
      <c r="U489" s="515"/>
      <c r="V489" s="515"/>
      <c r="W489" s="515"/>
      <c r="X489" s="515"/>
      <c r="Y489" s="515"/>
      <c r="Z489" s="515"/>
      <c r="AA489" s="515"/>
      <c r="AB489" s="515"/>
      <c r="AC489" s="515"/>
      <c r="AD489" s="515"/>
      <c r="AE489" s="515"/>
      <c r="AF489" s="515"/>
      <c r="AG489" s="515"/>
      <c r="AH489" s="515"/>
      <c r="AI489" s="515"/>
      <c r="AJ489" s="515"/>
      <c r="AK489" s="515"/>
      <c r="AL489" s="515"/>
      <c r="AM489" s="515"/>
      <c r="AN489" s="515"/>
      <c r="AO489" s="534"/>
      <c r="AP489" s="534"/>
      <c r="AQ489" s="535"/>
      <c r="AR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S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T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U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V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W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X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Y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AZ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BA489" s="51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BB489" s="324"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_xll.TR(MO.Ticker.Thomson,"ZAV(TR.EBITDAMean(Scale=6))","Period="&amp;INDEX(tb_ConsensusEstimate,2,COLUMN())&amp;INDEX(tb_ConsensusEstimate,3,COLUMN()))),"N/A")</f>
        <v>N/A</v>
      </c>
      <c r="BC489" s="362"/>
    </row>
    <row r="490" spans="1:55" s="26" customFormat="1">
      <c r="A490" s="327" t="str">
        <f>$A$188</f>
        <v>Consensus Estimates - Adjusted Earnings Per Share - WAD</v>
      </c>
      <c r="B490" s="281"/>
      <c r="C490" s="307"/>
      <c r="D490" s="307"/>
      <c r="E490" s="307"/>
      <c r="F490" s="307"/>
      <c r="G490" s="307"/>
      <c r="H490" s="281"/>
      <c r="I490" s="281"/>
      <c r="J490" s="281"/>
      <c r="K490" s="281"/>
      <c r="L490" s="281"/>
      <c r="M490" s="281"/>
      <c r="N490" s="281"/>
      <c r="O490" s="281"/>
      <c r="P490" s="281"/>
      <c r="Q490" s="281"/>
      <c r="R490" s="281"/>
      <c r="S490" s="281"/>
      <c r="T490" s="281"/>
      <c r="U490" s="281"/>
      <c r="V490" s="281"/>
      <c r="W490" s="281"/>
      <c r="X490" s="281"/>
      <c r="Y490" s="281"/>
      <c r="Z490" s="281"/>
      <c r="AA490" s="281"/>
      <c r="AB490" s="281"/>
      <c r="AC490" s="281"/>
      <c r="AD490" s="281"/>
      <c r="AE490" s="281"/>
      <c r="AF490" s="281"/>
      <c r="AG490" s="281"/>
      <c r="AH490" s="281"/>
      <c r="AI490" s="281"/>
      <c r="AJ490" s="281"/>
      <c r="AK490" s="281"/>
      <c r="AL490" s="281"/>
      <c r="AM490" s="281"/>
      <c r="AN490" s="281"/>
      <c r="AO490" s="281"/>
      <c r="AP490" s="281"/>
      <c r="AQ490" s="316"/>
      <c r="AR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S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T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U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V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W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X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Y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AZ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BA490" s="281"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BB490" s="325"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_xll.TR(MO.Ticker.Thomson,"ZAV(TR.EPSMean)","Period="&amp;INDEX(tb_ConsensusEstimate,2,COLUMN())&amp;INDEX(tb_ConsensusEstimate,3,COLUMN()))),"N/A")</f>
        <v>N/A</v>
      </c>
      <c r="BC490" s="231"/>
    </row>
    <row r="491" spans="1:55" s="26" customFormat="1">
      <c r="A491" s="327" t="str">
        <f>$A$197</f>
        <v>Consensus Estimates - Cash Flow Per Diluted Share</v>
      </c>
      <c r="B491" s="281"/>
      <c r="C491" s="307"/>
      <c r="D491" s="307"/>
      <c r="E491" s="307"/>
      <c r="F491" s="307"/>
      <c r="G491" s="307"/>
      <c r="H491" s="281"/>
      <c r="I491" s="281"/>
      <c r="J491" s="281"/>
      <c r="K491" s="281"/>
      <c r="L491" s="281"/>
      <c r="M491" s="281"/>
      <c r="N491" s="281"/>
      <c r="O491" s="281"/>
      <c r="P491" s="281"/>
      <c r="Q491" s="281"/>
      <c r="R491" s="281"/>
      <c r="S491" s="281"/>
      <c r="T491" s="281"/>
      <c r="U491" s="281"/>
      <c r="V491" s="281"/>
      <c r="W491" s="281"/>
      <c r="X491" s="281"/>
      <c r="Y491" s="281"/>
      <c r="Z491" s="281"/>
      <c r="AA491" s="281"/>
      <c r="AB491" s="281"/>
      <c r="AC491" s="281"/>
      <c r="AD491" s="281"/>
      <c r="AE491" s="281"/>
      <c r="AF491" s="281"/>
      <c r="AG491" s="281"/>
      <c r="AH491" s="281"/>
      <c r="AI491" s="281"/>
      <c r="AJ491" s="281"/>
      <c r="AK491" s="281"/>
      <c r="AL491" s="281"/>
      <c r="AM491" s="281"/>
      <c r="AN491" s="281"/>
      <c r="AO491" s="281"/>
      <c r="AP491" s="281"/>
      <c r="AQ491" s="316"/>
      <c r="AR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S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T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U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V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W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X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Y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AZ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BA491" s="281"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BB491" s="325"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_xll.TR(MO.Ticker.Thomson,"ZAV(TR.CFPSMean)","Period="&amp;INDEX(tb_ConsensusEstimate,2,COLUMN())&amp;INDEX(tb_ConsensusEstimate,3,COLUMN()))),"N/A")</f>
        <v>N/A</v>
      </c>
      <c r="BC491" s="231"/>
    </row>
    <row r="492" spans="1:55" s="23" customFormat="1">
      <c r="A492" s="326" t="str">
        <f>A199</f>
        <v>Consensus Estimates - Capex</v>
      </c>
      <c r="B492" s="515"/>
      <c r="C492" s="306"/>
      <c r="D492" s="306"/>
      <c r="E492" s="306"/>
      <c r="F492" s="306"/>
      <c r="G492" s="306"/>
      <c r="H492" s="515"/>
      <c r="I492" s="515"/>
      <c r="J492" s="515"/>
      <c r="K492" s="515"/>
      <c r="L492" s="515"/>
      <c r="M492" s="515"/>
      <c r="N492" s="515"/>
      <c r="O492" s="515"/>
      <c r="P492" s="515"/>
      <c r="Q492" s="515"/>
      <c r="R492" s="515"/>
      <c r="S492" s="515"/>
      <c r="T492" s="515"/>
      <c r="U492" s="515"/>
      <c r="V492" s="515"/>
      <c r="W492" s="515"/>
      <c r="X492" s="515"/>
      <c r="Y492" s="515"/>
      <c r="Z492" s="515"/>
      <c r="AA492" s="515"/>
      <c r="AB492" s="515"/>
      <c r="AC492" s="515"/>
      <c r="AD492" s="515"/>
      <c r="AE492" s="515"/>
      <c r="AF492" s="515"/>
      <c r="AG492" s="515"/>
      <c r="AH492" s="515"/>
      <c r="AI492" s="515"/>
      <c r="AJ492" s="515"/>
      <c r="AK492" s="515"/>
      <c r="AL492" s="515"/>
      <c r="AM492" s="515"/>
      <c r="AN492" s="515"/>
      <c r="AO492" s="534"/>
      <c r="AP492" s="534"/>
      <c r="AQ492" s="535"/>
      <c r="AR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S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T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U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V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W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X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Y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AZ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BA492" s="51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BB492" s="324"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_xll.TR(MO.Ticker.Thomson,"ZAV(TR.CAPEXMean(Scale=6))","Period="&amp;INDEX(tb_ConsensusEstimate,2,COLUMN())&amp;INDEX(tb_ConsensusEstimate,3,COLUMN()))),"N/A")</f>
        <v>N/A</v>
      </c>
      <c r="BC492" s="362"/>
    </row>
    <row r="493" spans="1:55" s="1" customFormat="1">
      <c r="A493" s="328"/>
      <c r="B493" s="517"/>
      <c r="C493" s="322"/>
      <c r="D493" s="322"/>
      <c r="E493" s="517"/>
      <c r="F493" s="517"/>
      <c r="G493" s="517"/>
      <c r="H493" s="517"/>
      <c r="I493" s="517"/>
      <c r="J493" s="517"/>
      <c r="K493" s="517"/>
      <c r="L493" s="517"/>
      <c r="M493" s="517"/>
      <c r="N493" s="517"/>
      <c r="O493" s="517"/>
      <c r="P493" s="517"/>
      <c r="Q493" s="517"/>
      <c r="R493" s="517"/>
      <c r="S493" s="517"/>
      <c r="T493" s="517"/>
      <c r="U493" s="517"/>
      <c r="V493" s="517"/>
      <c r="W493" s="517"/>
      <c r="X493" s="517"/>
      <c r="Y493" s="517"/>
      <c r="Z493" s="517"/>
      <c r="AA493" s="517"/>
      <c r="AB493" s="517"/>
      <c r="AC493" s="517"/>
      <c r="AD493" s="517"/>
      <c r="AE493" s="517"/>
      <c r="AF493" s="517"/>
      <c r="AG493" s="517"/>
      <c r="AH493" s="517"/>
      <c r="AI493" s="517"/>
      <c r="AJ493" s="517"/>
      <c r="AK493" s="517"/>
      <c r="AL493" s="517"/>
      <c r="AM493" s="517"/>
      <c r="AN493" s="517"/>
      <c r="AO493" s="537"/>
      <c r="AP493" s="537"/>
      <c r="AQ493" s="538"/>
      <c r="AR493" s="517"/>
      <c r="AS493" s="517"/>
      <c r="AT493" s="517"/>
      <c r="AU493" s="517"/>
      <c r="AV493" s="517"/>
      <c r="AW493" s="517"/>
      <c r="AX493" s="517"/>
      <c r="AY493" s="517"/>
      <c r="AZ493" s="517"/>
      <c r="BA493" s="517"/>
      <c r="BB493" s="507"/>
      <c r="BC493" s="221"/>
    </row>
    <row r="494" spans="1:55" s="1" customFormat="1">
      <c r="A494" s="241"/>
      <c r="B494" s="520"/>
      <c r="C494" s="93"/>
      <c r="D494" s="93"/>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15"/>
      <c r="AJ494" s="515"/>
      <c r="AK494" s="515"/>
      <c r="AL494" s="515"/>
      <c r="AM494" s="515"/>
      <c r="AN494" s="515"/>
      <c r="AO494" s="1009"/>
      <c r="AP494" s="1009"/>
      <c r="AQ494" s="1010"/>
      <c r="AR494" s="516"/>
      <c r="AS494" s="516"/>
      <c r="AT494" s="516"/>
      <c r="AU494" s="516"/>
      <c r="AV494" s="516"/>
      <c r="AW494" s="516"/>
      <c r="AX494" s="516"/>
      <c r="AY494" s="516"/>
      <c r="AZ494" s="516"/>
      <c r="BA494" s="516"/>
      <c r="BB494" s="516"/>
      <c r="BC494" s="221"/>
    </row>
    <row r="495" spans="1:55" s="1" customFormat="1">
      <c r="A495" s="244" t="s">
        <v>381</v>
      </c>
      <c r="B495" s="242"/>
      <c r="C495" s="243"/>
      <c r="D495" s="243"/>
      <c r="E495" s="242"/>
      <c r="F495" s="242"/>
      <c r="G495" s="242"/>
      <c r="H495" s="242"/>
      <c r="I495" s="242"/>
      <c r="J495" s="242"/>
      <c r="K495" s="242"/>
      <c r="L495" s="242"/>
      <c r="M495" s="242"/>
      <c r="N495" s="242"/>
      <c r="O495" s="242"/>
      <c r="P495" s="242"/>
      <c r="Q495" s="242"/>
      <c r="R495" s="242"/>
      <c r="S495" s="242"/>
      <c r="T495" s="242"/>
      <c r="U495" s="242"/>
      <c r="V495" s="242"/>
      <c r="W495" s="242"/>
      <c r="X495" s="242"/>
      <c r="Y495" s="242"/>
      <c r="Z495" s="242"/>
      <c r="AA495" s="242"/>
      <c r="AB495" s="242"/>
      <c r="AC495" s="242"/>
      <c r="AD495" s="242"/>
      <c r="AE495" s="242"/>
      <c r="AF495" s="242"/>
      <c r="AG495" s="242"/>
      <c r="AH495" s="242"/>
      <c r="AI495" s="242"/>
      <c r="AJ495" s="242"/>
      <c r="AK495" s="242"/>
      <c r="AL495" s="242"/>
      <c r="AM495" s="242"/>
      <c r="AN495" s="242"/>
      <c r="AO495" s="242"/>
      <c r="AP495" s="242"/>
      <c r="AQ495" s="266"/>
      <c r="AR495" s="500"/>
      <c r="AS495" s="500"/>
      <c r="AT495" s="500"/>
      <c r="AU495" s="500"/>
      <c r="AV495" s="500"/>
      <c r="AW495" s="500"/>
      <c r="AX495" s="500"/>
      <c r="AY495" s="500"/>
      <c r="AZ495" s="500"/>
      <c r="BA495" s="500"/>
      <c r="BB495" s="501"/>
      <c r="BC495" s="221"/>
    </row>
    <row r="496" spans="1:55" s="1" customFormat="1">
      <c r="A496" s="245" t="s">
        <v>382</v>
      </c>
      <c r="B496" s="520"/>
      <c r="C496" s="246">
        <f t="shared" ref="C496:AH496" si="338">INDEX(MO_Common_QEndDate,0,COLUMN())-INDEX(MO_Common_FPDays,0,COLUMN())+1</f>
        <v>39814</v>
      </c>
      <c r="D496" s="246">
        <f t="shared" si="338"/>
        <v>40179</v>
      </c>
      <c r="E496" s="247">
        <f t="shared" si="338"/>
        <v>40544</v>
      </c>
      <c r="F496" s="247">
        <f t="shared" si="338"/>
        <v>40909</v>
      </c>
      <c r="G496" s="247">
        <f t="shared" si="338"/>
        <v>41275</v>
      </c>
      <c r="H496" s="247">
        <f t="shared" si="338"/>
        <v>41365</v>
      </c>
      <c r="I496" s="247">
        <f t="shared" si="338"/>
        <v>41456</v>
      </c>
      <c r="J496" s="247">
        <f t="shared" si="338"/>
        <v>41548</v>
      </c>
      <c r="K496" s="247">
        <f t="shared" si="338"/>
        <v>41275</v>
      </c>
      <c r="L496" s="247">
        <f t="shared" si="338"/>
        <v>41640</v>
      </c>
      <c r="M496" s="247">
        <f t="shared" si="338"/>
        <v>41730</v>
      </c>
      <c r="N496" s="247">
        <f t="shared" si="338"/>
        <v>41821</v>
      </c>
      <c r="O496" s="247">
        <f t="shared" si="338"/>
        <v>41913</v>
      </c>
      <c r="P496" s="247">
        <f t="shared" si="338"/>
        <v>41640</v>
      </c>
      <c r="Q496" s="247">
        <f t="shared" si="338"/>
        <v>42005</v>
      </c>
      <c r="R496" s="247">
        <f t="shared" si="338"/>
        <v>42095</v>
      </c>
      <c r="S496" s="247">
        <f t="shared" si="338"/>
        <v>42186</v>
      </c>
      <c r="T496" s="247">
        <f t="shared" si="338"/>
        <v>42278</v>
      </c>
      <c r="U496" s="247">
        <f t="shared" si="338"/>
        <v>42005</v>
      </c>
      <c r="V496" s="247">
        <f t="shared" si="338"/>
        <v>42370</v>
      </c>
      <c r="W496" s="247">
        <f t="shared" si="338"/>
        <v>42461</v>
      </c>
      <c r="X496" s="247">
        <f t="shared" si="338"/>
        <v>42552</v>
      </c>
      <c r="Y496" s="247">
        <f t="shared" si="338"/>
        <v>42644</v>
      </c>
      <c r="Z496" s="247">
        <f t="shared" si="338"/>
        <v>42370</v>
      </c>
      <c r="AA496" s="247">
        <f t="shared" si="338"/>
        <v>42736</v>
      </c>
      <c r="AB496" s="247">
        <f t="shared" si="338"/>
        <v>42826</v>
      </c>
      <c r="AC496" s="247">
        <f t="shared" si="338"/>
        <v>42917</v>
      </c>
      <c r="AD496" s="247">
        <f t="shared" si="338"/>
        <v>43009</v>
      </c>
      <c r="AE496" s="247">
        <f t="shared" si="338"/>
        <v>42736</v>
      </c>
      <c r="AF496" s="247">
        <f t="shared" si="338"/>
        <v>43101</v>
      </c>
      <c r="AG496" s="247">
        <f t="shared" si="338"/>
        <v>43191</v>
      </c>
      <c r="AH496" s="247">
        <f t="shared" si="338"/>
        <v>43282</v>
      </c>
      <c r="AI496" s="276">
        <f t="shared" ref="AI496:BB496" si="339">INDEX(MO_Common_QEndDate,0,COLUMN())-INDEX(MO_Common_FPDays,0,COLUMN())+1</f>
        <v>43374</v>
      </c>
      <c r="AJ496" s="276">
        <f t="shared" si="339"/>
        <v>43101</v>
      </c>
      <c r="AK496" s="276">
        <f t="shared" si="339"/>
        <v>43466</v>
      </c>
      <c r="AL496" s="276">
        <f t="shared" si="339"/>
        <v>43556</v>
      </c>
      <c r="AM496" s="276">
        <f t="shared" si="339"/>
        <v>43647</v>
      </c>
      <c r="AN496" s="276">
        <f t="shared" si="339"/>
        <v>43739</v>
      </c>
      <c r="AO496" s="276">
        <f t="shared" si="339"/>
        <v>43466</v>
      </c>
      <c r="AP496" s="276">
        <f t="shared" si="339"/>
        <v>43831</v>
      </c>
      <c r="AQ496" s="267">
        <f t="shared" si="339"/>
        <v>43922</v>
      </c>
      <c r="AR496" s="247">
        <f t="shared" si="339"/>
        <v>44013</v>
      </c>
      <c r="AS496" s="247">
        <f t="shared" si="339"/>
        <v>44105</v>
      </c>
      <c r="AT496" s="247">
        <f t="shared" si="339"/>
        <v>43831</v>
      </c>
      <c r="AU496" s="247">
        <f t="shared" si="339"/>
        <v>44197</v>
      </c>
      <c r="AV496" s="247">
        <f t="shared" si="339"/>
        <v>44287</v>
      </c>
      <c r="AW496" s="247">
        <f t="shared" si="339"/>
        <v>44378</v>
      </c>
      <c r="AX496" s="247">
        <f t="shared" si="339"/>
        <v>44470</v>
      </c>
      <c r="AY496" s="247">
        <f t="shared" si="339"/>
        <v>44197</v>
      </c>
      <c r="AZ496" s="247">
        <f t="shared" si="339"/>
        <v>44562</v>
      </c>
      <c r="BA496" s="247">
        <f t="shared" si="339"/>
        <v>44927</v>
      </c>
      <c r="BB496" s="248">
        <f t="shared" si="339"/>
        <v>45292</v>
      </c>
      <c r="BC496" s="221"/>
    </row>
    <row r="497" spans="1:55" s="1" customFormat="1">
      <c r="A497" s="245" t="s">
        <v>392</v>
      </c>
      <c r="B497" s="520"/>
      <c r="C497" s="246" t="b">
        <f>TRUE</f>
        <v>1</v>
      </c>
      <c r="D497" s="246" t="b">
        <f>TRUE</f>
        <v>1</v>
      </c>
      <c r="E497" s="247" t="b">
        <f>TRUE</f>
        <v>1</v>
      </c>
      <c r="F497" s="247" t="b">
        <f>TRUE</f>
        <v>1</v>
      </c>
      <c r="G497" s="247" t="b">
        <f>TRUE</f>
        <v>1</v>
      </c>
      <c r="H497" s="247" t="b">
        <f>TRUE</f>
        <v>1</v>
      </c>
      <c r="I497" s="247" t="b">
        <f>TRUE</f>
        <v>1</v>
      </c>
      <c r="J497" s="247" t="b">
        <f>TRUE</f>
        <v>1</v>
      </c>
      <c r="K497" s="247" t="b">
        <f>TRUE</f>
        <v>1</v>
      </c>
      <c r="L497" s="247" t="b">
        <f>TRUE</f>
        <v>1</v>
      </c>
      <c r="M497" s="247" t="b">
        <f>TRUE</f>
        <v>1</v>
      </c>
      <c r="N497" s="247" t="b">
        <f>TRUE</f>
        <v>1</v>
      </c>
      <c r="O497" s="247" t="b">
        <f>TRUE</f>
        <v>1</v>
      </c>
      <c r="P497" s="247" t="b">
        <f>TRUE</f>
        <v>1</v>
      </c>
      <c r="Q497" s="247" t="b">
        <f>TRUE</f>
        <v>1</v>
      </c>
      <c r="R497" s="247" t="b">
        <f>TRUE</f>
        <v>1</v>
      </c>
      <c r="S497" s="247" t="b">
        <f>TRUE</f>
        <v>1</v>
      </c>
      <c r="T497" s="247" t="b">
        <f>TRUE</f>
        <v>1</v>
      </c>
      <c r="U497" s="247" t="b">
        <f>TRUE</f>
        <v>1</v>
      </c>
      <c r="V497" s="247" t="b">
        <f>TRUE</f>
        <v>1</v>
      </c>
      <c r="W497" s="247" t="b">
        <f>TRUE</f>
        <v>1</v>
      </c>
      <c r="X497" s="247" t="b">
        <f>TRUE</f>
        <v>1</v>
      </c>
      <c r="Y497" s="247" t="b">
        <f>TRUE</f>
        <v>1</v>
      </c>
      <c r="Z497" s="247" t="b">
        <f>TRUE</f>
        <v>1</v>
      </c>
      <c r="AA497" s="247" t="b">
        <f>TRUE</f>
        <v>1</v>
      </c>
      <c r="AB497" s="247" t="b">
        <f>TRUE</f>
        <v>1</v>
      </c>
      <c r="AC497" s="247" t="b">
        <f>TRUE</f>
        <v>1</v>
      </c>
      <c r="AD497" s="247" t="b">
        <f>TRUE</f>
        <v>1</v>
      </c>
      <c r="AE497" s="247" t="b">
        <f>TRUE</f>
        <v>1</v>
      </c>
      <c r="AF497" s="247" t="b">
        <f>TRUE</f>
        <v>1</v>
      </c>
      <c r="AG497" s="247" t="b">
        <f>TRUE</f>
        <v>1</v>
      </c>
      <c r="AH497" s="247" t="b">
        <f>TRUE</f>
        <v>1</v>
      </c>
      <c r="AI497" s="276" t="b">
        <f>TRUE</f>
        <v>1</v>
      </c>
      <c r="AJ497" s="276" t="b">
        <f>TRUE</f>
        <v>1</v>
      </c>
      <c r="AK497" s="276" t="b">
        <f>TRUE</f>
        <v>1</v>
      </c>
      <c r="AL497" s="276" t="b">
        <f>TRUE</f>
        <v>1</v>
      </c>
      <c r="AM497" s="276" t="b">
        <f>TRUE</f>
        <v>1</v>
      </c>
      <c r="AN497" s="276" t="b">
        <f>TRUE</f>
        <v>1</v>
      </c>
      <c r="AO497" s="276" t="b">
        <f>TRUE</f>
        <v>1</v>
      </c>
      <c r="AP497" s="276" t="b">
        <f>TRUE</f>
        <v>1</v>
      </c>
      <c r="AQ497" s="267" t="b">
        <f>TRUE</f>
        <v>1</v>
      </c>
      <c r="AR497" s="247" t="b">
        <f>FALSE</f>
        <v>0</v>
      </c>
      <c r="AS497" s="247" t="b">
        <f>FALSE</f>
        <v>0</v>
      </c>
      <c r="AT497" s="247" t="b">
        <f>FALSE</f>
        <v>0</v>
      </c>
      <c r="AU497" s="247" t="b">
        <f>FALSE</f>
        <v>0</v>
      </c>
      <c r="AV497" s="247" t="b">
        <f>FALSE</f>
        <v>0</v>
      </c>
      <c r="AW497" s="247" t="b">
        <f>FALSE</f>
        <v>0</v>
      </c>
      <c r="AX497" s="247" t="b">
        <f>FALSE</f>
        <v>0</v>
      </c>
      <c r="AY497" s="247" t="b">
        <f>FALSE</f>
        <v>0</v>
      </c>
      <c r="AZ497" s="247" t="b">
        <f>FALSE</f>
        <v>0</v>
      </c>
      <c r="BA497" s="247" t="b">
        <f>FALSE</f>
        <v>0</v>
      </c>
      <c r="BB497" s="248" t="b">
        <f>FALSE</f>
        <v>0</v>
      </c>
      <c r="BC497" s="221"/>
    </row>
    <row r="498" spans="1:55" s="254" customFormat="1">
      <c r="A498" s="249" t="str">
        <f ca="1">"Stock High: "&amp;IF(OR(MO.RealTimeStockPriceToggle=FALSE,VLOOKUP(MO.DataSourceName,MO_SPT_StockHigh_Sources,COLUMN()+2,FALSE)="N/A"),"Real-Time Off Source",MO.DataSourceName)</f>
        <v>Stock High: Real-Time Off Source</v>
      </c>
      <c r="B498" s="250"/>
      <c r="C498" s="251">
        <f t="shared" ref="C498:AH498" ca="1" si="340">IF(OR(MO.RealTimeStockPriceToggle=FALSE,VLOOKUP(MO.DataSourceName,MO_SPT_StockHigh_Sources,COLUMN(),FALSE)="N/A"),VLOOKUP("Real-Time Off Source",MO_SPT_StockHigh_Sources,COLUMN(),FALSE),VLOOKUP(MO.DataSourceName,MO_SPT_StockHigh_Sources,COLUMN(),FALSE))</f>
        <v>4.3093520692561</v>
      </c>
      <c r="D498" s="251">
        <f t="shared" ca="1" si="340"/>
        <v>9.0465801763399103</v>
      </c>
      <c r="E498" s="250">
        <f t="shared" ca="1" si="340"/>
        <v>18.796710703380601</v>
      </c>
      <c r="F498" s="250">
        <f t="shared" ca="1" si="340"/>
        <v>15.279968287781699</v>
      </c>
      <c r="G498" s="250">
        <f t="shared" ca="1" si="340"/>
        <v>16.3349482678261</v>
      </c>
      <c r="H498" s="250">
        <f t="shared" ca="1" si="340"/>
        <v>22.487669225043501</v>
      </c>
      <c r="I498" s="250">
        <f t="shared" ca="1" si="340"/>
        <v>27.851579803130399</v>
      </c>
      <c r="J498" s="250">
        <f t="shared" ca="1" si="340"/>
        <v>34.832551658434802</v>
      </c>
      <c r="K498" s="250">
        <f t="shared" ca="1" si="340"/>
        <v>40.057434407199999</v>
      </c>
      <c r="L498" s="250">
        <f t="shared" ca="1" si="340"/>
        <v>34.273810973217401</v>
      </c>
      <c r="M498" s="250">
        <f t="shared" ca="1" si="340"/>
        <v>30.421786955130401</v>
      </c>
      <c r="N498" s="250">
        <f t="shared" ca="1" si="340"/>
        <v>32.439826841739098</v>
      </c>
      <c r="O498" s="250">
        <f t="shared" ca="1" si="340"/>
        <v>31.618149363478299</v>
      </c>
      <c r="P498" s="250">
        <f t="shared" ca="1" si="340"/>
        <v>39.4148826192</v>
      </c>
      <c r="Q498" s="250">
        <f t="shared" ca="1" si="340"/>
        <v>49.3479095652174</v>
      </c>
      <c r="R498" s="250">
        <f t="shared" ca="1" si="340"/>
        <v>50.368744347826102</v>
      </c>
      <c r="S498" s="250">
        <f t="shared" ca="1" si="340"/>
        <v>46.686177391304398</v>
      </c>
      <c r="T498" s="250">
        <f t="shared" ca="1" si="340"/>
        <v>32.122267826086997</v>
      </c>
      <c r="U498" s="250">
        <f t="shared" ca="1" si="340"/>
        <v>57.924056</v>
      </c>
      <c r="V498" s="250">
        <f t="shared" ca="1" si="340"/>
        <v>30.043478260869598</v>
      </c>
      <c r="W498" s="250">
        <f t="shared" ca="1" si="340"/>
        <v>29.756521739130399</v>
      </c>
      <c r="X498" s="250">
        <f t="shared" ca="1" si="340"/>
        <v>34.060869565217402</v>
      </c>
      <c r="Y498" s="250">
        <f t="shared" ca="1" si="340"/>
        <v>35.3913043478261</v>
      </c>
      <c r="Z498" s="250">
        <f t="shared" ca="1" si="340"/>
        <v>35.3913043478261</v>
      </c>
      <c r="AA498" s="250">
        <f t="shared" ca="1" si="340"/>
        <v>30.234782608695699</v>
      </c>
      <c r="AB498" s="250">
        <f t="shared" ca="1" si="340"/>
        <v>28.9478260869565</v>
      </c>
      <c r="AC498" s="250">
        <f t="shared" ca="1" si="340"/>
        <v>27.3391304347826</v>
      </c>
      <c r="AD498" s="250">
        <f t="shared" ca="1" si="340"/>
        <v>38.147826086956499</v>
      </c>
      <c r="AE498" s="250">
        <f t="shared" ca="1" si="340"/>
        <v>38.147826086956499</v>
      </c>
      <c r="AF498" s="250">
        <f t="shared" ca="1" si="340"/>
        <v>40.064100000000003</v>
      </c>
      <c r="AG498" s="250">
        <f t="shared" ca="1" si="340"/>
        <v>33.296500000000002</v>
      </c>
      <c r="AH498" s="250">
        <f t="shared" ca="1" si="340"/>
        <v>39.015099999999997</v>
      </c>
      <c r="AI498" s="277">
        <f t="shared" ref="AI498:BB498" ca="1" si="341">IF(OR(MO.RealTimeStockPriceToggle=FALSE,VLOOKUP(MO.DataSourceName,MO_SPT_StockHigh_Sources,COLUMN(),FALSE)="N/A"),VLOOKUP("Real-Time Off Source",MO_SPT_StockHigh_Sources,COLUMN(),FALSE),VLOOKUP(MO.DataSourceName,MO_SPT_StockHigh_Sources,COLUMN(),FALSE))</f>
        <v>36.773299999999999</v>
      </c>
      <c r="AJ498" s="277">
        <f t="shared" ca="1" si="341"/>
        <v>40.064100000000003</v>
      </c>
      <c r="AK498" s="277">
        <f t="shared" ca="1" si="341"/>
        <v>36.01</v>
      </c>
      <c r="AL498" s="277">
        <f t="shared" ca="1" si="341"/>
        <v>44.2</v>
      </c>
      <c r="AM498" s="277">
        <f t="shared" ca="1" si="341"/>
        <v>41.86</v>
      </c>
      <c r="AN498" s="277">
        <f t="shared" ca="1" si="341"/>
        <v>31.5</v>
      </c>
      <c r="AO498" s="277">
        <f t="shared" ca="1" si="341"/>
        <v>44.2</v>
      </c>
      <c r="AP498" s="277">
        <f t="shared" ca="1" si="341"/>
        <v>28.92</v>
      </c>
      <c r="AQ498" s="268">
        <f t="shared" ca="1" si="341"/>
        <v>15.46</v>
      </c>
      <c r="AR498" s="250">
        <f t="shared" ca="1" si="341"/>
        <v>0</v>
      </c>
      <c r="AS498" s="250">
        <f t="shared" ca="1" si="341"/>
        <v>0</v>
      </c>
      <c r="AT498" s="250">
        <f t="shared" ca="1" si="341"/>
        <v>0</v>
      </c>
      <c r="AU498" s="250">
        <f t="shared" ca="1" si="341"/>
        <v>0</v>
      </c>
      <c r="AV498" s="250">
        <f t="shared" ca="1" si="341"/>
        <v>0</v>
      </c>
      <c r="AW498" s="250">
        <f t="shared" ca="1" si="341"/>
        <v>0</v>
      </c>
      <c r="AX498" s="250">
        <f t="shared" ca="1" si="341"/>
        <v>0</v>
      </c>
      <c r="AY498" s="250">
        <f t="shared" ca="1" si="341"/>
        <v>0</v>
      </c>
      <c r="AZ498" s="250">
        <f t="shared" ca="1" si="341"/>
        <v>0</v>
      </c>
      <c r="BA498" s="250">
        <f t="shared" ca="1" si="341"/>
        <v>0</v>
      </c>
      <c r="BB498" s="252">
        <f t="shared" ca="1" si="341"/>
        <v>0</v>
      </c>
      <c r="BC498" s="253"/>
    </row>
    <row r="499" spans="1:55" s="254" customFormat="1" hidden="1" outlineLevel="1">
      <c r="A499" s="255" t="s">
        <v>383</v>
      </c>
      <c r="B499" s="250"/>
      <c r="C499" s="251">
        <v>4.3093520692561</v>
      </c>
      <c r="D499" s="251">
        <v>9.0465801763399103</v>
      </c>
      <c r="E499" s="250">
        <v>18.796710703380601</v>
      </c>
      <c r="F499" s="250">
        <v>15.279968287781699</v>
      </c>
      <c r="G499" s="250">
        <v>16.3349482678261</v>
      </c>
      <c r="H499" s="250">
        <v>22.487669225043501</v>
      </c>
      <c r="I499" s="250">
        <v>27.851579803130399</v>
      </c>
      <c r="J499" s="250">
        <v>34.832551658434802</v>
      </c>
      <c r="K499" s="250">
        <v>40.057434407199999</v>
      </c>
      <c r="L499" s="250">
        <v>34.273810973217401</v>
      </c>
      <c r="M499" s="250">
        <v>30.421786955130401</v>
      </c>
      <c r="N499" s="250">
        <v>32.439826841739098</v>
      </c>
      <c r="O499" s="250">
        <v>31.618149363478299</v>
      </c>
      <c r="P499" s="250">
        <v>39.4148826192</v>
      </c>
      <c r="Q499" s="250">
        <v>49.3479095652174</v>
      </c>
      <c r="R499" s="250">
        <v>50.368744347826102</v>
      </c>
      <c r="S499" s="250">
        <v>46.686177391304398</v>
      </c>
      <c r="T499" s="250">
        <v>32.122267826086997</v>
      </c>
      <c r="U499" s="250">
        <v>57.924056</v>
      </c>
      <c r="V499" s="250">
        <v>30.043478260869598</v>
      </c>
      <c r="W499" s="250">
        <v>29.756521739130399</v>
      </c>
      <c r="X499" s="250">
        <v>34.060869565217402</v>
      </c>
      <c r="Y499" s="250">
        <v>35.3913043478261</v>
      </c>
      <c r="Z499" s="250">
        <v>35.3913043478261</v>
      </c>
      <c r="AA499" s="250">
        <v>30.234782608695699</v>
      </c>
      <c r="AB499" s="250">
        <v>28.9478260869565</v>
      </c>
      <c r="AC499" s="250">
        <v>27.3391304347826</v>
      </c>
      <c r="AD499" s="250">
        <v>38.147826086956499</v>
      </c>
      <c r="AE499" s="250">
        <v>38.147826086956499</v>
      </c>
      <c r="AF499" s="250">
        <v>40.064100000000003</v>
      </c>
      <c r="AG499" s="250">
        <v>33.296500000000002</v>
      </c>
      <c r="AH499" s="250">
        <v>39.015099999999997</v>
      </c>
      <c r="AI499" s="277">
        <v>36.773299999999999</v>
      </c>
      <c r="AJ499" s="277">
        <v>40.064100000000003</v>
      </c>
      <c r="AK499" s="277">
        <v>36.01</v>
      </c>
      <c r="AL499" s="277">
        <v>44.2</v>
      </c>
      <c r="AM499" s="277">
        <v>41.86</v>
      </c>
      <c r="AN499" s="277">
        <v>31.5</v>
      </c>
      <c r="AO499" s="277">
        <v>44.2</v>
      </c>
      <c r="AP499" s="277">
        <v>28.92</v>
      </c>
      <c r="AQ499" s="268">
        <v>15.46</v>
      </c>
      <c r="AR499" s="223"/>
      <c r="AS499" s="223"/>
      <c r="AT499" s="223"/>
      <c r="AU499" s="223"/>
      <c r="AV499" s="223"/>
      <c r="AW499" s="223"/>
      <c r="AX499" s="223"/>
      <c r="AY499" s="223"/>
      <c r="AZ499" s="223"/>
      <c r="BA499" s="223"/>
      <c r="BB499" s="502"/>
      <c r="BC499" s="253"/>
    </row>
    <row r="500" spans="1:55" s="254" customFormat="1" hidden="1" outlineLevel="1">
      <c r="A500" s="255" t="s">
        <v>273</v>
      </c>
      <c r="B500" s="250"/>
      <c r="C500" s="251" t="str">
        <f ca="1">IFERROR(BDP(MO.Ticker.Bloomberg&amp;" Equity","INTERVAL_HIGH","MARKET_DATA_OVERRIDE=PX_LAST","START_DATE_OVERRIDE",TEXT(INDEX(MO_SNA_FPStartDate,0,COLUMN()),"YYYYMMDD"),"END_DATE_OVERRIDE",TEXT(INDEX(MO_Common_QEndDate,0,COLUMN()),"YYYYMMDD")),"N/A")</f>
        <v>N/A</v>
      </c>
      <c r="D500" s="251" t="str">
        <f ca="1">IFERROR(BDP(MO.Ticker.Bloomberg&amp;" Equity","INTERVAL_HIGH","MARKET_DATA_OVERRIDE=PX_LAST","START_DATE_OVERRIDE",TEXT(INDEX(MO_SNA_FPStartDate,0,COLUMN()),"YYYYMMDD"),"END_DATE_OVERRIDE",TEXT(INDEX(MO_Common_QEndDate,0,COLUMN()),"YYYYMMDD")),"N/A")</f>
        <v>N/A</v>
      </c>
      <c r="E500" s="250" t="str">
        <f ca="1">IFERROR(BDP(MO.Ticker.Bloomberg&amp;" Equity","INTERVAL_HIGH","MARKET_DATA_OVERRIDE=PX_LAST","START_DATE_OVERRIDE",TEXT(INDEX(MO_SNA_FPStartDate,0,COLUMN()),"YYYYMMDD"),"END_DATE_OVERRIDE",TEXT(INDEX(MO_Common_QEndDate,0,COLUMN()),"YYYYMMDD")),"N/A")</f>
        <v>N/A</v>
      </c>
      <c r="F500" s="250" t="str">
        <f ca="1">IFERROR(BDP(MO.Ticker.Bloomberg&amp;" Equity","INTERVAL_HIGH","MARKET_DATA_OVERRIDE=PX_LAST","START_DATE_OVERRIDE",TEXT(INDEX(MO_SNA_FPStartDate,0,COLUMN()),"YYYYMMDD"),"END_DATE_OVERRIDE",TEXT(INDEX(MO_Common_QEndDate,0,COLUMN()),"YYYYMMDD")),"N/A")</f>
        <v>N/A</v>
      </c>
      <c r="G500" s="250" t="str">
        <f ca="1">IFERROR(BDP(MO.Ticker.Bloomberg&amp;" Equity","INTERVAL_HIGH","MARKET_DATA_OVERRIDE=PX_LAST","START_DATE_OVERRIDE",TEXT(INDEX(MO_SNA_FPStartDate,0,COLUMN()),"YYYYMMDD"),"END_DATE_OVERRIDE",TEXT(INDEX(MO_Common_QEndDate,0,COLUMN()),"YYYYMMDD")),"N/A")</f>
        <v>N/A</v>
      </c>
      <c r="H500" s="250" t="str">
        <f ca="1">IFERROR(BDP(MO.Ticker.Bloomberg&amp;" Equity","INTERVAL_HIGH","MARKET_DATA_OVERRIDE=PX_LAST","START_DATE_OVERRIDE",TEXT(INDEX(MO_SNA_FPStartDate,0,COLUMN()),"YYYYMMDD"),"END_DATE_OVERRIDE",TEXT(INDEX(MO_Common_QEndDate,0,COLUMN()),"YYYYMMDD")),"N/A")</f>
        <v>N/A</v>
      </c>
      <c r="I500" s="250" t="str">
        <f ca="1">IFERROR(BDP(MO.Ticker.Bloomberg&amp;" Equity","INTERVAL_HIGH","MARKET_DATA_OVERRIDE=PX_LAST","START_DATE_OVERRIDE",TEXT(INDEX(MO_SNA_FPStartDate,0,COLUMN()),"YYYYMMDD"),"END_DATE_OVERRIDE",TEXT(INDEX(MO_Common_QEndDate,0,COLUMN()),"YYYYMMDD")),"N/A")</f>
        <v>N/A</v>
      </c>
      <c r="J500" s="250" t="str">
        <f ca="1">IFERROR(BDP(MO.Ticker.Bloomberg&amp;" Equity","INTERVAL_HIGH","MARKET_DATA_OVERRIDE=PX_LAST","START_DATE_OVERRIDE",TEXT(INDEX(MO_SNA_FPStartDate,0,COLUMN()),"YYYYMMDD"),"END_DATE_OVERRIDE",TEXT(INDEX(MO_Common_QEndDate,0,COLUMN()),"YYYYMMDD")),"N/A")</f>
        <v>N/A</v>
      </c>
      <c r="K500" s="250" t="str">
        <f ca="1">IFERROR(BDP(MO.Ticker.Bloomberg&amp;" Equity","INTERVAL_HIGH","MARKET_DATA_OVERRIDE=PX_LAST","START_DATE_OVERRIDE",TEXT(INDEX(MO_SNA_FPStartDate,0,COLUMN()),"YYYYMMDD"),"END_DATE_OVERRIDE",TEXT(INDEX(MO_Common_QEndDate,0,COLUMN()),"YYYYMMDD")),"N/A")</f>
        <v>N/A</v>
      </c>
      <c r="L500" s="250" t="str">
        <f ca="1">IFERROR(BDP(MO.Ticker.Bloomberg&amp;" Equity","INTERVAL_HIGH","MARKET_DATA_OVERRIDE=PX_LAST","START_DATE_OVERRIDE",TEXT(INDEX(MO_SNA_FPStartDate,0,COLUMN()),"YYYYMMDD"),"END_DATE_OVERRIDE",TEXT(INDEX(MO_Common_QEndDate,0,COLUMN()),"YYYYMMDD")),"N/A")</f>
        <v>N/A</v>
      </c>
      <c r="M500" s="250" t="str">
        <f ca="1">IFERROR(BDP(MO.Ticker.Bloomberg&amp;" Equity","INTERVAL_HIGH","MARKET_DATA_OVERRIDE=PX_LAST","START_DATE_OVERRIDE",TEXT(INDEX(MO_SNA_FPStartDate,0,COLUMN()),"YYYYMMDD"),"END_DATE_OVERRIDE",TEXT(INDEX(MO_Common_QEndDate,0,COLUMN()),"YYYYMMDD")),"N/A")</f>
        <v>N/A</v>
      </c>
      <c r="N500" s="250" t="str">
        <f ca="1">IFERROR(BDP(MO.Ticker.Bloomberg&amp;" Equity","INTERVAL_HIGH","MARKET_DATA_OVERRIDE=PX_LAST","START_DATE_OVERRIDE",TEXT(INDEX(MO_SNA_FPStartDate,0,COLUMN()),"YYYYMMDD"),"END_DATE_OVERRIDE",TEXT(INDEX(MO_Common_QEndDate,0,COLUMN()),"YYYYMMDD")),"N/A")</f>
        <v>N/A</v>
      </c>
      <c r="O500" s="250" t="str">
        <f ca="1">IFERROR(BDP(MO.Ticker.Bloomberg&amp;" Equity","INTERVAL_HIGH","MARKET_DATA_OVERRIDE=PX_LAST","START_DATE_OVERRIDE",TEXT(INDEX(MO_SNA_FPStartDate,0,COLUMN()),"YYYYMMDD"),"END_DATE_OVERRIDE",TEXT(INDEX(MO_Common_QEndDate,0,COLUMN()),"YYYYMMDD")),"N/A")</f>
        <v>N/A</v>
      </c>
      <c r="P500" s="250" t="str">
        <f ca="1">IFERROR(BDP(MO.Ticker.Bloomberg&amp;" Equity","INTERVAL_HIGH","MARKET_DATA_OVERRIDE=PX_LAST","START_DATE_OVERRIDE",TEXT(INDEX(MO_SNA_FPStartDate,0,COLUMN()),"YYYYMMDD"),"END_DATE_OVERRIDE",TEXT(INDEX(MO_Common_QEndDate,0,COLUMN()),"YYYYMMDD")),"N/A")</f>
        <v>N/A</v>
      </c>
      <c r="Q500" s="250" t="str">
        <f ca="1">IFERROR(BDP(MO.Ticker.Bloomberg&amp;" Equity","INTERVAL_HIGH","MARKET_DATA_OVERRIDE=PX_LAST","START_DATE_OVERRIDE",TEXT(INDEX(MO_SNA_FPStartDate,0,COLUMN()),"YYYYMMDD"),"END_DATE_OVERRIDE",TEXT(INDEX(MO_Common_QEndDate,0,COLUMN()),"YYYYMMDD")),"N/A")</f>
        <v>N/A</v>
      </c>
      <c r="R500" s="250" t="str">
        <f ca="1">IFERROR(BDP(MO.Ticker.Bloomberg&amp;" Equity","INTERVAL_HIGH","MARKET_DATA_OVERRIDE=PX_LAST","START_DATE_OVERRIDE",TEXT(INDEX(MO_SNA_FPStartDate,0,COLUMN()),"YYYYMMDD"),"END_DATE_OVERRIDE",TEXT(INDEX(MO_Common_QEndDate,0,COLUMN()),"YYYYMMDD")),"N/A")</f>
        <v>N/A</v>
      </c>
      <c r="S500" s="250" t="str">
        <f ca="1">IFERROR(BDP(MO.Ticker.Bloomberg&amp;" Equity","INTERVAL_HIGH","MARKET_DATA_OVERRIDE=PX_LAST","START_DATE_OVERRIDE",TEXT(INDEX(MO_SNA_FPStartDate,0,COLUMN()),"YYYYMMDD"),"END_DATE_OVERRIDE",TEXT(INDEX(MO_Common_QEndDate,0,COLUMN()),"YYYYMMDD")),"N/A")</f>
        <v>N/A</v>
      </c>
      <c r="T500" s="250" t="str">
        <f ca="1">IFERROR(BDP(MO.Ticker.Bloomberg&amp;" Equity","INTERVAL_HIGH","MARKET_DATA_OVERRIDE=PX_LAST","START_DATE_OVERRIDE",TEXT(INDEX(MO_SNA_FPStartDate,0,COLUMN()),"YYYYMMDD"),"END_DATE_OVERRIDE",TEXT(INDEX(MO_Common_QEndDate,0,COLUMN()),"YYYYMMDD")),"N/A")</f>
        <v>N/A</v>
      </c>
      <c r="U500" s="250" t="str">
        <f ca="1">IFERROR(BDP(MO.Ticker.Bloomberg&amp;" Equity","INTERVAL_HIGH","MARKET_DATA_OVERRIDE=PX_LAST","START_DATE_OVERRIDE",TEXT(INDEX(MO_SNA_FPStartDate,0,COLUMN()),"YYYYMMDD"),"END_DATE_OVERRIDE",TEXT(INDEX(MO_Common_QEndDate,0,COLUMN()),"YYYYMMDD")),"N/A")</f>
        <v>N/A</v>
      </c>
      <c r="V500" s="250" t="str">
        <f ca="1">IFERROR(BDP(MO.Ticker.Bloomberg&amp;" Equity","INTERVAL_HIGH","MARKET_DATA_OVERRIDE=PX_LAST","START_DATE_OVERRIDE",TEXT(INDEX(MO_SNA_FPStartDate,0,COLUMN()),"YYYYMMDD"),"END_DATE_OVERRIDE",TEXT(INDEX(MO_Common_QEndDate,0,COLUMN()),"YYYYMMDD")),"N/A")</f>
        <v>N/A</v>
      </c>
      <c r="W500" s="250" t="str">
        <f ca="1">IFERROR(BDP(MO.Ticker.Bloomberg&amp;" Equity","INTERVAL_HIGH","MARKET_DATA_OVERRIDE=PX_LAST","START_DATE_OVERRIDE",TEXT(INDEX(MO_SNA_FPStartDate,0,COLUMN()),"YYYYMMDD"),"END_DATE_OVERRIDE",TEXT(INDEX(MO_Common_QEndDate,0,COLUMN()),"YYYYMMDD")),"N/A")</f>
        <v>N/A</v>
      </c>
      <c r="X500" s="250" t="str">
        <f ca="1">IFERROR(BDP(MO.Ticker.Bloomberg&amp;" Equity","INTERVAL_HIGH","MARKET_DATA_OVERRIDE=PX_LAST","START_DATE_OVERRIDE",TEXT(INDEX(MO_SNA_FPStartDate,0,COLUMN()),"YYYYMMDD"),"END_DATE_OVERRIDE",TEXT(INDEX(MO_Common_QEndDate,0,COLUMN()),"YYYYMMDD")),"N/A")</f>
        <v>N/A</v>
      </c>
      <c r="Y500" s="250" t="str">
        <f ca="1">IFERROR(BDP(MO.Ticker.Bloomberg&amp;" Equity","INTERVAL_HIGH","MARKET_DATA_OVERRIDE=PX_LAST","START_DATE_OVERRIDE",TEXT(INDEX(MO_SNA_FPStartDate,0,COLUMN()),"YYYYMMDD"),"END_DATE_OVERRIDE",TEXT(INDEX(MO_Common_QEndDate,0,COLUMN()),"YYYYMMDD")),"N/A")</f>
        <v>N/A</v>
      </c>
      <c r="Z500" s="250" t="str">
        <f ca="1">IFERROR(BDP(MO.Ticker.Bloomberg&amp;" Equity","INTERVAL_HIGH","MARKET_DATA_OVERRIDE=PX_LAST","START_DATE_OVERRIDE",TEXT(INDEX(MO_SNA_FPStartDate,0,COLUMN()),"YYYYMMDD"),"END_DATE_OVERRIDE",TEXT(INDEX(MO_Common_QEndDate,0,COLUMN()),"YYYYMMDD")),"N/A")</f>
        <v>N/A</v>
      </c>
      <c r="AA500" s="250" t="str">
        <f ca="1">IFERROR(BDP(MO.Ticker.Bloomberg&amp;" Equity","INTERVAL_HIGH","MARKET_DATA_OVERRIDE=PX_LAST","START_DATE_OVERRIDE",TEXT(INDEX(MO_SNA_FPStartDate,0,COLUMN()),"YYYYMMDD"),"END_DATE_OVERRIDE",TEXT(INDEX(MO_Common_QEndDate,0,COLUMN()),"YYYYMMDD")),"N/A")</f>
        <v>N/A</v>
      </c>
      <c r="AB500" s="250" t="str">
        <f ca="1">IFERROR(BDP(MO.Ticker.Bloomberg&amp;" Equity","INTERVAL_HIGH","MARKET_DATA_OVERRIDE=PX_LAST","START_DATE_OVERRIDE",TEXT(INDEX(MO_SNA_FPStartDate,0,COLUMN()),"YYYYMMDD"),"END_DATE_OVERRIDE",TEXT(INDEX(MO_Common_QEndDate,0,COLUMN()),"YYYYMMDD")),"N/A")</f>
        <v>N/A</v>
      </c>
      <c r="AC500" s="250" t="str">
        <f ca="1">IFERROR(BDP(MO.Ticker.Bloomberg&amp;" Equity","INTERVAL_HIGH","MARKET_DATA_OVERRIDE=PX_LAST","START_DATE_OVERRIDE",TEXT(INDEX(MO_SNA_FPStartDate,0,COLUMN()),"YYYYMMDD"),"END_DATE_OVERRIDE",TEXT(INDEX(MO_Common_QEndDate,0,COLUMN()),"YYYYMMDD")),"N/A")</f>
        <v>N/A</v>
      </c>
      <c r="AD500" s="250" t="str">
        <f ca="1">IFERROR(BDP(MO.Ticker.Bloomberg&amp;" Equity","INTERVAL_HIGH","MARKET_DATA_OVERRIDE=PX_LAST","START_DATE_OVERRIDE",TEXT(INDEX(MO_SNA_FPStartDate,0,COLUMN()),"YYYYMMDD"),"END_DATE_OVERRIDE",TEXT(INDEX(MO_Common_QEndDate,0,COLUMN()),"YYYYMMDD")),"N/A")</f>
        <v>N/A</v>
      </c>
      <c r="AE500" s="250" t="str">
        <f ca="1">IFERROR(BDP(MO.Ticker.Bloomberg&amp;" Equity","INTERVAL_HIGH","MARKET_DATA_OVERRIDE=PX_LAST","START_DATE_OVERRIDE",TEXT(INDEX(MO_SNA_FPStartDate,0,COLUMN()),"YYYYMMDD"),"END_DATE_OVERRIDE",TEXT(INDEX(MO_Common_QEndDate,0,COLUMN()),"YYYYMMDD")),"N/A")</f>
        <v>N/A</v>
      </c>
      <c r="AF500" s="250" t="str">
        <f ca="1">IFERROR(BDP(MO.Ticker.Bloomberg&amp;" Equity","INTERVAL_HIGH","MARKET_DATA_OVERRIDE=PX_LAST","START_DATE_OVERRIDE",TEXT(INDEX(MO_SNA_FPStartDate,0,COLUMN()),"YYYYMMDD"),"END_DATE_OVERRIDE",TEXT(INDEX(MO_Common_QEndDate,0,COLUMN()),"YYYYMMDD")),"N/A")</f>
        <v>N/A</v>
      </c>
      <c r="AG500" s="250" t="str">
        <f ca="1">IFERROR(BDP(MO.Ticker.Bloomberg&amp;" Equity","INTERVAL_HIGH","MARKET_DATA_OVERRIDE=PX_LAST","START_DATE_OVERRIDE",TEXT(INDEX(MO_SNA_FPStartDate,0,COLUMN()),"YYYYMMDD"),"END_DATE_OVERRIDE",TEXT(INDEX(MO_Common_QEndDate,0,COLUMN()),"YYYYMMDD")),"N/A")</f>
        <v>N/A</v>
      </c>
      <c r="AH500" s="250" t="str">
        <f ca="1">IFERROR(BDP(MO.Ticker.Bloomberg&amp;" Equity","INTERVAL_HIGH","MARKET_DATA_OVERRIDE=PX_LAST","START_DATE_OVERRIDE",TEXT(INDEX(MO_SNA_FPStartDate,0,COLUMN()),"YYYYMMDD"),"END_DATE_OVERRIDE",TEXT(INDEX(MO_Common_QEndDate,0,COLUMN()),"YYYYMMDD")),"N/A")</f>
        <v>N/A</v>
      </c>
      <c r="AI500" s="277" t="str">
        <f ca="1">IFERROR(BDP(MO.Ticker.Bloomberg&amp;" Equity","INTERVAL_HIGH","MARKET_DATA_OVERRIDE=PX_LAST","START_DATE_OVERRIDE",TEXT(INDEX(MO_SNA_FPStartDate,0,COLUMN()),"YYYYMMDD"),"END_DATE_OVERRIDE",TEXT(INDEX(MO_Common_QEndDate,0,COLUMN()),"YYYYMMDD")),"N/A")</f>
        <v>N/A</v>
      </c>
      <c r="AJ500" s="277" t="str">
        <f ca="1">IFERROR(BDP(MO.Ticker.Bloomberg&amp;" Equity","INTERVAL_HIGH","MARKET_DATA_OVERRIDE=PX_LAST","START_DATE_OVERRIDE",TEXT(INDEX(MO_SNA_FPStartDate,0,COLUMN()),"YYYYMMDD"),"END_DATE_OVERRIDE",TEXT(INDEX(MO_Common_QEndDate,0,COLUMN()),"YYYYMMDD")),"N/A")</f>
        <v>N/A</v>
      </c>
      <c r="AK500" s="277" t="str">
        <f ca="1">IFERROR(BDP(MO.Ticker.Bloomberg&amp;" Equity","INTERVAL_HIGH","MARKET_DATA_OVERRIDE=PX_LAST","START_DATE_OVERRIDE",TEXT(INDEX(MO_SNA_FPStartDate,0,COLUMN()),"YYYYMMDD"),"END_DATE_OVERRIDE",TEXT(INDEX(MO_Common_QEndDate,0,COLUMN()),"YYYYMMDD")),"N/A")</f>
        <v>N/A</v>
      </c>
      <c r="AL500" s="277" t="str">
        <f ca="1">IFERROR(BDP(MO.Ticker.Bloomberg&amp;" Equity","INTERVAL_HIGH","MARKET_DATA_OVERRIDE=PX_LAST","START_DATE_OVERRIDE",TEXT(INDEX(MO_SNA_FPStartDate,0,COLUMN()),"YYYYMMDD"),"END_DATE_OVERRIDE",TEXT(INDEX(MO_Common_QEndDate,0,COLUMN()),"YYYYMMDD")),"N/A")</f>
        <v>N/A</v>
      </c>
      <c r="AM500" s="277" t="str">
        <f ca="1">IFERROR(BDP(MO.Ticker.Bloomberg&amp;" Equity","INTERVAL_HIGH","MARKET_DATA_OVERRIDE=PX_LAST","START_DATE_OVERRIDE",TEXT(INDEX(MO_SNA_FPStartDate,0,COLUMN()),"YYYYMMDD"),"END_DATE_OVERRIDE",TEXT(INDEX(MO_Common_QEndDate,0,COLUMN()),"YYYYMMDD")),"N/A")</f>
        <v>N/A</v>
      </c>
      <c r="AN500" s="277" t="str">
        <f ca="1">IFERROR(BDP(MO.Ticker.Bloomberg&amp;" Equity","INTERVAL_HIGH","MARKET_DATA_OVERRIDE=PX_LAST","START_DATE_OVERRIDE",TEXT(INDEX(MO_SNA_FPStartDate,0,COLUMN()),"YYYYMMDD"),"END_DATE_OVERRIDE",TEXT(INDEX(MO_Common_QEndDate,0,COLUMN()),"YYYYMMDD")),"N/A")</f>
        <v>N/A</v>
      </c>
      <c r="AO500" s="277" t="str">
        <f ca="1">IFERROR(BDP(MO.Ticker.Bloomberg&amp;" Equity","INTERVAL_HIGH","MARKET_DATA_OVERRIDE=PX_LAST","START_DATE_OVERRIDE",TEXT(INDEX(MO_SNA_FPStartDate,0,COLUMN()),"YYYYMMDD"),"END_DATE_OVERRIDE",TEXT(INDEX(MO_Common_QEndDate,0,COLUMN()),"YYYYMMDD")),"N/A")</f>
        <v>N/A</v>
      </c>
      <c r="AP500" s="277" t="str">
        <f ca="1">IFERROR(BDP(MO.Ticker.Bloomberg&amp;" Equity","INTERVAL_HIGH","MARKET_DATA_OVERRIDE=PX_LAST","START_DATE_OVERRIDE",TEXT(INDEX(MO_SNA_FPStartDate,0,COLUMN()),"YYYYMMDD"),"END_DATE_OVERRIDE",TEXT(INDEX(MO_Common_QEndDate,0,COLUMN()),"YYYYMMDD")),"N/A")</f>
        <v>N/A</v>
      </c>
      <c r="AQ500" s="268" t="str">
        <f ca="1">IFERROR(BDP(MO.Ticker.Bloomberg&amp;" Equity","INTERVAL_HIGH","MARKET_DATA_OVERRIDE=PX_LAST","START_DATE_OVERRIDE",TEXT(INDEX(MO_SNA_FPStartDate,0,COLUMN()),"YYYYMMDD"),"END_DATE_OVERRIDE",TEXT(INDEX(MO_Common_QEndDate,0,COLUMN()),"YYYYMMDD")),"N/A")</f>
        <v>N/A</v>
      </c>
      <c r="AR500" s="250" t="str">
        <f ca="1">IFERROR(BDP(MO.Ticker.Bloomberg&amp;" Equity","INTERVAL_HIGH","MARKET_DATA_OVERRIDE=PX_LAST","START_DATE_OVERRIDE",TEXT(INDEX(MO_SNA_FPStartDate,0,COLUMN()),"YYYYMMDD"),"END_DATE_OVERRIDE",TEXT(INDEX(MO_Common_QEndDate,0,COLUMN()),"YYYYMMDD")),"N/A")</f>
        <v>N/A</v>
      </c>
      <c r="AS500" s="250" t="str">
        <f ca="1">IFERROR(BDP(MO.Ticker.Bloomberg&amp;" Equity","INTERVAL_HIGH","MARKET_DATA_OVERRIDE=PX_LAST","START_DATE_OVERRIDE",TEXT(INDEX(MO_SNA_FPStartDate,0,COLUMN()),"YYYYMMDD"),"END_DATE_OVERRIDE",TEXT(INDEX(MO_Common_QEndDate,0,COLUMN()),"YYYYMMDD")),"N/A")</f>
        <v>N/A</v>
      </c>
      <c r="AT500" s="250" t="str">
        <f ca="1">IFERROR(BDP(MO.Ticker.Bloomberg&amp;" Equity","INTERVAL_HIGH","MARKET_DATA_OVERRIDE=PX_LAST","START_DATE_OVERRIDE",TEXT(INDEX(MO_SNA_FPStartDate,0,COLUMN()),"YYYYMMDD"),"END_DATE_OVERRIDE",TEXT(INDEX(MO_Common_QEndDate,0,COLUMN()),"YYYYMMDD")),"N/A")</f>
        <v>N/A</v>
      </c>
      <c r="AU500" s="250" t="str">
        <f ca="1">IFERROR(BDP(MO.Ticker.Bloomberg&amp;" Equity","INTERVAL_HIGH","MARKET_DATA_OVERRIDE=PX_LAST","START_DATE_OVERRIDE",TEXT(INDEX(MO_SNA_FPStartDate,0,COLUMN()),"YYYYMMDD"),"END_DATE_OVERRIDE",TEXT(INDEX(MO_Common_QEndDate,0,COLUMN()),"YYYYMMDD")),"N/A")</f>
        <v>N/A</v>
      </c>
      <c r="AV500" s="250" t="str">
        <f ca="1">IFERROR(BDP(MO.Ticker.Bloomberg&amp;" Equity","INTERVAL_HIGH","MARKET_DATA_OVERRIDE=PX_LAST","START_DATE_OVERRIDE",TEXT(INDEX(MO_SNA_FPStartDate,0,COLUMN()),"YYYYMMDD"),"END_DATE_OVERRIDE",TEXT(INDEX(MO_Common_QEndDate,0,COLUMN()),"YYYYMMDD")),"N/A")</f>
        <v>N/A</v>
      </c>
      <c r="AW500" s="250" t="str">
        <f ca="1">IFERROR(BDP(MO.Ticker.Bloomberg&amp;" Equity","INTERVAL_HIGH","MARKET_DATA_OVERRIDE=PX_LAST","START_DATE_OVERRIDE",TEXT(INDEX(MO_SNA_FPStartDate,0,COLUMN()),"YYYYMMDD"),"END_DATE_OVERRIDE",TEXT(INDEX(MO_Common_QEndDate,0,COLUMN()),"YYYYMMDD")),"N/A")</f>
        <v>N/A</v>
      </c>
      <c r="AX500" s="250" t="str">
        <f ca="1">IFERROR(BDP(MO.Ticker.Bloomberg&amp;" Equity","INTERVAL_HIGH","MARKET_DATA_OVERRIDE=PX_LAST","START_DATE_OVERRIDE",TEXT(INDEX(MO_SNA_FPStartDate,0,COLUMN()),"YYYYMMDD"),"END_DATE_OVERRIDE",TEXT(INDEX(MO_Common_QEndDate,0,COLUMN()),"YYYYMMDD")),"N/A")</f>
        <v>N/A</v>
      </c>
      <c r="AY500" s="250" t="str">
        <f ca="1">IFERROR(BDP(MO.Ticker.Bloomberg&amp;" Equity","INTERVAL_HIGH","MARKET_DATA_OVERRIDE=PX_LAST","START_DATE_OVERRIDE",TEXT(INDEX(MO_SNA_FPStartDate,0,COLUMN()),"YYYYMMDD"),"END_DATE_OVERRIDE",TEXT(INDEX(MO_Common_QEndDate,0,COLUMN()),"YYYYMMDD")),"N/A")</f>
        <v>N/A</v>
      </c>
      <c r="AZ500" s="250" t="str">
        <f ca="1">IFERROR(BDP(MO.Ticker.Bloomberg&amp;" Equity","INTERVAL_HIGH","MARKET_DATA_OVERRIDE=PX_LAST","START_DATE_OVERRIDE",TEXT(INDEX(MO_SNA_FPStartDate,0,COLUMN()),"YYYYMMDD"),"END_DATE_OVERRIDE",TEXT(INDEX(MO_Common_QEndDate,0,COLUMN()),"YYYYMMDD")),"N/A")</f>
        <v>N/A</v>
      </c>
      <c r="BA500" s="250" t="str">
        <f ca="1">IFERROR(BDP(MO.Ticker.Bloomberg&amp;" Equity","INTERVAL_HIGH","MARKET_DATA_OVERRIDE=PX_LAST","START_DATE_OVERRIDE",TEXT(INDEX(MO_SNA_FPStartDate,0,COLUMN()),"YYYYMMDD"),"END_DATE_OVERRIDE",TEXT(INDEX(MO_Common_QEndDate,0,COLUMN()),"YYYYMMDD")),"N/A")</f>
        <v>N/A</v>
      </c>
      <c r="BB500" s="252" t="str">
        <f ca="1">IFERROR(BDP(MO.Ticker.Bloomberg&amp;" Equity","INTERVAL_HIGH","MARKET_DATA_OVERRIDE=PX_LAST","START_DATE_OVERRIDE",TEXT(INDEX(MO_SNA_FPStartDate,0,COLUMN()),"YYYYMMDD"),"END_DATE_OVERRIDE",TEXT(INDEX(MO_Common_QEndDate,0,COLUMN()),"YYYYMMDD")),"N/A")</f>
        <v>N/A</v>
      </c>
      <c r="BC500" s="253"/>
    </row>
    <row r="501" spans="1:55" s="254" customFormat="1" hidden="1" outlineLevel="1">
      <c r="A501" s="255" t="s">
        <v>274</v>
      </c>
      <c r="B501" s="250"/>
      <c r="C501" s="251" t="str">
        <f ca="1">IFERROR(CIQHI(MO.Ticker.CapIQ,"IQ_LASTSALEPRICE",INDEX(MO_SNA_FPStartDate,0,COLUMN()),INDEX(MO_Common_QEndDate,0,COLUMN())),"N/A")</f>
        <v>N/A</v>
      </c>
      <c r="D501" s="251" t="str">
        <f ca="1">IFERROR(CIQHI(MO.Ticker.CapIQ,"IQ_LASTSALEPRICE",INDEX(MO_SNA_FPStartDate,0,COLUMN()),INDEX(MO_Common_QEndDate,0,COLUMN())),"N/A")</f>
        <v>N/A</v>
      </c>
      <c r="E501" s="250" t="str">
        <f ca="1">IFERROR(CIQHI(MO.Ticker.CapIQ,"IQ_LASTSALEPRICE",INDEX(MO_SNA_FPStartDate,0,COLUMN()),INDEX(MO_Common_QEndDate,0,COLUMN())),"N/A")</f>
        <v>N/A</v>
      </c>
      <c r="F501" s="250" t="str">
        <f ca="1">IFERROR(CIQHI(MO.Ticker.CapIQ,"IQ_LASTSALEPRICE",INDEX(MO_SNA_FPStartDate,0,COLUMN()),INDEX(MO_Common_QEndDate,0,COLUMN())),"N/A")</f>
        <v>N/A</v>
      </c>
      <c r="G501" s="250" t="str">
        <f ca="1">IFERROR(CIQHI(MO.Ticker.CapIQ,"IQ_LASTSALEPRICE",INDEX(MO_SNA_FPStartDate,0,COLUMN()),INDEX(MO_Common_QEndDate,0,COLUMN())),"N/A")</f>
        <v>N/A</v>
      </c>
      <c r="H501" s="250" t="str">
        <f ca="1">IFERROR(CIQHI(MO.Ticker.CapIQ,"IQ_LASTSALEPRICE",INDEX(MO_SNA_FPStartDate,0,COLUMN()),INDEX(MO_Common_QEndDate,0,COLUMN())),"N/A")</f>
        <v>N/A</v>
      </c>
      <c r="I501" s="250" t="str">
        <f ca="1">IFERROR(CIQHI(MO.Ticker.CapIQ,"IQ_LASTSALEPRICE",INDEX(MO_SNA_FPStartDate,0,COLUMN()),INDEX(MO_Common_QEndDate,0,COLUMN())),"N/A")</f>
        <v>N/A</v>
      </c>
      <c r="J501" s="250" t="str">
        <f ca="1">IFERROR(CIQHI(MO.Ticker.CapIQ,"IQ_LASTSALEPRICE",INDEX(MO_SNA_FPStartDate,0,COLUMN()),INDEX(MO_Common_QEndDate,0,COLUMN())),"N/A")</f>
        <v>N/A</v>
      </c>
      <c r="K501" s="250" t="str">
        <f ca="1">IFERROR(CIQHI(MO.Ticker.CapIQ,"IQ_LASTSALEPRICE",INDEX(MO_SNA_FPStartDate,0,COLUMN()),INDEX(MO_Common_QEndDate,0,COLUMN())),"N/A")</f>
        <v>N/A</v>
      </c>
      <c r="L501" s="250" t="str">
        <f ca="1">IFERROR(CIQHI(MO.Ticker.CapIQ,"IQ_LASTSALEPRICE",INDEX(MO_SNA_FPStartDate,0,COLUMN()),INDEX(MO_Common_QEndDate,0,COLUMN())),"N/A")</f>
        <v>N/A</v>
      </c>
      <c r="M501" s="250" t="str">
        <f ca="1">IFERROR(CIQHI(MO.Ticker.CapIQ,"IQ_LASTSALEPRICE",INDEX(MO_SNA_FPStartDate,0,COLUMN()),INDEX(MO_Common_QEndDate,0,COLUMN())),"N/A")</f>
        <v>N/A</v>
      </c>
      <c r="N501" s="250" t="str">
        <f ca="1">IFERROR(CIQHI(MO.Ticker.CapIQ,"IQ_LASTSALEPRICE",INDEX(MO_SNA_FPStartDate,0,COLUMN()),INDEX(MO_Common_QEndDate,0,COLUMN())),"N/A")</f>
        <v>N/A</v>
      </c>
      <c r="O501" s="250" t="str">
        <f ca="1">IFERROR(CIQHI(MO.Ticker.CapIQ,"IQ_LASTSALEPRICE",INDEX(MO_SNA_FPStartDate,0,COLUMN()),INDEX(MO_Common_QEndDate,0,COLUMN())),"N/A")</f>
        <v>N/A</v>
      </c>
      <c r="P501" s="250" t="str">
        <f ca="1">IFERROR(CIQHI(MO.Ticker.CapIQ,"IQ_LASTSALEPRICE",INDEX(MO_SNA_FPStartDate,0,COLUMN()),INDEX(MO_Common_QEndDate,0,COLUMN())),"N/A")</f>
        <v>N/A</v>
      </c>
      <c r="Q501" s="250" t="str">
        <f ca="1">IFERROR(CIQHI(MO.Ticker.CapIQ,"IQ_LASTSALEPRICE",INDEX(MO_SNA_FPStartDate,0,COLUMN()),INDEX(MO_Common_QEndDate,0,COLUMN())),"N/A")</f>
        <v>N/A</v>
      </c>
      <c r="R501" s="250" t="str">
        <f ca="1">IFERROR(CIQHI(MO.Ticker.CapIQ,"IQ_LASTSALEPRICE",INDEX(MO_SNA_FPStartDate,0,COLUMN()),INDEX(MO_Common_QEndDate,0,COLUMN())),"N/A")</f>
        <v>N/A</v>
      </c>
      <c r="S501" s="250" t="str">
        <f ca="1">IFERROR(CIQHI(MO.Ticker.CapIQ,"IQ_LASTSALEPRICE",INDEX(MO_SNA_FPStartDate,0,COLUMN()),INDEX(MO_Common_QEndDate,0,COLUMN())),"N/A")</f>
        <v>N/A</v>
      </c>
      <c r="T501" s="250" t="str">
        <f ca="1">IFERROR(CIQHI(MO.Ticker.CapIQ,"IQ_LASTSALEPRICE",INDEX(MO_SNA_FPStartDate,0,COLUMN()),INDEX(MO_Common_QEndDate,0,COLUMN())),"N/A")</f>
        <v>N/A</v>
      </c>
      <c r="U501" s="250" t="str">
        <f ca="1">IFERROR(CIQHI(MO.Ticker.CapIQ,"IQ_LASTSALEPRICE",INDEX(MO_SNA_FPStartDate,0,COLUMN()),INDEX(MO_Common_QEndDate,0,COLUMN())),"N/A")</f>
        <v>N/A</v>
      </c>
      <c r="V501" s="250" t="str">
        <f ca="1">IFERROR(CIQHI(MO.Ticker.CapIQ,"IQ_LASTSALEPRICE",INDEX(MO_SNA_FPStartDate,0,COLUMN()),INDEX(MO_Common_QEndDate,0,COLUMN())),"N/A")</f>
        <v>N/A</v>
      </c>
      <c r="W501" s="250" t="str">
        <f ca="1">IFERROR(CIQHI(MO.Ticker.CapIQ,"IQ_LASTSALEPRICE",INDEX(MO_SNA_FPStartDate,0,COLUMN()),INDEX(MO_Common_QEndDate,0,COLUMN())),"N/A")</f>
        <v>N/A</v>
      </c>
      <c r="X501" s="250" t="str">
        <f ca="1">IFERROR(CIQHI(MO.Ticker.CapIQ,"IQ_LASTSALEPRICE",INDEX(MO_SNA_FPStartDate,0,COLUMN()),INDEX(MO_Common_QEndDate,0,COLUMN())),"N/A")</f>
        <v>N/A</v>
      </c>
      <c r="Y501" s="250" t="str">
        <f ca="1">IFERROR(CIQHI(MO.Ticker.CapIQ,"IQ_LASTSALEPRICE",INDEX(MO_SNA_FPStartDate,0,COLUMN()),INDEX(MO_Common_QEndDate,0,COLUMN())),"N/A")</f>
        <v>N/A</v>
      </c>
      <c r="Z501" s="250" t="str">
        <f ca="1">IFERROR(CIQHI(MO.Ticker.CapIQ,"IQ_LASTSALEPRICE",INDEX(MO_SNA_FPStartDate,0,COLUMN()),INDEX(MO_Common_QEndDate,0,COLUMN())),"N/A")</f>
        <v>N/A</v>
      </c>
      <c r="AA501" s="250" t="str">
        <f ca="1">IFERROR(CIQHI(MO.Ticker.CapIQ,"IQ_LASTSALEPRICE",INDEX(MO_SNA_FPStartDate,0,COLUMN()),INDEX(MO_Common_QEndDate,0,COLUMN())),"N/A")</f>
        <v>N/A</v>
      </c>
      <c r="AB501" s="250" t="str">
        <f ca="1">IFERROR(CIQHI(MO.Ticker.CapIQ,"IQ_LASTSALEPRICE",INDEX(MO_SNA_FPStartDate,0,COLUMN()),INDEX(MO_Common_QEndDate,0,COLUMN())),"N/A")</f>
        <v>N/A</v>
      </c>
      <c r="AC501" s="250" t="str">
        <f ca="1">IFERROR(CIQHI(MO.Ticker.CapIQ,"IQ_LASTSALEPRICE",INDEX(MO_SNA_FPStartDate,0,COLUMN()),INDEX(MO_Common_QEndDate,0,COLUMN())),"N/A")</f>
        <v>N/A</v>
      </c>
      <c r="AD501" s="250" t="str">
        <f ca="1">IFERROR(CIQHI(MO.Ticker.CapIQ,"IQ_LASTSALEPRICE",INDEX(MO_SNA_FPStartDate,0,COLUMN()),INDEX(MO_Common_QEndDate,0,COLUMN())),"N/A")</f>
        <v>N/A</v>
      </c>
      <c r="AE501" s="250" t="str">
        <f ca="1">IFERROR(CIQHI(MO.Ticker.CapIQ,"IQ_LASTSALEPRICE",INDEX(MO_SNA_FPStartDate,0,COLUMN()),INDEX(MO_Common_QEndDate,0,COLUMN())),"N/A")</f>
        <v>N/A</v>
      </c>
      <c r="AF501" s="250" t="str">
        <f ca="1">IFERROR(CIQHI(MO.Ticker.CapIQ,"IQ_LASTSALEPRICE",INDEX(MO_SNA_FPStartDate,0,COLUMN()),INDEX(MO_Common_QEndDate,0,COLUMN())),"N/A")</f>
        <v>N/A</v>
      </c>
      <c r="AG501" s="250" t="str">
        <f ca="1">IFERROR(CIQHI(MO.Ticker.CapIQ,"IQ_LASTSALEPRICE",INDEX(MO_SNA_FPStartDate,0,COLUMN()),INDEX(MO_Common_QEndDate,0,COLUMN())),"N/A")</f>
        <v>N/A</v>
      </c>
      <c r="AH501" s="250" t="str">
        <f ca="1">IFERROR(CIQHI(MO.Ticker.CapIQ,"IQ_LASTSALEPRICE",INDEX(MO_SNA_FPStartDate,0,COLUMN()),INDEX(MO_Common_QEndDate,0,COLUMN())),"N/A")</f>
        <v>N/A</v>
      </c>
      <c r="AI501" s="277" t="str">
        <f ca="1">IFERROR(CIQHI(MO.Ticker.CapIQ,"IQ_LASTSALEPRICE",INDEX(MO_SNA_FPStartDate,0,COLUMN()),INDEX(MO_Common_QEndDate,0,COLUMN())),"N/A")</f>
        <v>N/A</v>
      </c>
      <c r="AJ501" s="277" t="str">
        <f ca="1">IFERROR(CIQHI(MO.Ticker.CapIQ,"IQ_LASTSALEPRICE",INDEX(MO_SNA_FPStartDate,0,COLUMN()),INDEX(MO_Common_QEndDate,0,COLUMN())),"N/A")</f>
        <v>N/A</v>
      </c>
      <c r="AK501" s="277" t="str">
        <f ca="1">IFERROR(CIQHI(MO.Ticker.CapIQ,"IQ_LASTSALEPRICE",INDEX(MO_SNA_FPStartDate,0,COLUMN()),INDEX(MO_Common_QEndDate,0,COLUMN())),"N/A")</f>
        <v>N/A</v>
      </c>
      <c r="AL501" s="277" t="str">
        <f ca="1">IFERROR(CIQHI(MO.Ticker.CapIQ,"IQ_LASTSALEPRICE",INDEX(MO_SNA_FPStartDate,0,COLUMN()),INDEX(MO_Common_QEndDate,0,COLUMN())),"N/A")</f>
        <v>N/A</v>
      </c>
      <c r="AM501" s="277" t="str">
        <f ca="1">IFERROR(CIQHI(MO.Ticker.CapIQ,"IQ_LASTSALEPRICE",INDEX(MO_SNA_FPStartDate,0,COLUMN()),INDEX(MO_Common_QEndDate,0,COLUMN())),"N/A")</f>
        <v>N/A</v>
      </c>
      <c r="AN501" s="277" t="str">
        <f ca="1">IFERROR(CIQHI(MO.Ticker.CapIQ,"IQ_LASTSALEPRICE",INDEX(MO_SNA_FPStartDate,0,COLUMN()),INDEX(MO_Common_QEndDate,0,COLUMN())),"N/A")</f>
        <v>N/A</v>
      </c>
      <c r="AO501" s="277" t="str">
        <f ca="1">IFERROR(CIQHI(MO.Ticker.CapIQ,"IQ_LASTSALEPRICE",INDEX(MO_SNA_FPStartDate,0,COLUMN()),INDEX(MO_Common_QEndDate,0,COLUMN())),"N/A")</f>
        <v>N/A</v>
      </c>
      <c r="AP501" s="277" t="str">
        <f ca="1">IFERROR(CIQHI(MO.Ticker.CapIQ,"IQ_LASTSALEPRICE",INDEX(MO_SNA_FPStartDate,0,COLUMN()),INDEX(MO_Common_QEndDate,0,COLUMN())),"N/A")</f>
        <v>N/A</v>
      </c>
      <c r="AQ501" s="268" t="str">
        <f ca="1">IFERROR(CIQHI(MO.Ticker.CapIQ,"IQ_LASTSALEPRICE",INDEX(MO_SNA_FPStartDate,0,COLUMN()),INDEX(MO_Common_QEndDate,0,COLUMN())),"N/A")</f>
        <v>N/A</v>
      </c>
      <c r="AR501" s="250" t="str">
        <f ca="1">IFERROR(CIQHI(MO.Ticker.CapIQ,"IQ_LASTSALEPRICE",INDEX(MO_SNA_FPStartDate,0,COLUMN()),INDEX(MO_Common_QEndDate,0,COLUMN())),"N/A")</f>
        <v>N/A</v>
      </c>
      <c r="AS501" s="250" t="str">
        <f ca="1">IFERROR(CIQHI(MO.Ticker.CapIQ,"IQ_LASTSALEPRICE",INDEX(MO_SNA_FPStartDate,0,COLUMN()),INDEX(MO_Common_QEndDate,0,COLUMN())),"N/A")</f>
        <v>N/A</v>
      </c>
      <c r="AT501" s="250" t="str">
        <f ca="1">IFERROR(CIQHI(MO.Ticker.CapIQ,"IQ_LASTSALEPRICE",INDEX(MO_SNA_FPStartDate,0,COLUMN()),INDEX(MO_Common_QEndDate,0,COLUMN())),"N/A")</f>
        <v>N/A</v>
      </c>
      <c r="AU501" s="250" t="str">
        <f ca="1">IFERROR(CIQHI(MO.Ticker.CapIQ,"IQ_LASTSALEPRICE",INDEX(MO_SNA_FPStartDate,0,COLUMN()),INDEX(MO_Common_QEndDate,0,COLUMN())),"N/A")</f>
        <v>N/A</v>
      </c>
      <c r="AV501" s="250" t="str">
        <f ca="1">IFERROR(CIQHI(MO.Ticker.CapIQ,"IQ_LASTSALEPRICE",INDEX(MO_SNA_FPStartDate,0,COLUMN()),INDEX(MO_Common_QEndDate,0,COLUMN())),"N/A")</f>
        <v>N/A</v>
      </c>
      <c r="AW501" s="250" t="str">
        <f ca="1">IFERROR(CIQHI(MO.Ticker.CapIQ,"IQ_LASTSALEPRICE",INDEX(MO_SNA_FPStartDate,0,COLUMN()),INDEX(MO_Common_QEndDate,0,COLUMN())),"N/A")</f>
        <v>N/A</v>
      </c>
      <c r="AX501" s="250" t="str">
        <f ca="1">IFERROR(CIQHI(MO.Ticker.CapIQ,"IQ_LASTSALEPRICE",INDEX(MO_SNA_FPStartDate,0,COLUMN()),INDEX(MO_Common_QEndDate,0,COLUMN())),"N/A")</f>
        <v>N/A</v>
      </c>
      <c r="AY501" s="250" t="str">
        <f ca="1">IFERROR(CIQHI(MO.Ticker.CapIQ,"IQ_LASTSALEPRICE",INDEX(MO_SNA_FPStartDate,0,COLUMN()),INDEX(MO_Common_QEndDate,0,COLUMN())),"N/A")</f>
        <v>N/A</v>
      </c>
      <c r="AZ501" s="250" t="str">
        <f ca="1">IFERROR(CIQHI(MO.Ticker.CapIQ,"IQ_LASTSALEPRICE",INDEX(MO_SNA_FPStartDate,0,COLUMN()),INDEX(MO_Common_QEndDate,0,COLUMN())),"N/A")</f>
        <v>N/A</v>
      </c>
      <c r="BA501" s="250" t="str">
        <f ca="1">IFERROR(CIQHI(MO.Ticker.CapIQ,"IQ_LASTSALEPRICE",INDEX(MO_SNA_FPStartDate,0,COLUMN()),INDEX(MO_Common_QEndDate,0,COLUMN())),"N/A")</f>
        <v>N/A</v>
      </c>
      <c r="BB501" s="252" t="str">
        <f ca="1">IFERROR(CIQHI(MO.Ticker.CapIQ,"IQ_LASTSALEPRICE",INDEX(MO_SNA_FPStartDate,0,COLUMN()),INDEX(MO_Common_QEndDate,0,COLUMN())),"N/A")</f>
        <v>N/A</v>
      </c>
      <c r="BC501" s="253"/>
    </row>
    <row r="502" spans="1:55" s="254" customFormat="1" hidden="1" outlineLevel="1">
      <c r="A502" s="255" t="s">
        <v>275</v>
      </c>
      <c r="B502" s="250"/>
      <c r="C502" s="251" t="str">
        <f ca="1">IFERROR(FDS(MO.Ticker.FactSet,"P_PRICE_HIGH"&amp;"("&amp;INDEX(MO_SNA_FPStartDate,0,COLUMN())&amp;","&amp;INDEX(MO_Common_QEndDate,0,COLUMN())&amp;",,,,""PRICE"",""CLOSE"")"),"N/A")</f>
        <v>N/A</v>
      </c>
      <c r="D502" s="251" t="str">
        <f ca="1">IFERROR(FDS(MO.Ticker.FactSet,"P_PRICE_HIGH"&amp;"("&amp;INDEX(MO_SNA_FPStartDate,0,COLUMN())&amp;","&amp;INDEX(MO_Common_QEndDate,0,COLUMN())&amp;",,,,""PRICE"",""CLOSE"")"),"N/A")</f>
        <v>N/A</v>
      </c>
      <c r="E502" s="250" t="str">
        <f ca="1">IFERROR(FDS(MO.Ticker.FactSet,"P_PRICE_HIGH"&amp;"("&amp;INDEX(MO_SNA_FPStartDate,0,COLUMN())&amp;","&amp;INDEX(MO_Common_QEndDate,0,COLUMN())&amp;",,,,""PRICE"",""CLOSE"")"),"N/A")</f>
        <v>N/A</v>
      </c>
      <c r="F502" s="250" t="str">
        <f ca="1">IFERROR(FDS(MO.Ticker.FactSet,"P_PRICE_HIGH"&amp;"("&amp;INDEX(MO_SNA_FPStartDate,0,COLUMN())&amp;","&amp;INDEX(MO_Common_QEndDate,0,COLUMN())&amp;",,,,""PRICE"",""CLOSE"")"),"N/A")</f>
        <v>N/A</v>
      </c>
      <c r="G502" s="250" t="str">
        <f ca="1">IFERROR(FDS(MO.Ticker.FactSet,"P_PRICE_HIGH"&amp;"("&amp;INDEX(MO_SNA_FPStartDate,0,COLUMN())&amp;","&amp;INDEX(MO_Common_QEndDate,0,COLUMN())&amp;",,,,""PRICE"",""CLOSE"")"),"N/A")</f>
        <v>N/A</v>
      </c>
      <c r="H502" s="250" t="str">
        <f ca="1">IFERROR(FDS(MO.Ticker.FactSet,"P_PRICE_HIGH"&amp;"("&amp;INDEX(MO_SNA_FPStartDate,0,COLUMN())&amp;","&amp;INDEX(MO_Common_QEndDate,0,COLUMN())&amp;",,,,""PRICE"",""CLOSE"")"),"N/A")</f>
        <v>N/A</v>
      </c>
      <c r="I502" s="250" t="str">
        <f ca="1">IFERROR(FDS(MO.Ticker.FactSet,"P_PRICE_HIGH"&amp;"("&amp;INDEX(MO_SNA_FPStartDate,0,COLUMN())&amp;","&amp;INDEX(MO_Common_QEndDate,0,COLUMN())&amp;",,,,""PRICE"",""CLOSE"")"),"N/A")</f>
        <v>N/A</v>
      </c>
      <c r="J502" s="250" t="str">
        <f ca="1">IFERROR(FDS(MO.Ticker.FactSet,"P_PRICE_HIGH"&amp;"("&amp;INDEX(MO_SNA_FPStartDate,0,COLUMN())&amp;","&amp;INDEX(MO_Common_QEndDate,0,COLUMN())&amp;",,,,""PRICE"",""CLOSE"")"),"N/A")</f>
        <v>N/A</v>
      </c>
      <c r="K502" s="250" t="str">
        <f ca="1">IFERROR(FDS(MO.Ticker.FactSet,"P_PRICE_HIGH"&amp;"("&amp;INDEX(MO_SNA_FPStartDate,0,COLUMN())&amp;","&amp;INDEX(MO_Common_QEndDate,0,COLUMN())&amp;",,,,""PRICE"",""CLOSE"")"),"N/A")</f>
        <v>N/A</v>
      </c>
      <c r="L502" s="250" t="str">
        <f ca="1">IFERROR(FDS(MO.Ticker.FactSet,"P_PRICE_HIGH"&amp;"("&amp;INDEX(MO_SNA_FPStartDate,0,COLUMN())&amp;","&amp;INDEX(MO_Common_QEndDate,0,COLUMN())&amp;",,,,""PRICE"",""CLOSE"")"),"N/A")</f>
        <v>N/A</v>
      </c>
      <c r="M502" s="250" t="str">
        <f ca="1">IFERROR(FDS(MO.Ticker.FactSet,"P_PRICE_HIGH"&amp;"("&amp;INDEX(MO_SNA_FPStartDate,0,COLUMN())&amp;","&amp;INDEX(MO_Common_QEndDate,0,COLUMN())&amp;",,,,""PRICE"",""CLOSE"")"),"N/A")</f>
        <v>N/A</v>
      </c>
      <c r="N502" s="250" t="str">
        <f ca="1">IFERROR(FDS(MO.Ticker.FactSet,"P_PRICE_HIGH"&amp;"("&amp;INDEX(MO_SNA_FPStartDate,0,COLUMN())&amp;","&amp;INDEX(MO_Common_QEndDate,0,COLUMN())&amp;",,,,""PRICE"",""CLOSE"")"),"N/A")</f>
        <v>N/A</v>
      </c>
      <c r="O502" s="250" t="str">
        <f ca="1">IFERROR(FDS(MO.Ticker.FactSet,"P_PRICE_HIGH"&amp;"("&amp;INDEX(MO_SNA_FPStartDate,0,COLUMN())&amp;","&amp;INDEX(MO_Common_QEndDate,0,COLUMN())&amp;",,,,""PRICE"",""CLOSE"")"),"N/A")</f>
        <v>N/A</v>
      </c>
      <c r="P502" s="250" t="str">
        <f ca="1">IFERROR(FDS(MO.Ticker.FactSet,"P_PRICE_HIGH"&amp;"("&amp;INDEX(MO_SNA_FPStartDate,0,COLUMN())&amp;","&amp;INDEX(MO_Common_QEndDate,0,COLUMN())&amp;",,,,""PRICE"",""CLOSE"")"),"N/A")</f>
        <v>N/A</v>
      </c>
      <c r="Q502" s="250" t="str">
        <f ca="1">IFERROR(FDS(MO.Ticker.FactSet,"P_PRICE_HIGH"&amp;"("&amp;INDEX(MO_SNA_FPStartDate,0,COLUMN())&amp;","&amp;INDEX(MO_Common_QEndDate,0,COLUMN())&amp;",,,,""PRICE"",""CLOSE"")"),"N/A")</f>
        <v>N/A</v>
      </c>
      <c r="R502" s="250" t="str">
        <f ca="1">IFERROR(FDS(MO.Ticker.FactSet,"P_PRICE_HIGH"&amp;"("&amp;INDEX(MO_SNA_FPStartDate,0,COLUMN())&amp;","&amp;INDEX(MO_Common_QEndDate,0,COLUMN())&amp;",,,,""PRICE"",""CLOSE"")"),"N/A")</f>
        <v>N/A</v>
      </c>
      <c r="S502" s="250" t="str">
        <f ca="1">IFERROR(FDS(MO.Ticker.FactSet,"P_PRICE_HIGH"&amp;"("&amp;INDEX(MO_SNA_FPStartDate,0,COLUMN())&amp;","&amp;INDEX(MO_Common_QEndDate,0,COLUMN())&amp;",,,,""PRICE"",""CLOSE"")"),"N/A")</f>
        <v>N/A</v>
      </c>
      <c r="T502" s="250" t="str">
        <f ca="1">IFERROR(FDS(MO.Ticker.FactSet,"P_PRICE_HIGH"&amp;"("&amp;INDEX(MO_SNA_FPStartDate,0,COLUMN())&amp;","&amp;INDEX(MO_Common_QEndDate,0,COLUMN())&amp;",,,,""PRICE"",""CLOSE"")"),"N/A")</f>
        <v>N/A</v>
      </c>
      <c r="U502" s="250" t="str">
        <f ca="1">IFERROR(FDS(MO.Ticker.FactSet,"P_PRICE_HIGH"&amp;"("&amp;INDEX(MO_SNA_FPStartDate,0,COLUMN())&amp;","&amp;INDEX(MO_Common_QEndDate,0,COLUMN())&amp;",,,,""PRICE"",""CLOSE"")"),"N/A")</f>
        <v>N/A</v>
      </c>
      <c r="V502" s="250" t="str">
        <f ca="1">IFERROR(FDS(MO.Ticker.FactSet,"P_PRICE_HIGH"&amp;"("&amp;INDEX(MO_SNA_FPStartDate,0,COLUMN())&amp;","&amp;INDEX(MO_Common_QEndDate,0,COLUMN())&amp;",,,,""PRICE"",""CLOSE"")"),"N/A")</f>
        <v>N/A</v>
      </c>
      <c r="W502" s="250" t="str">
        <f ca="1">IFERROR(FDS(MO.Ticker.FactSet,"P_PRICE_HIGH"&amp;"("&amp;INDEX(MO_SNA_FPStartDate,0,COLUMN())&amp;","&amp;INDEX(MO_Common_QEndDate,0,COLUMN())&amp;",,,,""PRICE"",""CLOSE"")"),"N/A")</f>
        <v>N/A</v>
      </c>
      <c r="X502" s="250" t="str">
        <f ca="1">IFERROR(FDS(MO.Ticker.FactSet,"P_PRICE_HIGH"&amp;"("&amp;INDEX(MO_SNA_FPStartDate,0,COLUMN())&amp;","&amp;INDEX(MO_Common_QEndDate,0,COLUMN())&amp;",,,,""PRICE"",""CLOSE"")"),"N/A")</f>
        <v>N/A</v>
      </c>
      <c r="Y502" s="250" t="str">
        <f ca="1">IFERROR(FDS(MO.Ticker.FactSet,"P_PRICE_HIGH"&amp;"("&amp;INDEX(MO_SNA_FPStartDate,0,COLUMN())&amp;","&amp;INDEX(MO_Common_QEndDate,0,COLUMN())&amp;",,,,""PRICE"",""CLOSE"")"),"N/A")</f>
        <v>N/A</v>
      </c>
      <c r="Z502" s="250" t="str">
        <f ca="1">IFERROR(FDS(MO.Ticker.FactSet,"P_PRICE_HIGH"&amp;"("&amp;INDEX(MO_SNA_FPStartDate,0,COLUMN())&amp;","&amp;INDEX(MO_Common_QEndDate,0,COLUMN())&amp;",,,,""PRICE"",""CLOSE"")"),"N/A")</f>
        <v>N/A</v>
      </c>
      <c r="AA502" s="250" t="str">
        <f ca="1">IFERROR(FDS(MO.Ticker.FactSet,"P_PRICE_HIGH"&amp;"("&amp;INDEX(MO_SNA_FPStartDate,0,COLUMN())&amp;","&amp;INDEX(MO_Common_QEndDate,0,COLUMN())&amp;",,,,""PRICE"",""CLOSE"")"),"N/A")</f>
        <v>N/A</v>
      </c>
      <c r="AB502" s="250" t="str">
        <f ca="1">IFERROR(FDS(MO.Ticker.FactSet,"P_PRICE_HIGH"&amp;"("&amp;INDEX(MO_SNA_FPStartDate,0,COLUMN())&amp;","&amp;INDEX(MO_Common_QEndDate,0,COLUMN())&amp;",,,,""PRICE"",""CLOSE"")"),"N/A")</f>
        <v>N/A</v>
      </c>
      <c r="AC502" s="250" t="str">
        <f ca="1">IFERROR(FDS(MO.Ticker.FactSet,"P_PRICE_HIGH"&amp;"("&amp;INDEX(MO_SNA_FPStartDate,0,COLUMN())&amp;","&amp;INDEX(MO_Common_QEndDate,0,COLUMN())&amp;",,,,""PRICE"",""CLOSE"")"),"N/A")</f>
        <v>N/A</v>
      </c>
      <c r="AD502" s="250" t="str">
        <f ca="1">IFERROR(FDS(MO.Ticker.FactSet,"P_PRICE_HIGH"&amp;"("&amp;INDEX(MO_SNA_FPStartDate,0,COLUMN())&amp;","&amp;INDEX(MO_Common_QEndDate,0,COLUMN())&amp;",,,,""PRICE"",""CLOSE"")"),"N/A")</f>
        <v>N/A</v>
      </c>
      <c r="AE502" s="250" t="str">
        <f ca="1">IFERROR(FDS(MO.Ticker.FactSet,"P_PRICE_HIGH"&amp;"("&amp;INDEX(MO_SNA_FPStartDate,0,COLUMN())&amp;","&amp;INDEX(MO_Common_QEndDate,0,COLUMN())&amp;",,,,""PRICE"",""CLOSE"")"),"N/A")</f>
        <v>N/A</v>
      </c>
      <c r="AF502" s="250" t="str">
        <f ca="1">IFERROR(FDS(MO.Ticker.FactSet,"P_PRICE_HIGH"&amp;"("&amp;INDEX(MO_SNA_FPStartDate,0,COLUMN())&amp;","&amp;INDEX(MO_Common_QEndDate,0,COLUMN())&amp;",,,,""PRICE"",""CLOSE"")"),"N/A")</f>
        <v>N/A</v>
      </c>
      <c r="AG502" s="250" t="str">
        <f ca="1">IFERROR(FDS(MO.Ticker.FactSet,"P_PRICE_HIGH"&amp;"("&amp;INDEX(MO_SNA_FPStartDate,0,COLUMN())&amp;","&amp;INDEX(MO_Common_QEndDate,0,COLUMN())&amp;",,,,""PRICE"",""CLOSE"")"),"N/A")</f>
        <v>N/A</v>
      </c>
      <c r="AH502" s="250" t="str">
        <f ca="1">IFERROR(FDS(MO.Ticker.FactSet,"P_PRICE_HIGH"&amp;"("&amp;INDEX(MO_SNA_FPStartDate,0,COLUMN())&amp;","&amp;INDEX(MO_Common_QEndDate,0,COLUMN())&amp;",,,,""PRICE"",""CLOSE"")"),"N/A")</f>
        <v>N/A</v>
      </c>
      <c r="AI502" s="277" t="str">
        <f ca="1">IFERROR(FDS(MO.Ticker.FactSet,"P_PRICE_HIGH"&amp;"("&amp;INDEX(MO_SNA_FPStartDate,0,COLUMN())&amp;","&amp;INDEX(MO_Common_QEndDate,0,COLUMN())&amp;",,,,""PRICE"",""CLOSE"")"),"N/A")</f>
        <v>N/A</v>
      </c>
      <c r="AJ502" s="277" t="str">
        <f ca="1">IFERROR(FDS(MO.Ticker.FactSet,"P_PRICE_HIGH"&amp;"("&amp;INDEX(MO_SNA_FPStartDate,0,COLUMN())&amp;","&amp;INDEX(MO_Common_QEndDate,0,COLUMN())&amp;",,,,""PRICE"",""CLOSE"")"),"N/A")</f>
        <v>N/A</v>
      </c>
      <c r="AK502" s="277" t="str">
        <f ca="1">IFERROR(FDS(MO.Ticker.FactSet,"P_PRICE_HIGH"&amp;"("&amp;INDEX(MO_SNA_FPStartDate,0,COLUMN())&amp;","&amp;INDEX(MO_Common_QEndDate,0,COLUMN())&amp;",,,,""PRICE"",""CLOSE"")"),"N/A")</f>
        <v>N/A</v>
      </c>
      <c r="AL502" s="277" t="str">
        <f ca="1">IFERROR(FDS(MO.Ticker.FactSet,"P_PRICE_HIGH"&amp;"("&amp;INDEX(MO_SNA_FPStartDate,0,COLUMN())&amp;","&amp;INDEX(MO_Common_QEndDate,0,COLUMN())&amp;",,,,""PRICE"",""CLOSE"")"),"N/A")</f>
        <v>N/A</v>
      </c>
      <c r="AM502" s="277" t="str">
        <f ca="1">IFERROR(FDS(MO.Ticker.FactSet,"P_PRICE_HIGH"&amp;"("&amp;INDEX(MO_SNA_FPStartDate,0,COLUMN())&amp;","&amp;INDEX(MO_Common_QEndDate,0,COLUMN())&amp;",,,,""PRICE"",""CLOSE"")"),"N/A")</f>
        <v>N/A</v>
      </c>
      <c r="AN502" s="277" t="str">
        <f ca="1">IFERROR(FDS(MO.Ticker.FactSet,"P_PRICE_HIGH"&amp;"("&amp;INDEX(MO_SNA_FPStartDate,0,COLUMN())&amp;","&amp;INDEX(MO_Common_QEndDate,0,COLUMN())&amp;",,,,""PRICE"",""CLOSE"")"),"N/A")</f>
        <v>N/A</v>
      </c>
      <c r="AO502" s="277" t="str">
        <f ca="1">IFERROR(FDS(MO.Ticker.FactSet,"P_PRICE_HIGH"&amp;"("&amp;INDEX(MO_SNA_FPStartDate,0,COLUMN())&amp;","&amp;INDEX(MO_Common_QEndDate,0,COLUMN())&amp;",,,,""PRICE"",""CLOSE"")"),"N/A")</f>
        <v>N/A</v>
      </c>
      <c r="AP502" s="277" t="str">
        <f ca="1">IFERROR(FDS(MO.Ticker.FactSet,"P_PRICE_HIGH"&amp;"("&amp;INDEX(MO_SNA_FPStartDate,0,COLUMN())&amp;","&amp;INDEX(MO_Common_QEndDate,0,COLUMN())&amp;",,,,""PRICE"",""CLOSE"")"),"N/A")</f>
        <v>N/A</v>
      </c>
      <c r="AQ502" s="268" t="str">
        <f ca="1">IFERROR(FDS(MO.Ticker.FactSet,"P_PRICE_HIGH"&amp;"("&amp;INDEX(MO_SNA_FPStartDate,0,COLUMN())&amp;","&amp;INDEX(MO_Common_QEndDate,0,COLUMN())&amp;",,,,""PRICE"",""CLOSE"")"),"N/A")</f>
        <v>N/A</v>
      </c>
      <c r="AR502" s="250" t="str">
        <f ca="1">IFERROR(FDS(MO.Ticker.FactSet,"P_PRICE_HIGH"&amp;"("&amp;INDEX(MO_SNA_FPStartDate,0,COLUMN())&amp;","&amp;INDEX(MO_Common_QEndDate,0,COLUMN())&amp;",,,,""PRICE"",""CLOSE"")"),"N/A")</f>
        <v>N/A</v>
      </c>
      <c r="AS502" s="250" t="str">
        <f ca="1">IFERROR(FDS(MO.Ticker.FactSet,"P_PRICE_HIGH"&amp;"("&amp;INDEX(MO_SNA_FPStartDate,0,COLUMN())&amp;","&amp;INDEX(MO_Common_QEndDate,0,COLUMN())&amp;",,,,""PRICE"",""CLOSE"")"),"N/A")</f>
        <v>N/A</v>
      </c>
      <c r="AT502" s="250" t="str">
        <f ca="1">IFERROR(FDS(MO.Ticker.FactSet,"P_PRICE_HIGH"&amp;"("&amp;INDEX(MO_SNA_FPStartDate,0,COLUMN())&amp;","&amp;INDEX(MO_Common_QEndDate,0,COLUMN())&amp;",,,,""PRICE"",""CLOSE"")"),"N/A")</f>
        <v>N/A</v>
      </c>
      <c r="AU502" s="250" t="str">
        <f ca="1">IFERROR(FDS(MO.Ticker.FactSet,"P_PRICE_HIGH"&amp;"("&amp;INDEX(MO_SNA_FPStartDate,0,COLUMN())&amp;","&amp;INDEX(MO_Common_QEndDate,0,COLUMN())&amp;",,,,""PRICE"",""CLOSE"")"),"N/A")</f>
        <v>N/A</v>
      </c>
      <c r="AV502" s="250" t="str">
        <f ca="1">IFERROR(FDS(MO.Ticker.FactSet,"P_PRICE_HIGH"&amp;"("&amp;INDEX(MO_SNA_FPStartDate,0,COLUMN())&amp;","&amp;INDEX(MO_Common_QEndDate,0,COLUMN())&amp;",,,,""PRICE"",""CLOSE"")"),"N/A")</f>
        <v>N/A</v>
      </c>
      <c r="AW502" s="250" t="str">
        <f ca="1">IFERROR(FDS(MO.Ticker.FactSet,"P_PRICE_HIGH"&amp;"("&amp;INDEX(MO_SNA_FPStartDate,0,COLUMN())&amp;","&amp;INDEX(MO_Common_QEndDate,0,COLUMN())&amp;",,,,""PRICE"",""CLOSE"")"),"N/A")</f>
        <v>N/A</v>
      </c>
      <c r="AX502" s="250" t="str">
        <f ca="1">IFERROR(FDS(MO.Ticker.FactSet,"P_PRICE_HIGH"&amp;"("&amp;INDEX(MO_SNA_FPStartDate,0,COLUMN())&amp;","&amp;INDEX(MO_Common_QEndDate,0,COLUMN())&amp;",,,,""PRICE"",""CLOSE"")"),"N/A")</f>
        <v>N/A</v>
      </c>
      <c r="AY502" s="250" t="str">
        <f ca="1">IFERROR(FDS(MO.Ticker.FactSet,"P_PRICE_HIGH"&amp;"("&amp;INDEX(MO_SNA_FPStartDate,0,COLUMN())&amp;","&amp;INDEX(MO_Common_QEndDate,0,COLUMN())&amp;",,,,""PRICE"",""CLOSE"")"),"N/A")</f>
        <v>N/A</v>
      </c>
      <c r="AZ502" s="250" t="str">
        <f ca="1">IFERROR(FDS(MO.Ticker.FactSet,"P_PRICE_HIGH"&amp;"("&amp;INDEX(MO_SNA_FPStartDate,0,COLUMN())&amp;","&amp;INDEX(MO_Common_QEndDate,0,COLUMN())&amp;",,,,""PRICE"",""CLOSE"")"),"N/A")</f>
        <v>N/A</v>
      </c>
      <c r="BA502" s="250" t="str">
        <f ca="1">IFERROR(FDS(MO.Ticker.FactSet,"P_PRICE_HIGH"&amp;"("&amp;INDEX(MO_SNA_FPStartDate,0,COLUMN())&amp;","&amp;INDEX(MO_Common_QEndDate,0,COLUMN())&amp;",,,,""PRICE"",""CLOSE"")"),"N/A")</f>
        <v>N/A</v>
      </c>
      <c r="BB502" s="252" t="str">
        <f ca="1">IFERROR(FDS(MO.Ticker.FactSet,"P_PRICE_HIGH"&amp;"("&amp;INDEX(MO_SNA_FPStartDate,0,COLUMN())&amp;","&amp;INDEX(MO_Common_QEndDate,0,COLUMN())&amp;",,,,""PRICE"",""CLOSE"")"),"N/A")</f>
        <v>N/A</v>
      </c>
      <c r="BC502" s="253"/>
    </row>
    <row r="503" spans="1:55" s="254" customFormat="1" hidden="1" outlineLevel="1">
      <c r="A503" s="255" t="s">
        <v>292</v>
      </c>
      <c r="B503" s="250"/>
      <c r="C503" s="251" t="str">
        <f ca="1">IFERROR(_xll.TR(MO.Ticker.Thomson,"MAX(TR.Pricehigh)","sdate:#1 edate:#2",,INDEX(MO_SNA_FPStartDate,0,COLUMN()),INDEX(MO_Common_QEndDate,0,COLUMN())),"N/A")</f>
        <v>N/A</v>
      </c>
      <c r="D503" s="251" t="str">
        <f ca="1">IFERROR(_xll.TR(MO.Ticker.Thomson,"MAX(TR.Pricehigh)","sdate:#1 edate:#2",,INDEX(MO_SNA_FPStartDate,0,COLUMN()),INDEX(MO_Common_QEndDate,0,COLUMN())),"N/A")</f>
        <v>N/A</v>
      </c>
      <c r="E503" s="250" t="str">
        <f ca="1">IFERROR(_xll.TR(MO.Ticker.Thomson,"MAX(TR.Pricehigh)","sdate:#1 edate:#2",,INDEX(MO_SNA_FPStartDate,0,COLUMN()),INDEX(MO_Common_QEndDate,0,COLUMN())),"N/A")</f>
        <v>N/A</v>
      </c>
      <c r="F503" s="250" t="str">
        <f ca="1">IFERROR(_xll.TR(MO.Ticker.Thomson,"MAX(TR.Pricehigh)","sdate:#1 edate:#2",,INDEX(MO_SNA_FPStartDate,0,COLUMN()),INDEX(MO_Common_QEndDate,0,COLUMN())),"N/A")</f>
        <v>N/A</v>
      </c>
      <c r="G503" s="250" t="str">
        <f ca="1">IFERROR(_xll.TR(MO.Ticker.Thomson,"MAX(TR.Pricehigh)","sdate:#1 edate:#2",,INDEX(MO_SNA_FPStartDate,0,COLUMN()),INDEX(MO_Common_QEndDate,0,COLUMN())),"N/A")</f>
        <v>N/A</v>
      </c>
      <c r="H503" s="250" t="str">
        <f ca="1">IFERROR(_xll.TR(MO.Ticker.Thomson,"MAX(TR.Pricehigh)","sdate:#1 edate:#2",,INDEX(MO_SNA_FPStartDate,0,COLUMN()),INDEX(MO_Common_QEndDate,0,COLUMN())),"N/A")</f>
        <v>N/A</v>
      </c>
      <c r="I503" s="250" t="str">
        <f ca="1">IFERROR(_xll.TR(MO.Ticker.Thomson,"MAX(TR.Pricehigh)","sdate:#1 edate:#2",,INDEX(MO_SNA_FPStartDate,0,COLUMN()),INDEX(MO_Common_QEndDate,0,COLUMN())),"N/A")</f>
        <v>N/A</v>
      </c>
      <c r="J503" s="250" t="str">
        <f ca="1">IFERROR(_xll.TR(MO.Ticker.Thomson,"MAX(TR.Pricehigh)","sdate:#1 edate:#2",,INDEX(MO_SNA_FPStartDate,0,COLUMN()),INDEX(MO_Common_QEndDate,0,COLUMN())),"N/A")</f>
        <v>N/A</v>
      </c>
      <c r="K503" s="250" t="str">
        <f ca="1">IFERROR(_xll.TR(MO.Ticker.Thomson,"MAX(TR.Pricehigh)","sdate:#1 edate:#2",,INDEX(MO_SNA_FPStartDate,0,COLUMN()),INDEX(MO_Common_QEndDate,0,COLUMN())),"N/A")</f>
        <v>N/A</v>
      </c>
      <c r="L503" s="250" t="str">
        <f ca="1">IFERROR(_xll.TR(MO.Ticker.Thomson,"MAX(TR.Pricehigh)","sdate:#1 edate:#2",,INDEX(MO_SNA_FPStartDate,0,COLUMN()),INDEX(MO_Common_QEndDate,0,COLUMN())),"N/A")</f>
        <v>N/A</v>
      </c>
      <c r="M503" s="250" t="str">
        <f ca="1">IFERROR(_xll.TR(MO.Ticker.Thomson,"MAX(TR.Pricehigh)","sdate:#1 edate:#2",,INDEX(MO_SNA_FPStartDate,0,COLUMN()),INDEX(MO_Common_QEndDate,0,COLUMN())),"N/A")</f>
        <v>N/A</v>
      </c>
      <c r="N503" s="250" t="str">
        <f ca="1">IFERROR(_xll.TR(MO.Ticker.Thomson,"MAX(TR.Pricehigh)","sdate:#1 edate:#2",,INDEX(MO_SNA_FPStartDate,0,COLUMN()),INDEX(MO_Common_QEndDate,0,COLUMN())),"N/A")</f>
        <v>N/A</v>
      </c>
      <c r="O503" s="250" t="str">
        <f ca="1">IFERROR(_xll.TR(MO.Ticker.Thomson,"MAX(TR.Pricehigh)","sdate:#1 edate:#2",,INDEX(MO_SNA_FPStartDate,0,COLUMN()),INDEX(MO_Common_QEndDate,0,COLUMN())),"N/A")</f>
        <v>N/A</v>
      </c>
      <c r="P503" s="250" t="str">
        <f ca="1">IFERROR(_xll.TR(MO.Ticker.Thomson,"MAX(TR.Pricehigh)","sdate:#1 edate:#2",,INDEX(MO_SNA_FPStartDate,0,COLUMN()),INDEX(MO_Common_QEndDate,0,COLUMN())),"N/A")</f>
        <v>N/A</v>
      </c>
      <c r="Q503" s="250" t="str">
        <f ca="1">IFERROR(_xll.TR(MO.Ticker.Thomson,"MAX(TR.Pricehigh)","sdate:#1 edate:#2",,INDEX(MO_SNA_FPStartDate,0,COLUMN()),INDEX(MO_Common_QEndDate,0,COLUMN())),"N/A")</f>
        <v>N/A</v>
      </c>
      <c r="R503" s="250" t="str">
        <f ca="1">IFERROR(_xll.TR(MO.Ticker.Thomson,"MAX(TR.Pricehigh)","sdate:#1 edate:#2",,INDEX(MO_SNA_FPStartDate,0,COLUMN()),INDEX(MO_Common_QEndDate,0,COLUMN())),"N/A")</f>
        <v>N/A</v>
      </c>
      <c r="S503" s="250" t="str">
        <f ca="1">IFERROR(_xll.TR(MO.Ticker.Thomson,"MAX(TR.Pricehigh)","sdate:#1 edate:#2",,INDEX(MO_SNA_FPStartDate,0,COLUMN()),INDEX(MO_Common_QEndDate,0,COLUMN())),"N/A")</f>
        <v>N/A</v>
      </c>
      <c r="T503" s="250" t="str">
        <f ca="1">IFERROR(_xll.TR(MO.Ticker.Thomson,"MAX(TR.Pricehigh)","sdate:#1 edate:#2",,INDEX(MO_SNA_FPStartDate,0,COLUMN()),INDEX(MO_Common_QEndDate,0,COLUMN())),"N/A")</f>
        <v>N/A</v>
      </c>
      <c r="U503" s="250" t="str">
        <f ca="1">IFERROR(_xll.TR(MO.Ticker.Thomson,"MAX(TR.Pricehigh)","sdate:#1 edate:#2",,INDEX(MO_SNA_FPStartDate,0,COLUMN()),INDEX(MO_Common_QEndDate,0,COLUMN())),"N/A")</f>
        <v>N/A</v>
      </c>
      <c r="V503" s="250" t="str">
        <f ca="1">IFERROR(_xll.TR(MO.Ticker.Thomson,"MAX(TR.Pricehigh)","sdate:#1 edate:#2",,INDEX(MO_SNA_FPStartDate,0,COLUMN()),INDEX(MO_Common_QEndDate,0,COLUMN())),"N/A")</f>
        <v>N/A</v>
      </c>
      <c r="W503" s="250" t="str">
        <f ca="1">IFERROR(_xll.TR(MO.Ticker.Thomson,"MAX(TR.Pricehigh)","sdate:#1 edate:#2",,INDEX(MO_SNA_FPStartDate,0,COLUMN()),INDEX(MO_Common_QEndDate,0,COLUMN())),"N/A")</f>
        <v>N/A</v>
      </c>
      <c r="X503" s="250" t="str">
        <f ca="1">IFERROR(_xll.TR(MO.Ticker.Thomson,"MAX(TR.Pricehigh)","sdate:#1 edate:#2",,INDEX(MO_SNA_FPStartDate,0,COLUMN()),INDEX(MO_Common_QEndDate,0,COLUMN())),"N/A")</f>
        <v>N/A</v>
      </c>
      <c r="Y503" s="250" t="str">
        <f ca="1">IFERROR(_xll.TR(MO.Ticker.Thomson,"MAX(TR.Pricehigh)","sdate:#1 edate:#2",,INDEX(MO_SNA_FPStartDate,0,COLUMN()),INDEX(MO_Common_QEndDate,0,COLUMN())),"N/A")</f>
        <v>N/A</v>
      </c>
      <c r="Z503" s="250" t="str">
        <f ca="1">IFERROR(_xll.TR(MO.Ticker.Thomson,"MAX(TR.Pricehigh)","sdate:#1 edate:#2",,INDEX(MO_SNA_FPStartDate,0,COLUMN()),INDEX(MO_Common_QEndDate,0,COLUMN())),"N/A")</f>
        <v>N/A</v>
      </c>
      <c r="AA503" s="250" t="str">
        <f ca="1">IFERROR(_xll.TR(MO.Ticker.Thomson,"MAX(TR.Pricehigh)","sdate:#1 edate:#2",,INDEX(MO_SNA_FPStartDate,0,COLUMN()),INDEX(MO_Common_QEndDate,0,COLUMN())),"N/A")</f>
        <v>N/A</v>
      </c>
      <c r="AB503" s="250" t="str">
        <f ca="1">IFERROR(_xll.TR(MO.Ticker.Thomson,"MAX(TR.Pricehigh)","sdate:#1 edate:#2",,INDEX(MO_SNA_FPStartDate,0,COLUMN()),INDEX(MO_Common_QEndDate,0,COLUMN())),"N/A")</f>
        <v>N/A</v>
      </c>
      <c r="AC503" s="250" t="str">
        <f ca="1">IFERROR(_xll.TR(MO.Ticker.Thomson,"MAX(TR.Pricehigh)","sdate:#1 edate:#2",,INDEX(MO_SNA_FPStartDate,0,COLUMN()),INDEX(MO_Common_QEndDate,0,COLUMN())),"N/A")</f>
        <v>N/A</v>
      </c>
      <c r="AD503" s="250" t="str">
        <f ca="1">IFERROR(_xll.TR(MO.Ticker.Thomson,"MAX(TR.Pricehigh)","sdate:#1 edate:#2",,INDEX(MO_SNA_FPStartDate,0,COLUMN()),INDEX(MO_Common_QEndDate,0,COLUMN())),"N/A")</f>
        <v>N/A</v>
      </c>
      <c r="AE503" s="250" t="str">
        <f ca="1">IFERROR(_xll.TR(MO.Ticker.Thomson,"MAX(TR.Pricehigh)","sdate:#1 edate:#2",,INDEX(MO_SNA_FPStartDate,0,COLUMN()),INDEX(MO_Common_QEndDate,0,COLUMN())),"N/A")</f>
        <v>N/A</v>
      </c>
      <c r="AF503" s="250" t="str">
        <f ca="1">IFERROR(_xll.TR(MO.Ticker.Thomson,"MAX(TR.Pricehigh)","sdate:#1 edate:#2",,INDEX(MO_SNA_FPStartDate,0,COLUMN()),INDEX(MO_Common_QEndDate,0,COLUMN())),"N/A")</f>
        <v>N/A</v>
      </c>
      <c r="AG503" s="250" t="str">
        <f ca="1">IFERROR(_xll.TR(MO.Ticker.Thomson,"MAX(TR.Pricehigh)","sdate:#1 edate:#2",,INDEX(MO_SNA_FPStartDate,0,COLUMN()),INDEX(MO_Common_QEndDate,0,COLUMN())),"N/A")</f>
        <v>N/A</v>
      </c>
      <c r="AH503" s="250" t="str">
        <f ca="1">IFERROR(_xll.TR(MO.Ticker.Thomson,"MAX(TR.Pricehigh)","sdate:#1 edate:#2",,INDEX(MO_SNA_FPStartDate,0,COLUMN()),INDEX(MO_Common_QEndDate,0,COLUMN())),"N/A")</f>
        <v>N/A</v>
      </c>
      <c r="AI503" s="277" t="str">
        <f ca="1">IFERROR(_xll.TR(MO.Ticker.Thomson,"MAX(TR.Pricehigh)","sdate:#1 edate:#2",,INDEX(MO_SNA_FPStartDate,0,COLUMN()),INDEX(MO_Common_QEndDate,0,COLUMN())),"N/A")</f>
        <v>N/A</v>
      </c>
      <c r="AJ503" s="277" t="str">
        <f ca="1">IFERROR(_xll.TR(MO.Ticker.Thomson,"MAX(TR.Pricehigh)","sdate:#1 edate:#2",,INDEX(MO_SNA_FPStartDate,0,COLUMN()),INDEX(MO_Common_QEndDate,0,COLUMN())),"N/A")</f>
        <v>N/A</v>
      </c>
      <c r="AK503" s="277" t="str">
        <f ca="1">IFERROR(_xll.TR(MO.Ticker.Thomson,"MAX(TR.Pricehigh)","sdate:#1 edate:#2",,INDEX(MO_SNA_FPStartDate,0,COLUMN()),INDEX(MO_Common_QEndDate,0,COLUMN())),"N/A")</f>
        <v>N/A</v>
      </c>
      <c r="AL503" s="277" t="str">
        <f ca="1">IFERROR(_xll.TR(MO.Ticker.Thomson,"MAX(TR.Pricehigh)","sdate:#1 edate:#2",,INDEX(MO_SNA_FPStartDate,0,COLUMN()),INDEX(MO_Common_QEndDate,0,COLUMN())),"N/A")</f>
        <v>N/A</v>
      </c>
      <c r="AM503" s="277" t="str">
        <f ca="1">IFERROR(_xll.TR(MO.Ticker.Thomson,"MAX(TR.Pricehigh)","sdate:#1 edate:#2",,INDEX(MO_SNA_FPStartDate,0,COLUMN()),INDEX(MO_Common_QEndDate,0,COLUMN())),"N/A")</f>
        <v>N/A</v>
      </c>
      <c r="AN503" s="277" t="str">
        <f ca="1">IFERROR(_xll.TR(MO.Ticker.Thomson,"MAX(TR.Pricehigh)","sdate:#1 edate:#2",,INDEX(MO_SNA_FPStartDate,0,COLUMN()),INDEX(MO_Common_QEndDate,0,COLUMN())),"N/A")</f>
        <v>N/A</v>
      </c>
      <c r="AO503" s="277" t="str">
        <f ca="1">IFERROR(_xll.TR(MO.Ticker.Thomson,"MAX(TR.Pricehigh)","sdate:#1 edate:#2",,INDEX(MO_SNA_FPStartDate,0,COLUMN()),INDEX(MO_Common_QEndDate,0,COLUMN())),"N/A")</f>
        <v>N/A</v>
      </c>
      <c r="AP503" s="277" t="str">
        <f ca="1">IFERROR(_xll.TR(MO.Ticker.Thomson,"MAX(TR.Pricehigh)","sdate:#1 edate:#2",,INDEX(MO_SNA_FPStartDate,0,COLUMN()),INDEX(MO_Common_QEndDate,0,COLUMN())),"N/A")</f>
        <v>N/A</v>
      </c>
      <c r="AQ503" s="268" t="str">
        <f ca="1">IFERROR(_xll.TR(MO.Ticker.Thomson,"MAX(TR.Pricehigh)","sdate:#1 edate:#2",,INDEX(MO_SNA_FPStartDate,0,COLUMN()),INDEX(MO_Common_QEndDate,0,COLUMN())),"N/A")</f>
        <v>N/A</v>
      </c>
      <c r="AR503" s="250" t="str">
        <f ca="1">IFERROR(_xll.TR(MO.Ticker.Thomson,"MAX(TR.Pricehigh)","sdate:#1 edate:#2",,INDEX(MO_SNA_FPStartDate,0,COLUMN()),INDEX(MO_Common_QEndDate,0,COLUMN())),"N/A")</f>
        <v>N/A</v>
      </c>
      <c r="AS503" s="250" t="str">
        <f ca="1">IFERROR(_xll.TR(MO.Ticker.Thomson,"MAX(TR.Pricehigh)","sdate:#1 edate:#2",,INDEX(MO_SNA_FPStartDate,0,COLUMN()),INDEX(MO_Common_QEndDate,0,COLUMN())),"N/A")</f>
        <v>N/A</v>
      </c>
      <c r="AT503" s="250" t="str">
        <f ca="1">IFERROR(_xll.TR(MO.Ticker.Thomson,"MAX(TR.Pricehigh)","sdate:#1 edate:#2",,INDEX(MO_SNA_FPStartDate,0,COLUMN()),INDEX(MO_Common_QEndDate,0,COLUMN())),"N/A")</f>
        <v>N/A</v>
      </c>
      <c r="AU503" s="250" t="str">
        <f ca="1">IFERROR(_xll.TR(MO.Ticker.Thomson,"MAX(TR.Pricehigh)","sdate:#1 edate:#2",,INDEX(MO_SNA_FPStartDate,0,COLUMN()),INDEX(MO_Common_QEndDate,0,COLUMN())),"N/A")</f>
        <v>N/A</v>
      </c>
      <c r="AV503" s="250" t="str">
        <f ca="1">IFERROR(_xll.TR(MO.Ticker.Thomson,"MAX(TR.Pricehigh)","sdate:#1 edate:#2",,INDEX(MO_SNA_FPStartDate,0,COLUMN()),INDEX(MO_Common_QEndDate,0,COLUMN())),"N/A")</f>
        <v>N/A</v>
      </c>
      <c r="AW503" s="250" t="str">
        <f ca="1">IFERROR(_xll.TR(MO.Ticker.Thomson,"MAX(TR.Pricehigh)","sdate:#1 edate:#2",,INDEX(MO_SNA_FPStartDate,0,COLUMN()),INDEX(MO_Common_QEndDate,0,COLUMN())),"N/A")</f>
        <v>N/A</v>
      </c>
      <c r="AX503" s="250" t="str">
        <f ca="1">IFERROR(_xll.TR(MO.Ticker.Thomson,"MAX(TR.Pricehigh)","sdate:#1 edate:#2",,INDEX(MO_SNA_FPStartDate,0,COLUMN()),INDEX(MO_Common_QEndDate,0,COLUMN())),"N/A")</f>
        <v>N/A</v>
      </c>
      <c r="AY503" s="250" t="str">
        <f ca="1">IFERROR(_xll.TR(MO.Ticker.Thomson,"MAX(TR.Pricehigh)","sdate:#1 edate:#2",,INDEX(MO_SNA_FPStartDate,0,COLUMN()),INDEX(MO_Common_QEndDate,0,COLUMN())),"N/A")</f>
        <v>N/A</v>
      </c>
      <c r="AZ503" s="250" t="str">
        <f ca="1">IFERROR(_xll.TR(MO.Ticker.Thomson,"MAX(TR.Pricehigh)","sdate:#1 edate:#2",,INDEX(MO_SNA_FPStartDate,0,COLUMN()),INDEX(MO_Common_QEndDate,0,COLUMN())),"N/A")</f>
        <v>N/A</v>
      </c>
      <c r="BA503" s="250" t="str">
        <f ca="1">IFERROR(_xll.TR(MO.Ticker.Thomson,"MAX(TR.Pricehigh)","sdate:#1 edate:#2",,INDEX(MO_SNA_FPStartDate,0,COLUMN()),INDEX(MO_Common_QEndDate,0,COLUMN())),"N/A")</f>
        <v>N/A</v>
      </c>
      <c r="BB503" s="252" t="str">
        <f ca="1">IFERROR(_xll.TR(MO.Ticker.Thomson,"MAX(TR.Pricehigh)","sdate:#1 edate:#2",,INDEX(MO_SNA_FPStartDate,0,COLUMN()),INDEX(MO_Common_QEndDate,0,COLUMN())),"N/A")</f>
        <v>N/A</v>
      </c>
      <c r="BC503" s="253"/>
    </row>
    <row r="504" spans="1:55" s="1" customFormat="1" hidden="1" outlineLevel="1">
      <c r="A504" s="213"/>
      <c r="B504" s="520"/>
      <c r="C504" s="93"/>
      <c r="D504" s="93"/>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15"/>
      <c r="AJ504" s="515"/>
      <c r="AK504" s="515"/>
      <c r="AL504" s="515"/>
      <c r="AM504" s="515"/>
      <c r="AN504" s="515"/>
      <c r="AO504" s="534"/>
      <c r="AP504" s="534"/>
      <c r="AQ504" s="535"/>
      <c r="AR504" s="516"/>
      <c r="AS504" s="516"/>
      <c r="AT504" s="516"/>
      <c r="AU504" s="516"/>
      <c r="AV504" s="516"/>
      <c r="AW504" s="516"/>
      <c r="AX504" s="516"/>
      <c r="AY504" s="516"/>
      <c r="AZ504" s="516"/>
      <c r="BA504" s="516"/>
      <c r="BB504" s="503"/>
      <c r="BC504" s="221"/>
    </row>
    <row r="505" spans="1:55" s="254" customFormat="1" collapsed="1">
      <c r="A505" s="249" t="str">
        <f ca="1">"Stock Low: "&amp;IF(OR(MO.RealTimeStockPriceToggle=FALSE,VLOOKUP(MO.DataSourceName,MO_SPT_StockLow_Sources,COLUMN()+2,FALSE)="N/A"),"Real-Time Off Source",MO.DataSourceName)</f>
        <v>Stock Low: Real-Time Off Source</v>
      </c>
      <c r="B505" s="250"/>
      <c r="C505" s="251">
        <f t="shared" ref="C505:AH505" ca="1" si="342">IF(OR(MO.RealTimeStockPriceToggle=FALSE,VLOOKUP(MO.DataSourceName,MO_SPT_StockLow_Sources,COLUMN(),FALSE)="N/A"),VLOOKUP("Real-Time Off Source",MO_SPT_StockLow_Sources,COLUMN(),FALSE),VLOOKUP(MO.DataSourceName,MO_SPT_StockLow_Sources,COLUMN(),FALSE))</f>
        <v>2.56008546274622</v>
      </c>
      <c r="D505" s="251">
        <f t="shared" ca="1" si="342"/>
        <v>2.9147692692264502</v>
      </c>
      <c r="E505" s="250">
        <f t="shared" ca="1" si="342"/>
        <v>8.8966461072290404</v>
      </c>
      <c r="F505" s="250">
        <f t="shared" ca="1" si="342"/>
        <v>9.4514089558680006</v>
      </c>
      <c r="G505" s="250">
        <f t="shared" ca="1" si="342"/>
        <v>12.482924249739099</v>
      </c>
      <c r="H505" s="250">
        <f t="shared" ca="1" si="342"/>
        <v>13.909356352</v>
      </c>
      <c r="I505" s="250">
        <f t="shared" ca="1" si="342"/>
        <v>21.1861320994783</v>
      </c>
      <c r="J505" s="250">
        <f t="shared" ca="1" si="342"/>
        <v>25.544309444173901</v>
      </c>
      <c r="K505" s="250">
        <f t="shared" ca="1" si="342"/>
        <v>14.3553628872</v>
      </c>
      <c r="L505" s="250">
        <f t="shared" ca="1" si="342"/>
        <v>24.071863403130401</v>
      </c>
      <c r="M505" s="250">
        <f t="shared" ca="1" si="342"/>
        <v>24.827806683130401</v>
      </c>
      <c r="N505" s="250">
        <f t="shared" ca="1" si="342"/>
        <v>24.3676672953044</v>
      </c>
      <c r="O505" s="250">
        <f t="shared" ca="1" si="342"/>
        <v>24.4005343944348</v>
      </c>
      <c r="P505" s="250">
        <f t="shared" ca="1" si="342"/>
        <v>27.682642913599999</v>
      </c>
      <c r="Q505" s="250">
        <f t="shared" ca="1" si="342"/>
        <v>33.536313043478302</v>
      </c>
      <c r="R505" s="250">
        <f t="shared" ca="1" si="342"/>
        <v>44.2588591304348</v>
      </c>
      <c r="S505" s="250">
        <f t="shared" ca="1" si="342"/>
        <v>25.513307826087001</v>
      </c>
      <c r="T505" s="250">
        <f t="shared" ca="1" si="342"/>
        <v>26.171179130434801</v>
      </c>
      <c r="U505" s="250">
        <f t="shared" ca="1" si="342"/>
        <v>29.340304</v>
      </c>
      <c r="V505" s="250">
        <f t="shared" ca="1" si="342"/>
        <v>18.921739130434801</v>
      </c>
      <c r="W505" s="250">
        <f t="shared" ca="1" si="342"/>
        <v>24.043478260869598</v>
      </c>
      <c r="X505" s="250">
        <f t="shared" ca="1" si="342"/>
        <v>24.3913043478261</v>
      </c>
      <c r="Y505" s="250">
        <f t="shared" ca="1" si="342"/>
        <v>26.747826086956501</v>
      </c>
      <c r="Z505" s="250">
        <f t="shared" ca="1" si="342"/>
        <v>18.921739130434801</v>
      </c>
      <c r="AA505" s="250">
        <f t="shared" ca="1" si="342"/>
        <v>25.0347826086957</v>
      </c>
      <c r="AB505" s="250">
        <f t="shared" ca="1" si="342"/>
        <v>25.852173913043501</v>
      </c>
      <c r="AC505" s="250">
        <f t="shared" ca="1" si="342"/>
        <v>21.852173913043501</v>
      </c>
      <c r="AD505" s="250">
        <f t="shared" ca="1" si="342"/>
        <v>26.2173913043478</v>
      </c>
      <c r="AE505" s="250">
        <f t="shared" ca="1" si="342"/>
        <v>21.852173913043501</v>
      </c>
      <c r="AF505" s="250">
        <f t="shared" ca="1" si="342"/>
        <v>30.098800000000001</v>
      </c>
      <c r="AG505" s="250">
        <f t="shared" ca="1" si="342"/>
        <v>28.601500000000001</v>
      </c>
      <c r="AH505" s="250">
        <f t="shared" ca="1" si="342"/>
        <v>30.741700000000002</v>
      </c>
      <c r="AI505" s="277">
        <f t="shared" ref="AI505:BB505" ca="1" si="343">IF(OR(MO.RealTimeStockPriceToggle=FALSE,VLOOKUP(MO.DataSourceName,MO_SPT_StockLow_Sources,COLUMN(),FALSE)="N/A"),VLOOKUP("Real-Time Off Source",MO_SPT_StockLow_Sources,COLUMN(),FALSE),VLOOKUP(MO.DataSourceName,MO_SPT_StockLow_Sources,COLUMN(),FALSE))</f>
        <v>28.46</v>
      </c>
      <c r="AJ505" s="277">
        <f t="shared" ca="1" si="343"/>
        <v>28.46</v>
      </c>
      <c r="AK505" s="277">
        <f t="shared" ca="1" si="343"/>
        <v>28.55</v>
      </c>
      <c r="AL505" s="277">
        <f t="shared" ca="1" si="343"/>
        <v>31.69</v>
      </c>
      <c r="AM505" s="277">
        <f t="shared" ca="1" si="343"/>
        <v>26.08</v>
      </c>
      <c r="AN505" s="277">
        <f t="shared" ca="1" si="343"/>
        <v>27.95</v>
      </c>
      <c r="AO505" s="277">
        <f t="shared" ca="1" si="343"/>
        <v>26.08</v>
      </c>
      <c r="AP505" s="277">
        <f t="shared" ca="1" si="343"/>
        <v>7.15</v>
      </c>
      <c r="AQ505" s="268">
        <f t="shared" ca="1" si="343"/>
        <v>7.14</v>
      </c>
      <c r="AR505" s="250">
        <f t="shared" ca="1" si="343"/>
        <v>0</v>
      </c>
      <c r="AS505" s="250">
        <f t="shared" ca="1" si="343"/>
        <v>0</v>
      </c>
      <c r="AT505" s="250">
        <f t="shared" ca="1" si="343"/>
        <v>0</v>
      </c>
      <c r="AU505" s="250">
        <f t="shared" ca="1" si="343"/>
        <v>0</v>
      </c>
      <c r="AV505" s="250">
        <f t="shared" ca="1" si="343"/>
        <v>0</v>
      </c>
      <c r="AW505" s="250">
        <f t="shared" ca="1" si="343"/>
        <v>0</v>
      </c>
      <c r="AX505" s="250">
        <f t="shared" ca="1" si="343"/>
        <v>0</v>
      </c>
      <c r="AY505" s="250">
        <f t="shared" ca="1" si="343"/>
        <v>0</v>
      </c>
      <c r="AZ505" s="250">
        <f t="shared" ca="1" si="343"/>
        <v>0</v>
      </c>
      <c r="BA505" s="250">
        <f t="shared" ca="1" si="343"/>
        <v>0</v>
      </c>
      <c r="BB505" s="252">
        <f t="shared" ca="1" si="343"/>
        <v>0</v>
      </c>
      <c r="BC505" s="253"/>
    </row>
    <row r="506" spans="1:55" s="254" customFormat="1" hidden="1" outlineLevel="1">
      <c r="A506" s="255" t="s">
        <v>383</v>
      </c>
      <c r="B506" s="250"/>
      <c r="C506" s="251">
        <v>2.56008546274622</v>
      </c>
      <c r="D506" s="251">
        <v>2.9147692692264502</v>
      </c>
      <c r="E506" s="250">
        <v>8.8966461072290404</v>
      </c>
      <c r="F506" s="250">
        <v>9.4514089558680006</v>
      </c>
      <c r="G506" s="250">
        <v>12.482924249739099</v>
      </c>
      <c r="H506" s="250">
        <v>13.909356352</v>
      </c>
      <c r="I506" s="250">
        <v>21.1861320994783</v>
      </c>
      <c r="J506" s="250">
        <v>25.544309444173901</v>
      </c>
      <c r="K506" s="250">
        <v>14.3553628872</v>
      </c>
      <c r="L506" s="250">
        <v>24.071863403130401</v>
      </c>
      <c r="M506" s="250">
        <v>24.827806683130401</v>
      </c>
      <c r="N506" s="250">
        <v>24.3676672953044</v>
      </c>
      <c r="O506" s="250">
        <v>24.4005343944348</v>
      </c>
      <c r="P506" s="250">
        <v>27.682642913599999</v>
      </c>
      <c r="Q506" s="250">
        <v>33.536313043478302</v>
      </c>
      <c r="R506" s="250">
        <v>44.2588591304348</v>
      </c>
      <c r="S506" s="250">
        <v>25.513307826087001</v>
      </c>
      <c r="T506" s="250">
        <v>26.171179130434801</v>
      </c>
      <c r="U506" s="250">
        <v>29.340304</v>
      </c>
      <c r="V506" s="250">
        <v>18.921739130434801</v>
      </c>
      <c r="W506" s="250">
        <v>24.043478260869598</v>
      </c>
      <c r="X506" s="250">
        <v>24.3913043478261</v>
      </c>
      <c r="Y506" s="250">
        <v>26.747826086956501</v>
      </c>
      <c r="Z506" s="250">
        <v>18.921739130434801</v>
      </c>
      <c r="AA506" s="250">
        <v>25.0347826086957</v>
      </c>
      <c r="AB506" s="250">
        <v>25.852173913043501</v>
      </c>
      <c r="AC506" s="250">
        <v>21.852173913043501</v>
      </c>
      <c r="AD506" s="250">
        <v>26.2173913043478</v>
      </c>
      <c r="AE506" s="250">
        <v>21.852173913043501</v>
      </c>
      <c r="AF506" s="250">
        <v>30.098800000000001</v>
      </c>
      <c r="AG506" s="250">
        <v>28.601500000000001</v>
      </c>
      <c r="AH506" s="250">
        <v>30.741700000000002</v>
      </c>
      <c r="AI506" s="277">
        <v>28.46</v>
      </c>
      <c r="AJ506" s="277">
        <v>28.46</v>
      </c>
      <c r="AK506" s="277">
        <v>28.55</v>
      </c>
      <c r="AL506" s="277">
        <v>31.69</v>
      </c>
      <c r="AM506" s="277">
        <v>26.08</v>
      </c>
      <c r="AN506" s="277">
        <v>27.95</v>
      </c>
      <c r="AO506" s="277">
        <v>26.08</v>
      </c>
      <c r="AP506" s="277">
        <v>7.15</v>
      </c>
      <c r="AQ506" s="268">
        <v>7.14</v>
      </c>
      <c r="AR506" s="223"/>
      <c r="AS506" s="223"/>
      <c r="AT506" s="223"/>
      <c r="AU506" s="223"/>
      <c r="AV506" s="223"/>
      <c r="AW506" s="223"/>
      <c r="AX506" s="223"/>
      <c r="AY506" s="223"/>
      <c r="AZ506" s="223"/>
      <c r="BA506" s="223"/>
      <c r="BB506" s="502"/>
      <c r="BC506" s="253"/>
    </row>
    <row r="507" spans="1:55" s="254" customFormat="1" hidden="1" outlineLevel="1">
      <c r="A507" s="255" t="s">
        <v>273</v>
      </c>
      <c r="B507" s="250"/>
      <c r="C507" s="251" t="str">
        <f ca="1">IFERROR(BDP(MO.Ticker.Bloomberg&amp;" Equity","INTERVAL_LOW","MARKET_DATA_OVERRIDE=PX_LAST","START_DATE_OVERRIDE",TEXT(INDEX(MO_SNA_FPStartDate,0,COLUMN()),"YYYYMMDD"),"END_DATE_OVERRIDE",TEXT(INDEX(MO_Common_QEndDate,0,COLUMN()),"YYYYMMDD")),"N/A")</f>
        <v>N/A</v>
      </c>
      <c r="D507" s="251" t="str">
        <f ca="1">IFERROR(BDP(MO.Ticker.Bloomberg&amp;" Equity","INTERVAL_LOW","MARKET_DATA_OVERRIDE=PX_LAST","START_DATE_OVERRIDE",TEXT(INDEX(MO_SNA_FPStartDate,0,COLUMN()),"YYYYMMDD"),"END_DATE_OVERRIDE",TEXT(INDEX(MO_Common_QEndDate,0,COLUMN()),"YYYYMMDD")),"N/A")</f>
        <v>N/A</v>
      </c>
      <c r="E507" s="250" t="str">
        <f ca="1">IFERROR(BDP(MO.Ticker.Bloomberg&amp;" Equity","INTERVAL_LOW","MARKET_DATA_OVERRIDE=PX_LAST","START_DATE_OVERRIDE",TEXT(INDEX(MO_SNA_FPStartDate,0,COLUMN()),"YYYYMMDD"),"END_DATE_OVERRIDE",TEXT(INDEX(MO_Common_QEndDate,0,COLUMN()),"YYYYMMDD")),"N/A")</f>
        <v>N/A</v>
      </c>
      <c r="F507" s="250" t="str">
        <f ca="1">IFERROR(BDP(MO.Ticker.Bloomberg&amp;" Equity","INTERVAL_LOW","MARKET_DATA_OVERRIDE=PX_LAST","START_DATE_OVERRIDE",TEXT(INDEX(MO_SNA_FPStartDate,0,COLUMN()),"YYYYMMDD"),"END_DATE_OVERRIDE",TEXT(INDEX(MO_Common_QEndDate,0,COLUMN()),"YYYYMMDD")),"N/A")</f>
        <v>N/A</v>
      </c>
      <c r="G507" s="250" t="str">
        <f ca="1">IFERROR(BDP(MO.Ticker.Bloomberg&amp;" Equity","INTERVAL_LOW","MARKET_DATA_OVERRIDE=PX_LAST","START_DATE_OVERRIDE",TEXT(INDEX(MO_SNA_FPStartDate,0,COLUMN()),"YYYYMMDD"),"END_DATE_OVERRIDE",TEXT(INDEX(MO_Common_QEndDate,0,COLUMN()),"YYYYMMDD")),"N/A")</f>
        <v>N/A</v>
      </c>
      <c r="H507" s="250" t="str">
        <f ca="1">IFERROR(BDP(MO.Ticker.Bloomberg&amp;" Equity","INTERVAL_LOW","MARKET_DATA_OVERRIDE=PX_LAST","START_DATE_OVERRIDE",TEXT(INDEX(MO_SNA_FPStartDate,0,COLUMN()),"YYYYMMDD"),"END_DATE_OVERRIDE",TEXT(INDEX(MO_Common_QEndDate,0,COLUMN()),"YYYYMMDD")),"N/A")</f>
        <v>N/A</v>
      </c>
      <c r="I507" s="250" t="str">
        <f ca="1">IFERROR(BDP(MO.Ticker.Bloomberg&amp;" Equity","INTERVAL_LOW","MARKET_DATA_OVERRIDE=PX_LAST","START_DATE_OVERRIDE",TEXT(INDEX(MO_SNA_FPStartDate,0,COLUMN()),"YYYYMMDD"),"END_DATE_OVERRIDE",TEXT(INDEX(MO_Common_QEndDate,0,COLUMN()),"YYYYMMDD")),"N/A")</f>
        <v>N/A</v>
      </c>
      <c r="J507" s="250" t="str">
        <f ca="1">IFERROR(BDP(MO.Ticker.Bloomberg&amp;" Equity","INTERVAL_LOW","MARKET_DATA_OVERRIDE=PX_LAST","START_DATE_OVERRIDE",TEXT(INDEX(MO_SNA_FPStartDate,0,COLUMN()),"YYYYMMDD"),"END_DATE_OVERRIDE",TEXT(INDEX(MO_Common_QEndDate,0,COLUMN()),"YYYYMMDD")),"N/A")</f>
        <v>N/A</v>
      </c>
      <c r="K507" s="250" t="str">
        <f ca="1">IFERROR(BDP(MO.Ticker.Bloomberg&amp;" Equity","INTERVAL_LOW","MARKET_DATA_OVERRIDE=PX_LAST","START_DATE_OVERRIDE",TEXT(INDEX(MO_SNA_FPStartDate,0,COLUMN()),"YYYYMMDD"),"END_DATE_OVERRIDE",TEXT(INDEX(MO_Common_QEndDate,0,COLUMN()),"YYYYMMDD")),"N/A")</f>
        <v>N/A</v>
      </c>
      <c r="L507" s="250" t="str">
        <f ca="1">IFERROR(BDP(MO.Ticker.Bloomberg&amp;" Equity","INTERVAL_LOW","MARKET_DATA_OVERRIDE=PX_LAST","START_DATE_OVERRIDE",TEXT(INDEX(MO_SNA_FPStartDate,0,COLUMN()),"YYYYMMDD"),"END_DATE_OVERRIDE",TEXT(INDEX(MO_Common_QEndDate,0,COLUMN()),"YYYYMMDD")),"N/A")</f>
        <v>N/A</v>
      </c>
      <c r="M507" s="250" t="str">
        <f ca="1">IFERROR(BDP(MO.Ticker.Bloomberg&amp;" Equity","INTERVAL_LOW","MARKET_DATA_OVERRIDE=PX_LAST","START_DATE_OVERRIDE",TEXT(INDEX(MO_SNA_FPStartDate,0,COLUMN()),"YYYYMMDD"),"END_DATE_OVERRIDE",TEXT(INDEX(MO_Common_QEndDate,0,COLUMN()),"YYYYMMDD")),"N/A")</f>
        <v>N/A</v>
      </c>
      <c r="N507" s="250" t="str">
        <f ca="1">IFERROR(BDP(MO.Ticker.Bloomberg&amp;" Equity","INTERVAL_LOW","MARKET_DATA_OVERRIDE=PX_LAST","START_DATE_OVERRIDE",TEXT(INDEX(MO_SNA_FPStartDate,0,COLUMN()),"YYYYMMDD"),"END_DATE_OVERRIDE",TEXT(INDEX(MO_Common_QEndDate,0,COLUMN()),"YYYYMMDD")),"N/A")</f>
        <v>N/A</v>
      </c>
      <c r="O507" s="250" t="str">
        <f ca="1">IFERROR(BDP(MO.Ticker.Bloomberg&amp;" Equity","INTERVAL_LOW","MARKET_DATA_OVERRIDE=PX_LAST","START_DATE_OVERRIDE",TEXT(INDEX(MO_SNA_FPStartDate,0,COLUMN()),"YYYYMMDD"),"END_DATE_OVERRIDE",TEXT(INDEX(MO_Common_QEndDate,0,COLUMN()),"YYYYMMDD")),"N/A")</f>
        <v>N/A</v>
      </c>
      <c r="P507" s="250" t="str">
        <f ca="1">IFERROR(BDP(MO.Ticker.Bloomberg&amp;" Equity","INTERVAL_LOW","MARKET_DATA_OVERRIDE=PX_LAST","START_DATE_OVERRIDE",TEXT(INDEX(MO_SNA_FPStartDate,0,COLUMN()),"YYYYMMDD"),"END_DATE_OVERRIDE",TEXT(INDEX(MO_Common_QEndDate,0,COLUMN()),"YYYYMMDD")),"N/A")</f>
        <v>N/A</v>
      </c>
      <c r="Q507" s="250" t="str">
        <f ca="1">IFERROR(BDP(MO.Ticker.Bloomberg&amp;" Equity","INTERVAL_LOW","MARKET_DATA_OVERRIDE=PX_LAST","START_DATE_OVERRIDE",TEXT(INDEX(MO_SNA_FPStartDate,0,COLUMN()),"YYYYMMDD"),"END_DATE_OVERRIDE",TEXT(INDEX(MO_Common_QEndDate,0,COLUMN()),"YYYYMMDD")),"N/A")</f>
        <v>N/A</v>
      </c>
      <c r="R507" s="250" t="str">
        <f ca="1">IFERROR(BDP(MO.Ticker.Bloomberg&amp;" Equity","INTERVAL_LOW","MARKET_DATA_OVERRIDE=PX_LAST","START_DATE_OVERRIDE",TEXT(INDEX(MO_SNA_FPStartDate,0,COLUMN()),"YYYYMMDD"),"END_DATE_OVERRIDE",TEXT(INDEX(MO_Common_QEndDate,0,COLUMN()),"YYYYMMDD")),"N/A")</f>
        <v>N/A</v>
      </c>
      <c r="S507" s="250" t="str">
        <f ca="1">IFERROR(BDP(MO.Ticker.Bloomberg&amp;" Equity","INTERVAL_LOW","MARKET_DATA_OVERRIDE=PX_LAST","START_DATE_OVERRIDE",TEXT(INDEX(MO_SNA_FPStartDate,0,COLUMN()),"YYYYMMDD"),"END_DATE_OVERRIDE",TEXT(INDEX(MO_Common_QEndDate,0,COLUMN()),"YYYYMMDD")),"N/A")</f>
        <v>N/A</v>
      </c>
      <c r="T507" s="250" t="str">
        <f ca="1">IFERROR(BDP(MO.Ticker.Bloomberg&amp;" Equity","INTERVAL_LOW","MARKET_DATA_OVERRIDE=PX_LAST","START_DATE_OVERRIDE",TEXT(INDEX(MO_SNA_FPStartDate,0,COLUMN()),"YYYYMMDD"),"END_DATE_OVERRIDE",TEXT(INDEX(MO_Common_QEndDate,0,COLUMN()),"YYYYMMDD")),"N/A")</f>
        <v>N/A</v>
      </c>
      <c r="U507" s="250" t="str">
        <f ca="1">IFERROR(BDP(MO.Ticker.Bloomberg&amp;" Equity","INTERVAL_LOW","MARKET_DATA_OVERRIDE=PX_LAST","START_DATE_OVERRIDE",TEXT(INDEX(MO_SNA_FPStartDate,0,COLUMN()),"YYYYMMDD"),"END_DATE_OVERRIDE",TEXT(INDEX(MO_Common_QEndDate,0,COLUMN()),"YYYYMMDD")),"N/A")</f>
        <v>N/A</v>
      </c>
      <c r="V507" s="250" t="str">
        <f ca="1">IFERROR(BDP(MO.Ticker.Bloomberg&amp;" Equity","INTERVAL_LOW","MARKET_DATA_OVERRIDE=PX_LAST","START_DATE_OVERRIDE",TEXT(INDEX(MO_SNA_FPStartDate,0,COLUMN()),"YYYYMMDD"),"END_DATE_OVERRIDE",TEXT(INDEX(MO_Common_QEndDate,0,COLUMN()),"YYYYMMDD")),"N/A")</f>
        <v>N/A</v>
      </c>
      <c r="W507" s="250" t="str">
        <f ca="1">IFERROR(BDP(MO.Ticker.Bloomberg&amp;" Equity","INTERVAL_LOW","MARKET_DATA_OVERRIDE=PX_LAST","START_DATE_OVERRIDE",TEXT(INDEX(MO_SNA_FPStartDate,0,COLUMN()),"YYYYMMDD"),"END_DATE_OVERRIDE",TEXT(INDEX(MO_Common_QEndDate,0,COLUMN()),"YYYYMMDD")),"N/A")</f>
        <v>N/A</v>
      </c>
      <c r="X507" s="250" t="str">
        <f ca="1">IFERROR(BDP(MO.Ticker.Bloomberg&amp;" Equity","INTERVAL_LOW","MARKET_DATA_OVERRIDE=PX_LAST","START_DATE_OVERRIDE",TEXT(INDEX(MO_SNA_FPStartDate,0,COLUMN()),"YYYYMMDD"),"END_DATE_OVERRIDE",TEXT(INDEX(MO_Common_QEndDate,0,COLUMN()),"YYYYMMDD")),"N/A")</f>
        <v>N/A</v>
      </c>
      <c r="Y507" s="250" t="str">
        <f ca="1">IFERROR(BDP(MO.Ticker.Bloomberg&amp;" Equity","INTERVAL_LOW","MARKET_DATA_OVERRIDE=PX_LAST","START_DATE_OVERRIDE",TEXT(INDEX(MO_SNA_FPStartDate,0,COLUMN()),"YYYYMMDD"),"END_DATE_OVERRIDE",TEXT(INDEX(MO_Common_QEndDate,0,COLUMN()),"YYYYMMDD")),"N/A")</f>
        <v>N/A</v>
      </c>
      <c r="Z507" s="250" t="str">
        <f ca="1">IFERROR(BDP(MO.Ticker.Bloomberg&amp;" Equity","INTERVAL_LOW","MARKET_DATA_OVERRIDE=PX_LAST","START_DATE_OVERRIDE",TEXT(INDEX(MO_SNA_FPStartDate,0,COLUMN()),"YYYYMMDD"),"END_DATE_OVERRIDE",TEXT(INDEX(MO_Common_QEndDate,0,COLUMN()),"YYYYMMDD")),"N/A")</f>
        <v>N/A</v>
      </c>
      <c r="AA507" s="250" t="str">
        <f ca="1">IFERROR(BDP(MO.Ticker.Bloomberg&amp;" Equity","INTERVAL_LOW","MARKET_DATA_OVERRIDE=PX_LAST","START_DATE_OVERRIDE",TEXT(INDEX(MO_SNA_FPStartDate,0,COLUMN()),"YYYYMMDD"),"END_DATE_OVERRIDE",TEXT(INDEX(MO_Common_QEndDate,0,COLUMN()),"YYYYMMDD")),"N/A")</f>
        <v>N/A</v>
      </c>
      <c r="AB507" s="250" t="str">
        <f ca="1">IFERROR(BDP(MO.Ticker.Bloomberg&amp;" Equity","INTERVAL_LOW","MARKET_DATA_OVERRIDE=PX_LAST","START_DATE_OVERRIDE",TEXT(INDEX(MO_SNA_FPStartDate,0,COLUMN()),"YYYYMMDD"),"END_DATE_OVERRIDE",TEXT(INDEX(MO_Common_QEndDate,0,COLUMN()),"YYYYMMDD")),"N/A")</f>
        <v>N/A</v>
      </c>
      <c r="AC507" s="250" t="str">
        <f ca="1">IFERROR(BDP(MO.Ticker.Bloomberg&amp;" Equity","INTERVAL_LOW","MARKET_DATA_OVERRIDE=PX_LAST","START_DATE_OVERRIDE",TEXT(INDEX(MO_SNA_FPStartDate,0,COLUMN()),"YYYYMMDD"),"END_DATE_OVERRIDE",TEXT(INDEX(MO_Common_QEndDate,0,COLUMN()),"YYYYMMDD")),"N/A")</f>
        <v>N/A</v>
      </c>
      <c r="AD507" s="250" t="str">
        <f ca="1">IFERROR(BDP(MO.Ticker.Bloomberg&amp;" Equity","INTERVAL_LOW","MARKET_DATA_OVERRIDE=PX_LAST","START_DATE_OVERRIDE",TEXT(INDEX(MO_SNA_FPStartDate,0,COLUMN()),"YYYYMMDD"),"END_DATE_OVERRIDE",TEXT(INDEX(MO_Common_QEndDate,0,COLUMN()),"YYYYMMDD")),"N/A")</f>
        <v>N/A</v>
      </c>
      <c r="AE507" s="250" t="str">
        <f ca="1">IFERROR(BDP(MO.Ticker.Bloomberg&amp;" Equity","INTERVAL_LOW","MARKET_DATA_OVERRIDE=PX_LAST","START_DATE_OVERRIDE",TEXT(INDEX(MO_SNA_FPStartDate,0,COLUMN()),"YYYYMMDD"),"END_DATE_OVERRIDE",TEXT(INDEX(MO_Common_QEndDate,0,COLUMN()),"YYYYMMDD")),"N/A")</f>
        <v>N/A</v>
      </c>
      <c r="AF507" s="250" t="str">
        <f ca="1">IFERROR(BDP(MO.Ticker.Bloomberg&amp;" Equity","INTERVAL_LOW","MARKET_DATA_OVERRIDE=PX_LAST","START_DATE_OVERRIDE",TEXT(INDEX(MO_SNA_FPStartDate,0,COLUMN()),"YYYYMMDD"),"END_DATE_OVERRIDE",TEXT(INDEX(MO_Common_QEndDate,0,COLUMN()),"YYYYMMDD")),"N/A")</f>
        <v>N/A</v>
      </c>
      <c r="AG507" s="250" t="str">
        <f ca="1">IFERROR(BDP(MO.Ticker.Bloomberg&amp;" Equity","INTERVAL_LOW","MARKET_DATA_OVERRIDE=PX_LAST","START_DATE_OVERRIDE",TEXT(INDEX(MO_SNA_FPStartDate,0,COLUMN()),"YYYYMMDD"),"END_DATE_OVERRIDE",TEXT(INDEX(MO_Common_QEndDate,0,COLUMN()),"YYYYMMDD")),"N/A")</f>
        <v>N/A</v>
      </c>
      <c r="AH507" s="250" t="str">
        <f ca="1">IFERROR(BDP(MO.Ticker.Bloomberg&amp;" Equity","INTERVAL_LOW","MARKET_DATA_OVERRIDE=PX_LAST","START_DATE_OVERRIDE",TEXT(INDEX(MO_SNA_FPStartDate,0,COLUMN()),"YYYYMMDD"),"END_DATE_OVERRIDE",TEXT(INDEX(MO_Common_QEndDate,0,COLUMN()),"YYYYMMDD")),"N/A")</f>
        <v>N/A</v>
      </c>
      <c r="AI507" s="277" t="str">
        <f ca="1">IFERROR(BDP(MO.Ticker.Bloomberg&amp;" Equity","INTERVAL_LOW","MARKET_DATA_OVERRIDE=PX_LAST","START_DATE_OVERRIDE",TEXT(INDEX(MO_SNA_FPStartDate,0,COLUMN()),"YYYYMMDD"),"END_DATE_OVERRIDE",TEXT(INDEX(MO_Common_QEndDate,0,COLUMN()),"YYYYMMDD")),"N/A")</f>
        <v>N/A</v>
      </c>
      <c r="AJ507" s="277" t="str">
        <f ca="1">IFERROR(BDP(MO.Ticker.Bloomberg&amp;" Equity","INTERVAL_LOW","MARKET_DATA_OVERRIDE=PX_LAST","START_DATE_OVERRIDE",TEXT(INDEX(MO_SNA_FPStartDate,0,COLUMN()),"YYYYMMDD"),"END_DATE_OVERRIDE",TEXT(INDEX(MO_Common_QEndDate,0,COLUMN()),"YYYYMMDD")),"N/A")</f>
        <v>N/A</v>
      </c>
      <c r="AK507" s="277" t="str">
        <f ca="1">IFERROR(BDP(MO.Ticker.Bloomberg&amp;" Equity","INTERVAL_LOW","MARKET_DATA_OVERRIDE=PX_LAST","START_DATE_OVERRIDE",TEXT(INDEX(MO_SNA_FPStartDate,0,COLUMN()),"YYYYMMDD"),"END_DATE_OVERRIDE",TEXT(INDEX(MO_Common_QEndDate,0,COLUMN()),"YYYYMMDD")),"N/A")</f>
        <v>N/A</v>
      </c>
      <c r="AL507" s="277" t="str">
        <f ca="1">IFERROR(BDP(MO.Ticker.Bloomberg&amp;" Equity","INTERVAL_LOW","MARKET_DATA_OVERRIDE=PX_LAST","START_DATE_OVERRIDE",TEXT(INDEX(MO_SNA_FPStartDate,0,COLUMN()),"YYYYMMDD"),"END_DATE_OVERRIDE",TEXT(INDEX(MO_Common_QEndDate,0,COLUMN()),"YYYYMMDD")),"N/A")</f>
        <v>N/A</v>
      </c>
      <c r="AM507" s="277" t="str">
        <f ca="1">IFERROR(BDP(MO.Ticker.Bloomberg&amp;" Equity","INTERVAL_LOW","MARKET_DATA_OVERRIDE=PX_LAST","START_DATE_OVERRIDE",TEXT(INDEX(MO_SNA_FPStartDate,0,COLUMN()),"YYYYMMDD"),"END_DATE_OVERRIDE",TEXT(INDEX(MO_Common_QEndDate,0,COLUMN()),"YYYYMMDD")),"N/A")</f>
        <v>N/A</v>
      </c>
      <c r="AN507" s="277" t="str">
        <f ca="1">IFERROR(BDP(MO.Ticker.Bloomberg&amp;" Equity","INTERVAL_LOW","MARKET_DATA_OVERRIDE=PX_LAST","START_DATE_OVERRIDE",TEXT(INDEX(MO_SNA_FPStartDate,0,COLUMN()),"YYYYMMDD"),"END_DATE_OVERRIDE",TEXT(INDEX(MO_Common_QEndDate,0,COLUMN()),"YYYYMMDD")),"N/A")</f>
        <v>N/A</v>
      </c>
      <c r="AO507" s="277" t="str">
        <f ca="1">IFERROR(BDP(MO.Ticker.Bloomberg&amp;" Equity","INTERVAL_LOW","MARKET_DATA_OVERRIDE=PX_LAST","START_DATE_OVERRIDE",TEXT(INDEX(MO_SNA_FPStartDate,0,COLUMN()),"YYYYMMDD"),"END_DATE_OVERRIDE",TEXT(INDEX(MO_Common_QEndDate,0,COLUMN()),"YYYYMMDD")),"N/A")</f>
        <v>N/A</v>
      </c>
      <c r="AP507" s="277" t="str">
        <f ca="1">IFERROR(BDP(MO.Ticker.Bloomberg&amp;" Equity","INTERVAL_LOW","MARKET_DATA_OVERRIDE=PX_LAST","START_DATE_OVERRIDE",TEXT(INDEX(MO_SNA_FPStartDate,0,COLUMN()),"YYYYMMDD"),"END_DATE_OVERRIDE",TEXT(INDEX(MO_Common_QEndDate,0,COLUMN()),"YYYYMMDD")),"N/A")</f>
        <v>N/A</v>
      </c>
      <c r="AQ507" s="268" t="str">
        <f ca="1">IFERROR(BDP(MO.Ticker.Bloomberg&amp;" Equity","INTERVAL_LOW","MARKET_DATA_OVERRIDE=PX_LAST","START_DATE_OVERRIDE",TEXT(INDEX(MO_SNA_FPStartDate,0,COLUMN()),"YYYYMMDD"),"END_DATE_OVERRIDE",TEXT(INDEX(MO_Common_QEndDate,0,COLUMN()),"YYYYMMDD")),"N/A")</f>
        <v>N/A</v>
      </c>
      <c r="AR507" s="250" t="str">
        <f ca="1">IFERROR(BDP(MO.Ticker.Bloomberg&amp;" Equity","INTERVAL_LOW","MARKET_DATA_OVERRIDE=PX_LAST","START_DATE_OVERRIDE",TEXT(INDEX(MO_SNA_FPStartDate,0,COLUMN()),"YYYYMMDD"),"END_DATE_OVERRIDE",TEXT(INDEX(MO_Common_QEndDate,0,COLUMN()),"YYYYMMDD")),"N/A")</f>
        <v>N/A</v>
      </c>
      <c r="AS507" s="250" t="str">
        <f ca="1">IFERROR(BDP(MO.Ticker.Bloomberg&amp;" Equity","INTERVAL_LOW","MARKET_DATA_OVERRIDE=PX_LAST","START_DATE_OVERRIDE",TEXT(INDEX(MO_SNA_FPStartDate,0,COLUMN()),"YYYYMMDD"),"END_DATE_OVERRIDE",TEXT(INDEX(MO_Common_QEndDate,0,COLUMN()),"YYYYMMDD")),"N/A")</f>
        <v>N/A</v>
      </c>
      <c r="AT507" s="250" t="str">
        <f ca="1">IFERROR(BDP(MO.Ticker.Bloomberg&amp;" Equity","INTERVAL_LOW","MARKET_DATA_OVERRIDE=PX_LAST","START_DATE_OVERRIDE",TEXT(INDEX(MO_SNA_FPStartDate,0,COLUMN()),"YYYYMMDD"),"END_DATE_OVERRIDE",TEXT(INDEX(MO_Common_QEndDate,0,COLUMN()),"YYYYMMDD")),"N/A")</f>
        <v>N/A</v>
      </c>
      <c r="AU507" s="250" t="str">
        <f ca="1">IFERROR(BDP(MO.Ticker.Bloomberg&amp;" Equity","INTERVAL_LOW","MARKET_DATA_OVERRIDE=PX_LAST","START_DATE_OVERRIDE",TEXT(INDEX(MO_SNA_FPStartDate,0,COLUMN()),"YYYYMMDD"),"END_DATE_OVERRIDE",TEXT(INDEX(MO_Common_QEndDate,0,COLUMN()),"YYYYMMDD")),"N/A")</f>
        <v>N/A</v>
      </c>
      <c r="AV507" s="250" t="str">
        <f ca="1">IFERROR(BDP(MO.Ticker.Bloomberg&amp;" Equity","INTERVAL_LOW","MARKET_DATA_OVERRIDE=PX_LAST","START_DATE_OVERRIDE",TEXT(INDEX(MO_SNA_FPStartDate,0,COLUMN()),"YYYYMMDD"),"END_DATE_OVERRIDE",TEXT(INDEX(MO_Common_QEndDate,0,COLUMN()),"YYYYMMDD")),"N/A")</f>
        <v>N/A</v>
      </c>
      <c r="AW507" s="250" t="str">
        <f ca="1">IFERROR(BDP(MO.Ticker.Bloomberg&amp;" Equity","INTERVAL_LOW","MARKET_DATA_OVERRIDE=PX_LAST","START_DATE_OVERRIDE",TEXT(INDEX(MO_SNA_FPStartDate,0,COLUMN()),"YYYYMMDD"),"END_DATE_OVERRIDE",TEXT(INDEX(MO_Common_QEndDate,0,COLUMN()),"YYYYMMDD")),"N/A")</f>
        <v>N/A</v>
      </c>
      <c r="AX507" s="250" t="str">
        <f ca="1">IFERROR(BDP(MO.Ticker.Bloomberg&amp;" Equity","INTERVAL_LOW","MARKET_DATA_OVERRIDE=PX_LAST","START_DATE_OVERRIDE",TEXT(INDEX(MO_SNA_FPStartDate,0,COLUMN()),"YYYYMMDD"),"END_DATE_OVERRIDE",TEXT(INDEX(MO_Common_QEndDate,0,COLUMN()),"YYYYMMDD")),"N/A")</f>
        <v>N/A</v>
      </c>
      <c r="AY507" s="250" t="str">
        <f ca="1">IFERROR(BDP(MO.Ticker.Bloomberg&amp;" Equity","INTERVAL_LOW","MARKET_DATA_OVERRIDE=PX_LAST","START_DATE_OVERRIDE",TEXT(INDEX(MO_SNA_FPStartDate,0,COLUMN()),"YYYYMMDD"),"END_DATE_OVERRIDE",TEXT(INDEX(MO_Common_QEndDate,0,COLUMN()),"YYYYMMDD")),"N/A")</f>
        <v>N/A</v>
      </c>
      <c r="AZ507" s="250" t="str">
        <f ca="1">IFERROR(BDP(MO.Ticker.Bloomberg&amp;" Equity","INTERVAL_LOW","MARKET_DATA_OVERRIDE=PX_LAST","START_DATE_OVERRIDE",TEXT(INDEX(MO_SNA_FPStartDate,0,COLUMN()),"YYYYMMDD"),"END_DATE_OVERRIDE",TEXT(INDEX(MO_Common_QEndDate,0,COLUMN()),"YYYYMMDD")),"N/A")</f>
        <v>N/A</v>
      </c>
      <c r="BA507" s="250" t="str">
        <f ca="1">IFERROR(BDP(MO.Ticker.Bloomberg&amp;" Equity","INTERVAL_LOW","MARKET_DATA_OVERRIDE=PX_LAST","START_DATE_OVERRIDE",TEXT(INDEX(MO_SNA_FPStartDate,0,COLUMN()),"YYYYMMDD"),"END_DATE_OVERRIDE",TEXT(INDEX(MO_Common_QEndDate,0,COLUMN()),"YYYYMMDD")),"N/A")</f>
        <v>N/A</v>
      </c>
      <c r="BB507" s="252" t="str">
        <f ca="1">IFERROR(BDP(MO.Ticker.Bloomberg&amp;" Equity","INTERVAL_LOW","MARKET_DATA_OVERRIDE=PX_LAST","START_DATE_OVERRIDE",TEXT(INDEX(MO_SNA_FPStartDate,0,COLUMN()),"YYYYMMDD"),"END_DATE_OVERRIDE",TEXT(INDEX(MO_Common_QEndDate,0,COLUMN()),"YYYYMMDD")),"N/A")</f>
        <v>N/A</v>
      </c>
      <c r="BC507" s="253"/>
    </row>
    <row r="508" spans="1:55" s="254" customFormat="1" hidden="1" outlineLevel="1">
      <c r="A508" s="255" t="s">
        <v>274</v>
      </c>
      <c r="B508" s="250"/>
      <c r="C508" s="251" t="str">
        <f ca="1">IFERROR(CIQHI(MO.Ticker.CapIQ,"IQ_LASTSALEPRICE",INDEX(MO_SNA_FPStartDate,0,COLUMN()),INDEX(MO_Common_QEndDate,0,COLUMN())),"N/A")</f>
        <v>N/A</v>
      </c>
      <c r="D508" s="251" t="str">
        <f ca="1">IFERROR(CIQHI(MO.Ticker.CapIQ,"IQ_LASTSALEPRICE",INDEX(MO_SNA_FPStartDate,0,COLUMN()),INDEX(MO_Common_QEndDate,0,COLUMN())),"N/A")</f>
        <v>N/A</v>
      </c>
      <c r="E508" s="250" t="str">
        <f ca="1">IFERROR(CIQHI(MO.Ticker.CapIQ,"IQ_LASTSALEPRICE",INDEX(MO_SNA_FPStartDate,0,COLUMN()),INDEX(MO_Common_QEndDate,0,COLUMN())),"N/A")</f>
        <v>N/A</v>
      </c>
      <c r="F508" s="250" t="str">
        <f ca="1">IFERROR(CIQHI(MO.Ticker.CapIQ,"IQ_LASTSALEPRICE",INDEX(MO_SNA_FPStartDate,0,COLUMN()),INDEX(MO_Common_QEndDate,0,COLUMN())),"N/A")</f>
        <v>N/A</v>
      </c>
      <c r="G508" s="250" t="str">
        <f ca="1">IFERROR(CIQHI(MO.Ticker.CapIQ,"IQ_LASTSALEPRICE",INDEX(MO_SNA_FPStartDate,0,COLUMN()),INDEX(MO_Common_QEndDate,0,COLUMN())),"N/A")</f>
        <v>N/A</v>
      </c>
      <c r="H508" s="250" t="str">
        <f ca="1">IFERROR(CIQHI(MO.Ticker.CapIQ,"IQ_LASTSALEPRICE",INDEX(MO_SNA_FPStartDate,0,COLUMN()),INDEX(MO_Common_QEndDate,0,COLUMN())),"N/A")</f>
        <v>N/A</v>
      </c>
      <c r="I508" s="250" t="str">
        <f ca="1">IFERROR(CIQHI(MO.Ticker.CapIQ,"IQ_LASTSALEPRICE",INDEX(MO_SNA_FPStartDate,0,COLUMN()),INDEX(MO_Common_QEndDate,0,COLUMN())),"N/A")</f>
        <v>N/A</v>
      </c>
      <c r="J508" s="250" t="str">
        <f ca="1">IFERROR(CIQHI(MO.Ticker.CapIQ,"IQ_LASTSALEPRICE",INDEX(MO_SNA_FPStartDate,0,COLUMN()),INDEX(MO_Common_QEndDate,0,COLUMN())),"N/A")</f>
        <v>N/A</v>
      </c>
      <c r="K508" s="250" t="str">
        <f ca="1">IFERROR(CIQHI(MO.Ticker.CapIQ,"IQ_LASTSALEPRICE",INDEX(MO_SNA_FPStartDate,0,COLUMN()),INDEX(MO_Common_QEndDate,0,COLUMN())),"N/A")</f>
        <v>N/A</v>
      </c>
      <c r="L508" s="250" t="str">
        <f ca="1">IFERROR(CIQHI(MO.Ticker.CapIQ,"IQ_LASTSALEPRICE",INDEX(MO_SNA_FPStartDate,0,COLUMN()),INDEX(MO_Common_QEndDate,0,COLUMN())),"N/A")</f>
        <v>N/A</v>
      </c>
      <c r="M508" s="250" t="str">
        <f ca="1">IFERROR(CIQHI(MO.Ticker.CapIQ,"IQ_LASTSALEPRICE",INDEX(MO_SNA_FPStartDate,0,COLUMN()),INDEX(MO_Common_QEndDate,0,COLUMN())),"N/A")</f>
        <v>N/A</v>
      </c>
      <c r="N508" s="250" t="str">
        <f ca="1">IFERROR(CIQHI(MO.Ticker.CapIQ,"IQ_LASTSALEPRICE",INDEX(MO_SNA_FPStartDate,0,COLUMN()),INDEX(MO_Common_QEndDate,0,COLUMN())),"N/A")</f>
        <v>N/A</v>
      </c>
      <c r="O508" s="250" t="str">
        <f ca="1">IFERROR(CIQHI(MO.Ticker.CapIQ,"IQ_LASTSALEPRICE",INDEX(MO_SNA_FPStartDate,0,COLUMN()),INDEX(MO_Common_QEndDate,0,COLUMN())),"N/A")</f>
        <v>N/A</v>
      </c>
      <c r="P508" s="250" t="str">
        <f ca="1">IFERROR(CIQHI(MO.Ticker.CapIQ,"IQ_LASTSALEPRICE",INDEX(MO_SNA_FPStartDate,0,COLUMN()),INDEX(MO_Common_QEndDate,0,COLUMN())),"N/A")</f>
        <v>N/A</v>
      </c>
      <c r="Q508" s="250" t="str">
        <f ca="1">IFERROR(CIQHI(MO.Ticker.CapIQ,"IQ_LASTSALEPRICE",INDEX(MO_SNA_FPStartDate,0,COLUMN()),INDEX(MO_Common_QEndDate,0,COLUMN())),"N/A")</f>
        <v>N/A</v>
      </c>
      <c r="R508" s="250" t="str">
        <f ca="1">IFERROR(CIQHI(MO.Ticker.CapIQ,"IQ_LASTSALEPRICE",INDEX(MO_SNA_FPStartDate,0,COLUMN()),INDEX(MO_Common_QEndDate,0,COLUMN())),"N/A")</f>
        <v>N/A</v>
      </c>
      <c r="S508" s="250" t="str">
        <f ca="1">IFERROR(CIQHI(MO.Ticker.CapIQ,"IQ_LASTSALEPRICE",INDEX(MO_SNA_FPStartDate,0,COLUMN()),INDEX(MO_Common_QEndDate,0,COLUMN())),"N/A")</f>
        <v>N/A</v>
      </c>
      <c r="T508" s="250" t="str">
        <f ca="1">IFERROR(CIQHI(MO.Ticker.CapIQ,"IQ_LASTSALEPRICE",INDEX(MO_SNA_FPStartDate,0,COLUMN()),INDEX(MO_Common_QEndDate,0,COLUMN())),"N/A")</f>
        <v>N/A</v>
      </c>
      <c r="U508" s="250" t="str">
        <f ca="1">IFERROR(CIQHI(MO.Ticker.CapIQ,"IQ_LASTSALEPRICE",INDEX(MO_SNA_FPStartDate,0,COLUMN()),INDEX(MO_Common_QEndDate,0,COLUMN())),"N/A")</f>
        <v>N/A</v>
      </c>
      <c r="V508" s="250" t="str">
        <f ca="1">IFERROR(CIQHI(MO.Ticker.CapIQ,"IQ_LASTSALEPRICE",INDEX(MO_SNA_FPStartDate,0,COLUMN()),INDEX(MO_Common_QEndDate,0,COLUMN())),"N/A")</f>
        <v>N/A</v>
      </c>
      <c r="W508" s="250" t="str">
        <f ca="1">IFERROR(CIQHI(MO.Ticker.CapIQ,"IQ_LASTSALEPRICE",INDEX(MO_SNA_FPStartDate,0,COLUMN()),INDEX(MO_Common_QEndDate,0,COLUMN())),"N/A")</f>
        <v>N/A</v>
      </c>
      <c r="X508" s="250" t="str">
        <f ca="1">IFERROR(CIQHI(MO.Ticker.CapIQ,"IQ_LASTSALEPRICE",INDEX(MO_SNA_FPStartDate,0,COLUMN()),INDEX(MO_Common_QEndDate,0,COLUMN())),"N/A")</f>
        <v>N/A</v>
      </c>
      <c r="Y508" s="250" t="str">
        <f ca="1">IFERROR(CIQHI(MO.Ticker.CapIQ,"IQ_LASTSALEPRICE",INDEX(MO_SNA_FPStartDate,0,COLUMN()),INDEX(MO_Common_QEndDate,0,COLUMN())),"N/A")</f>
        <v>N/A</v>
      </c>
      <c r="Z508" s="250" t="str">
        <f ca="1">IFERROR(CIQHI(MO.Ticker.CapIQ,"IQ_LASTSALEPRICE",INDEX(MO_SNA_FPStartDate,0,COLUMN()),INDEX(MO_Common_QEndDate,0,COLUMN())),"N/A")</f>
        <v>N/A</v>
      </c>
      <c r="AA508" s="250" t="str">
        <f ca="1">IFERROR(CIQHI(MO.Ticker.CapIQ,"IQ_LASTSALEPRICE",INDEX(MO_SNA_FPStartDate,0,COLUMN()),INDEX(MO_Common_QEndDate,0,COLUMN())),"N/A")</f>
        <v>N/A</v>
      </c>
      <c r="AB508" s="250" t="str">
        <f ca="1">IFERROR(CIQHI(MO.Ticker.CapIQ,"IQ_LASTSALEPRICE",INDEX(MO_SNA_FPStartDate,0,COLUMN()),INDEX(MO_Common_QEndDate,0,COLUMN())),"N/A")</f>
        <v>N/A</v>
      </c>
      <c r="AC508" s="250" t="str">
        <f ca="1">IFERROR(CIQHI(MO.Ticker.CapIQ,"IQ_LASTSALEPRICE",INDEX(MO_SNA_FPStartDate,0,COLUMN()),INDEX(MO_Common_QEndDate,0,COLUMN())),"N/A")</f>
        <v>N/A</v>
      </c>
      <c r="AD508" s="250" t="str">
        <f ca="1">IFERROR(CIQHI(MO.Ticker.CapIQ,"IQ_LASTSALEPRICE",INDEX(MO_SNA_FPStartDate,0,COLUMN()),INDEX(MO_Common_QEndDate,0,COLUMN())),"N/A")</f>
        <v>N/A</v>
      </c>
      <c r="AE508" s="250" t="str">
        <f ca="1">IFERROR(CIQHI(MO.Ticker.CapIQ,"IQ_LASTSALEPRICE",INDEX(MO_SNA_FPStartDate,0,COLUMN()),INDEX(MO_Common_QEndDate,0,COLUMN())),"N/A")</f>
        <v>N/A</v>
      </c>
      <c r="AF508" s="250" t="str">
        <f ca="1">IFERROR(CIQHI(MO.Ticker.CapIQ,"IQ_LASTSALEPRICE",INDEX(MO_SNA_FPStartDate,0,COLUMN()),INDEX(MO_Common_QEndDate,0,COLUMN())),"N/A")</f>
        <v>N/A</v>
      </c>
      <c r="AG508" s="250" t="str">
        <f ca="1">IFERROR(CIQHI(MO.Ticker.CapIQ,"IQ_LASTSALEPRICE",INDEX(MO_SNA_FPStartDate,0,COLUMN()),INDEX(MO_Common_QEndDate,0,COLUMN())),"N/A")</f>
        <v>N/A</v>
      </c>
      <c r="AH508" s="250" t="str">
        <f ca="1">IFERROR(CIQHI(MO.Ticker.CapIQ,"IQ_LASTSALEPRICE",INDEX(MO_SNA_FPStartDate,0,COLUMN()),INDEX(MO_Common_QEndDate,0,COLUMN())),"N/A")</f>
        <v>N/A</v>
      </c>
      <c r="AI508" s="277" t="str">
        <f ca="1">IFERROR(CIQHI(MO.Ticker.CapIQ,"IQ_LASTSALEPRICE",INDEX(MO_SNA_FPStartDate,0,COLUMN()),INDEX(MO_Common_QEndDate,0,COLUMN())),"N/A")</f>
        <v>N/A</v>
      </c>
      <c r="AJ508" s="277" t="str">
        <f ca="1">IFERROR(CIQHI(MO.Ticker.CapIQ,"IQ_LASTSALEPRICE",INDEX(MO_SNA_FPStartDate,0,COLUMN()),INDEX(MO_Common_QEndDate,0,COLUMN())),"N/A")</f>
        <v>N/A</v>
      </c>
      <c r="AK508" s="277" t="str">
        <f ca="1">IFERROR(CIQHI(MO.Ticker.CapIQ,"IQ_LASTSALEPRICE",INDEX(MO_SNA_FPStartDate,0,COLUMN()),INDEX(MO_Common_QEndDate,0,COLUMN())),"N/A")</f>
        <v>N/A</v>
      </c>
      <c r="AL508" s="277" t="str">
        <f ca="1">IFERROR(CIQHI(MO.Ticker.CapIQ,"IQ_LASTSALEPRICE",INDEX(MO_SNA_FPStartDate,0,COLUMN()),INDEX(MO_Common_QEndDate,0,COLUMN())),"N/A")</f>
        <v>N/A</v>
      </c>
      <c r="AM508" s="277" t="str">
        <f ca="1">IFERROR(CIQHI(MO.Ticker.CapIQ,"IQ_LASTSALEPRICE",INDEX(MO_SNA_FPStartDate,0,COLUMN()),INDEX(MO_Common_QEndDate,0,COLUMN())),"N/A")</f>
        <v>N/A</v>
      </c>
      <c r="AN508" s="277" t="str">
        <f ca="1">IFERROR(CIQHI(MO.Ticker.CapIQ,"IQ_LASTSALEPRICE",INDEX(MO_SNA_FPStartDate,0,COLUMN()),INDEX(MO_Common_QEndDate,0,COLUMN())),"N/A")</f>
        <v>N/A</v>
      </c>
      <c r="AO508" s="277" t="str">
        <f ca="1">IFERROR(CIQHI(MO.Ticker.CapIQ,"IQ_LASTSALEPRICE",INDEX(MO_SNA_FPStartDate,0,COLUMN()),INDEX(MO_Common_QEndDate,0,COLUMN())),"N/A")</f>
        <v>N/A</v>
      </c>
      <c r="AP508" s="277" t="str">
        <f ca="1">IFERROR(CIQHI(MO.Ticker.CapIQ,"IQ_LASTSALEPRICE",INDEX(MO_SNA_FPStartDate,0,COLUMN()),INDEX(MO_Common_QEndDate,0,COLUMN())),"N/A")</f>
        <v>N/A</v>
      </c>
      <c r="AQ508" s="268" t="str">
        <f ca="1">IFERROR(CIQHI(MO.Ticker.CapIQ,"IQ_LASTSALEPRICE",INDEX(MO_SNA_FPStartDate,0,COLUMN()),INDEX(MO_Common_QEndDate,0,COLUMN())),"N/A")</f>
        <v>N/A</v>
      </c>
      <c r="AR508" s="250" t="str">
        <f ca="1">IFERROR(CIQHI(MO.Ticker.CapIQ,"IQ_LASTSALEPRICE",INDEX(MO_SNA_FPStartDate,0,COLUMN()),INDEX(MO_Common_QEndDate,0,COLUMN())),"N/A")</f>
        <v>N/A</v>
      </c>
      <c r="AS508" s="250" t="str">
        <f ca="1">IFERROR(CIQHI(MO.Ticker.CapIQ,"IQ_LASTSALEPRICE",INDEX(MO_SNA_FPStartDate,0,COLUMN()),INDEX(MO_Common_QEndDate,0,COLUMN())),"N/A")</f>
        <v>N/A</v>
      </c>
      <c r="AT508" s="250" t="str">
        <f ca="1">IFERROR(CIQHI(MO.Ticker.CapIQ,"IQ_LASTSALEPRICE",INDEX(MO_SNA_FPStartDate,0,COLUMN()),INDEX(MO_Common_QEndDate,0,COLUMN())),"N/A")</f>
        <v>N/A</v>
      </c>
      <c r="AU508" s="250" t="str">
        <f ca="1">IFERROR(CIQHI(MO.Ticker.CapIQ,"IQ_LASTSALEPRICE",INDEX(MO_SNA_FPStartDate,0,COLUMN()),INDEX(MO_Common_QEndDate,0,COLUMN())),"N/A")</f>
        <v>N/A</v>
      </c>
      <c r="AV508" s="250" t="str">
        <f ca="1">IFERROR(CIQHI(MO.Ticker.CapIQ,"IQ_LASTSALEPRICE",INDEX(MO_SNA_FPStartDate,0,COLUMN()),INDEX(MO_Common_QEndDate,0,COLUMN())),"N/A")</f>
        <v>N/A</v>
      </c>
      <c r="AW508" s="250" t="str">
        <f ca="1">IFERROR(CIQHI(MO.Ticker.CapIQ,"IQ_LASTSALEPRICE",INDEX(MO_SNA_FPStartDate,0,COLUMN()),INDEX(MO_Common_QEndDate,0,COLUMN())),"N/A")</f>
        <v>N/A</v>
      </c>
      <c r="AX508" s="250" t="str">
        <f ca="1">IFERROR(CIQHI(MO.Ticker.CapIQ,"IQ_LASTSALEPRICE",INDEX(MO_SNA_FPStartDate,0,COLUMN()),INDEX(MO_Common_QEndDate,0,COLUMN())),"N/A")</f>
        <v>N/A</v>
      </c>
      <c r="AY508" s="250" t="str">
        <f ca="1">IFERROR(CIQHI(MO.Ticker.CapIQ,"IQ_LASTSALEPRICE",INDEX(MO_SNA_FPStartDate,0,COLUMN()),INDEX(MO_Common_QEndDate,0,COLUMN())),"N/A")</f>
        <v>N/A</v>
      </c>
      <c r="AZ508" s="250" t="str">
        <f ca="1">IFERROR(CIQHI(MO.Ticker.CapIQ,"IQ_LASTSALEPRICE",INDEX(MO_SNA_FPStartDate,0,COLUMN()),INDEX(MO_Common_QEndDate,0,COLUMN())),"N/A")</f>
        <v>N/A</v>
      </c>
      <c r="BA508" s="250" t="str">
        <f ca="1">IFERROR(CIQHI(MO.Ticker.CapIQ,"IQ_LASTSALEPRICE",INDEX(MO_SNA_FPStartDate,0,COLUMN()),INDEX(MO_Common_QEndDate,0,COLUMN())),"N/A")</f>
        <v>N/A</v>
      </c>
      <c r="BB508" s="252" t="str">
        <f ca="1">IFERROR(CIQHI(MO.Ticker.CapIQ,"IQ_LASTSALEPRICE",INDEX(MO_SNA_FPStartDate,0,COLUMN()),INDEX(MO_Common_QEndDate,0,COLUMN())),"N/A")</f>
        <v>N/A</v>
      </c>
      <c r="BC508" s="253"/>
    </row>
    <row r="509" spans="1:55" s="254" customFormat="1" hidden="1" outlineLevel="1">
      <c r="A509" s="255" t="s">
        <v>275</v>
      </c>
      <c r="B509" s="250"/>
      <c r="C509" s="251" t="str">
        <f ca="1">IFERROR(FDS(MO.Ticker.FactSet,"P_PRICE_LOW"&amp;"("&amp;INDEX(MO_SNA_FPStartDate,0,COLUMN())&amp;","&amp;INDEX(MO_Common_QEndDate,0,COLUMN())&amp;",,,,""PRICE"",""CLOSE"")"),"N/A")</f>
        <v>N/A</v>
      </c>
      <c r="D509" s="251" t="str">
        <f ca="1">IFERROR(FDS(MO.Ticker.FactSet,"P_PRICE_LOW"&amp;"("&amp;INDEX(MO_SNA_FPStartDate,0,COLUMN())&amp;","&amp;INDEX(MO_Common_QEndDate,0,COLUMN())&amp;",,,,""PRICE"",""CLOSE"")"),"N/A")</f>
        <v>N/A</v>
      </c>
      <c r="E509" s="250" t="str">
        <f ca="1">IFERROR(FDS(MO.Ticker.FactSet,"P_PRICE_LOW"&amp;"("&amp;INDEX(MO_SNA_FPStartDate,0,COLUMN())&amp;","&amp;INDEX(MO_Common_QEndDate,0,COLUMN())&amp;",,,,""PRICE"",""CLOSE"")"),"N/A")</f>
        <v>N/A</v>
      </c>
      <c r="F509" s="250" t="str">
        <f ca="1">IFERROR(FDS(MO.Ticker.FactSet,"P_PRICE_LOW"&amp;"("&amp;INDEX(MO_SNA_FPStartDate,0,COLUMN())&amp;","&amp;INDEX(MO_Common_QEndDate,0,COLUMN())&amp;",,,,""PRICE"",""CLOSE"")"),"N/A")</f>
        <v>N/A</v>
      </c>
      <c r="G509" s="250" t="str">
        <f ca="1">IFERROR(FDS(MO.Ticker.FactSet,"P_PRICE_LOW"&amp;"("&amp;INDEX(MO_SNA_FPStartDate,0,COLUMN())&amp;","&amp;INDEX(MO_Common_QEndDate,0,COLUMN())&amp;",,,,""PRICE"",""CLOSE"")"),"N/A")</f>
        <v>N/A</v>
      </c>
      <c r="H509" s="250" t="str">
        <f ca="1">IFERROR(FDS(MO.Ticker.FactSet,"P_PRICE_LOW"&amp;"("&amp;INDEX(MO_SNA_FPStartDate,0,COLUMN())&amp;","&amp;INDEX(MO_Common_QEndDate,0,COLUMN())&amp;",,,,""PRICE"",""CLOSE"")"),"N/A")</f>
        <v>N/A</v>
      </c>
      <c r="I509" s="250" t="str">
        <f ca="1">IFERROR(FDS(MO.Ticker.FactSet,"P_PRICE_LOW"&amp;"("&amp;INDEX(MO_SNA_FPStartDate,0,COLUMN())&amp;","&amp;INDEX(MO_Common_QEndDate,0,COLUMN())&amp;",,,,""PRICE"",""CLOSE"")"),"N/A")</f>
        <v>N/A</v>
      </c>
      <c r="J509" s="250" t="str">
        <f ca="1">IFERROR(FDS(MO.Ticker.FactSet,"P_PRICE_LOW"&amp;"("&amp;INDEX(MO_SNA_FPStartDate,0,COLUMN())&amp;","&amp;INDEX(MO_Common_QEndDate,0,COLUMN())&amp;",,,,""PRICE"",""CLOSE"")"),"N/A")</f>
        <v>N/A</v>
      </c>
      <c r="K509" s="250" t="str">
        <f ca="1">IFERROR(FDS(MO.Ticker.FactSet,"P_PRICE_LOW"&amp;"("&amp;INDEX(MO_SNA_FPStartDate,0,COLUMN())&amp;","&amp;INDEX(MO_Common_QEndDate,0,COLUMN())&amp;",,,,""PRICE"",""CLOSE"")"),"N/A")</f>
        <v>N/A</v>
      </c>
      <c r="L509" s="250" t="str">
        <f ca="1">IFERROR(FDS(MO.Ticker.FactSet,"P_PRICE_LOW"&amp;"("&amp;INDEX(MO_SNA_FPStartDate,0,COLUMN())&amp;","&amp;INDEX(MO_Common_QEndDate,0,COLUMN())&amp;",,,,""PRICE"",""CLOSE"")"),"N/A")</f>
        <v>N/A</v>
      </c>
      <c r="M509" s="250" t="str">
        <f ca="1">IFERROR(FDS(MO.Ticker.FactSet,"P_PRICE_LOW"&amp;"("&amp;INDEX(MO_SNA_FPStartDate,0,COLUMN())&amp;","&amp;INDEX(MO_Common_QEndDate,0,COLUMN())&amp;",,,,""PRICE"",""CLOSE"")"),"N/A")</f>
        <v>N/A</v>
      </c>
      <c r="N509" s="250" t="str">
        <f ca="1">IFERROR(FDS(MO.Ticker.FactSet,"P_PRICE_LOW"&amp;"("&amp;INDEX(MO_SNA_FPStartDate,0,COLUMN())&amp;","&amp;INDEX(MO_Common_QEndDate,0,COLUMN())&amp;",,,,""PRICE"",""CLOSE"")"),"N/A")</f>
        <v>N/A</v>
      </c>
      <c r="O509" s="250" t="str">
        <f ca="1">IFERROR(FDS(MO.Ticker.FactSet,"P_PRICE_LOW"&amp;"("&amp;INDEX(MO_SNA_FPStartDate,0,COLUMN())&amp;","&amp;INDEX(MO_Common_QEndDate,0,COLUMN())&amp;",,,,""PRICE"",""CLOSE"")"),"N/A")</f>
        <v>N/A</v>
      </c>
      <c r="P509" s="250" t="str">
        <f ca="1">IFERROR(FDS(MO.Ticker.FactSet,"P_PRICE_LOW"&amp;"("&amp;INDEX(MO_SNA_FPStartDate,0,COLUMN())&amp;","&amp;INDEX(MO_Common_QEndDate,0,COLUMN())&amp;",,,,""PRICE"",""CLOSE"")"),"N/A")</f>
        <v>N/A</v>
      </c>
      <c r="Q509" s="250" t="str">
        <f ca="1">IFERROR(FDS(MO.Ticker.FactSet,"P_PRICE_LOW"&amp;"("&amp;INDEX(MO_SNA_FPStartDate,0,COLUMN())&amp;","&amp;INDEX(MO_Common_QEndDate,0,COLUMN())&amp;",,,,""PRICE"",""CLOSE"")"),"N/A")</f>
        <v>N/A</v>
      </c>
      <c r="R509" s="250" t="str">
        <f ca="1">IFERROR(FDS(MO.Ticker.FactSet,"P_PRICE_LOW"&amp;"("&amp;INDEX(MO_SNA_FPStartDate,0,COLUMN())&amp;","&amp;INDEX(MO_Common_QEndDate,0,COLUMN())&amp;",,,,""PRICE"",""CLOSE"")"),"N/A")</f>
        <v>N/A</v>
      </c>
      <c r="S509" s="250" t="str">
        <f ca="1">IFERROR(FDS(MO.Ticker.FactSet,"P_PRICE_LOW"&amp;"("&amp;INDEX(MO_SNA_FPStartDate,0,COLUMN())&amp;","&amp;INDEX(MO_Common_QEndDate,0,COLUMN())&amp;",,,,""PRICE"",""CLOSE"")"),"N/A")</f>
        <v>N/A</v>
      </c>
      <c r="T509" s="250" t="str">
        <f ca="1">IFERROR(FDS(MO.Ticker.FactSet,"P_PRICE_LOW"&amp;"("&amp;INDEX(MO_SNA_FPStartDate,0,COLUMN())&amp;","&amp;INDEX(MO_Common_QEndDate,0,COLUMN())&amp;",,,,""PRICE"",""CLOSE"")"),"N/A")</f>
        <v>N/A</v>
      </c>
      <c r="U509" s="250" t="str">
        <f ca="1">IFERROR(FDS(MO.Ticker.FactSet,"P_PRICE_LOW"&amp;"("&amp;INDEX(MO_SNA_FPStartDate,0,COLUMN())&amp;","&amp;INDEX(MO_Common_QEndDate,0,COLUMN())&amp;",,,,""PRICE"",""CLOSE"")"),"N/A")</f>
        <v>N/A</v>
      </c>
      <c r="V509" s="250" t="str">
        <f ca="1">IFERROR(FDS(MO.Ticker.FactSet,"P_PRICE_LOW"&amp;"("&amp;INDEX(MO_SNA_FPStartDate,0,COLUMN())&amp;","&amp;INDEX(MO_Common_QEndDate,0,COLUMN())&amp;",,,,""PRICE"",""CLOSE"")"),"N/A")</f>
        <v>N/A</v>
      </c>
      <c r="W509" s="250" t="str">
        <f ca="1">IFERROR(FDS(MO.Ticker.FactSet,"P_PRICE_LOW"&amp;"("&amp;INDEX(MO_SNA_FPStartDate,0,COLUMN())&amp;","&amp;INDEX(MO_Common_QEndDate,0,COLUMN())&amp;",,,,""PRICE"",""CLOSE"")"),"N/A")</f>
        <v>N/A</v>
      </c>
      <c r="X509" s="250" t="str">
        <f ca="1">IFERROR(FDS(MO.Ticker.FactSet,"P_PRICE_LOW"&amp;"("&amp;INDEX(MO_SNA_FPStartDate,0,COLUMN())&amp;","&amp;INDEX(MO_Common_QEndDate,0,COLUMN())&amp;",,,,""PRICE"",""CLOSE"")"),"N/A")</f>
        <v>N/A</v>
      </c>
      <c r="Y509" s="250" t="str">
        <f ca="1">IFERROR(FDS(MO.Ticker.FactSet,"P_PRICE_LOW"&amp;"("&amp;INDEX(MO_SNA_FPStartDate,0,COLUMN())&amp;","&amp;INDEX(MO_Common_QEndDate,0,COLUMN())&amp;",,,,""PRICE"",""CLOSE"")"),"N/A")</f>
        <v>N/A</v>
      </c>
      <c r="Z509" s="250" t="str">
        <f ca="1">IFERROR(FDS(MO.Ticker.FactSet,"P_PRICE_LOW"&amp;"("&amp;INDEX(MO_SNA_FPStartDate,0,COLUMN())&amp;","&amp;INDEX(MO_Common_QEndDate,0,COLUMN())&amp;",,,,""PRICE"",""CLOSE"")"),"N/A")</f>
        <v>N/A</v>
      </c>
      <c r="AA509" s="250" t="str">
        <f ca="1">IFERROR(FDS(MO.Ticker.FactSet,"P_PRICE_LOW"&amp;"("&amp;INDEX(MO_SNA_FPStartDate,0,COLUMN())&amp;","&amp;INDEX(MO_Common_QEndDate,0,COLUMN())&amp;",,,,""PRICE"",""CLOSE"")"),"N/A")</f>
        <v>N/A</v>
      </c>
      <c r="AB509" s="250" t="str">
        <f ca="1">IFERROR(FDS(MO.Ticker.FactSet,"P_PRICE_LOW"&amp;"("&amp;INDEX(MO_SNA_FPStartDate,0,COLUMN())&amp;","&amp;INDEX(MO_Common_QEndDate,0,COLUMN())&amp;",,,,""PRICE"",""CLOSE"")"),"N/A")</f>
        <v>N/A</v>
      </c>
      <c r="AC509" s="250" t="str">
        <f ca="1">IFERROR(FDS(MO.Ticker.FactSet,"P_PRICE_LOW"&amp;"("&amp;INDEX(MO_SNA_FPStartDate,0,COLUMN())&amp;","&amp;INDEX(MO_Common_QEndDate,0,COLUMN())&amp;",,,,""PRICE"",""CLOSE"")"),"N/A")</f>
        <v>N/A</v>
      </c>
      <c r="AD509" s="250" t="str">
        <f ca="1">IFERROR(FDS(MO.Ticker.FactSet,"P_PRICE_LOW"&amp;"("&amp;INDEX(MO_SNA_FPStartDate,0,COLUMN())&amp;","&amp;INDEX(MO_Common_QEndDate,0,COLUMN())&amp;",,,,""PRICE"",""CLOSE"")"),"N/A")</f>
        <v>N/A</v>
      </c>
      <c r="AE509" s="250" t="str">
        <f ca="1">IFERROR(FDS(MO.Ticker.FactSet,"P_PRICE_LOW"&amp;"("&amp;INDEX(MO_SNA_FPStartDate,0,COLUMN())&amp;","&amp;INDEX(MO_Common_QEndDate,0,COLUMN())&amp;",,,,""PRICE"",""CLOSE"")"),"N/A")</f>
        <v>N/A</v>
      </c>
      <c r="AF509" s="250" t="str">
        <f ca="1">IFERROR(FDS(MO.Ticker.FactSet,"P_PRICE_LOW"&amp;"("&amp;INDEX(MO_SNA_FPStartDate,0,COLUMN())&amp;","&amp;INDEX(MO_Common_QEndDate,0,COLUMN())&amp;",,,,""PRICE"",""CLOSE"")"),"N/A")</f>
        <v>N/A</v>
      </c>
      <c r="AG509" s="250" t="str">
        <f ca="1">IFERROR(FDS(MO.Ticker.FactSet,"P_PRICE_LOW"&amp;"("&amp;INDEX(MO_SNA_FPStartDate,0,COLUMN())&amp;","&amp;INDEX(MO_Common_QEndDate,0,COLUMN())&amp;",,,,""PRICE"",""CLOSE"")"),"N/A")</f>
        <v>N/A</v>
      </c>
      <c r="AH509" s="250" t="str">
        <f ca="1">IFERROR(FDS(MO.Ticker.FactSet,"P_PRICE_LOW"&amp;"("&amp;INDEX(MO_SNA_FPStartDate,0,COLUMN())&amp;","&amp;INDEX(MO_Common_QEndDate,0,COLUMN())&amp;",,,,""PRICE"",""CLOSE"")"),"N/A")</f>
        <v>N/A</v>
      </c>
      <c r="AI509" s="277" t="str">
        <f ca="1">IFERROR(FDS(MO.Ticker.FactSet,"P_PRICE_LOW"&amp;"("&amp;INDEX(MO_SNA_FPStartDate,0,COLUMN())&amp;","&amp;INDEX(MO_Common_QEndDate,0,COLUMN())&amp;",,,,""PRICE"",""CLOSE"")"),"N/A")</f>
        <v>N/A</v>
      </c>
      <c r="AJ509" s="277" t="str">
        <f ca="1">IFERROR(FDS(MO.Ticker.FactSet,"P_PRICE_LOW"&amp;"("&amp;INDEX(MO_SNA_FPStartDate,0,COLUMN())&amp;","&amp;INDEX(MO_Common_QEndDate,0,COLUMN())&amp;",,,,""PRICE"",""CLOSE"")"),"N/A")</f>
        <v>N/A</v>
      </c>
      <c r="AK509" s="277" t="str">
        <f ca="1">IFERROR(FDS(MO.Ticker.FactSet,"P_PRICE_LOW"&amp;"("&amp;INDEX(MO_SNA_FPStartDate,0,COLUMN())&amp;","&amp;INDEX(MO_Common_QEndDate,0,COLUMN())&amp;",,,,""PRICE"",""CLOSE"")"),"N/A")</f>
        <v>N/A</v>
      </c>
      <c r="AL509" s="277" t="str">
        <f ca="1">IFERROR(FDS(MO.Ticker.FactSet,"P_PRICE_LOW"&amp;"("&amp;INDEX(MO_SNA_FPStartDate,0,COLUMN())&amp;","&amp;INDEX(MO_Common_QEndDate,0,COLUMN())&amp;",,,,""PRICE"",""CLOSE"")"),"N/A")</f>
        <v>N/A</v>
      </c>
      <c r="AM509" s="277" t="str">
        <f ca="1">IFERROR(FDS(MO.Ticker.FactSet,"P_PRICE_LOW"&amp;"("&amp;INDEX(MO_SNA_FPStartDate,0,COLUMN())&amp;","&amp;INDEX(MO_Common_QEndDate,0,COLUMN())&amp;",,,,""PRICE"",""CLOSE"")"),"N/A")</f>
        <v>N/A</v>
      </c>
      <c r="AN509" s="277" t="str">
        <f ca="1">IFERROR(FDS(MO.Ticker.FactSet,"P_PRICE_LOW"&amp;"("&amp;INDEX(MO_SNA_FPStartDate,0,COLUMN())&amp;","&amp;INDEX(MO_Common_QEndDate,0,COLUMN())&amp;",,,,""PRICE"",""CLOSE"")"),"N/A")</f>
        <v>N/A</v>
      </c>
      <c r="AO509" s="277" t="str">
        <f ca="1">IFERROR(FDS(MO.Ticker.FactSet,"P_PRICE_LOW"&amp;"("&amp;INDEX(MO_SNA_FPStartDate,0,COLUMN())&amp;","&amp;INDEX(MO_Common_QEndDate,0,COLUMN())&amp;",,,,""PRICE"",""CLOSE"")"),"N/A")</f>
        <v>N/A</v>
      </c>
      <c r="AP509" s="277" t="str">
        <f ca="1">IFERROR(FDS(MO.Ticker.FactSet,"P_PRICE_LOW"&amp;"("&amp;INDEX(MO_SNA_FPStartDate,0,COLUMN())&amp;","&amp;INDEX(MO_Common_QEndDate,0,COLUMN())&amp;",,,,""PRICE"",""CLOSE"")"),"N/A")</f>
        <v>N/A</v>
      </c>
      <c r="AQ509" s="268" t="str">
        <f ca="1">IFERROR(FDS(MO.Ticker.FactSet,"P_PRICE_LOW"&amp;"("&amp;INDEX(MO_SNA_FPStartDate,0,COLUMN())&amp;","&amp;INDEX(MO_Common_QEndDate,0,COLUMN())&amp;",,,,""PRICE"",""CLOSE"")"),"N/A")</f>
        <v>N/A</v>
      </c>
      <c r="AR509" s="250" t="str">
        <f ca="1">IFERROR(FDS(MO.Ticker.FactSet,"P_PRICE_LOW"&amp;"("&amp;INDEX(MO_SNA_FPStartDate,0,COLUMN())&amp;","&amp;INDEX(MO_Common_QEndDate,0,COLUMN())&amp;",,,,""PRICE"",""CLOSE"")"),"N/A")</f>
        <v>N/A</v>
      </c>
      <c r="AS509" s="250" t="str">
        <f ca="1">IFERROR(FDS(MO.Ticker.FactSet,"P_PRICE_LOW"&amp;"("&amp;INDEX(MO_SNA_FPStartDate,0,COLUMN())&amp;","&amp;INDEX(MO_Common_QEndDate,0,COLUMN())&amp;",,,,""PRICE"",""CLOSE"")"),"N/A")</f>
        <v>N/A</v>
      </c>
      <c r="AT509" s="250" t="str">
        <f ca="1">IFERROR(FDS(MO.Ticker.FactSet,"P_PRICE_LOW"&amp;"("&amp;INDEX(MO_SNA_FPStartDate,0,COLUMN())&amp;","&amp;INDEX(MO_Common_QEndDate,0,COLUMN())&amp;",,,,""PRICE"",""CLOSE"")"),"N/A")</f>
        <v>N/A</v>
      </c>
      <c r="AU509" s="250" t="str">
        <f ca="1">IFERROR(FDS(MO.Ticker.FactSet,"P_PRICE_LOW"&amp;"("&amp;INDEX(MO_SNA_FPStartDate,0,COLUMN())&amp;","&amp;INDEX(MO_Common_QEndDate,0,COLUMN())&amp;",,,,""PRICE"",""CLOSE"")"),"N/A")</f>
        <v>N/A</v>
      </c>
      <c r="AV509" s="250" t="str">
        <f ca="1">IFERROR(FDS(MO.Ticker.FactSet,"P_PRICE_LOW"&amp;"("&amp;INDEX(MO_SNA_FPStartDate,0,COLUMN())&amp;","&amp;INDEX(MO_Common_QEndDate,0,COLUMN())&amp;",,,,""PRICE"",""CLOSE"")"),"N/A")</f>
        <v>N/A</v>
      </c>
      <c r="AW509" s="250" t="str">
        <f ca="1">IFERROR(FDS(MO.Ticker.FactSet,"P_PRICE_LOW"&amp;"("&amp;INDEX(MO_SNA_FPStartDate,0,COLUMN())&amp;","&amp;INDEX(MO_Common_QEndDate,0,COLUMN())&amp;",,,,""PRICE"",""CLOSE"")"),"N/A")</f>
        <v>N/A</v>
      </c>
      <c r="AX509" s="250" t="str">
        <f ca="1">IFERROR(FDS(MO.Ticker.FactSet,"P_PRICE_LOW"&amp;"("&amp;INDEX(MO_SNA_FPStartDate,0,COLUMN())&amp;","&amp;INDEX(MO_Common_QEndDate,0,COLUMN())&amp;",,,,""PRICE"",""CLOSE"")"),"N/A")</f>
        <v>N/A</v>
      </c>
      <c r="AY509" s="250" t="str">
        <f ca="1">IFERROR(FDS(MO.Ticker.FactSet,"P_PRICE_LOW"&amp;"("&amp;INDEX(MO_SNA_FPStartDate,0,COLUMN())&amp;","&amp;INDEX(MO_Common_QEndDate,0,COLUMN())&amp;",,,,""PRICE"",""CLOSE"")"),"N/A")</f>
        <v>N/A</v>
      </c>
      <c r="AZ509" s="250" t="str">
        <f ca="1">IFERROR(FDS(MO.Ticker.FactSet,"P_PRICE_LOW"&amp;"("&amp;INDEX(MO_SNA_FPStartDate,0,COLUMN())&amp;","&amp;INDEX(MO_Common_QEndDate,0,COLUMN())&amp;",,,,""PRICE"",""CLOSE"")"),"N/A")</f>
        <v>N/A</v>
      </c>
      <c r="BA509" s="250" t="str">
        <f ca="1">IFERROR(FDS(MO.Ticker.FactSet,"P_PRICE_LOW"&amp;"("&amp;INDEX(MO_SNA_FPStartDate,0,COLUMN())&amp;","&amp;INDEX(MO_Common_QEndDate,0,COLUMN())&amp;",,,,""PRICE"",""CLOSE"")"),"N/A")</f>
        <v>N/A</v>
      </c>
      <c r="BB509" s="252" t="str">
        <f ca="1">IFERROR(FDS(MO.Ticker.FactSet,"P_PRICE_LOW"&amp;"("&amp;INDEX(MO_SNA_FPStartDate,0,COLUMN())&amp;","&amp;INDEX(MO_Common_QEndDate,0,COLUMN())&amp;",,,,""PRICE"",""CLOSE"")"),"N/A")</f>
        <v>N/A</v>
      </c>
      <c r="BC509" s="253"/>
    </row>
    <row r="510" spans="1:55" s="254" customFormat="1" hidden="1" outlineLevel="1">
      <c r="A510" s="255" t="s">
        <v>292</v>
      </c>
      <c r="B510" s="250"/>
      <c r="C510" s="251" t="str">
        <f ca="1">IFERROR(_xll.TR(MO.Ticker.Thomson,"Min(TR.PriceLow)","sdate:#1 edate:#2",,INDEX(MO_SNA_FPStartDate,0,COLUMN()),INDEX(MO_Common_QEndDate,0,COLUMN())),"N/A")</f>
        <v>N/A</v>
      </c>
      <c r="D510" s="251" t="str">
        <f ca="1">IFERROR(_xll.TR(MO.Ticker.Thomson,"Min(TR.PriceLow)","sdate:#1 edate:#2",,INDEX(MO_SNA_FPStartDate,0,COLUMN()),INDEX(MO_Common_QEndDate,0,COLUMN())),"N/A")</f>
        <v>N/A</v>
      </c>
      <c r="E510" s="250" t="str">
        <f ca="1">IFERROR(_xll.TR(MO.Ticker.Thomson,"Min(TR.PriceLow)","sdate:#1 edate:#2",,INDEX(MO_SNA_FPStartDate,0,COLUMN()),INDEX(MO_Common_QEndDate,0,COLUMN())),"N/A")</f>
        <v>N/A</v>
      </c>
      <c r="F510" s="250" t="str">
        <f ca="1">IFERROR(_xll.TR(MO.Ticker.Thomson,"Min(TR.PriceLow)","sdate:#1 edate:#2",,INDEX(MO_SNA_FPStartDate,0,COLUMN()),INDEX(MO_Common_QEndDate,0,COLUMN())),"N/A")</f>
        <v>N/A</v>
      </c>
      <c r="G510" s="250" t="str">
        <f ca="1">IFERROR(_xll.TR(MO.Ticker.Thomson,"Min(TR.PriceLow)","sdate:#1 edate:#2",,INDEX(MO_SNA_FPStartDate,0,COLUMN()),INDEX(MO_Common_QEndDate,0,COLUMN())),"N/A")</f>
        <v>N/A</v>
      </c>
      <c r="H510" s="250" t="str">
        <f ca="1">IFERROR(_xll.TR(MO.Ticker.Thomson,"Min(TR.PriceLow)","sdate:#1 edate:#2",,INDEX(MO_SNA_FPStartDate,0,COLUMN()),INDEX(MO_Common_QEndDate,0,COLUMN())),"N/A")</f>
        <v>N/A</v>
      </c>
      <c r="I510" s="250" t="str">
        <f ca="1">IFERROR(_xll.TR(MO.Ticker.Thomson,"Min(TR.PriceLow)","sdate:#1 edate:#2",,INDEX(MO_SNA_FPStartDate,0,COLUMN()),INDEX(MO_Common_QEndDate,0,COLUMN())),"N/A")</f>
        <v>N/A</v>
      </c>
      <c r="J510" s="250" t="str">
        <f ca="1">IFERROR(_xll.TR(MO.Ticker.Thomson,"Min(TR.PriceLow)","sdate:#1 edate:#2",,INDEX(MO_SNA_FPStartDate,0,COLUMN()),INDEX(MO_Common_QEndDate,0,COLUMN())),"N/A")</f>
        <v>N/A</v>
      </c>
      <c r="K510" s="250" t="str">
        <f ca="1">IFERROR(_xll.TR(MO.Ticker.Thomson,"Min(TR.PriceLow)","sdate:#1 edate:#2",,INDEX(MO_SNA_FPStartDate,0,COLUMN()),INDEX(MO_Common_QEndDate,0,COLUMN())),"N/A")</f>
        <v>N/A</v>
      </c>
      <c r="L510" s="250" t="str">
        <f ca="1">IFERROR(_xll.TR(MO.Ticker.Thomson,"Min(TR.PriceLow)","sdate:#1 edate:#2",,INDEX(MO_SNA_FPStartDate,0,COLUMN()),INDEX(MO_Common_QEndDate,0,COLUMN())),"N/A")</f>
        <v>N/A</v>
      </c>
      <c r="M510" s="250" t="str">
        <f ca="1">IFERROR(_xll.TR(MO.Ticker.Thomson,"Min(TR.PriceLow)","sdate:#1 edate:#2",,INDEX(MO_SNA_FPStartDate,0,COLUMN()),INDEX(MO_Common_QEndDate,0,COLUMN())),"N/A")</f>
        <v>N/A</v>
      </c>
      <c r="N510" s="250" t="str">
        <f ca="1">IFERROR(_xll.TR(MO.Ticker.Thomson,"Min(TR.PriceLow)","sdate:#1 edate:#2",,INDEX(MO_SNA_FPStartDate,0,COLUMN()),INDEX(MO_Common_QEndDate,0,COLUMN())),"N/A")</f>
        <v>N/A</v>
      </c>
      <c r="O510" s="250" t="str">
        <f ca="1">IFERROR(_xll.TR(MO.Ticker.Thomson,"Min(TR.PriceLow)","sdate:#1 edate:#2",,INDEX(MO_SNA_FPStartDate,0,COLUMN()),INDEX(MO_Common_QEndDate,0,COLUMN())),"N/A")</f>
        <v>N/A</v>
      </c>
      <c r="P510" s="250" t="str">
        <f ca="1">IFERROR(_xll.TR(MO.Ticker.Thomson,"Min(TR.PriceLow)","sdate:#1 edate:#2",,INDEX(MO_SNA_FPStartDate,0,COLUMN()),INDEX(MO_Common_QEndDate,0,COLUMN())),"N/A")</f>
        <v>N/A</v>
      </c>
      <c r="Q510" s="250" t="str">
        <f ca="1">IFERROR(_xll.TR(MO.Ticker.Thomson,"Min(TR.PriceLow)","sdate:#1 edate:#2",,INDEX(MO_SNA_FPStartDate,0,COLUMN()),INDEX(MO_Common_QEndDate,0,COLUMN())),"N/A")</f>
        <v>N/A</v>
      </c>
      <c r="R510" s="250" t="str">
        <f ca="1">IFERROR(_xll.TR(MO.Ticker.Thomson,"Min(TR.PriceLow)","sdate:#1 edate:#2",,INDEX(MO_SNA_FPStartDate,0,COLUMN()),INDEX(MO_Common_QEndDate,0,COLUMN())),"N/A")</f>
        <v>N/A</v>
      </c>
      <c r="S510" s="250" t="str">
        <f ca="1">IFERROR(_xll.TR(MO.Ticker.Thomson,"Min(TR.PriceLow)","sdate:#1 edate:#2",,INDEX(MO_SNA_FPStartDate,0,COLUMN()),INDEX(MO_Common_QEndDate,0,COLUMN())),"N/A")</f>
        <v>N/A</v>
      </c>
      <c r="T510" s="250" t="str">
        <f ca="1">IFERROR(_xll.TR(MO.Ticker.Thomson,"Min(TR.PriceLow)","sdate:#1 edate:#2",,INDEX(MO_SNA_FPStartDate,0,COLUMN()),INDEX(MO_Common_QEndDate,0,COLUMN())),"N/A")</f>
        <v>N/A</v>
      </c>
      <c r="U510" s="250" t="str">
        <f ca="1">IFERROR(_xll.TR(MO.Ticker.Thomson,"Min(TR.PriceLow)","sdate:#1 edate:#2",,INDEX(MO_SNA_FPStartDate,0,COLUMN()),INDEX(MO_Common_QEndDate,0,COLUMN())),"N/A")</f>
        <v>N/A</v>
      </c>
      <c r="V510" s="250" t="str">
        <f ca="1">IFERROR(_xll.TR(MO.Ticker.Thomson,"Min(TR.PriceLow)","sdate:#1 edate:#2",,INDEX(MO_SNA_FPStartDate,0,COLUMN()),INDEX(MO_Common_QEndDate,0,COLUMN())),"N/A")</f>
        <v>N/A</v>
      </c>
      <c r="W510" s="250" t="str">
        <f ca="1">IFERROR(_xll.TR(MO.Ticker.Thomson,"Min(TR.PriceLow)","sdate:#1 edate:#2",,INDEX(MO_SNA_FPStartDate,0,COLUMN()),INDEX(MO_Common_QEndDate,0,COLUMN())),"N/A")</f>
        <v>N/A</v>
      </c>
      <c r="X510" s="250" t="str">
        <f ca="1">IFERROR(_xll.TR(MO.Ticker.Thomson,"Min(TR.PriceLow)","sdate:#1 edate:#2",,INDEX(MO_SNA_FPStartDate,0,COLUMN()),INDEX(MO_Common_QEndDate,0,COLUMN())),"N/A")</f>
        <v>N/A</v>
      </c>
      <c r="Y510" s="250" t="str">
        <f ca="1">IFERROR(_xll.TR(MO.Ticker.Thomson,"Min(TR.PriceLow)","sdate:#1 edate:#2",,INDEX(MO_SNA_FPStartDate,0,COLUMN()),INDEX(MO_Common_QEndDate,0,COLUMN())),"N/A")</f>
        <v>N/A</v>
      </c>
      <c r="Z510" s="250" t="str">
        <f ca="1">IFERROR(_xll.TR(MO.Ticker.Thomson,"Min(TR.PriceLow)","sdate:#1 edate:#2",,INDEX(MO_SNA_FPStartDate,0,COLUMN()),INDEX(MO_Common_QEndDate,0,COLUMN())),"N/A")</f>
        <v>N/A</v>
      </c>
      <c r="AA510" s="250" t="str">
        <f ca="1">IFERROR(_xll.TR(MO.Ticker.Thomson,"Min(TR.PriceLow)","sdate:#1 edate:#2",,INDEX(MO_SNA_FPStartDate,0,COLUMN()),INDEX(MO_Common_QEndDate,0,COLUMN())),"N/A")</f>
        <v>N/A</v>
      </c>
      <c r="AB510" s="250" t="str">
        <f ca="1">IFERROR(_xll.TR(MO.Ticker.Thomson,"Min(TR.PriceLow)","sdate:#1 edate:#2",,INDEX(MO_SNA_FPStartDate,0,COLUMN()),INDEX(MO_Common_QEndDate,0,COLUMN())),"N/A")</f>
        <v>N/A</v>
      </c>
      <c r="AC510" s="250" t="str">
        <f ca="1">IFERROR(_xll.TR(MO.Ticker.Thomson,"Min(TR.PriceLow)","sdate:#1 edate:#2",,INDEX(MO_SNA_FPStartDate,0,COLUMN()),INDEX(MO_Common_QEndDate,0,COLUMN())),"N/A")</f>
        <v>N/A</v>
      </c>
      <c r="AD510" s="250" t="str">
        <f ca="1">IFERROR(_xll.TR(MO.Ticker.Thomson,"Min(TR.PriceLow)","sdate:#1 edate:#2",,INDEX(MO_SNA_FPStartDate,0,COLUMN()),INDEX(MO_Common_QEndDate,0,COLUMN())),"N/A")</f>
        <v>N/A</v>
      </c>
      <c r="AE510" s="250" t="str">
        <f ca="1">IFERROR(_xll.TR(MO.Ticker.Thomson,"Min(TR.PriceLow)","sdate:#1 edate:#2",,INDEX(MO_SNA_FPStartDate,0,COLUMN()),INDEX(MO_Common_QEndDate,0,COLUMN())),"N/A")</f>
        <v>N/A</v>
      </c>
      <c r="AF510" s="250" t="str">
        <f ca="1">IFERROR(_xll.TR(MO.Ticker.Thomson,"Min(TR.PriceLow)","sdate:#1 edate:#2",,INDEX(MO_SNA_FPStartDate,0,COLUMN()),INDEX(MO_Common_QEndDate,0,COLUMN())),"N/A")</f>
        <v>N/A</v>
      </c>
      <c r="AG510" s="250" t="str">
        <f ca="1">IFERROR(_xll.TR(MO.Ticker.Thomson,"Min(TR.PriceLow)","sdate:#1 edate:#2",,INDEX(MO_SNA_FPStartDate,0,COLUMN()),INDEX(MO_Common_QEndDate,0,COLUMN())),"N/A")</f>
        <v>N/A</v>
      </c>
      <c r="AH510" s="250" t="str">
        <f ca="1">IFERROR(_xll.TR(MO.Ticker.Thomson,"Min(TR.PriceLow)","sdate:#1 edate:#2",,INDEX(MO_SNA_FPStartDate,0,COLUMN()),INDEX(MO_Common_QEndDate,0,COLUMN())),"N/A")</f>
        <v>N/A</v>
      </c>
      <c r="AI510" s="277" t="str">
        <f ca="1">IFERROR(_xll.TR(MO.Ticker.Thomson,"Min(TR.PriceLow)","sdate:#1 edate:#2",,INDEX(MO_SNA_FPStartDate,0,COLUMN()),INDEX(MO_Common_QEndDate,0,COLUMN())),"N/A")</f>
        <v>N/A</v>
      </c>
      <c r="AJ510" s="277" t="str">
        <f ca="1">IFERROR(_xll.TR(MO.Ticker.Thomson,"Min(TR.PriceLow)","sdate:#1 edate:#2",,INDEX(MO_SNA_FPStartDate,0,COLUMN()),INDEX(MO_Common_QEndDate,0,COLUMN())),"N/A")</f>
        <v>N/A</v>
      </c>
      <c r="AK510" s="277" t="str">
        <f ca="1">IFERROR(_xll.TR(MO.Ticker.Thomson,"Min(TR.PriceLow)","sdate:#1 edate:#2",,INDEX(MO_SNA_FPStartDate,0,COLUMN()),INDEX(MO_Common_QEndDate,0,COLUMN())),"N/A")</f>
        <v>N/A</v>
      </c>
      <c r="AL510" s="277" t="str">
        <f ca="1">IFERROR(_xll.TR(MO.Ticker.Thomson,"Min(TR.PriceLow)","sdate:#1 edate:#2",,INDEX(MO_SNA_FPStartDate,0,COLUMN()),INDEX(MO_Common_QEndDate,0,COLUMN())),"N/A")</f>
        <v>N/A</v>
      </c>
      <c r="AM510" s="277" t="str">
        <f ca="1">IFERROR(_xll.TR(MO.Ticker.Thomson,"Min(TR.PriceLow)","sdate:#1 edate:#2",,INDEX(MO_SNA_FPStartDate,0,COLUMN()),INDEX(MO_Common_QEndDate,0,COLUMN())),"N/A")</f>
        <v>N/A</v>
      </c>
      <c r="AN510" s="277" t="str">
        <f ca="1">IFERROR(_xll.TR(MO.Ticker.Thomson,"Min(TR.PriceLow)","sdate:#1 edate:#2",,INDEX(MO_SNA_FPStartDate,0,COLUMN()),INDEX(MO_Common_QEndDate,0,COLUMN())),"N/A")</f>
        <v>N/A</v>
      </c>
      <c r="AO510" s="277" t="str">
        <f ca="1">IFERROR(_xll.TR(MO.Ticker.Thomson,"Min(TR.PriceLow)","sdate:#1 edate:#2",,INDEX(MO_SNA_FPStartDate,0,COLUMN()),INDEX(MO_Common_QEndDate,0,COLUMN())),"N/A")</f>
        <v>N/A</v>
      </c>
      <c r="AP510" s="277" t="str">
        <f ca="1">IFERROR(_xll.TR(MO.Ticker.Thomson,"Min(TR.PriceLow)","sdate:#1 edate:#2",,INDEX(MO_SNA_FPStartDate,0,COLUMN()),INDEX(MO_Common_QEndDate,0,COLUMN())),"N/A")</f>
        <v>N/A</v>
      </c>
      <c r="AQ510" s="268" t="str">
        <f ca="1">IFERROR(_xll.TR(MO.Ticker.Thomson,"Min(TR.PriceLow)","sdate:#1 edate:#2",,INDEX(MO_SNA_FPStartDate,0,COLUMN()),INDEX(MO_Common_QEndDate,0,COLUMN())),"N/A")</f>
        <v>N/A</v>
      </c>
      <c r="AR510" s="250" t="str">
        <f ca="1">IFERROR(_xll.TR(MO.Ticker.Thomson,"Min(TR.PriceLow)","sdate:#1 edate:#2",,INDEX(MO_SNA_FPStartDate,0,COLUMN()),INDEX(MO_Common_QEndDate,0,COLUMN())),"N/A")</f>
        <v>N/A</v>
      </c>
      <c r="AS510" s="250" t="str">
        <f ca="1">IFERROR(_xll.TR(MO.Ticker.Thomson,"Min(TR.PriceLow)","sdate:#1 edate:#2",,INDEX(MO_SNA_FPStartDate,0,COLUMN()),INDEX(MO_Common_QEndDate,0,COLUMN())),"N/A")</f>
        <v>N/A</v>
      </c>
      <c r="AT510" s="250" t="str">
        <f ca="1">IFERROR(_xll.TR(MO.Ticker.Thomson,"Min(TR.PriceLow)","sdate:#1 edate:#2",,INDEX(MO_SNA_FPStartDate,0,COLUMN()),INDEX(MO_Common_QEndDate,0,COLUMN())),"N/A")</f>
        <v>N/A</v>
      </c>
      <c r="AU510" s="250" t="str">
        <f ca="1">IFERROR(_xll.TR(MO.Ticker.Thomson,"Min(TR.PriceLow)","sdate:#1 edate:#2",,INDEX(MO_SNA_FPStartDate,0,COLUMN()),INDEX(MO_Common_QEndDate,0,COLUMN())),"N/A")</f>
        <v>N/A</v>
      </c>
      <c r="AV510" s="250" t="str">
        <f ca="1">IFERROR(_xll.TR(MO.Ticker.Thomson,"Min(TR.PriceLow)","sdate:#1 edate:#2",,INDEX(MO_SNA_FPStartDate,0,COLUMN()),INDEX(MO_Common_QEndDate,0,COLUMN())),"N/A")</f>
        <v>N/A</v>
      </c>
      <c r="AW510" s="250" t="str">
        <f ca="1">IFERROR(_xll.TR(MO.Ticker.Thomson,"Min(TR.PriceLow)","sdate:#1 edate:#2",,INDEX(MO_SNA_FPStartDate,0,COLUMN()),INDEX(MO_Common_QEndDate,0,COLUMN())),"N/A")</f>
        <v>N/A</v>
      </c>
      <c r="AX510" s="250" t="str">
        <f ca="1">IFERROR(_xll.TR(MO.Ticker.Thomson,"Min(TR.PriceLow)","sdate:#1 edate:#2",,INDEX(MO_SNA_FPStartDate,0,COLUMN()),INDEX(MO_Common_QEndDate,0,COLUMN())),"N/A")</f>
        <v>N/A</v>
      </c>
      <c r="AY510" s="250" t="str">
        <f ca="1">IFERROR(_xll.TR(MO.Ticker.Thomson,"Min(TR.PriceLow)","sdate:#1 edate:#2",,INDEX(MO_SNA_FPStartDate,0,COLUMN()),INDEX(MO_Common_QEndDate,0,COLUMN())),"N/A")</f>
        <v>N/A</v>
      </c>
      <c r="AZ510" s="250" t="str">
        <f ca="1">IFERROR(_xll.TR(MO.Ticker.Thomson,"Min(TR.PriceLow)","sdate:#1 edate:#2",,INDEX(MO_SNA_FPStartDate,0,COLUMN()),INDEX(MO_Common_QEndDate,0,COLUMN())),"N/A")</f>
        <v>N/A</v>
      </c>
      <c r="BA510" s="250" t="str">
        <f ca="1">IFERROR(_xll.TR(MO.Ticker.Thomson,"Min(TR.PriceLow)","sdate:#1 edate:#2",,INDEX(MO_SNA_FPStartDate,0,COLUMN()),INDEX(MO_Common_QEndDate,0,COLUMN())),"N/A")</f>
        <v>N/A</v>
      </c>
      <c r="BB510" s="252" t="str">
        <f ca="1">IFERROR(_xll.TR(MO.Ticker.Thomson,"Min(TR.PriceLow)","sdate:#1 edate:#2",,INDEX(MO_SNA_FPStartDate,0,COLUMN()),INDEX(MO_Common_QEndDate,0,COLUMN())),"N/A")</f>
        <v>N/A</v>
      </c>
      <c r="BC510" s="253"/>
    </row>
    <row r="511" spans="1:55" s="1" customFormat="1" hidden="1" outlineLevel="1">
      <c r="A511" s="213"/>
      <c r="B511" s="520"/>
      <c r="C511" s="93"/>
      <c r="D511" s="93"/>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15"/>
      <c r="AJ511" s="515"/>
      <c r="AK511" s="515"/>
      <c r="AL511" s="515"/>
      <c r="AM511" s="515"/>
      <c r="AN511" s="515"/>
      <c r="AO511" s="534"/>
      <c r="AP511" s="534"/>
      <c r="AQ511" s="535"/>
      <c r="AR511" s="516"/>
      <c r="AS511" s="516"/>
      <c r="AT511" s="516"/>
      <c r="AU511" s="516"/>
      <c r="AV511" s="516"/>
      <c r="AW511" s="516"/>
      <c r="AX511" s="516"/>
      <c r="AY511" s="516"/>
      <c r="AZ511" s="516"/>
      <c r="BA511" s="516"/>
      <c r="BB511" s="503"/>
      <c r="BC511" s="221"/>
    </row>
    <row r="512" spans="1:55" s="254" customFormat="1" collapsed="1">
      <c r="A512" s="249" t="str">
        <f ca="1">"Stock Average: "&amp;IF(OR(MO.RealTimeStockPriceToggle=FALSE,VLOOKUP(MO.DataSourceName,MO_SPT_StockAverage_Sources,COLUMN()+2,FALSE)="N/A"),"Real-Time Off Source",MO.DataSourceName)</f>
        <v>Stock Average: Real-Time Off Source</v>
      </c>
      <c r="B512" s="250"/>
      <c r="C512" s="251">
        <f t="shared" ref="C512:AH512" ca="1" si="344">IF(OR(MO.RealTimeStockPriceToggle=FALSE,VLOOKUP(MO.DataSourceName,MO_SPT_StockAverage_Sources,COLUMN(),FALSE)="N/A"),VLOOKUP("Real-Time Off Source",MO_SPT_StockAverage_Sources,COLUMN(),FALSE),VLOOKUP(MO.DataSourceName,MO_SPT_StockAverage_Sources,COLUMN(),FALSE))</f>
        <v>3.99363478487032</v>
      </c>
      <c r="D512" s="251">
        <f t="shared" ca="1" si="344"/>
        <v>6.6468614324274897</v>
      </c>
      <c r="E512" s="250">
        <f t="shared" ca="1" si="344"/>
        <v>14.9725437543855</v>
      </c>
      <c r="F512" s="250">
        <f t="shared" ca="1" si="344"/>
        <v>14.601683981214901</v>
      </c>
      <c r="G512" s="250">
        <f t="shared" ca="1" si="344"/>
        <v>16.570276697600001</v>
      </c>
      <c r="H512" s="250">
        <f t="shared" ca="1" si="344"/>
        <v>20.928289706800001</v>
      </c>
      <c r="I512" s="250">
        <f t="shared" ca="1" si="344"/>
        <v>28.196684344000001</v>
      </c>
      <c r="J512" s="250">
        <f t="shared" ca="1" si="344"/>
        <v>34.716695133999998</v>
      </c>
      <c r="K512" s="250">
        <f t="shared" ca="1" si="344"/>
        <v>25.102986470600001</v>
      </c>
      <c r="L512" s="250">
        <f t="shared" ca="1" si="344"/>
        <v>33.548762766400003</v>
      </c>
      <c r="M512" s="250">
        <f t="shared" ca="1" si="344"/>
        <v>31.768516342000002</v>
      </c>
      <c r="N512" s="250">
        <f t="shared" ca="1" si="344"/>
        <v>32.664309128799999</v>
      </c>
      <c r="O512" s="250">
        <f t="shared" ca="1" si="344"/>
        <v>32.2107431608</v>
      </c>
      <c r="P512" s="250">
        <f t="shared" ca="1" si="344"/>
        <v>32.548082849499998</v>
      </c>
      <c r="Q512" s="250">
        <f t="shared" ca="1" si="344"/>
        <v>47.658428000000001</v>
      </c>
      <c r="R512" s="250">
        <f t="shared" ca="1" si="344"/>
        <v>54.410871999999998</v>
      </c>
      <c r="S512" s="250">
        <f t="shared" ca="1" si="344"/>
        <v>41.514704000000002</v>
      </c>
      <c r="T512" s="250">
        <f t="shared" ca="1" si="344"/>
        <v>33.518732</v>
      </c>
      <c r="U512" s="250">
        <f t="shared" ca="1" si="344"/>
        <v>44.275683999999998</v>
      </c>
      <c r="V512" s="250">
        <f t="shared" ca="1" si="344"/>
        <v>24.4826086956522</v>
      </c>
      <c r="W512" s="250">
        <f t="shared" ca="1" si="344"/>
        <v>26.9</v>
      </c>
      <c r="X512" s="250">
        <f t="shared" ca="1" si="344"/>
        <v>29.226086956521701</v>
      </c>
      <c r="Y512" s="250">
        <f t="shared" ca="1" si="344"/>
        <v>31.0695652173913</v>
      </c>
      <c r="Z512" s="250">
        <f t="shared" ca="1" si="344"/>
        <v>27.919565217391298</v>
      </c>
      <c r="AA512" s="250">
        <f t="shared" ca="1" si="344"/>
        <v>27.634782608695701</v>
      </c>
      <c r="AB512" s="250">
        <f t="shared" ca="1" si="344"/>
        <v>27.4</v>
      </c>
      <c r="AC512" s="250">
        <f t="shared" ca="1" si="344"/>
        <v>24.595652173912999</v>
      </c>
      <c r="AD512" s="250">
        <f t="shared" ca="1" si="344"/>
        <v>32.182608695652199</v>
      </c>
      <c r="AE512" s="250">
        <f t="shared" ca="1" si="344"/>
        <v>27.953260869565199</v>
      </c>
      <c r="AF512" s="250">
        <f t="shared" ca="1" si="344"/>
        <v>34.875340983606598</v>
      </c>
      <c r="AG512" s="250">
        <f t="shared" ca="1" si="344"/>
        <v>30.973424999999999</v>
      </c>
      <c r="AH512" s="250">
        <f t="shared" ca="1" si="344"/>
        <v>35.524276190476201</v>
      </c>
      <c r="AI512" s="277">
        <f t="shared" ref="AI512:BB512" ca="1" si="345">IF(OR(MO.RealTimeStockPriceToggle=FALSE,VLOOKUP(MO.DataSourceName,MO_SPT_StockAverage_Sources,COLUMN(),FALSE)="N/A"),VLOOKUP("Real-Time Off Source",MO_SPT_StockAverage_Sources,COLUMN(),FALSE),VLOOKUP(MO.DataSourceName,MO_SPT_StockAverage_Sources,COLUMN(),FALSE))</f>
        <v>31.485012698412699</v>
      </c>
      <c r="AJ512" s="277">
        <f t="shared" ca="1" si="345"/>
        <v>33.192351394422303</v>
      </c>
      <c r="AK512" s="277">
        <f t="shared" ca="1" si="345"/>
        <v>31.982459016393499</v>
      </c>
      <c r="AL512" s="277">
        <f t="shared" ca="1" si="345"/>
        <v>37.7184920634921</v>
      </c>
      <c r="AM512" s="277">
        <f t="shared" ca="1" si="345"/>
        <v>32.211953125000001</v>
      </c>
      <c r="AN512" s="277">
        <f t="shared" ca="1" si="345"/>
        <v>29.465468749999999</v>
      </c>
      <c r="AO512" s="277">
        <f t="shared" ca="1" si="345"/>
        <v>32.8355158730159</v>
      </c>
      <c r="AP512" s="277">
        <f t="shared" ca="1" si="345"/>
        <v>21.5854838709677</v>
      </c>
      <c r="AQ512" s="268">
        <f t="shared" ca="1" si="345"/>
        <v>9.3803968253968204</v>
      </c>
      <c r="AR512" s="250">
        <f t="shared" ca="1" si="345"/>
        <v>0</v>
      </c>
      <c r="AS512" s="250">
        <f t="shared" ca="1" si="345"/>
        <v>0</v>
      </c>
      <c r="AT512" s="250">
        <f t="shared" ca="1" si="345"/>
        <v>0</v>
      </c>
      <c r="AU512" s="250">
        <f t="shared" ca="1" si="345"/>
        <v>0</v>
      </c>
      <c r="AV512" s="250">
        <f t="shared" ca="1" si="345"/>
        <v>0</v>
      </c>
      <c r="AW512" s="250">
        <f t="shared" ca="1" si="345"/>
        <v>0</v>
      </c>
      <c r="AX512" s="250">
        <f t="shared" ca="1" si="345"/>
        <v>0</v>
      </c>
      <c r="AY512" s="250">
        <f t="shared" ca="1" si="345"/>
        <v>0</v>
      </c>
      <c r="AZ512" s="250">
        <f t="shared" ca="1" si="345"/>
        <v>0</v>
      </c>
      <c r="BA512" s="250">
        <f t="shared" ca="1" si="345"/>
        <v>0</v>
      </c>
      <c r="BB512" s="252">
        <f t="shared" ca="1" si="345"/>
        <v>0</v>
      </c>
      <c r="BC512" s="253"/>
    </row>
    <row r="513" spans="1:55" s="254" customFormat="1" hidden="1" outlineLevel="1">
      <c r="A513" s="255" t="s">
        <v>383</v>
      </c>
      <c r="B513" s="250"/>
      <c r="C513" s="251">
        <v>3.99363478487032</v>
      </c>
      <c r="D513" s="251">
        <v>6.6468614324274897</v>
      </c>
      <c r="E513" s="250">
        <v>14.9725437543855</v>
      </c>
      <c r="F513" s="250">
        <v>14.601683981214901</v>
      </c>
      <c r="G513" s="250">
        <v>16.570276697600001</v>
      </c>
      <c r="H513" s="250">
        <v>20.928289706800001</v>
      </c>
      <c r="I513" s="250">
        <v>28.196684344000001</v>
      </c>
      <c r="J513" s="250">
        <v>34.716695133999998</v>
      </c>
      <c r="K513" s="250">
        <v>25.102986470600001</v>
      </c>
      <c r="L513" s="250">
        <v>33.548762766400003</v>
      </c>
      <c r="M513" s="250">
        <v>31.768516342000002</v>
      </c>
      <c r="N513" s="250">
        <v>32.664309128799999</v>
      </c>
      <c r="O513" s="250">
        <v>32.2107431608</v>
      </c>
      <c r="P513" s="250">
        <v>32.548082849499998</v>
      </c>
      <c r="Q513" s="250">
        <v>47.658428000000001</v>
      </c>
      <c r="R513" s="250">
        <v>54.410871999999998</v>
      </c>
      <c r="S513" s="250">
        <v>41.514704000000002</v>
      </c>
      <c r="T513" s="250">
        <v>33.518732</v>
      </c>
      <c r="U513" s="250">
        <v>44.275683999999998</v>
      </c>
      <c r="V513" s="250">
        <v>24.4826086956522</v>
      </c>
      <c r="W513" s="250">
        <v>26.9</v>
      </c>
      <c r="X513" s="250">
        <v>29.226086956521701</v>
      </c>
      <c r="Y513" s="250">
        <v>31.0695652173913</v>
      </c>
      <c r="Z513" s="250">
        <v>27.919565217391298</v>
      </c>
      <c r="AA513" s="250">
        <v>27.634782608695701</v>
      </c>
      <c r="AB513" s="250">
        <v>27.4</v>
      </c>
      <c r="AC513" s="250">
        <v>24.595652173912999</v>
      </c>
      <c r="AD513" s="250">
        <v>32.182608695652199</v>
      </c>
      <c r="AE513" s="250">
        <v>27.953260869565199</v>
      </c>
      <c r="AF513" s="250">
        <v>34.875340983606598</v>
      </c>
      <c r="AG513" s="250">
        <v>30.973424999999999</v>
      </c>
      <c r="AH513" s="250">
        <v>35.524276190476201</v>
      </c>
      <c r="AI513" s="277">
        <v>31.485012698412699</v>
      </c>
      <c r="AJ513" s="277">
        <v>33.192351394422303</v>
      </c>
      <c r="AK513" s="277">
        <v>31.982459016393499</v>
      </c>
      <c r="AL513" s="277">
        <v>37.7184920634921</v>
      </c>
      <c r="AM513" s="277">
        <v>32.211953125000001</v>
      </c>
      <c r="AN513" s="277">
        <v>29.465468749999999</v>
      </c>
      <c r="AO513" s="277">
        <v>32.8355158730159</v>
      </c>
      <c r="AP513" s="277">
        <v>21.5854838709677</v>
      </c>
      <c r="AQ513" s="268">
        <v>9.3803968253968204</v>
      </c>
      <c r="AR513" s="223"/>
      <c r="AS513" s="223"/>
      <c r="AT513" s="223"/>
      <c r="AU513" s="223"/>
      <c r="AV513" s="223"/>
      <c r="AW513" s="223"/>
      <c r="AX513" s="223"/>
      <c r="AY513" s="223"/>
      <c r="AZ513" s="223"/>
      <c r="BA513" s="223"/>
      <c r="BB513" s="502"/>
      <c r="BC513" s="253"/>
    </row>
    <row r="514" spans="1:55" s="254" customFormat="1" hidden="1" outlineLevel="1">
      <c r="A514" s="255" t="s">
        <v>273</v>
      </c>
      <c r="B514" s="250"/>
      <c r="C514" s="251" t="str">
        <f ca="1">IFERROR(BDP(MO.Ticker.Bloomberg&amp;" Equity","INTERVAL_AVG","MARKET_DATA_OVERRIDE=PX_LAST","START_DATE_OVERRIDE",TEXT(INDEX(MO_SNA_FPStartDate,0,COLUMN()),"YYYYMMDD"),"END_DATE_OVERRIDE",TEXT(INDEX(MO_Common_QEndDate,0,COLUMN()),"YYYYMMDD")),"N/A")</f>
        <v>N/A</v>
      </c>
      <c r="D514" s="251" t="str">
        <f ca="1">IFERROR(BDP(MO.Ticker.Bloomberg&amp;" Equity","INTERVAL_AVG","MARKET_DATA_OVERRIDE=PX_LAST","START_DATE_OVERRIDE",TEXT(INDEX(MO_SNA_FPStartDate,0,COLUMN()),"YYYYMMDD"),"END_DATE_OVERRIDE",TEXT(INDEX(MO_Common_QEndDate,0,COLUMN()),"YYYYMMDD")),"N/A")</f>
        <v>N/A</v>
      </c>
      <c r="E514" s="250" t="str">
        <f ca="1">IFERROR(BDP(MO.Ticker.Bloomberg&amp;" Equity","INTERVAL_AVG","MARKET_DATA_OVERRIDE=PX_LAST","START_DATE_OVERRIDE",TEXT(INDEX(MO_SNA_FPStartDate,0,COLUMN()),"YYYYMMDD"),"END_DATE_OVERRIDE",TEXT(INDEX(MO_Common_QEndDate,0,COLUMN()),"YYYYMMDD")),"N/A")</f>
        <v>N/A</v>
      </c>
      <c r="F514" s="250" t="str">
        <f ca="1">IFERROR(BDP(MO.Ticker.Bloomberg&amp;" Equity","INTERVAL_AVG","MARKET_DATA_OVERRIDE=PX_LAST","START_DATE_OVERRIDE",TEXT(INDEX(MO_SNA_FPStartDate,0,COLUMN()),"YYYYMMDD"),"END_DATE_OVERRIDE",TEXT(INDEX(MO_Common_QEndDate,0,COLUMN()),"YYYYMMDD")),"N/A")</f>
        <v>N/A</v>
      </c>
      <c r="G514" s="250" t="str">
        <f ca="1">IFERROR(BDP(MO.Ticker.Bloomberg&amp;" Equity","INTERVAL_AVG","MARKET_DATA_OVERRIDE=PX_LAST","START_DATE_OVERRIDE",TEXT(INDEX(MO_SNA_FPStartDate,0,COLUMN()),"YYYYMMDD"),"END_DATE_OVERRIDE",TEXT(INDEX(MO_Common_QEndDate,0,COLUMN()),"YYYYMMDD")),"N/A")</f>
        <v>N/A</v>
      </c>
      <c r="H514" s="250" t="str">
        <f ca="1">IFERROR(BDP(MO.Ticker.Bloomberg&amp;" Equity","INTERVAL_AVG","MARKET_DATA_OVERRIDE=PX_LAST","START_DATE_OVERRIDE",TEXT(INDEX(MO_SNA_FPStartDate,0,COLUMN()),"YYYYMMDD"),"END_DATE_OVERRIDE",TEXT(INDEX(MO_Common_QEndDate,0,COLUMN()),"YYYYMMDD")),"N/A")</f>
        <v>N/A</v>
      </c>
      <c r="I514" s="250" t="str">
        <f ca="1">IFERROR(BDP(MO.Ticker.Bloomberg&amp;" Equity","INTERVAL_AVG","MARKET_DATA_OVERRIDE=PX_LAST","START_DATE_OVERRIDE",TEXT(INDEX(MO_SNA_FPStartDate,0,COLUMN()),"YYYYMMDD"),"END_DATE_OVERRIDE",TEXT(INDEX(MO_Common_QEndDate,0,COLUMN()),"YYYYMMDD")),"N/A")</f>
        <v>N/A</v>
      </c>
      <c r="J514" s="250" t="str">
        <f ca="1">IFERROR(BDP(MO.Ticker.Bloomberg&amp;" Equity","INTERVAL_AVG","MARKET_DATA_OVERRIDE=PX_LAST","START_DATE_OVERRIDE",TEXT(INDEX(MO_SNA_FPStartDate,0,COLUMN()),"YYYYMMDD"),"END_DATE_OVERRIDE",TEXT(INDEX(MO_Common_QEndDate,0,COLUMN()),"YYYYMMDD")),"N/A")</f>
        <v>N/A</v>
      </c>
      <c r="K514" s="250" t="str">
        <f ca="1">IFERROR(BDP(MO.Ticker.Bloomberg&amp;" Equity","INTERVAL_AVG","MARKET_DATA_OVERRIDE=PX_LAST","START_DATE_OVERRIDE",TEXT(INDEX(MO_SNA_FPStartDate,0,COLUMN()),"YYYYMMDD"),"END_DATE_OVERRIDE",TEXT(INDEX(MO_Common_QEndDate,0,COLUMN()),"YYYYMMDD")),"N/A")</f>
        <v>N/A</v>
      </c>
      <c r="L514" s="250" t="str">
        <f ca="1">IFERROR(BDP(MO.Ticker.Bloomberg&amp;" Equity","INTERVAL_AVG","MARKET_DATA_OVERRIDE=PX_LAST","START_DATE_OVERRIDE",TEXT(INDEX(MO_SNA_FPStartDate,0,COLUMN()),"YYYYMMDD"),"END_DATE_OVERRIDE",TEXT(INDEX(MO_Common_QEndDate,0,COLUMN()),"YYYYMMDD")),"N/A")</f>
        <v>N/A</v>
      </c>
      <c r="M514" s="250" t="str">
        <f ca="1">IFERROR(BDP(MO.Ticker.Bloomberg&amp;" Equity","INTERVAL_AVG","MARKET_DATA_OVERRIDE=PX_LAST","START_DATE_OVERRIDE",TEXT(INDEX(MO_SNA_FPStartDate,0,COLUMN()),"YYYYMMDD"),"END_DATE_OVERRIDE",TEXT(INDEX(MO_Common_QEndDate,0,COLUMN()),"YYYYMMDD")),"N/A")</f>
        <v>N/A</v>
      </c>
      <c r="N514" s="250" t="str">
        <f ca="1">IFERROR(BDP(MO.Ticker.Bloomberg&amp;" Equity","INTERVAL_AVG","MARKET_DATA_OVERRIDE=PX_LAST","START_DATE_OVERRIDE",TEXT(INDEX(MO_SNA_FPStartDate,0,COLUMN()),"YYYYMMDD"),"END_DATE_OVERRIDE",TEXT(INDEX(MO_Common_QEndDate,0,COLUMN()),"YYYYMMDD")),"N/A")</f>
        <v>N/A</v>
      </c>
      <c r="O514" s="250" t="str">
        <f ca="1">IFERROR(BDP(MO.Ticker.Bloomberg&amp;" Equity","INTERVAL_AVG","MARKET_DATA_OVERRIDE=PX_LAST","START_DATE_OVERRIDE",TEXT(INDEX(MO_SNA_FPStartDate,0,COLUMN()),"YYYYMMDD"),"END_DATE_OVERRIDE",TEXT(INDEX(MO_Common_QEndDate,0,COLUMN()),"YYYYMMDD")),"N/A")</f>
        <v>N/A</v>
      </c>
      <c r="P514" s="250" t="str">
        <f ca="1">IFERROR(BDP(MO.Ticker.Bloomberg&amp;" Equity","INTERVAL_AVG","MARKET_DATA_OVERRIDE=PX_LAST","START_DATE_OVERRIDE",TEXT(INDEX(MO_SNA_FPStartDate,0,COLUMN()),"YYYYMMDD"),"END_DATE_OVERRIDE",TEXT(INDEX(MO_Common_QEndDate,0,COLUMN()),"YYYYMMDD")),"N/A")</f>
        <v>N/A</v>
      </c>
      <c r="Q514" s="250" t="str">
        <f ca="1">IFERROR(BDP(MO.Ticker.Bloomberg&amp;" Equity","INTERVAL_AVG","MARKET_DATA_OVERRIDE=PX_LAST","START_DATE_OVERRIDE",TEXT(INDEX(MO_SNA_FPStartDate,0,COLUMN()),"YYYYMMDD"),"END_DATE_OVERRIDE",TEXT(INDEX(MO_Common_QEndDate,0,COLUMN()),"YYYYMMDD")),"N/A")</f>
        <v>N/A</v>
      </c>
      <c r="R514" s="250" t="str">
        <f ca="1">IFERROR(BDP(MO.Ticker.Bloomberg&amp;" Equity","INTERVAL_AVG","MARKET_DATA_OVERRIDE=PX_LAST","START_DATE_OVERRIDE",TEXT(INDEX(MO_SNA_FPStartDate,0,COLUMN()),"YYYYMMDD"),"END_DATE_OVERRIDE",TEXT(INDEX(MO_Common_QEndDate,0,COLUMN()),"YYYYMMDD")),"N/A")</f>
        <v>N/A</v>
      </c>
      <c r="S514" s="250" t="str">
        <f ca="1">IFERROR(BDP(MO.Ticker.Bloomberg&amp;" Equity","INTERVAL_AVG","MARKET_DATA_OVERRIDE=PX_LAST","START_DATE_OVERRIDE",TEXT(INDEX(MO_SNA_FPStartDate,0,COLUMN()),"YYYYMMDD"),"END_DATE_OVERRIDE",TEXT(INDEX(MO_Common_QEndDate,0,COLUMN()),"YYYYMMDD")),"N/A")</f>
        <v>N/A</v>
      </c>
      <c r="T514" s="250" t="str">
        <f ca="1">IFERROR(BDP(MO.Ticker.Bloomberg&amp;" Equity","INTERVAL_AVG","MARKET_DATA_OVERRIDE=PX_LAST","START_DATE_OVERRIDE",TEXT(INDEX(MO_SNA_FPStartDate,0,COLUMN()),"YYYYMMDD"),"END_DATE_OVERRIDE",TEXT(INDEX(MO_Common_QEndDate,0,COLUMN()),"YYYYMMDD")),"N/A")</f>
        <v>N/A</v>
      </c>
      <c r="U514" s="250" t="str">
        <f ca="1">IFERROR(BDP(MO.Ticker.Bloomberg&amp;" Equity","INTERVAL_AVG","MARKET_DATA_OVERRIDE=PX_LAST","START_DATE_OVERRIDE",TEXT(INDEX(MO_SNA_FPStartDate,0,COLUMN()),"YYYYMMDD"),"END_DATE_OVERRIDE",TEXT(INDEX(MO_Common_QEndDate,0,COLUMN()),"YYYYMMDD")),"N/A")</f>
        <v>N/A</v>
      </c>
      <c r="V514" s="250" t="str">
        <f ca="1">IFERROR(BDP(MO.Ticker.Bloomberg&amp;" Equity","INTERVAL_AVG","MARKET_DATA_OVERRIDE=PX_LAST","START_DATE_OVERRIDE",TEXT(INDEX(MO_SNA_FPStartDate,0,COLUMN()),"YYYYMMDD"),"END_DATE_OVERRIDE",TEXT(INDEX(MO_Common_QEndDate,0,COLUMN()),"YYYYMMDD")),"N/A")</f>
        <v>N/A</v>
      </c>
      <c r="W514" s="250" t="str">
        <f ca="1">IFERROR(BDP(MO.Ticker.Bloomberg&amp;" Equity","INTERVAL_AVG","MARKET_DATA_OVERRIDE=PX_LAST","START_DATE_OVERRIDE",TEXT(INDEX(MO_SNA_FPStartDate,0,COLUMN()),"YYYYMMDD"),"END_DATE_OVERRIDE",TEXT(INDEX(MO_Common_QEndDate,0,COLUMN()),"YYYYMMDD")),"N/A")</f>
        <v>N/A</v>
      </c>
      <c r="X514" s="250" t="str">
        <f ca="1">IFERROR(BDP(MO.Ticker.Bloomberg&amp;" Equity","INTERVAL_AVG","MARKET_DATA_OVERRIDE=PX_LAST","START_DATE_OVERRIDE",TEXT(INDEX(MO_SNA_FPStartDate,0,COLUMN()),"YYYYMMDD"),"END_DATE_OVERRIDE",TEXT(INDEX(MO_Common_QEndDate,0,COLUMN()),"YYYYMMDD")),"N/A")</f>
        <v>N/A</v>
      </c>
      <c r="Y514" s="250" t="str">
        <f ca="1">IFERROR(BDP(MO.Ticker.Bloomberg&amp;" Equity","INTERVAL_AVG","MARKET_DATA_OVERRIDE=PX_LAST","START_DATE_OVERRIDE",TEXT(INDEX(MO_SNA_FPStartDate,0,COLUMN()),"YYYYMMDD"),"END_DATE_OVERRIDE",TEXT(INDEX(MO_Common_QEndDate,0,COLUMN()),"YYYYMMDD")),"N/A")</f>
        <v>N/A</v>
      </c>
      <c r="Z514" s="250" t="str">
        <f ca="1">IFERROR(BDP(MO.Ticker.Bloomberg&amp;" Equity","INTERVAL_AVG","MARKET_DATA_OVERRIDE=PX_LAST","START_DATE_OVERRIDE",TEXT(INDEX(MO_SNA_FPStartDate,0,COLUMN()),"YYYYMMDD"),"END_DATE_OVERRIDE",TEXT(INDEX(MO_Common_QEndDate,0,COLUMN()),"YYYYMMDD")),"N/A")</f>
        <v>N/A</v>
      </c>
      <c r="AA514" s="250" t="str">
        <f ca="1">IFERROR(BDP(MO.Ticker.Bloomberg&amp;" Equity","INTERVAL_AVG","MARKET_DATA_OVERRIDE=PX_LAST","START_DATE_OVERRIDE",TEXT(INDEX(MO_SNA_FPStartDate,0,COLUMN()),"YYYYMMDD"),"END_DATE_OVERRIDE",TEXT(INDEX(MO_Common_QEndDate,0,COLUMN()),"YYYYMMDD")),"N/A")</f>
        <v>N/A</v>
      </c>
      <c r="AB514" s="250" t="str">
        <f ca="1">IFERROR(BDP(MO.Ticker.Bloomberg&amp;" Equity","INTERVAL_AVG","MARKET_DATA_OVERRIDE=PX_LAST","START_DATE_OVERRIDE",TEXT(INDEX(MO_SNA_FPStartDate,0,COLUMN()),"YYYYMMDD"),"END_DATE_OVERRIDE",TEXT(INDEX(MO_Common_QEndDate,0,COLUMN()),"YYYYMMDD")),"N/A")</f>
        <v>N/A</v>
      </c>
      <c r="AC514" s="250" t="str">
        <f ca="1">IFERROR(BDP(MO.Ticker.Bloomberg&amp;" Equity","INTERVAL_AVG","MARKET_DATA_OVERRIDE=PX_LAST","START_DATE_OVERRIDE",TEXT(INDEX(MO_SNA_FPStartDate,0,COLUMN()),"YYYYMMDD"),"END_DATE_OVERRIDE",TEXT(INDEX(MO_Common_QEndDate,0,COLUMN()),"YYYYMMDD")),"N/A")</f>
        <v>N/A</v>
      </c>
      <c r="AD514" s="250" t="str">
        <f ca="1">IFERROR(BDP(MO.Ticker.Bloomberg&amp;" Equity","INTERVAL_AVG","MARKET_DATA_OVERRIDE=PX_LAST","START_DATE_OVERRIDE",TEXT(INDEX(MO_SNA_FPStartDate,0,COLUMN()),"YYYYMMDD"),"END_DATE_OVERRIDE",TEXT(INDEX(MO_Common_QEndDate,0,COLUMN()),"YYYYMMDD")),"N/A")</f>
        <v>N/A</v>
      </c>
      <c r="AE514" s="250" t="str">
        <f ca="1">IFERROR(BDP(MO.Ticker.Bloomberg&amp;" Equity","INTERVAL_AVG","MARKET_DATA_OVERRIDE=PX_LAST","START_DATE_OVERRIDE",TEXT(INDEX(MO_SNA_FPStartDate,0,COLUMN()),"YYYYMMDD"),"END_DATE_OVERRIDE",TEXT(INDEX(MO_Common_QEndDate,0,COLUMN()),"YYYYMMDD")),"N/A")</f>
        <v>N/A</v>
      </c>
      <c r="AF514" s="250" t="str">
        <f ca="1">IFERROR(BDP(MO.Ticker.Bloomberg&amp;" Equity","INTERVAL_AVG","MARKET_DATA_OVERRIDE=PX_LAST","START_DATE_OVERRIDE",TEXT(INDEX(MO_SNA_FPStartDate,0,COLUMN()),"YYYYMMDD"),"END_DATE_OVERRIDE",TEXT(INDEX(MO_Common_QEndDate,0,COLUMN()),"YYYYMMDD")),"N/A")</f>
        <v>N/A</v>
      </c>
      <c r="AG514" s="250" t="str">
        <f ca="1">IFERROR(BDP(MO.Ticker.Bloomberg&amp;" Equity","INTERVAL_AVG","MARKET_DATA_OVERRIDE=PX_LAST","START_DATE_OVERRIDE",TEXT(INDEX(MO_SNA_FPStartDate,0,COLUMN()),"YYYYMMDD"),"END_DATE_OVERRIDE",TEXT(INDEX(MO_Common_QEndDate,0,COLUMN()),"YYYYMMDD")),"N/A")</f>
        <v>N/A</v>
      </c>
      <c r="AH514" s="250" t="str">
        <f ca="1">IFERROR(BDP(MO.Ticker.Bloomberg&amp;" Equity","INTERVAL_AVG","MARKET_DATA_OVERRIDE=PX_LAST","START_DATE_OVERRIDE",TEXT(INDEX(MO_SNA_FPStartDate,0,COLUMN()),"YYYYMMDD"),"END_DATE_OVERRIDE",TEXT(INDEX(MO_Common_QEndDate,0,COLUMN()),"YYYYMMDD")),"N/A")</f>
        <v>N/A</v>
      </c>
      <c r="AI514" s="277" t="str">
        <f ca="1">IFERROR(BDP(MO.Ticker.Bloomberg&amp;" Equity","INTERVAL_AVG","MARKET_DATA_OVERRIDE=PX_LAST","START_DATE_OVERRIDE",TEXT(INDEX(MO_SNA_FPStartDate,0,COLUMN()),"YYYYMMDD"),"END_DATE_OVERRIDE",TEXT(INDEX(MO_Common_QEndDate,0,COLUMN()),"YYYYMMDD")),"N/A")</f>
        <v>N/A</v>
      </c>
      <c r="AJ514" s="277" t="str">
        <f ca="1">IFERROR(BDP(MO.Ticker.Bloomberg&amp;" Equity","INTERVAL_AVG","MARKET_DATA_OVERRIDE=PX_LAST","START_DATE_OVERRIDE",TEXT(INDEX(MO_SNA_FPStartDate,0,COLUMN()),"YYYYMMDD"),"END_DATE_OVERRIDE",TEXT(INDEX(MO_Common_QEndDate,0,COLUMN()),"YYYYMMDD")),"N/A")</f>
        <v>N/A</v>
      </c>
      <c r="AK514" s="277" t="str">
        <f ca="1">IFERROR(BDP(MO.Ticker.Bloomberg&amp;" Equity","INTERVAL_AVG","MARKET_DATA_OVERRIDE=PX_LAST","START_DATE_OVERRIDE",TEXT(INDEX(MO_SNA_FPStartDate,0,COLUMN()),"YYYYMMDD"),"END_DATE_OVERRIDE",TEXT(INDEX(MO_Common_QEndDate,0,COLUMN()),"YYYYMMDD")),"N/A")</f>
        <v>N/A</v>
      </c>
      <c r="AL514" s="277" t="str">
        <f ca="1">IFERROR(BDP(MO.Ticker.Bloomberg&amp;" Equity","INTERVAL_AVG","MARKET_DATA_OVERRIDE=PX_LAST","START_DATE_OVERRIDE",TEXT(INDEX(MO_SNA_FPStartDate,0,COLUMN()),"YYYYMMDD"),"END_DATE_OVERRIDE",TEXT(INDEX(MO_Common_QEndDate,0,COLUMN()),"YYYYMMDD")),"N/A")</f>
        <v>N/A</v>
      </c>
      <c r="AM514" s="277" t="str">
        <f ca="1">IFERROR(BDP(MO.Ticker.Bloomberg&amp;" Equity","INTERVAL_AVG","MARKET_DATA_OVERRIDE=PX_LAST","START_DATE_OVERRIDE",TEXT(INDEX(MO_SNA_FPStartDate,0,COLUMN()),"YYYYMMDD"),"END_DATE_OVERRIDE",TEXT(INDEX(MO_Common_QEndDate,0,COLUMN()),"YYYYMMDD")),"N/A")</f>
        <v>N/A</v>
      </c>
      <c r="AN514" s="277" t="str">
        <f ca="1">IFERROR(BDP(MO.Ticker.Bloomberg&amp;" Equity","INTERVAL_AVG","MARKET_DATA_OVERRIDE=PX_LAST","START_DATE_OVERRIDE",TEXT(INDEX(MO_SNA_FPStartDate,0,COLUMN()),"YYYYMMDD"),"END_DATE_OVERRIDE",TEXT(INDEX(MO_Common_QEndDate,0,COLUMN()),"YYYYMMDD")),"N/A")</f>
        <v>N/A</v>
      </c>
      <c r="AO514" s="277" t="str">
        <f ca="1">IFERROR(BDP(MO.Ticker.Bloomberg&amp;" Equity","INTERVAL_AVG","MARKET_DATA_OVERRIDE=PX_LAST","START_DATE_OVERRIDE",TEXT(INDEX(MO_SNA_FPStartDate,0,COLUMN()),"YYYYMMDD"),"END_DATE_OVERRIDE",TEXT(INDEX(MO_Common_QEndDate,0,COLUMN()),"YYYYMMDD")),"N/A")</f>
        <v>N/A</v>
      </c>
      <c r="AP514" s="277" t="str">
        <f ca="1">IFERROR(BDP(MO.Ticker.Bloomberg&amp;" Equity","INTERVAL_AVG","MARKET_DATA_OVERRIDE=PX_LAST","START_DATE_OVERRIDE",TEXT(INDEX(MO_SNA_FPStartDate,0,COLUMN()),"YYYYMMDD"),"END_DATE_OVERRIDE",TEXT(INDEX(MO_Common_QEndDate,0,COLUMN()),"YYYYMMDD")),"N/A")</f>
        <v>N/A</v>
      </c>
      <c r="AQ514" s="268" t="str">
        <f ca="1">IFERROR(BDP(MO.Ticker.Bloomberg&amp;" Equity","INTERVAL_AVG","MARKET_DATA_OVERRIDE=PX_LAST","START_DATE_OVERRIDE",TEXT(INDEX(MO_SNA_FPStartDate,0,COLUMN()),"YYYYMMDD"),"END_DATE_OVERRIDE",TEXT(INDEX(MO_Common_QEndDate,0,COLUMN()),"YYYYMMDD")),"N/A")</f>
        <v>N/A</v>
      </c>
      <c r="AR514" s="250" t="str">
        <f ca="1">IFERROR(BDP(MO.Ticker.Bloomberg&amp;" Equity","INTERVAL_AVG","MARKET_DATA_OVERRIDE=PX_LAST","START_DATE_OVERRIDE",TEXT(INDEX(MO_SNA_FPStartDate,0,COLUMN()),"YYYYMMDD"),"END_DATE_OVERRIDE",TEXT(INDEX(MO_Common_QEndDate,0,COLUMN()),"YYYYMMDD")),"N/A")</f>
        <v>N/A</v>
      </c>
      <c r="AS514" s="250" t="str">
        <f ca="1">IFERROR(BDP(MO.Ticker.Bloomberg&amp;" Equity","INTERVAL_AVG","MARKET_DATA_OVERRIDE=PX_LAST","START_DATE_OVERRIDE",TEXT(INDEX(MO_SNA_FPStartDate,0,COLUMN()),"YYYYMMDD"),"END_DATE_OVERRIDE",TEXT(INDEX(MO_Common_QEndDate,0,COLUMN()),"YYYYMMDD")),"N/A")</f>
        <v>N/A</v>
      </c>
      <c r="AT514" s="250" t="str">
        <f ca="1">IFERROR(BDP(MO.Ticker.Bloomberg&amp;" Equity","INTERVAL_AVG","MARKET_DATA_OVERRIDE=PX_LAST","START_DATE_OVERRIDE",TEXT(INDEX(MO_SNA_FPStartDate,0,COLUMN()),"YYYYMMDD"),"END_DATE_OVERRIDE",TEXT(INDEX(MO_Common_QEndDate,0,COLUMN()),"YYYYMMDD")),"N/A")</f>
        <v>N/A</v>
      </c>
      <c r="AU514" s="250" t="str">
        <f ca="1">IFERROR(BDP(MO.Ticker.Bloomberg&amp;" Equity","INTERVAL_AVG","MARKET_DATA_OVERRIDE=PX_LAST","START_DATE_OVERRIDE",TEXT(INDEX(MO_SNA_FPStartDate,0,COLUMN()),"YYYYMMDD"),"END_DATE_OVERRIDE",TEXT(INDEX(MO_Common_QEndDate,0,COLUMN()),"YYYYMMDD")),"N/A")</f>
        <v>N/A</v>
      </c>
      <c r="AV514" s="250" t="str">
        <f ca="1">IFERROR(BDP(MO.Ticker.Bloomberg&amp;" Equity","INTERVAL_AVG","MARKET_DATA_OVERRIDE=PX_LAST","START_DATE_OVERRIDE",TEXT(INDEX(MO_SNA_FPStartDate,0,COLUMN()),"YYYYMMDD"),"END_DATE_OVERRIDE",TEXT(INDEX(MO_Common_QEndDate,0,COLUMN()),"YYYYMMDD")),"N/A")</f>
        <v>N/A</v>
      </c>
      <c r="AW514" s="250" t="str">
        <f ca="1">IFERROR(BDP(MO.Ticker.Bloomberg&amp;" Equity","INTERVAL_AVG","MARKET_DATA_OVERRIDE=PX_LAST","START_DATE_OVERRIDE",TEXT(INDEX(MO_SNA_FPStartDate,0,COLUMN()),"YYYYMMDD"),"END_DATE_OVERRIDE",TEXT(INDEX(MO_Common_QEndDate,0,COLUMN()),"YYYYMMDD")),"N/A")</f>
        <v>N/A</v>
      </c>
      <c r="AX514" s="250" t="str">
        <f ca="1">IFERROR(BDP(MO.Ticker.Bloomberg&amp;" Equity","INTERVAL_AVG","MARKET_DATA_OVERRIDE=PX_LAST","START_DATE_OVERRIDE",TEXT(INDEX(MO_SNA_FPStartDate,0,COLUMN()),"YYYYMMDD"),"END_DATE_OVERRIDE",TEXT(INDEX(MO_Common_QEndDate,0,COLUMN()),"YYYYMMDD")),"N/A")</f>
        <v>N/A</v>
      </c>
      <c r="AY514" s="250" t="str">
        <f ca="1">IFERROR(BDP(MO.Ticker.Bloomberg&amp;" Equity","INTERVAL_AVG","MARKET_DATA_OVERRIDE=PX_LAST","START_DATE_OVERRIDE",TEXT(INDEX(MO_SNA_FPStartDate,0,COLUMN()),"YYYYMMDD"),"END_DATE_OVERRIDE",TEXT(INDEX(MO_Common_QEndDate,0,COLUMN()),"YYYYMMDD")),"N/A")</f>
        <v>N/A</v>
      </c>
      <c r="AZ514" s="250" t="str">
        <f ca="1">IFERROR(BDP(MO.Ticker.Bloomberg&amp;" Equity","INTERVAL_AVG","MARKET_DATA_OVERRIDE=PX_LAST","START_DATE_OVERRIDE",TEXT(INDEX(MO_SNA_FPStartDate,0,COLUMN()),"YYYYMMDD"),"END_DATE_OVERRIDE",TEXT(INDEX(MO_Common_QEndDate,0,COLUMN()),"YYYYMMDD")),"N/A")</f>
        <v>N/A</v>
      </c>
      <c r="BA514" s="250" t="str">
        <f ca="1">IFERROR(BDP(MO.Ticker.Bloomberg&amp;" Equity","INTERVAL_AVG","MARKET_DATA_OVERRIDE=PX_LAST","START_DATE_OVERRIDE",TEXT(INDEX(MO_SNA_FPStartDate,0,COLUMN()),"YYYYMMDD"),"END_DATE_OVERRIDE",TEXT(INDEX(MO_Common_QEndDate,0,COLUMN()),"YYYYMMDD")),"N/A")</f>
        <v>N/A</v>
      </c>
      <c r="BB514" s="252" t="str">
        <f ca="1">IFERROR(BDP(MO.Ticker.Bloomberg&amp;" Equity","INTERVAL_AVG","MARKET_DATA_OVERRIDE=PX_LAST","START_DATE_OVERRIDE",TEXT(INDEX(MO_SNA_FPStartDate,0,COLUMN()),"YYYYMMDD"),"END_DATE_OVERRIDE",TEXT(INDEX(MO_Common_QEndDate,0,COLUMN()),"YYYYMMDD")),"N/A")</f>
        <v>N/A</v>
      </c>
      <c r="BC514" s="253"/>
    </row>
    <row r="515" spans="1:55" s="254" customFormat="1" hidden="1" outlineLevel="1">
      <c r="A515" s="255" t="s">
        <v>274</v>
      </c>
      <c r="B515" s="250"/>
      <c r="C515" s="251" t="str">
        <f ca="1">IFERROR(CIQHI(MO.Ticker.CapIQ,"IQ_LASTSALEPRICE",INDEX(MO_SNA_FPStartDate,0,COLUMN()),INDEX(MO_Common_QEndDate,0,COLUMN())),"N/A")</f>
        <v>N/A</v>
      </c>
      <c r="D515" s="251" t="str">
        <f ca="1">IFERROR(CIQHI(MO.Ticker.CapIQ,"IQ_LASTSALEPRICE",INDEX(MO_SNA_FPStartDate,0,COLUMN()),INDEX(MO_Common_QEndDate,0,COLUMN())),"N/A")</f>
        <v>N/A</v>
      </c>
      <c r="E515" s="250" t="str">
        <f ca="1">IFERROR(CIQHI(MO.Ticker.CapIQ,"IQ_LASTSALEPRICE",INDEX(MO_SNA_FPStartDate,0,COLUMN()),INDEX(MO_Common_QEndDate,0,COLUMN())),"N/A")</f>
        <v>N/A</v>
      </c>
      <c r="F515" s="250" t="str">
        <f ca="1">IFERROR(CIQHI(MO.Ticker.CapIQ,"IQ_LASTSALEPRICE",INDEX(MO_SNA_FPStartDate,0,COLUMN()),INDEX(MO_Common_QEndDate,0,COLUMN())),"N/A")</f>
        <v>N/A</v>
      </c>
      <c r="G515" s="250" t="str">
        <f ca="1">IFERROR(CIQHI(MO.Ticker.CapIQ,"IQ_LASTSALEPRICE",INDEX(MO_SNA_FPStartDate,0,COLUMN()),INDEX(MO_Common_QEndDate,0,COLUMN())),"N/A")</f>
        <v>N/A</v>
      </c>
      <c r="H515" s="250" t="str">
        <f ca="1">IFERROR(CIQHI(MO.Ticker.CapIQ,"IQ_LASTSALEPRICE",INDEX(MO_SNA_FPStartDate,0,COLUMN()),INDEX(MO_Common_QEndDate,0,COLUMN())),"N/A")</f>
        <v>N/A</v>
      </c>
      <c r="I515" s="250" t="str">
        <f ca="1">IFERROR(CIQHI(MO.Ticker.CapIQ,"IQ_LASTSALEPRICE",INDEX(MO_SNA_FPStartDate,0,COLUMN()),INDEX(MO_Common_QEndDate,0,COLUMN())),"N/A")</f>
        <v>N/A</v>
      </c>
      <c r="J515" s="250" t="str">
        <f ca="1">IFERROR(CIQHI(MO.Ticker.CapIQ,"IQ_LASTSALEPRICE",INDEX(MO_SNA_FPStartDate,0,COLUMN()),INDEX(MO_Common_QEndDate,0,COLUMN())),"N/A")</f>
        <v>N/A</v>
      </c>
      <c r="K515" s="250" t="str">
        <f ca="1">IFERROR(CIQHI(MO.Ticker.CapIQ,"IQ_LASTSALEPRICE",INDEX(MO_SNA_FPStartDate,0,COLUMN()),INDEX(MO_Common_QEndDate,0,COLUMN())),"N/A")</f>
        <v>N/A</v>
      </c>
      <c r="L515" s="250" t="str">
        <f ca="1">IFERROR(CIQHI(MO.Ticker.CapIQ,"IQ_LASTSALEPRICE",INDEX(MO_SNA_FPStartDate,0,COLUMN()),INDEX(MO_Common_QEndDate,0,COLUMN())),"N/A")</f>
        <v>N/A</v>
      </c>
      <c r="M515" s="250" t="str">
        <f ca="1">IFERROR(CIQHI(MO.Ticker.CapIQ,"IQ_LASTSALEPRICE",INDEX(MO_SNA_FPStartDate,0,COLUMN()),INDEX(MO_Common_QEndDate,0,COLUMN())),"N/A")</f>
        <v>N/A</v>
      </c>
      <c r="N515" s="250" t="str">
        <f ca="1">IFERROR(CIQHI(MO.Ticker.CapIQ,"IQ_LASTSALEPRICE",INDEX(MO_SNA_FPStartDate,0,COLUMN()),INDEX(MO_Common_QEndDate,0,COLUMN())),"N/A")</f>
        <v>N/A</v>
      </c>
      <c r="O515" s="250" t="str">
        <f ca="1">IFERROR(CIQHI(MO.Ticker.CapIQ,"IQ_LASTSALEPRICE",INDEX(MO_SNA_FPStartDate,0,COLUMN()),INDEX(MO_Common_QEndDate,0,COLUMN())),"N/A")</f>
        <v>N/A</v>
      </c>
      <c r="P515" s="250" t="str">
        <f ca="1">IFERROR(CIQHI(MO.Ticker.CapIQ,"IQ_LASTSALEPRICE",INDEX(MO_SNA_FPStartDate,0,COLUMN()),INDEX(MO_Common_QEndDate,0,COLUMN())),"N/A")</f>
        <v>N/A</v>
      </c>
      <c r="Q515" s="250" t="str">
        <f ca="1">IFERROR(CIQHI(MO.Ticker.CapIQ,"IQ_LASTSALEPRICE",INDEX(MO_SNA_FPStartDate,0,COLUMN()),INDEX(MO_Common_QEndDate,0,COLUMN())),"N/A")</f>
        <v>N/A</v>
      </c>
      <c r="R515" s="250" t="str">
        <f ca="1">IFERROR(CIQHI(MO.Ticker.CapIQ,"IQ_LASTSALEPRICE",INDEX(MO_SNA_FPStartDate,0,COLUMN()),INDEX(MO_Common_QEndDate,0,COLUMN())),"N/A")</f>
        <v>N/A</v>
      </c>
      <c r="S515" s="250" t="str">
        <f ca="1">IFERROR(CIQHI(MO.Ticker.CapIQ,"IQ_LASTSALEPRICE",INDEX(MO_SNA_FPStartDate,0,COLUMN()),INDEX(MO_Common_QEndDate,0,COLUMN())),"N/A")</f>
        <v>N/A</v>
      </c>
      <c r="T515" s="250" t="str">
        <f ca="1">IFERROR(CIQHI(MO.Ticker.CapIQ,"IQ_LASTSALEPRICE",INDEX(MO_SNA_FPStartDate,0,COLUMN()),INDEX(MO_Common_QEndDate,0,COLUMN())),"N/A")</f>
        <v>N/A</v>
      </c>
      <c r="U515" s="250" t="str">
        <f ca="1">IFERROR(CIQHI(MO.Ticker.CapIQ,"IQ_LASTSALEPRICE",INDEX(MO_SNA_FPStartDate,0,COLUMN()),INDEX(MO_Common_QEndDate,0,COLUMN())),"N/A")</f>
        <v>N/A</v>
      </c>
      <c r="V515" s="250" t="str">
        <f ca="1">IFERROR(CIQHI(MO.Ticker.CapIQ,"IQ_LASTSALEPRICE",INDEX(MO_SNA_FPStartDate,0,COLUMN()),INDEX(MO_Common_QEndDate,0,COLUMN())),"N/A")</f>
        <v>N/A</v>
      </c>
      <c r="W515" s="250" t="str">
        <f ca="1">IFERROR(CIQHI(MO.Ticker.CapIQ,"IQ_LASTSALEPRICE",INDEX(MO_SNA_FPStartDate,0,COLUMN()),INDEX(MO_Common_QEndDate,0,COLUMN())),"N/A")</f>
        <v>N/A</v>
      </c>
      <c r="X515" s="250" t="str">
        <f ca="1">IFERROR(CIQHI(MO.Ticker.CapIQ,"IQ_LASTSALEPRICE",INDEX(MO_SNA_FPStartDate,0,COLUMN()),INDEX(MO_Common_QEndDate,0,COLUMN())),"N/A")</f>
        <v>N/A</v>
      </c>
      <c r="Y515" s="250" t="str">
        <f ca="1">IFERROR(CIQHI(MO.Ticker.CapIQ,"IQ_LASTSALEPRICE",INDEX(MO_SNA_FPStartDate,0,COLUMN()),INDEX(MO_Common_QEndDate,0,COLUMN())),"N/A")</f>
        <v>N/A</v>
      </c>
      <c r="Z515" s="250" t="str">
        <f ca="1">IFERROR(CIQHI(MO.Ticker.CapIQ,"IQ_LASTSALEPRICE",INDEX(MO_SNA_FPStartDate,0,COLUMN()),INDEX(MO_Common_QEndDate,0,COLUMN())),"N/A")</f>
        <v>N/A</v>
      </c>
      <c r="AA515" s="250" t="str">
        <f ca="1">IFERROR(CIQHI(MO.Ticker.CapIQ,"IQ_LASTSALEPRICE",INDEX(MO_SNA_FPStartDate,0,COLUMN()),INDEX(MO_Common_QEndDate,0,COLUMN())),"N/A")</f>
        <v>N/A</v>
      </c>
      <c r="AB515" s="250" t="str">
        <f ca="1">IFERROR(CIQHI(MO.Ticker.CapIQ,"IQ_LASTSALEPRICE",INDEX(MO_SNA_FPStartDate,0,COLUMN()),INDEX(MO_Common_QEndDate,0,COLUMN())),"N/A")</f>
        <v>N/A</v>
      </c>
      <c r="AC515" s="250" t="str">
        <f ca="1">IFERROR(CIQHI(MO.Ticker.CapIQ,"IQ_LASTSALEPRICE",INDEX(MO_SNA_FPStartDate,0,COLUMN()),INDEX(MO_Common_QEndDate,0,COLUMN())),"N/A")</f>
        <v>N/A</v>
      </c>
      <c r="AD515" s="250" t="str">
        <f ca="1">IFERROR(CIQHI(MO.Ticker.CapIQ,"IQ_LASTSALEPRICE",INDEX(MO_SNA_FPStartDate,0,COLUMN()),INDEX(MO_Common_QEndDate,0,COLUMN())),"N/A")</f>
        <v>N/A</v>
      </c>
      <c r="AE515" s="250" t="str">
        <f ca="1">IFERROR(CIQHI(MO.Ticker.CapIQ,"IQ_LASTSALEPRICE",INDEX(MO_SNA_FPStartDate,0,COLUMN()),INDEX(MO_Common_QEndDate,0,COLUMN())),"N/A")</f>
        <v>N/A</v>
      </c>
      <c r="AF515" s="250" t="str">
        <f ca="1">IFERROR(CIQHI(MO.Ticker.CapIQ,"IQ_LASTSALEPRICE",INDEX(MO_SNA_FPStartDate,0,COLUMN()),INDEX(MO_Common_QEndDate,0,COLUMN())),"N/A")</f>
        <v>N/A</v>
      </c>
      <c r="AG515" s="250" t="str">
        <f ca="1">IFERROR(CIQHI(MO.Ticker.CapIQ,"IQ_LASTSALEPRICE",INDEX(MO_SNA_FPStartDate,0,COLUMN()),INDEX(MO_Common_QEndDate,0,COLUMN())),"N/A")</f>
        <v>N/A</v>
      </c>
      <c r="AH515" s="250" t="str">
        <f ca="1">IFERROR(CIQHI(MO.Ticker.CapIQ,"IQ_LASTSALEPRICE",INDEX(MO_SNA_FPStartDate,0,COLUMN()),INDEX(MO_Common_QEndDate,0,COLUMN())),"N/A")</f>
        <v>N/A</v>
      </c>
      <c r="AI515" s="277" t="str">
        <f ca="1">IFERROR(CIQHI(MO.Ticker.CapIQ,"IQ_LASTSALEPRICE",INDEX(MO_SNA_FPStartDate,0,COLUMN()),INDEX(MO_Common_QEndDate,0,COLUMN())),"N/A")</f>
        <v>N/A</v>
      </c>
      <c r="AJ515" s="277" t="str">
        <f ca="1">IFERROR(CIQHI(MO.Ticker.CapIQ,"IQ_LASTSALEPRICE",INDEX(MO_SNA_FPStartDate,0,COLUMN()),INDEX(MO_Common_QEndDate,0,COLUMN())),"N/A")</f>
        <v>N/A</v>
      </c>
      <c r="AK515" s="277" t="str">
        <f ca="1">IFERROR(CIQHI(MO.Ticker.CapIQ,"IQ_LASTSALEPRICE",INDEX(MO_SNA_FPStartDate,0,COLUMN()),INDEX(MO_Common_QEndDate,0,COLUMN())),"N/A")</f>
        <v>N/A</v>
      </c>
      <c r="AL515" s="277" t="str">
        <f ca="1">IFERROR(CIQHI(MO.Ticker.CapIQ,"IQ_LASTSALEPRICE",INDEX(MO_SNA_FPStartDate,0,COLUMN()),INDEX(MO_Common_QEndDate,0,COLUMN())),"N/A")</f>
        <v>N/A</v>
      </c>
      <c r="AM515" s="277" t="str">
        <f ca="1">IFERROR(CIQHI(MO.Ticker.CapIQ,"IQ_LASTSALEPRICE",INDEX(MO_SNA_FPStartDate,0,COLUMN()),INDEX(MO_Common_QEndDate,0,COLUMN())),"N/A")</f>
        <v>N/A</v>
      </c>
      <c r="AN515" s="277" t="str">
        <f ca="1">IFERROR(CIQHI(MO.Ticker.CapIQ,"IQ_LASTSALEPRICE",INDEX(MO_SNA_FPStartDate,0,COLUMN()),INDEX(MO_Common_QEndDate,0,COLUMN())),"N/A")</f>
        <v>N/A</v>
      </c>
      <c r="AO515" s="277" t="str">
        <f ca="1">IFERROR(CIQHI(MO.Ticker.CapIQ,"IQ_LASTSALEPRICE",INDEX(MO_SNA_FPStartDate,0,COLUMN()),INDEX(MO_Common_QEndDate,0,COLUMN())),"N/A")</f>
        <v>N/A</v>
      </c>
      <c r="AP515" s="277" t="str">
        <f ca="1">IFERROR(CIQHI(MO.Ticker.CapIQ,"IQ_LASTSALEPRICE",INDEX(MO_SNA_FPStartDate,0,COLUMN()),INDEX(MO_Common_QEndDate,0,COLUMN())),"N/A")</f>
        <v>N/A</v>
      </c>
      <c r="AQ515" s="268" t="str">
        <f ca="1">IFERROR(CIQHI(MO.Ticker.CapIQ,"IQ_LASTSALEPRICE",INDEX(MO_SNA_FPStartDate,0,COLUMN()),INDEX(MO_Common_QEndDate,0,COLUMN())),"N/A")</f>
        <v>N/A</v>
      </c>
      <c r="AR515" s="250" t="str">
        <f ca="1">IFERROR(CIQHI(MO.Ticker.CapIQ,"IQ_LASTSALEPRICE",INDEX(MO_SNA_FPStartDate,0,COLUMN()),INDEX(MO_Common_QEndDate,0,COLUMN())),"N/A")</f>
        <v>N/A</v>
      </c>
      <c r="AS515" s="250" t="str">
        <f ca="1">IFERROR(CIQHI(MO.Ticker.CapIQ,"IQ_LASTSALEPRICE",INDEX(MO_SNA_FPStartDate,0,COLUMN()),INDEX(MO_Common_QEndDate,0,COLUMN())),"N/A")</f>
        <v>N/A</v>
      </c>
      <c r="AT515" s="250" t="str">
        <f ca="1">IFERROR(CIQHI(MO.Ticker.CapIQ,"IQ_LASTSALEPRICE",INDEX(MO_SNA_FPStartDate,0,COLUMN()),INDEX(MO_Common_QEndDate,0,COLUMN())),"N/A")</f>
        <v>N/A</v>
      </c>
      <c r="AU515" s="250" t="str">
        <f ca="1">IFERROR(CIQHI(MO.Ticker.CapIQ,"IQ_LASTSALEPRICE",INDEX(MO_SNA_FPStartDate,0,COLUMN()),INDEX(MO_Common_QEndDate,0,COLUMN())),"N/A")</f>
        <v>N/A</v>
      </c>
      <c r="AV515" s="250" t="str">
        <f ca="1">IFERROR(CIQHI(MO.Ticker.CapIQ,"IQ_LASTSALEPRICE",INDEX(MO_SNA_FPStartDate,0,COLUMN()),INDEX(MO_Common_QEndDate,0,COLUMN())),"N/A")</f>
        <v>N/A</v>
      </c>
      <c r="AW515" s="250" t="str">
        <f ca="1">IFERROR(CIQHI(MO.Ticker.CapIQ,"IQ_LASTSALEPRICE",INDEX(MO_SNA_FPStartDate,0,COLUMN()),INDEX(MO_Common_QEndDate,0,COLUMN())),"N/A")</f>
        <v>N/A</v>
      </c>
      <c r="AX515" s="250" t="str">
        <f ca="1">IFERROR(CIQHI(MO.Ticker.CapIQ,"IQ_LASTSALEPRICE",INDEX(MO_SNA_FPStartDate,0,COLUMN()),INDEX(MO_Common_QEndDate,0,COLUMN())),"N/A")</f>
        <v>N/A</v>
      </c>
      <c r="AY515" s="250" t="str">
        <f ca="1">IFERROR(CIQHI(MO.Ticker.CapIQ,"IQ_LASTSALEPRICE",INDEX(MO_SNA_FPStartDate,0,COLUMN()),INDEX(MO_Common_QEndDate,0,COLUMN())),"N/A")</f>
        <v>N/A</v>
      </c>
      <c r="AZ515" s="250" t="str">
        <f ca="1">IFERROR(CIQHI(MO.Ticker.CapIQ,"IQ_LASTSALEPRICE",INDEX(MO_SNA_FPStartDate,0,COLUMN()),INDEX(MO_Common_QEndDate,0,COLUMN())),"N/A")</f>
        <v>N/A</v>
      </c>
      <c r="BA515" s="250" t="str">
        <f ca="1">IFERROR(CIQHI(MO.Ticker.CapIQ,"IQ_LASTSALEPRICE",INDEX(MO_SNA_FPStartDate,0,COLUMN()),INDEX(MO_Common_QEndDate,0,COLUMN())),"N/A")</f>
        <v>N/A</v>
      </c>
      <c r="BB515" s="252" t="str">
        <f ca="1">IFERROR(CIQHI(MO.Ticker.CapIQ,"IQ_LASTSALEPRICE",INDEX(MO_SNA_FPStartDate,0,COLUMN()),INDEX(MO_Common_QEndDate,0,COLUMN())),"N/A")</f>
        <v>N/A</v>
      </c>
      <c r="BC515" s="253"/>
    </row>
    <row r="516" spans="1:55" s="254" customFormat="1" hidden="1" outlineLevel="1">
      <c r="A516" s="255" t="s">
        <v>275</v>
      </c>
      <c r="B516" s="250"/>
      <c r="C516" s="251" t="str">
        <f ca="1">IFERROR(FDS(MO.Ticker.FactSet,"P_PRICE_AVG"&amp;"("&amp;INDEX(MO_SNA_FPStartDate,0,COLUMN())&amp;","&amp;INDEX(MO_Common_QEndDate,0,COLUMN())&amp;",,,,""PRICE"",""CLOSE"")"),"N/A")</f>
        <v>N/A</v>
      </c>
      <c r="D516" s="251" t="str">
        <f ca="1">IFERROR(FDS(MO.Ticker.FactSet,"P_PRICE_AVG"&amp;"("&amp;INDEX(MO_SNA_FPStartDate,0,COLUMN())&amp;","&amp;INDEX(MO_Common_QEndDate,0,COLUMN())&amp;",,,,""PRICE"",""CLOSE"")"),"N/A")</f>
        <v>N/A</v>
      </c>
      <c r="E516" s="250" t="str">
        <f ca="1">IFERROR(FDS(MO.Ticker.FactSet,"P_PRICE_AVG"&amp;"("&amp;INDEX(MO_SNA_FPStartDate,0,COLUMN())&amp;","&amp;INDEX(MO_Common_QEndDate,0,COLUMN())&amp;",,,,""PRICE"",""CLOSE"")"),"N/A")</f>
        <v>N/A</v>
      </c>
      <c r="F516" s="250" t="str">
        <f ca="1">IFERROR(FDS(MO.Ticker.FactSet,"P_PRICE_AVG"&amp;"("&amp;INDEX(MO_SNA_FPStartDate,0,COLUMN())&amp;","&amp;INDEX(MO_Common_QEndDate,0,COLUMN())&amp;",,,,""PRICE"",""CLOSE"")"),"N/A")</f>
        <v>N/A</v>
      </c>
      <c r="G516" s="250" t="str">
        <f ca="1">IFERROR(FDS(MO.Ticker.FactSet,"P_PRICE_AVG"&amp;"("&amp;INDEX(MO_SNA_FPStartDate,0,COLUMN())&amp;","&amp;INDEX(MO_Common_QEndDate,0,COLUMN())&amp;",,,,""PRICE"",""CLOSE"")"),"N/A")</f>
        <v>N/A</v>
      </c>
      <c r="H516" s="250" t="str">
        <f ca="1">IFERROR(FDS(MO.Ticker.FactSet,"P_PRICE_AVG"&amp;"("&amp;INDEX(MO_SNA_FPStartDate,0,COLUMN())&amp;","&amp;INDEX(MO_Common_QEndDate,0,COLUMN())&amp;",,,,""PRICE"",""CLOSE"")"),"N/A")</f>
        <v>N/A</v>
      </c>
      <c r="I516" s="250" t="str">
        <f ca="1">IFERROR(FDS(MO.Ticker.FactSet,"P_PRICE_AVG"&amp;"("&amp;INDEX(MO_SNA_FPStartDate,0,COLUMN())&amp;","&amp;INDEX(MO_Common_QEndDate,0,COLUMN())&amp;",,,,""PRICE"",""CLOSE"")"),"N/A")</f>
        <v>N/A</v>
      </c>
      <c r="J516" s="250" t="str">
        <f ca="1">IFERROR(FDS(MO.Ticker.FactSet,"P_PRICE_AVG"&amp;"("&amp;INDEX(MO_SNA_FPStartDate,0,COLUMN())&amp;","&amp;INDEX(MO_Common_QEndDate,0,COLUMN())&amp;",,,,""PRICE"",""CLOSE"")"),"N/A")</f>
        <v>N/A</v>
      </c>
      <c r="K516" s="250" t="str">
        <f ca="1">IFERROR(FDS(MO.Ticker.FactSet,"P_PRICE_AVG"&amp;"("&amp;INDEX(MO_SNA_FPStartDate,0,COLUMN())&amp;","&amp;INDEX(MO_Common_QEndDate,0,COLUMN())&amp;",,,,""PRICE"",""CLOSE"")"),"N/A")</f>
        <v>N/A</v>
      </c>
      <c r="L516" s="250" t="str">
        <f ca="1">IFERROR(FDS(MO.Ticker.FactSet,"P_PRICE_AVG"&amp;"("&amp;INDEX(MO_SNA_FPStartDate,0,COLUMN())&amp;","&amp;INDEX(MO_Common_QEndDate,0,COLUMN())&amp;",,,,""PRICE"",""CLOSE"")"),"N/A")</f>
        <v>N/A</v>
      </c>
      <c r="M516" s="250" t="str">
        <f ca="1">IFERROR(FDS(MO.Ticker.FactSet,"P_PRICE_AVG"&amp;"("&amp;INDEX(MO_SNA_FPStartDate,0,COLUMN())&amp;","&amp;INDEX(MO_Common_QEndDate,0,COLUMN())&amp;",,,,""PRICE"",""CLOSE"")"),"N/A")</f>
        <v>N/A</v>
      </c>
      <c r="N516" s="250" t="str">
        <f ca="1">IFERROR(FDS(MO.Ticker.FactSet,"P_PRICE_AVG"&amp;"("&amp;INDEX(MO_SNA_FPStartDate,0,COLUMN())&amp;","&amp;INDEX(MO_Common_QEndDate,0,COLUMN())&amp;",,,,""PRICE"",""CLOSE"")"),"N/A")</f>
        <v>N/A</v>
      </c>
      <c r="O516" s="250" t="str">
        <f ca="1">IFERROR(FDS(MO.Ticker.FactSet,"P_PRICE_AVG"&amp;"("&amp;INDEX(MO_SNA_FPStartDate,0,COLUMN())&amp;","&amp;INDEX(MO_Common_QEndDate,0,COLUMN())&amp;",,,,""PRICE"",""CLOSE"")"),"N/A")</f>
        <v>N/A</v>
      </c>
      <c r="P516" s="250" t="str">
        <f ca="1">IFERROR(FDS(MO.Ticker.FactSet,"P_PRICE_AVG"&amp;"("&amp;INDEX(MO_SNA_FPStartDate,0,COLUMN())&amp;","&amp;INDEX(MO_Common_QEndDate,0,COLUMN())&amp;",,,,""PRICE"",""CLOSE"")"),"N/A")</f>
        <v>N/A</v>
      </c>
      <c r="Q516" s="250" t="str">
        <f ca="1">IFERROR(FDS(MO.Ticker.FactSet,"P_PRICE_AVG"&amp;"("&amp;INDEX(MO_SNA_FPStartDate,0,COLUMN())&amp;","&amp;INDEX(MO_Common_QEndDate,0,COLUMN())&amp;",,,,""PRICE"",""CLOSE"")"),"N/A")</f>
        <v>N/A</v>
      </c>
      <c r="R516" s="250" t="str">
        <f ca="1">IFERROR(FDS(MO.Ticker.FactSet,"P_PRICE_AVG"&amp;"("&amp;INDEX(MO_SNA_FPStartDate,0,COLUMN())&amp;","&amp;INDEX(MO_Common_QEndDate,0,COLUMN())&amp;",,,,""PRICE"",""CLOSE"")"),"N/A")</f>
        <v>N/A</v>
      </c>
      <c r="S516" s="250" t="str">
        <f ca="1">IFERROR(FDS(MO.Ticker.FactSet,"P_PRICE_AVG"&amp;"("&amp;INDEX(MO_SNA_FPStartDate,0,COLUMN())&amp;","&amp;INDEX(MO_Common_QEndDate,0,COLUMN())&amp;",,,,""PRICE"",""CLOSE"")"),"N/A")</f>
        <v>N/A</v>
      </c>
      <c r="T516" s="250" t="str">
        <f ca="1">IFERROR(FDS(MO.Ticker.FactSet,"P_PRICE_AVG"&amp;"("&amp;INDEX(MO_SNA_FPStartDate,0,COLUMN())&amp;","&amp;INDEX(MO_Common_QEndDate,0,COLUMN())&amp;",,,,""PRICE"",""CLOSE"")"),"N/A")</f>
        <v>N/A</v>
      </c>
      <c r="U516" s="250" t="str">
        <f ca="1">IFERROR(FDS(MO.Ticker.FactSet,"P_PRICE_AVG"&amp;"("&amp;INDEX(MO_SNA_FPStartDate,0,COLUMN())&amp;","&amp;INDEX(MO_Common_QEndDate,0,COLUMN())&amp;",,,,""PRICE"",""CLOSE"")"),"N/A")</f>
        <v>N/A</v>
      </c>
      <c r="V516" s="250" t="str">
        <f ca="1">IFERROR(FDS(MO.Ticker.FactSet,"P_PRICE_AVG"&amp;"("&amp;INDEX(MO_SNA_FPStartDate,0,COLUMN())&amp;","&amp;INDEX(MO_Common_QEndDate,0,COLUMN())&amp;",,,,""PRICE"",""CLOSE"")"),"N/A")</f>
        <v>N/A</v>
      </c>
      <c r="W516" s="250" t="str">
        <f ca="1">IFERROR(FDS(MO.Ticker.FactSet,"P_PRICE_AVG"&amp;"("&amp;INDEX(MO_SNA_FPStartDate,0,COLUMN())&amp;","&amp;INDEX(MO_Common_QEndDate,0,COLUMN())&amp;",,,,""PRICE"",""CLOSE"")"),"N/A")</f>
        <v>N/A</v>
      </c>
      <c r="X516" s="250" t="str">
        <f ca="1">IFERROR(FDS(MO.Ticker.FactSet,"P_PRICE_AVG"&amp;"("&amp;INDEX(MO_SNA_FPStartDate,0,COLUMN())&amp;","&amp;INDEX(MO_Common_QEndDate,0,COLUMN())&amp;",,,,""PRICE"",""CLOSE"")"),"N/A")</f>
        <v>N/A</v>
      </c>
      <c r="Y516" s="250" t="str">
        <f ca="1">IFERROR(FDS(MO.Ticker.FactSet,"P_PRICE_AVG"&amp;"("&amp;INDEX(MO_SNA_FPStartDate,0,COLUMN())&amp;","&amp;INDEX(MO_Common_QEndDate,0,COLUMN())&amp;",,,,""PRICE"",""CLOSE"")"),"N/A")</f>
        <v>N/A</v>
      </c>
      <c r="Z516" s="250" t="str">
        <f ca="1">IFERROR(FDS(MO.Ticker.FactSet,"P_PRICE_AVG"&amp;"("&amp;INDEX(MO_SNA_FPStartDate,0,COLUMN())&amp;","&amp;INDEX(MO_Common_QEndDate,0,COLUMN())&amp;",,,,""PRICE"",""CLOSE"")"),"N/A")</f>
        <v>N/A</v>
      </c>
      <c r="AA516" s="250" t="str">
        <f ca="1">IFERROR(FDS(MO.Ticker.FactSet,"P_PRICE_AVG"&amp;"("&amp;INDEX(MO_SNA_FPStartDate,0,COLUMN())&amp;","&amp;INDEX(MO_Common_QEndDate,0,COLUMN())&amp;",,,,""PRICE"",""CLOSE"")"),"N/A")</f>
        <v>N/A</v>
      </c>
      <c r="AB516" s="250" t="str">
        <f ca="1">IFERROR(FDS(MO.Ticker.FactSet,"P_PRICE_AVG"&amp;"("&amp;INDEX(MO_SNA_FPStartDate,0,COLUMN())&amp;","&amp;INDEX(MO_Common_QEndDate,0,COLUMN())&amp;",,,,""PRICE"",""CLOSE"")"),"N/A")</f>
        <v>N/A</v>
      </c>
      <c r="AC516" s="250" t="str">
        <f ca="1">IFERROR(FDS(MO.Ticker.FactSet,"P_PRICE_AVG"&amp;"("&amp;INDEX(MO_SNA_FPStartDate,0,COLUMN())&amp;","&amp;INDEX(MO_Common_QEndDate,0,COLUMN())&amp;",,,,""PRICE"",""CLOSE"")"),"N/A")</f>
        <v>N/A</v>
      </c>
      <c r="AD516" s="250" t="str">
        <f ca="1">IFERROR(FDS(MO.Ticker.FactSet,"P_PRICE_AVG"&amp;"("&amp;INDEX(MO_SNA_FPStartDate,0,COLUMN())&amp;","&amp;INDEX(MO_Common_QEndDate,0,COLUMN())&amp;",,,,""PRICE"",""CLOSE"")"),"N/A")</f>
        <v>N/A</v>
      </c>
      <c r="AE516" s="250" t="str">
        <f ca="1">IFERROR(FDS(MO.Ticker.FactSet,"P_PRICE_AVG"&amp;"("&amp;INDEX(MO_SNA_FPStartDate,0,COLUMN())&amp;","&amp;INDEX(MO_Common_QEndDate,0,COLUMN())&amp;",,,,""PRICE"",""CLOSE"")"),"N/A")</f>
        <v>N/A</v>
      </c>
      <c r="AF516" s="250" t="str">
        <f ca="1">IFERROR(FDS(MO.Ticker.FactSet,"P_PRICE_AVG"&amp;"("&amp;INDEX(MO_SNA_FPStartDate,0,COLUMN())&amp;","&amp;INDEX(MO_Common_QEndDate,0,COLUMN())&amp;",,,,""PRICE"",""CLOSE"")"),"N/A")</f>
        <v>N/A</v>
      </c>
      <c r="AG516" s="250" t="str">
        <f ca="1">IFERROR(FDS(MO.Ticker.FactSet,"P_PRICE_AVG"&amp;"("&amp;INDEX(MO_SNA_FPStartDate,0,COLUMN())&amp;","&amp;INDEX(MO_Common_QEndDate,0,COLUMN())&amp;",,,,""PRICE"",""CLOSE"")"),"N/A")</f>
        <v>N/A</v>
      </c>
      <c r="AH516" s="250" t="str">
        <f ca="1">IFERROR(FDS(MO.Ticker.FactSet,"P_PRICE_AVG"&amp;"("&amp;INDEX(MO_SNA_FPStartDate,0,COLUMN())&amp;","&amp;INDEX(MO_Common_QEndDate,0,COLUMN())&amp;",,,,""PRICE"",""CLOSE"")"),"N/A")</f>
        <v>N/A</v>
      </c>
      <c r="AI516" s="277" t="str">
        <f ca="1">IFERROR(FDS(MO.Ticker.FactSet,"P_PRICE_AVG"&amp;"("&amp;INDEX(MO_SNA_FPStartDate,0,COLUMN())&amp;","&amp;INDEX(MO_Common_QEndDate,0,COLUMN())&amp;",,,,""PRICE"",""CLOSE"")"),"N/A")</f>
        <v>N/A</v>
      </c>
      <c r="AJ516" s="277" t="str">
        <f ca="1">IFERROR(FDS(MO.Ticker.FactSet,"P_PRICE_AVG"&amp;"("&amp;INDEX(MO_SNA_FPStartDate,0,COLUMN())&amp;","&amp;INDEX(MO_Common_QEndDate,0,COLUMN())&amp;",,,,""PRICE"",""CLOSE"")"),"N/A")</f>
        <v>N/A</v>
      </c>
      <c r="AK516" s="277" t="str">
        <f ca="1">IFERROR(FDS(MO.Ticker.FactSet,"P_PRICE_AVG"&amp;"("&amp;INDEX(MO_SNA_FPStartDate,0,COLUMN())&amp;","&amp;INDEX(MO_Common_QEndDate,0,COLUMN())&amp;",,,,""PRICE"",""CLOSE"")"),"N/A")</f>
        <v>N/A</v>
      </c>
      <c r="AL516" s="277" t="str">
        <f ca="1">IFERROR(FDS(MO.Ticker.FactSet,"P_PRICE_AVG"&amp;"("&amp;INDEX(MO_SNA_FPStartDate,0,COLUMN())&amp;","&amp;INDEX(MO_Common_QEndDate,0,COLUMN())&amp;",,,,""PRICE"",""CLOSE"")"),"N/A")</f>
        <v>N/A</v>
      </c>
      <c r="AM516" s="277" t="str">
        <f ca="1">IFERROR(FDS(MO.Ticker.FactSet,"P_PRICE_AVG"&amp;"("&amp;INDEX(MO_SNA_FPStartDate,0,COLUMN())&amp;","&amp;INDEX(MO_Common_QEndDate,0,COLUMN())&amp;",,,,""PRICE"",""CLOSE"")"),"N/A")</f>
        <v>N/A</v>
      </c>
      <c r="AN516" s="277" t="str">
        <f ca="1">IFERROR(FDS(MO.Ticker.FactSet,"P_PRICE_AVG"&amp;"("&amp;INDEX(MO_SNA_FPStartDate,0,COLUMN())&amp;","&amp;INDEX(MO_Common_QEndDate,0,COLUMN())&amp;",,,,""PRICE"",""CLOSE"")"),"N/A")</f>
        <v>N/A</v>
      </c>
      <c r="AO516" s="277" t="str">
        <f ca="1">IFERROR(FDS(MO.Ticker.FactSet,"P_PRICE_AVG"&amp;"("&amp;INDEX(MO_SNA_FPStartDate,0,COLUMN())&amp;","&amp;INDEX(MO_Common_QEndDate,0,COLUMN())&amp;",,,,""PRICE"",""CLOSE"")"),"N/A")</f>
        <v>N/A</v>
      </c>
      <c r="AP516" s="277" t="str">
        <f ca="1">IFERROR(FDS(MO.Ticker.FactSet,"P_PRICE_AVG"&amp;"("&amp;INDEX(MO_SNA_FPStartDate,0,COLUMN())&amp;","&amp;INDEX(MO_Common_QEndDate,0,COLUMN())&amp;",,,,""PRICE"",""CLOSE"")"),"N/A")</f>
        <v>N/A</v>
      </c>
      <c r="AQ516" s="268" t="str">
        <f ca="1">IFERROR(FDS(MO.Ticker.FactSet,"P_PRICE_AVG"&amp;"("&amp;INDEX(MO_SNA_FPStartDate,0,COLUMN())&amp;","&amp;INDEX(MO_Common_QEndDate,0,COLUMN())&amp;",,,,""PRICE"",""CLOSE"")"),"N/A")</f>
        <v>N/A</v>
      </c>
      <c r="AR516" s="250" t="str">
        <f ca="1">IFERROR(FDS(MO.Ticker.FactSet,"P_PRICE_AVG"&amp;"("&amp;INDEX(MO_SNA_FPStartDate,0,COLUMN())&amp;","&amp;INDEX(MO_Common_QEndDate,0,COLUMN())&amp;",,,,""PRICE"",""CLOSE"")"),"N/A")</f>
        <v>N/A</v>
      </c>
      <c r="AS516" s="250" t="str">
        <f ca="1">IFERROR(FDS(MO.Ticker.FactSet,"P_PRICE_AVG"&amp;"("&amp;INDEX(MO_SNA_FPStartDate,0,COLUMN())&amp;","&amp;INDEX(MO_Common_QEndDate,0,COLUMN())&amp;",,,,""PRICE"",""CLOSE"")"),"N/A")</f>
        <v>N/A</v>
      </c>
      <c r="AT516" s="250" t="str">
        <f ca="1">IFERROR(FDS(MO.Ticker.FactSet,"P_PRICE_AVG"&amp;"("&amp;INDEX(MO_SNA_FPStartDate,0,COLUMN())&amp;","&amp;INDEX(MO_Common_QEndDate,0,COLUMN())&amp;",,,,""PRICE"",""CLOSE"")"),"N/A")</f>
        <v>N/A</v>
      </c>
      <c r="AU516" s="250" t="str">
        <f ca="1">IFERROR(FDS(MO.Ticker.FactSet,"P_PRICE_AVG"&amp;"("&amp;INDEX(MO_SNA_FPStartDate,0,COLUMN())&amp;","&amp;INDEX(MO_Common_QEndDate,0,COLUMN())&amp;",,,,""PRICE"",""CLOSE"")"),"N/A")</f>
        <v>N/A</v>
      </c>
      <c r="AV516" s="250" t="str">
        <f ca="1">IFERROR(FDS(MO.Ticker.FactSet,"P_PRICE_AVG"&amp;"("&amp;INDEX(MO_SNA_FPStartDate,0,COLUMN())&amp;","&amp;INDEX(MO_Common_QEndDate,0,COLUMN())&amp;",,,,""PRICE"",""CLOSE"")"),"N/A")</f>
        <v>N/A</v>
      </c>
      <c r="AW516" s="250" t="str">
        <f ca="1">IFERROR(FDS(MO.Ticker.FactSet,"P_PRICE_AVG"&amp;"("&amp;INDEX(MO_SNA_FPStartDate,0,COLUMN())&amp;","&amp;INDEX(MO_Common_QEndDate,0,COLUMN())&amp;",,,,""PRICE"",""CLOSE"")"),"N/A")</f>
        <v>N/A</v>
      </c>
      <c r="AX516" s="250" t="str">
        <f ca="1">IFERROR(FDS(MO.Ticker.FactSet,"P_PRICE_AVG"&amp;"("&amp;INDEX(MO_SNA_FPStartDate,0,COLUMN())&amp;","&amp;INDEX(MO_Common_QEndDate,0,COLUMN())&amp;",,,,""PRICE"",""CLOSE"")"),"N/A")</f>
        <v>N/A</v>
      </c>
      <c r="AY516" s="250" t="str">
        <f ca="1">IFERROR(FDS(MO.Ticker.FactSet,"P_PRICE_AVG"&amp;"("&amp;INDEX(MO_SNA_FPStartDate,0,COLUMN())&amp;","&amp;INDEX(MO_Common_QEndDate,0,COLUMN())&amp;",,,,""PRICE"",""CLOSE"")"),"N/A")</f>
        <v>N/A</v>
      </c>
      <c r="AZ516" s="250" t="str">
        <f ca="1">IFERROR(FDS(MO.Ticker.FactSet,"P_PRICE_AVG"&amp;"("&amp;INDEX(MO_SNA_FPStartDate,0,COLUMN())&amp;","&amp;INDEX(MO_Common_QEndDate,0,COLUMN())&amp;",,,,""PRICE"",""CLOSE"")"),"N/A")</f>
        <v>N/A</v>
      </c>
      <c r="BA516" s="250" t="str">
        <f ca="1">IFERROR(FDS(MO.Ticker.FactSet,"P_PRICE_AVG"&amp;"("&amp;INDEX(MO_SNA_FPStartDate,0,COLUMN())&amp;","&amp;INDEX(MO_Common_QEndDate,0,COLUMN())&amp;",,,,""PRICE"",""CLOSE"")"),"N/A")</f>
        <v>N/A</v>
      </c>
      <c r="BB516" s="252" t="str">
        <f ca="1">IFERROR(FDS(MO.Ticker.FactSet,"P_PRICE_AVG"&amp;"("&amp;INDEX(MO_SNA_FPStartDate,0,COLUMN())&amp;","&amp;INDEX(MO_Common_QEndDate,0,COLUMN())&amp;",,,,""PRICE"",""CLOSE"")"),"N/A")</f>
        <v>N/A</v>
      </c>
      <c r="BC516" s="253"/>
    </row>
    <row r="517" spans="1:55" s="254" customFormat="1" hidden="1" outlineLevel="1">
      <c r="A517" s="255" t="s">
        <v>292</v>
      </c>
      <c r="B517" s="250"/>
      <c r="C517" s="251" t="str">
        <f ca="1">IFERROR(_xll.TR(MO.Ticker.Thomson,"AVG(TR.Priceclose)","sdate:#1 edate:#2",,INDEX(MO_SNA_FPStartDate,0,COLUMN()),INDEX(MO_Common_QEndDate,0,COLUMN())),"N/A")</f>
        <v>N/A</v>
      </c>
      <c r="D517" s="251" t="str">
        <f ca="1">IFERROR(_xll.TR(MO.Ticker.Thomson,"AVG(TR.Priceclose)","sdate:#1 edate:#2",,INDEX(MO_SNA_FPStartDate,0,COLUMN()),INDEX(MO_Common_QEndDate,0,COLUMN())),"N/A")</f>
        <v>N/A</v>
      </c>
      <c r="E517" s="250" t="str">
        <f ca="1">IFERROR(_xll.TR(MO.Ticker.Thomson,"AVG(TR.Priceclose)","sdate:#1 edate:#2",,INDEX(MO_SNA_FPStartDate,0,COLUMN()),INDEX(MO_Common_QEndDate,0,COLUMN())),"N/A")</f>
        <v>N/A</v>
      </c>
      <c r="F517" s="250" t="str">
        <f ca="1">IFERROR(_xll.TR(MO.Ticker.Thomson,"AVG(TR.Priceclose)","sdate:#1 edate:#2",,INDEX(MO_SNA_FPStartDate,0,COLUMN()),INDEX(MO_Common_QEndDate,0,COLUMN())),"N/A")</f>
        <v>N/A</v>
      </c>
      <c r="G517" s="250" t="str">
        <f ca="1">IFERROR(_xll.TR(MO.Ticker.Thomson,"AVG(TR.Priceclose)","sdate:#1 edate:#2",,INDEX(MO_SNA_FPStartDate,0,COLUMN()),INDEX(MO_Common_QEndDate,0,COLUMN())),"N/A")</f>
        <v>N/A</v>
      </c>
      <c r="H517" s="250" t="str">
        <f ca="1">IFERROR(_xll.TR(MO.Ticker.Thomson,"AVG(TR.Priceclose)","sdate:#1 edate:#2",,INDEX(MO_SNA_FPStartDate,0,COLUMN()),INDEX(MO_Common_QEndDate,0,COLUMN())),"N/A")</f>
        <v>N/A</v>
      </c>
      <c r="I517" s="250" t="str">
        <f ca="1">IFERROR(_xll.TR(MO.Ticker.Thomson,"AVG(TR.Priceclose)","sdate:#1 edate:#2",,INDEX(MO_SNA_FPStartDate,0,COLUMN()),INDEX(MO_Common_QEndDate,0,COLUMN())),"N/A")</f>
        <v>N/A</v>
      </c>
      <c r="J517" s="250" t="str">
        <f ca="1">IFERROR(_xll.TR(MO.Ticker.Thomson,"AVG(TR.Priceclose)","sdate:#1 edate:#2",,INDEX(MO_SNA_FPStartDate,0,COLUMN()),INDEX(MO_Common_QEndDate,0,COLUMN())),"N/A")</f>
        <v>N/A</v>
      </c>
      <c r="K517" s="250" t="str">
        <f ca="1">IFERROR(_xll.TR(MO.Ticker.Thomson,"AVG(TR.Priceclose)","sdate:#1 edate:#2",,INDEX(MO_SNA_FPStartDate,0,COLUMN()),INDEX(MO_Common_QEndDate,0,COLUMN())),"N/A")</f>
        <v>N/A</v>
      </c>
      <c r="L517" s="250" t="str">
        <f ca="1">IFERROR(_xll.TR(MO.Ticker.Thomson,"AVG(TR.Priceclose)","sdate:#1 edate:#2",,INDEX(MO_SNA_FPStartDate,0,COLUMN()),INDEX(MO_Common_QEndDate,0,COLUMN())),"N/A")</f>
        <v>N/A</v>
      </c>
      <c r="M517" s="250" t="str">
        <f ca="1">IFERROR(_xll.TR(MO.Ticker.Thomson,"AVG(TR.Priceclose)","sdate:#1 edate:#2",,INDEX(MO_SNA_FPStartDate,0,COLUMN()),INDEX(MO_Common_QEndDate,0,COLUMN())),"N/A")</f>
        <v>N/A</v>
      </c>
      <c r="N517" s="250" t="str">
        <f ca="1">IFERROR(_xll.TR(MO.Ticker.Thomson,"AVG(TR.Priceclose)","sdate:#1 edate:#2",,INDEX(MO_SNA_FPStartDate,0,COLUMN()),INDEX(MO_Common_QEndDate,0,COLUMN())),"N/A")</f>
        <v>N/A</v>
      </c>
      <c r="O517" s="250" t="str">
        <f ca="1">IFERROR(_xll.TR(MO.Ticker.Thomson,"AVG(TR.Priceclose)","sdate:#1 edate:#2",,INDEX(MO_SNA_FPStartDate,0,COLUMN()),INDEX(MO_Common_QEndDate,0,COLUMN())),"N/A")</f>
        <v>N/A</v>
      </c>
      <c r="P517" s="250" t="str">
        <f ca="1">IFERROR(_xll.TR(MO.Ticker.Thomson,"AVG(TR.Priceclose)","sdate:#1 edate:#2",,INDEX(MO_SNA_FPStartDate,0,COLUMN()),INDEX(MO_Common_QEndDate,0,COLUMN())),"N/A")</f>
        <v>N/A</v>
      </c>
      <c r="Q517" s="250" t="str">
        <f ca="1">IFERROR(_xll.TR(MO.Ticker.Thomson,"AVG(TR.Priceclose)","sdate:#1 edate:#2",,INDEX(MO_SNA_FPStartDate,0,COLUMN()),INDEX(MO_Common_QEndDate,0,COLUMN())),"N/A")</f>
        <v>N/A</v>
      </c>
      <c r="R517" s="250" t="str">
        <f ca="1">IFERROR(_xll.TR(MO.Ticker.Thomson,"AVG(TR.Priceclose)","sdate:#1 edate:#2",,INDEX(MO_SNA_FPStartDate,0,COLUMN()),INDEX(MO_Common_QEndDate,0,COLUMN())),"N/A")</f>
        <v>N/A</v>
      </c>
      <c r="S517" s="250" t="str">
        <f ca="1">IFERROR(_xll.TR(MO.Ticker.Thomson,"AVG(TR.Priceclose)","sdate:#1 edate:#2",,INDEX(MO_SNA_FPStartDate,0,COLUMN()),INDEX(MO_Common_QEndDate,0,COLUMN())),"N/A")</f>
        <v>N/A</v>
      </c>
      <c r="T517" s="250" t="str">
        <f ca="1">IFERROR(_xll.TR(MO.Ticker.Thomson,"AVG(TR.Priceclose)","sdate:#1 edate:#2",,INDEX(MO_SNA_FPStartDate,0,COLUMN()),INDEX(MO_Common_QEndDate,0,COLUMN())),"N/A")</f>
        <v>N/A</v>
      </c>
      <c r="U517" s="250" t="str">
        <f ca="1">IFERROR(_xll.TR(MO.Ticker.Thomson,"AVG(TR.Priceclose)","sdate:#1 edate:#2",,INDEX(MO_SNA_FPStartDate,0,COLUMN()),INDEX(MO_Common_QEndDate,0,COLUMN())),"N/A")</f>
        <v>N/A</v>
      </c>
      <c r="V517" s="250" t="str">
        <f ca="1">IFERROR(_xll.TR(MO.Ticker.Thomson,"AVG(TR.Priceclose)","sdate:#1 edate:#2",,INDEX(MO_SNA_FPStartDate,0,COLUMN()),INDEX(MO_Common_QEndDate,0,COLUMN())),"N/A")</f>
        <v>N/A</v>
      </c>
      <c r="W517" s="250" t="str">
        <f ca="1">IFERROR(_xll.TR(MO.Ticker.Thomson,"AVG(TR.Priceclose)","sdate:#1 edate:#2",,INDEX(MO_SNA_FPStartDate,0,COLUMN()),INDEX(MO_Common_QEndDate,0,COLUMN())),"N/A")</f>
        <v>N/A</v>
      </c>
      <c r="X517" s="250" t="str">
        <f ca="1">IFERROR(_xll.TR(MO.Ticker.Thomson,"AVG(TR.Priceclose)","sdate:#1 edate:#2",,INDEX(MO_SNA_FPStartDate,0,COLUMN()),INDEX(MO_Common_QEndDate,0,COLUMN())),"N/A")</f>
        <v>N/A</v>
      </c>
      <c r="Y517" s="250" t="str">
        <f ca="1">IFERROR(_xll.TR(MO.Ticker.Thomson,"AVG(TR.Priceclose)","sdate:#1 edate:#2",,INDEX(MO_SNA_FPStartDate,0,COLUMN()),INDEX(MO_Common_QEndDate,0,COLUMN())),"N/A")</f>
        <v>N/A</v>
      </c>
      <c r="Z517" s="250" t="str">
        <f ca="1">IFERROR(_xll.TR(MO.Ticker.Thomson,"AVG(TR.Priceclose)","sdate:#1 edate:#2",,INDEX(MO_SNA_FPStartDate,0,COLUMN()),INDEX(MO_Common_QEndDate,0,COLUMN())),"N/A")</f>
        <v>N/A</v>
      </c>
      <c r="AA517" s="250" t="str">
        <f ca="1">IFERROR(_xll.TR(MO.Ticker.Thomson,"AVG(TR.Priceclose)","sdate:#1 edate:#2",,INDEX(MO_SNA_FPStartDate,0,COLUMN()),INDEX(MO_Common_QEndDate,0,COLUMN())),"N/A")</f>
        <v>N/A</v>
      </c>
      <c r="AB517" s="250" t="str">
        <f ca="1">IFERROR(_xll.TR(MO.Ticker.Thomson,"AVG(TR.Priceclose)","sdate:#1 edate:#2",,INDEX(MO_SNA_FPStartDate,0,COLUMN()),INDEX(MO_Common_QEndDate,0,COLUMN())),"N/A")</f>
        <v>N/A</v>
      </c>
      <c r="AC517" s="250" t="str">
        <f ca="1">IFERROR(_xll.TR(MO.Ticker.Thomson,"AVG(TR.Priceclose)","sdate:#1 edate:#2",,INDEX(MO_SNA_FPStartDate,0,COLUMN()),INDEX(MO_Common_QEndDate,0,COLUMN())),"N/A")</f>
        <v>N/A</v>
      </c>
      <c r="AD517" s="250" t="str">
        <f ca="1">IFERROR(_xll.TR(MO.Ticker.Thomson,"AVG(TR.Priceclose)","sdate:#1 edate:#2",,INDEX(MO_SNA_FPStartDate,0,COLUMN()),INDEX(MO_Common_QEndDate,0,COLUMN())),"N/A")</f>
        <v>N/A</v>
      </c>
      <c r="AE517" s="250" t="str">
        <f ca="1">IFERROR(_xll.TR(MO.Ticker.Thomson,"AVG(TR.Priceclose)","sdate:#1 edate:#2",,INDEX(MO_SNA_FPStartDate,0,COLUMN()),INDEX(MO_Common_QEndDate,0,COLUMN())),"N/A")</f>
        <v>N/A</v>
      </c>
      <c r="AF517" s="250" t="str">
        <f ca="1">IFERROR(_xll.TR(MO.Ticker.Thomson,"AVG(TR.Priceclose)","sdate:#1 edate:#2",,INDEX(MO_SNA_FPStartDate,0,COLUMN()),INDEX(MO_Common_QEndDate,0,COLUMN())),"N/A")</f>
        <v>N/A</v>
      </c>
      <c r="AG517" s="250" t="str">
        <f ca="1">IFERROR(_xll.TR(MO.Ticker.Thomson,"AVG(TR.Priceclose)","sdate:#1 edate:#2",,INDEX(MO_SNA_FPStartDate,0,COLUMN()),INDEX(MO_Common_QEndDate,0,COLUMN())),"N/A")</f>
        <v>N/A</v>
      </c>
      <c r="AH517" s="250" t="str">
        <f ca="1">IFERROR(_xll.TR(MO.Ticker.Thomson,"AVG(TR.Priceclose)","sdate:#1 edate:#2",,INDEX(MO_SNA_FPStartDate,0,COLUMN()),INDEX(MO_Common_QEndDate,0,COLUMN())),"N/A")</f>
        <v>N/A</v>
      </c>
      <c r="AI517" s="277" t="str">
        <f ca="1">IFERROR(_xll.TR(MO.Ticker.Thomson,"AVG(TR.Priceclose)","sdate:#1 edate:#2",,INDEX(MO_SNA_FPStartDate,0,COLUMN()),INDEX(MO_Common_QEndDate,0,COLUMN())),"N/A")</f>
        <v>N/A</v>
      </c>
      <c r="AJ517" s="277" t="str">
        <f ca="1">IFERROR(_xll.TR(MO.Ticker.Thomson,"AVG(TR.Priceclose)","sdate:#1 edate:#2",,INDEX(MO_SNA_FPStartDate,0,COLUMN()),INDEX(MO_Common_QEndDate,0,COLUMN())),"N/A")</f>
        <v>N/A</v>
      </c>
      <c r="AK517" s="277" t="str">
        <f ca="1">IFERROR(_xll.TR(MO.Ticker.Thomson,"AVG(TR.Priceclose)","sdate:#1 edate:#2",,INDEX(MO_SNA_FPStartDate,0,COLUMN()),INDEX(MO_Common_QEndDate,0,COLUMN())),"N/A")</f>
        <v>N/A</v>
      </c>
      <c r="AL517" s="277" t="str">
        <f ca="1">IFERROR(_xll.TR(MO.Ticker.Thomson,"AVG(TR.Priceclose)","sdate:#1 edate:#2",,INDEX(MO_SNA_FPStartDate,0,COLUMN()),INDEX(MO_Common_QEndDate,0,COLUMN())),"N/A")</f>
        <v>N/A</v>
      </c>
      <c r="AM517" s="277" t="str">
        <f ca="1">IFERROR(_xll.TR(MO.Ticker.Thomson,"AVG(TR.Priceclose)","sdate:#1 edate:#2",,INDEX(MO_SNA_FPStartDate,0,COLUMN()),INDEX(MO_Common_QEndDate,0,COLUMN())),"N/A")</f>
        <v>N/A</v>
      </c>
      <c r="AN517" s="277" t="str">
        <f ca="1">IFERROR(_xll.TR(MO.Ticker.Thomson,"AVG(TR.Priceclose)","sdate:#1 edate:#2",,INDEX(MO_SNA_FPStartDate,0,COLUMN()),INDEX(MO_Common_QEndDate,0,COLUMN())),"N/A")</f>
        <v>N/A</v>
      </c>
      <c r="AO517" s="277" t="str">
        <f ca="1">IFERROR(_xll.TR(MO.Ticker.Thomson,"AVG(TR.Priceclose)","sdate:#1 edate:#2",,INDEX(MO_SNA_FPStartDate,0,COLUMN()),INDEX(MO_Common_QEndDate,0,COLUMN())),"N/A")</f>
        <v>N/A</v>
      </c>
      <c r="AP517" s="277" t="str">
        <f ca="1">IFERROR(_xll.TR(MO.Ticker.Thomson,"AVG(TR.Priceclose)","sdate:#1 edate:#2",,INDEX(MO_SNA_FPStartDate,0,COLUMN()),INDEX(MO_Common_QEndDate,0,COLUMN())),"N/A")</f>
        <v>N/A</v>
      </c>
      <c r="AQ517" s="268" t="str">
        <f ca="1">IFERROR(_xll.TR(MO.Ticker.Thomson,"AVG(TR.Priceclose)","sdate:#1 edate:#2",,INDEX(MO_SNA_FPStartDate,0,COLUMN()),INDEX(MO_Common_QEndDate,0,COLUMN())),"N/A")</f>
        <v>N/A</v>
      </c>
      <c r="AR517" s="250" t="str">
        <f ca="1">IFERROR(_xll.TR(MO.Ticker.Thomson,"AVG(TR.Priceclose)","sdate:#1 edate:#2",,INDEX(MO_SNA_FPStartDate,0,COLUMN()),INDEX(MO_Common_QEndDate,0,COLUMN())),"N/A")</f>
        <v>N/A</v>
      </c>
      <c r="AS517" s="250" t="str">
        <f ca="1">IFERROR(_xll.TR(MO.Ticker.Thomson,"AVG(TR.Priceclose)","sdate:#1 edate:#2",,INDEX(MO_SNA_FPStartDate,0,COLUMN()),INDEX(MO_Common_QEndDate,0,COLUMN())),"N/A")</f>
        <v>N/A</v>
      </c>
      <c r="AT517" s="250" t="str">
        <f ca="1">IFERROR(_xll.TR(MO.Ticker.Thomson,"AVG(TR.Priceclose)","sdate:#1 edate:#2",,INDEX(MO_SNA_FPStartDate,0,COLUMN()),INDEX(MO_Common_QEndDate,0,COLUMN())),"N/A")</f>
        <v>N/A</v>
      </c>
      <c r="AU517" s="250" t="str">
        <f ca="1">IFERROR(_xll.TR(MO.Ticker.Thomson,"AVG(TR.Priceclose)","sdate:#1 edate:#2",,INDEX(MO_SNA_FPStartDate,0,COLUMN()),INDEX(MO_Common_QEndDate,0,COLUMN())),"N/A")</f>
        <v>N/A</v>
      </c>
      <c r="AV517" s="250" t="str">
        <f ca="1">IFERROR(_xll.TR(MO.Ticker.Thomson,"AVG(TR.Priceclose)","sdate:#1 edate:#2",,INDEX(MO_SNA_FPStartDate,0,COLUMN()),INDEX(MO_Common_QEndDate,0,COLUMN())),"N/A")</f>
        <v>N/A</v>
      </c>
      <c r="AW517" s="250" t="str">
        <f ca="1">IFERROR(_xll.TR(MO.Ticker.Thomson,"AVG(TR.Priceclose)","sdate:#1 edate:#2",,INDEX(MO_SNA_FPStartDate,0,COLUMN()),INDEX(MO_Common_QEndDate,0,COLUMN())),"N/A")</f>
        <v>N/A</v>
      </c>
      <c r="AX517" s="250" t="str">
        <f ca="1">IFERROR(_xll.TR(MO.Ticker.Thomson,"AVG(TR.Priceclose)","sdate:#1 edate:#2",,INDEX(MO_SNA_FPStartDate,0,COLUMN()),INDEX(MO_Common_QEndDate,0,COLUMN())),"N/A")</f>
        <v>N/A</v>
      </c>
      <c r="AY517" s="250" t="str">
        <f ca="1">IFERROR(_xll.TR(MO.Ticker.Thomson,"AVG(TR.Priceclose)","sdate:#1 edate:#2",,INDEX(MO_SNA_FPStartDate,0,COLUMN()),INDEX(MO_Common_QEndDate,0,COLUMN())),"N/A")</f>
        <v>N/A</v>
      </c>
      <c r="AZ517" s="250" t="str">
        <f ca="1">IFERROR(_xll.TR(MO.Ticker.Thomson,"AVG(TR.Priceclose)","sdate:#1 edate:#2",,INDEX(MO_SNA_FPStartDate,0,COLUMN()),INDEX(MO_Common_QEndDate,0,COLUMN())),"N/A")</f>
        <v>N/A</v>
      </c>
      <c r="BA517" s="250" t="str">
        <f ca="1">IFERROR(_xll.TR(MO.Ticker.Thomson,"AVG(TR.Priceclose)","sdate:#1 edate:#2",,INDEX(MO_SNA_FPStartDate,0,COLUMN()),INDEX(MO_Common_QEndDate,0,COLUMN())),"N/A")</f>
        <v>N/A</v>
      </c>
      <c r="BB517" s="252" t="str">
        <f ca="1">IFERROR(_xll.TR(MO.Ticker.Thomson,"AVG(TR.Priceclose)","sdate:#1 edate:#2",,INDEX(MO_SNA_FPStartDate,0,COLUMN()),INDEX(MO_Common_QEndDate,0,COLUMN())),"N/A")</f>
        <v>N/A</v>
      </c>
      <c r="BC517" s="253"/>
    </row>
    <row r="518" spans="1:55" s="1" customFormat="1" hidden="1" outlineLevel="1">
      <c r="A518" s="213"/>
      <c r="B518" s="520"/>
      <c r="C518" s="93"/>
      <c r="D518" s="93"/>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15"/>
      <c r="AJ518" s="515"/>
      <c r="AK518" s="515"/>
      <c r="AL518" s="515"/>
      <c r="AM518" s="515"/>
      <c r="AN518" s="515"/>
      <c r="AO518" s="534"/>
      <c r="AP518" s="534"/>
      <c r="AQ518" s="535"/>
      <c r="AR518" s="516"/>
      <c r="AS518" s="516"/>
      <c r="AT518" s="516"/>
      <c r="AU518" s="516"/>
      <c r="AV518" s="516"/>
      <c r="AW518" s="516"/>
      <c r="AX518" s="516"/>
      <c r="AY518" s="516"/>
      <c r="AZ518" s="516"/>
      <c r="BA518" s="516"/>
      <c r="BB518" s="503"/>
      <c r="BC518" s="221"/>
    </row>
    <row r="519" spans="1:55" s="261" customFormat="1" collapsed="1">
      <c r="A519" s="256" t="str">
        <f ca="1">"FX Average: "&amp;IF(OR(MO.RealTimeStockPriceToggle=FALSE,VLOOKUP(MO.DataSourceName,MO_SPT_FXAverage_Sources,COLUMN()+2,FALSE)="N/A"),"Real-Time Off Source",MO.DataSourceName)</f>
        <v>FX Average: Real-Time Off Source</v>
      </c>
      <c r="B519" s="257"/>
      <c r="C519" s="258">
        <f t="shared" ref="C519:AH519" ca="1" si="346">IF(OR(MO.RealTimeStockPriceToggle=FALSE,AA.CurrencyMatch,VLOOKUP(MO.DataSourceName,MO_SPT_FXAverage_Sources,COLUMN(),FALSE)="N/A"),VLOOKUP("Real-Time Off Source",MO_SPT_FXAverage_Sources,COLUMN(),FALSE),VLOOKUP(MO.DataSourceName,MO_SPT_FXAverage_Sources,COLUMN(),FALSE))</f>
        <v>0</v>
      </c>
      <c r="D519" s="258">
        <f t="shared" ca="1" si="346"/>
        <v>0</v>
      </c>
      <c r="E519" s="257">
        <f t="shared" ca="1" si="346"/>
        <v>0</v>
      </c>
      <c r="F519" s="257">
        <f t="shared" ca="1" si="346"/>
        <v>0</v>
      </c>
      <c r="G519" s="257">
        <f t="shared" ca="1" si="346"/>
        <v>0</v>
      </c>
      <c r="H519" s="257">
        <f t="shared" ca="1" si="346"/>
        <v>0</v>
      </c>
      <c r="I519" s="257">
        <f t="shared" ca="1" si="346"/>
        <v>0</v>
      </c>
      <c r="J519" s="257">
        <f t="shared" ca="1" si="346"/>
        <v>0</v>
      </c>
      <c r="K519" s="257">
        <f t="shared" ca="1" si="346"/>
        <v>0</v>
      </c>
      <c r="L519" s="257">
        <f t="shared" ca="1" si="346"/>
        <v>0</v>
      </c>
      <c r="M519" s="257">
        <f t="shared" ca="1" si="346"/>
        <v>0</v>
      </c>
      <c r="N519" s="257">
        <f t="shared" ca="1" si="346"/>
        <v>0</v>
      </c>
      <c r="O519" s="257">
        <f t="shared" ca="1" si="346"/>
        <v>0</v>
      </c>
      <c r="P519" s="257">
        <f t="shared" ca="1" si="346"/>
        <v>0</v>
      </c>
      <c r="Q519" s="257">
        <f t="shared" ca="1" si="346"/>
        <v>0</v>
      </c>
      <c r="R519" s="257">
        <f t="shared" ca="1" si="346"/>
        <v>0</v>
      </c>
      <c r="S519" s="257">
        <f t="shared" ca="1" si="346"/>
        <v>0</v>
      </c>
      <c r="T519" s="257">
        <f t="shared" ca="1" si="346"/>
        <v>0</v>
      </c>
      <c r="U519" s="257">
        <f t="shared" ca="1" si="346"/>
        <v>0</v>
      </c>
      <c r="V519" s="257">
        <f t="shared" ca="1" si="346"/>
        <v>0</v>
      </c>
      <c r="W519" s="257">
        <f t="shared" ca="1" si="346"/>
        <v>0</v>
      </c>
      <c r="X519" s="257">
        <f t="shared" ca="1" si="346"/>
        <v>0</v>
      </c>
      <c r="Y519" s="257">
        <f t="shared" ca="1" si="346"/>
        <v>0</v>
      </c>
      <c r="Z519" s="257">
        <f t="shared" ca="1" si="346"/>
        <v>0</v>
      </c>
      <c r="AA519" s="257">
        <f t="shared" ca="1" si="346"/>
        <v>0</v>
      </c>
      <c r="AB519" s="257">
        <f t="shared" ca="1" si="346"/>
        <v>0</v>
      </c>
      <c r="AC519" s="257">
        <f t="shared" ca="1" si="346"/>
        <v>0</v>
      </c>
      <c r="AD519" s="257">
        <f t="shared" ca="1" si="346"/>
        <v>0</v>
      </c>
      <c r="AE519" s="257">
        <f t="shared" ca="1" si="346"/>
        <v>0</v>
      </c>
      <c r="AF519" s="257">
        <f t="shared" ca="1" si="346"/>
        <v>0</v>
      </c>
      <c r="AG519" s="257">
        <f t="shared" ca="1" si="346"/>
        <v>0</v>
      </c>
      <c r="AH519" s="257">
        <f t="shared" ca="1" si="346"/>
        <v>0</v>
      </c>
      <c r="AI519" s="278">
        <f t="shared" ref="AI519:BB519" ca="1" si="347">IF(OR(MO.RealTimeStockPriceToggle=FALSE,AA.CurrencyMatch,VLOOKUP(MO.DataSourceName,MO_SPT_FXAverage_Sources,COLUMN(),FALSE)="N/A"),VLOOKUP("Real-Time Off Source",MO_SPT_FXAverage_Sources,COLUMN(),FALSE),VLOOKUP(MO.DataSourceName,MO_SPT_FXAverage_Sources,COLUMN(),FALSE))</f>
        <v>0</v>
      </c>
      <c r="AJ519" s="278">
        <f t="shared" ca="1" si="347"/>
        <v>0</v>
      </c>
      <c r="AK519" s="278">
        <f t="shared" ca="1" si="347"/>
        <v>0</v>
      </c>
      <c r="AL519" s="278">
        <f t="shared" ca="1" si="347"/>
        <v>0</v>
      </c>
      <c r="AM519" s="278">
        <f t="shared" ca="1" si="347"/>
        <v>0</v>
      </c>
      <c r="AN519" s="278">
        <f t="shared" ca="1" si="347"/>
        <v>0</v>
      </c>
      <c r="AO519" s="278">
        <f t="shared" ca="1" si="347"/>
        <v>0</v>
      </c>
      <c r="AP519" s="278">
        <f t="shared" ca="1" si="347"/>
        <v>0</v>
      </c>
      <c r="AQ519" s="269">
        <f t="shared" ca="1" si="347"/>
        <v>0</v>
      </c>
      <c r="AR519" s="257">
        <f t="shared" ca="1" si="347"/>
        <v>1</v>
      </c>
      <c r="AS519" s="257">
        <f t="shared" ca="1" si="347"/>
        <v>1</v>
      </c>
      <c r="AT519" s="257">
        <f t="shared" ca="1" si="347"/>
        <v>1</v>
      </c>
      <c r="AU519" s="257">
        <f t="shared" ca="1" si="347"/>
        <v>1</v>
      </c>
      <c r="AV519" s="257">
        <f t="shared" ca="1" si="347"/>
        <v>1</v>
      </c>
      <c r="AW519" s="257">
        <f t="shared" ca="1" si="347"/>
        <v>1</v>
      </c>
      <c r="AX519" s="257">
        <f t="shared" ca="1" si="347"/>
        <v>1</v>
      </c>
      <c r="AY519" s="257">
        <f t="shared" ca="1" si="347"/>
        <v>1</v>
      </c>
      <c r="AZ519" s="257">
        <f t="shared" ca="1" si="347"/>
        <v>1</v>
      </c>
      <c r="BA519" s="257">
        <f t="shared" ca="1" si="347"/>
        <v>1</v>
      </c>
      <c r="BB519" s="259">
        <f t="shared" ca="1" si="347"/>
        <v>1</v>
      </c>
      <c r="BC519" s="260"/>
    </row>
    <row r="520" spans="1:55" s="261" customFormat="1" hidden="1" outlineLevel="1">
      <c r="A520" s="262" t="s">
        <v>383</v>
      </c>
      <c r="B520" s="257"/>
      <c r="C520" s="258"/>
      <c r="D520" s="258"/>
      <c r="E520" s="257"/>
      <c r="F520" s="257"/>
      <c r="G520" s="257"/>
      <c r="H520" s="257"/>
      <c r="I520" s="257"/>
      <c r="J520" s="257"/>
      <c r="K520" s="257"/>
      <c r="L520" s="257"/>
      <c r="M520" s="257"/>
      <c r="N520" s="257"/>
      <c r="O520" s="257"/>
      <c r="P520" s="257"/>
      <c r="Q520" s="257"/>
      <c r="R520" s="257"/>
      <c r="S520" s="257"/>
      <c r="T520" s="257"/>
      <c r="U520" s="257"/>
      <c r="V520" s="257"/>
      <c r="W520" s="257"/>
      <c r="X520" s="257"/>
      <c r="Y520" s="257"/>
      <c r="Z520" s="257"/>
      <c r="AA520" s="257"/>
      <c r="AB520" s="257"/>
      <c r="AC520" s="257"/>
      <c r="AD520" s="257"/>
      <c r="AE520" s="257"/>
      <c r="AF520" s="257"/>
      <c r="AG520" s="257"/>
      <c r="AH520" s="257"/>
      <c r="AI520" s="278"/>
      <c r="AJ520" s="278"/>
      <c r="AK520" s="278"/>
      <c r="AL520" s="278"/>
      <c r="AM520" s="278"/>
      <c r="AN520" s="278"/>
      <c r="AO520" s="278"/>
      <c r="AP520" s="278"/>
      <c r="AQ520" s="269"/>
      <c r="AR520" s="257">
        <f t="shared" ref="AR520:BB520" si="348">MO.MRFX.Hardcoded</f>
        <v>1</v>
      </c>
      <c r="AS520" s="257">
        <f t="shared" si="348"/>
        <v>1</v>
      </c>
      <c r="AT520" s="257">
        <f t="shared" si="348"/>
        <v>1</v>
      </c>
      <c r="AU520" s="257">
        <f t="shared" si="348"/>
        <v>1</v>
      </c>
      <c r="AV520" s="257">
        <f t="shared" si="348"/>
        <v>1</v>
      </c>
      <c r="AW520" s="257">
        <f t="shared" si="348"/>
        <v>1</v>
      </c>
      <c r="AX520" s="257">
        <f t="shared" si="348"/>
        <v>1</v>
      </c>
      <c r="AY520" s="257">
        <f t="shared" si="348"/>
        <v>1</v>
      </c>
      <c r="AZ520" s="257">
        <f t="shared" si="348"/>
        <v>1</v>
      </c>
      <c r="BA520" s="257">
        <f t="shared" si="348"/>
        <v>1</v>
      </c>
      <c r="BB520" s="259">
        <f t="shared" si="348"/>
        <v>1</v>
      </c>
      <c r="BC520" s="260"/>
    </row>
    <row r="521" spans="1:55" s="261" customFormat="1" hidden="1" outlineLevel="1">
      <c r="A521" s="262" t="s">
        <v>273</v>
      </c>
      <c r="B521" s="257"/>
      <c r="C521" s="25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D521" s="25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E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F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G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H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I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J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K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L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M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N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O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P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Q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R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S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T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U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V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W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X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Y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Z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A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B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C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D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E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F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G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H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I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J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K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L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M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N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O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P521" s="27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Q521" s="26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R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S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T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U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V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W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X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Y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Z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A521" s="257"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B521" s="259"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C521" s="260"/>
    </row>
    <row r="522" spans="1:55" s="261" customFormat="1" hidden="1" outlineLevel="1">
      <c r="A522" s="262" t="s">
        <v>274</v>
      </c>
      <c r="B522" s="257"/>
      <c r="C522" s="258" t="str">
        <f ca="1">IFERROR(IF(INDEX(MO_Common_QEndDate,0,COLUMN())&gt;TODAY(),CIQ("$"&amp;HP.TradeCurrency&amp;MO.ReportCurrency,"IQ_LASTSALEPRICE"),CIQAVG("$"&amp;HP.TradeCurrency&amp;MO.ReportCurrency,"IQ_LASTSALEPRICE",INDEX(MO_SNA_FPStartDate,0,COLUMN()),INDEX(MO_Common_QEndDate,0,COLUMN()))),"N/A")</f>
        <v>N/A</v>
      </c>
      <c r="D522" s="258" t="str">
        <f ca="1">IFERROR(IF(INDEX(MO_Common_QEndDate,0,COLUMN())&gt;TODAY(),CIQ("$"&amp;HP.TradeCurrency&amp;MO.ReportCurrency,"IQ_LASTSALEPRICE"),CIQAVG("$"&amp;HP.TradeCurrency&amp;MO.ReportCurrency,"IQ_LASTSALEPRICE",INDEX(MO_SNA_FPStartDate,0,COLUMN()),INDEX(MO_Common_QEndDate,0,COLUMN()))),"N/A")</f>
        <v>N/A</v>
      </c>
      <c r="E522" s="257" t="str">
        <f ca="1">IFERROR(IF(INDEX(MO_Common_QEndDate,0,COLUMN())&gt;TODAY(),CIQ("$"&amp;HP.TradeCurrency&amp;MO.ReportCurrency,"IQ_LASTSALEPRICE"),CIQAVG("$"&amp;HP.TradeCurrency&amp;MO.ReportCurrency,"IQ_LASTSALEPRICE",INDEX(MO_SNA_FPStartDate,0,COLUMN()),INDEX(MO_Common_QEndDate,0,COLUMN()))),"N/A")</f>
        <v>N/A</v>
      </c>
      <c r="F522" s="257" t="str">
        <f ca="1">IFERROR(IF(INDEX(MO_Common_QEndDate,0,COLUMN())&gt;TODAY(),CIQ("$"&amp;HP.TradeCurrency&amp;MO.ReportCurrency,"IQ_LASTSALEPRICE"),CIQAVG("$"&amp;HP.TradeCurrency&amp;MO.ReportCurrency,"IQ_LASTSALEPRICE",INDEX(MO_SNA_FPStartDate,0,COLUMN()),INDEX(MO_Common_QEndDate,0,COLUMN()))),"N/A")</f>
        <v>N/A</v>
      </c>
      <c r="G522" s="257" t="str">
        <f ca="1">IFERROR(IF(INDEX(MO_Common_QEndDate,0,COLUMN())&gt;TODAY(),CIQ("$"&amp;HP.TradeCurrency&amp;MO.ReportCurrency,"IQ_LASTSALEPRICE"),CIQAVG("$"&amp;HP.TradeCurrency&amp;MO.ReportCurrency,"IQ_LASTSALEPRICE",INDEX(MO_SNA_FPStartDate,0,COLUMN()),INDEX(MO_Common_QEndDate,0,COLUMN()))),"N/A")</f>
        <v>N/A</v>
      </c>
      <c r="H522" s="257" t="str">
        <f ca="1">IFERROR(IF(INDEX(MO_Common_QEndDate,0,COLUMN())&gt;TODAY(),CIQ("$"&amp;HP.TradeCurrency&amp;MO.ReportCurrency,"IQ_LASTSALEPRICE"),CIQAVG("$"&amp;HP.TradeCurrency&amp;MO.ReportCurrency,"IQ_LASTSALEPRICE",INDEX(MO_SNA_FPStartDate,0,COLUMN()),INDEX(MO_Common_QEndDate,0,COLUMN()))),"N/A")</f>
        <v>N/A</v>
      </c>
      <c r="I522" s="257" t="str">
        <f ca="1">IFERROR(IF(INDEX(MO_Common_QEndDate,0,COLUMN())&gt;TODAY(),CIQ("$"&amp;HP.TradeCurrency&amp;MO.ReportCurrency,"IQ_LASTSALEPRICE"),CIQAVG("$"&amp;HP.TradeCurrency&amp;MO.ReportCurrency,"IQ_LASTSALEPRICE",INDEX(MO_SNA_FPStartDate,0,COLUMN()),INDEX(MO_Common_QEndDate,0,COLUMN()))),"N/A")</f>
        <v>N/A</v>
      </c>
      <c r="J522" s="257" t="str">
        <f ca="1">IFERROR(IF(INDEX(MO_Common_QEndDate,0,COLUMN())&gt;TODAY(),CIQ("$"&amp;HP.TradeCurrency&amp;MO.ReportCurrency,"IQ_LASTSALEPRICE"),CIQAVG("$"&amp;HP.TradeCurrency&amp;MO.ReportCurrency,"IQ_LASTSALEPRICE",INDEX(MO_SNA_FPStartDate,0,COLUMN()),INDEX(MO_Common_QEndDate,0,COLUMN()))),"N/A")</f>
        <v>N/A</v>
      </c>
      <c r="K522" s="257" t="str">
        <f ca="1">IFERROR(IF(INDEX(MO_Common_QEndDate,0,COLUMN())&gt;TODAY(),CIQ("$"&amp;HP.TradeCurrency&amp;MO.ReportCurrency,"IQ_LASTSALEPRICE"),CIQAVG("$"&amp;HP.TradeCurrency&amp;MO.ReportCurrency,"IQ_LASTSALEPRICE",INDEX(MO_SNA_FPStartDate,0,COLUMN()),INDEX(MO_Common_QEndDate,0,COLUMN()))),"N/A")</f>
        <v>N/A</v>
      </c>
      <c r="L522" s="257" t="str">
        <f ca="1">IFERROR(IF(INDEX(MO_Common_QEndDate,0,COLUMN())&gt;TODAY(),CIQ("$"&amp;HP.TradeCurrency&amp;MO.ReportCurrency,"IQ_LASTSALEPRICE"),CIQAVG("$"&amp;HP.TradeCurrency&amp;MO.ReportCurrency,"IQ_LASTSALEPRICE",INDEX(MO_SNA_FPStartDate,0,COLUMN()),INDEX(MO_Common_QEndDate,0,COLUMN()))),"N/A")</f>
        <v>N/A</v>
      </c>
      <c r="M522" s="257" t="str">
        <f ca="1">IFERROR(IF(INDEX(MO_Common_QEndDate,0,COLUMN())&gt;TODAY(),CIQ("$"&amp;HP.TradeCurrency&amp;MO.ReportCurrency,"IQ_LASTSALEPRICE"),CIQAVG("$"&amp;HP.TradeCurrency&amp;MO.ReportCurrency,"IQ_LASTSALEPRICE",INDEX(MO_SNA_FPStartDate,0,COLUMN()),INDEX(MO_Common_QEndDate,0,COLUMN()))),"N/A")</f>
        <v>N/A</v>
      </c>
      <c r="N522" s="257" t="str">
        <f ca="1">IFERROR(IF(INDEX(MO_Common_QEndDate,0,COLUMN())&gt;TODAY(),CIQ("$"&amp;HP.TradeCurrency&amp;MO.ReportCurrency,"IQ_LASTSALEPRICE"),CIQAVG("$"&amp;HP.TradeCurrency&amp;MO.ReportCurrency,"IQ_LASTSALEPRICE",INDEX(MO_SNA_FPStartDate,0,COLUMN()),INDEX(MO_Common_QEndDate,0,COLUMN()))),"N/A")</f>
        <v>N/A</v>
      </c>
      <c r="O522" s="257" t="str">
        <f ca="1">IFERROR(IF(INDEX(MO_Common_QEndDate,0,COLUMN())&gt;TODAY(),CIQ("$"&amp;HP.TradeCurrency&amp;MO.ReportCurrency,"IQ_LASTSALEPRICE"),CIQAVG("$"&amp;HP.TradeCurrency&amp;MO.ReportCurrency,"IQ_LASTSALEPRICE",INDEX(MO_SNA_FPStartDate,0,COLUMN()),INDEX(MO_Common_QEndDate,0,COLUMN()))),"N/A")</f>
        <v>N/A</v>
      </c>
      <c r="P522" s="257" t="str">
        <f ca="1">IFERROR(IF(INDEX(MO_Common_QEndDate,0,COLUMN())&gt;TODAY(),CIQ("$"&amp;HP.TradeCurrency&amp;MO.ReportCurrency,"IQ_LASTSALEPRICE"),CIQAVG("$"&amp;HP.TradeCurrency&amp;MO.ReportCurrency,"IQ_LASTSALEPRICE",INDEX(MO_SNA_FPStartDate,0,COLUMN()),INDEX(MO_Common_QEndDate,0,COLUMN()))),"N/A")</f>
        <v>N/A</v>
      </c>
      <c r="Q522" s="257" t="str">
        <f ca="1">IFERROR(IF(INDEX(MO_Common_QEndDate,0,COLUMN())&gt;TODAY(),CIQ("$"&amp;HP.TradeCurrency&amp;MO.ReportCurrency,"IQ_LASTSALEPRICE"),CIQAVG("$"&amp;HP.TradeCurrency&amp;MO.ReportCurrency,"IQ_LASTSALEPRICE",INDEX(MO_SNA_FPStartDate,0,COLUMN()),INDEX(MO_Common_QEndDate,0,COLUMN()))),"N/A")</f>
        <v>N/A</v>
      </c>
      <c r="R522" s="257" t="str">
        <f ca="1">IFERROR(IF(INDEX(MO_Common_QEndDate,0,COLUMN())&gt;TODAY(),CIQ("$"&amp;HP.TradeCurrency&amp;MO.ReportCurrency,"IQ_LASTSALEPRICE"),CIQAVG("$"&amp;HP.TradeCurrency&amp;MO.ReportCurrency,"IQ_LASTSALEPRICE",INDEX(MO_SNA_FPStartDate,0,COLUMN()),INDEX(MO_Common_QEndDate,0,COLUMN()))),"N/A")</f>
        <v>N/A</v>
      </c>
      <c r="S522" s="257" t="str">
        <f ca="1">IFERROR(IF(INDEX(MO_Common_QEndDate,0,COLUMN())&gt;TODAY(),CIQ("$"&amp;HP.TradeCurrency&amp;MO.ReportCurrency,"IQ_LASTSALEPRICE"),CIQAVG("$"&amp;HP.TradeCurrency&amp;MO.ReportCurrency,"IQ_LASTSALEPRICE",INDEX(MO_SNA_FPStartDate,0,COLUMN()),INDEX(MO_Common_QEndDate,0,COLUMN()))),"N/A")</f>
        <v>N/A</v>
      </c>
      <c r="T522" s="257" t="str">
        <f ca="1">IFERROR(IF(INDEX(MO_Common_QEndDate,0,COLUMN())&gt;TODAY(),CIQ("$"&amp;HP.TradeCurrency&amp;MO.ReportCurrency,"IQ_LASTSALEPRICE"),CIQAVG("$"&amp;HP.TradeCurrency&amp;MO.ReportCurrency,"IQ_LASTSALEPRICE",INDEX(MO_SNA_FPStartDate,0,COLUMN()),INDEX(MO_Common_QEndDate,0,COLUMN()))),"N/A")</f>
        <v>N/A</v>
      </c>
      <c r="U522" s="257" t="str">
        <f ca="1">IFERROR(IF(INDEX(MO_Common_QEndDate,0,COLUMN())&gt;TODAY(),CIQ("$"&amp;HP.TradeCurrency&amp;MO.ReportCurrency,"IQ_LASTSALEPRICE"),CIQAVG("$"&amp;HP.TradeCurrency&amp;MO.ReportCurrency,"IQ_LASTSALEPRICE",INDEX(MO_SNA_FPStartDate,0,COLUMN()),INDEX(MO_Common_QEndDate,0,COLUMN()))),"N/A")</f>
        <v>N/A</v>
      </c>
      <c r="V522" s="257" t="str">
        <f ca="1">IFERROR(IF(INDEX(MO_Common_QEndDate,0,COLUMN())&gt;TODAY(),CIQ("$"&amp;HP.TradeCurrency&amp;MO.ReportCurrency,"IQ_LASTSALEPRICE"),CIQAVG("$"&amp;HP.TradeCurrency&amp;MO.ReportCurrency,"IQ_LASTSALEPRICE",INDEX(MO_SNA_FPStartDate,0,COLUMN()),INDEX(MO_Common_QEndDate,0,COLUMN()))),"N/A")</f>
        <v>N/A</v>
      </c>
      <c r="W522" s="257" t="str">
        <f ca="1">IFERROR(IF(INDEX(MO_Common_QEndDate,0,COLUMN())&gt;TODAY(),CIQ("$"&amp;HP.TradeCurrency&amp;MO.ReportCurrency,"IQ_LASTSALEPRICE"),CIQAVG("$"&amp;HP.TradeCurrency&amp;MO.ReportCurrency,"IQ_LASTSALEPRICE",INDEX(MO_SNA_FPStartDate,0,COLUMN()),INDEX(MO_Common_QEndDate,0,COLUMN()))),"N/A")</f>
        <v>N/A</v>
      </c>
      <c r="X522" s="257" t="str">
        <f ca="1">IFERROR(IF(INDEX(MO_Common_QEndDate,0,COLUMN())&gt;TODAY(),CIQ("$"&amp;HP.TradeCurrency&amp;MO.ReportCurrency,"IQ_LASTSALEPRICE"),CIQAVG("$"&amp;HP.TradeCurrency&amp;MO.ReportCurrency,"IQ_LASTSALEPRICE",INDEX(MO_SNA_FPStartDate,0,COLUMN()),INDEX(MO_Common_QEndDate,0,COLUMN()))),"N/A")</f>
        <v>N/A</v>
      </c>
      <c r="Y522" s="257" t="str">
        <f ca="1">IFERROR(IF(INDEX(MO_Common_QEndDate,0,COLUMN())&gt;TODAY(),CIQ("$"&amp;HP.TradeCurrency&amp;MO.ReportCurrency,"IQ_LASTSALEPRICE"),CIQAVG("$"&amp;HP.TradeCurrency&amp;MO.ReportCurrency,"IQ_LASTSALEPRICE",INDEX(MO_SNA_FPStartDate,0,COLUMN()),INDEX(MO_Common_QEndDate,0,COLUMN()))),"N/A")</f>
        <v>N/A</v>
      </c>
      <c r="Z522" s="257" t="str">
        <f ca="1">IFERROR(IF(INDEX(MO_Common_QEndDate,0,COLUMN())&gt;TODAY(),CIQ("$"&amp;HP.TradeCurrency&amp;MO.ReportCurrency,"IQ_LASTSALEPRICE"),CIQAVG("$"&amp;HP.TradeCurrency&amp;MO.ReportCurrency,"IQ_LASTSALEPRICE",INDEX(MO_SNA_FPStartDate,0,COLUMN()),INDEX(MO_Common_QEndDate,0,COLUMN()))),"N/A")</f>
        <v>N/A</v>
      </c>
      <c r="AA522" s="257" t="str">
        <f ca="1">IFERROR(IF(INDEX(MO_Common_QEndDate,0,COLUMN())&gt;TODAY(),CIQ("$"&amp;HP.TradeCurrency&amp;MO.ReportCurrency,"IQ_LASTSALEPRICE"),CIQAVG("$"&amp;HP.TradeCurrency&amp;MO.ReportCurrency,"IQ_LASTSALEPRICE",INDEX(MO_SNA_FPStartDate,0,COLUMN()),INDEX(MO_Common_QEndDate,0,COLUMN()))),"N/A")</f>
        <v>N/A</v>
      </c>
      <c r="AB522" s="257" t="str">
        <f ca="1">IFERROR(IF(INDEX(MO_Common_QEndDate,0,COLUMN())&gt;TODAY(),CIQ("$"&amp;HP.TradeCurrency&amp;MO.ReportCurrency,"IQ_LASTSALEPRICE"),CIQAVG("$"&amp;HP.TradeCurrency&amp;MO.ReportCurrency,"IQ_LASTSALEPRICE",INDEX(MO_SNA_FPStartDate,0,COLUMN()),INDEX(MO_Common_QEndDate,0,COLUMN()))),"N/A")</f>
        <v>N/A</v>
      </c>
      <c r="AC522" s="257" t="str">
        <f ca="1">IFERROR(IF(INDEX(MO_Common_QEndDate,0,COLUMN())&gt;TODAY(),CIQ("$"&amp;HP.TradeCurrency&amp;MO.ReportCurrency,"IQ_LASTSALEPRICE"),CIQAVG("$"&amp;HP.TradeCurrency&amp;MO.ReportCurrency,"IQ_LASTSALEPRICE",INDEX(MO_SNA_FPStartDate,0,COLUMN()),INDEX(MO_Common_QEndDate,0,COLUMN()))),"N/A")</f>
        <v>N/A</v>
      </c>
      <c r="AD522" s="257" t="str">
        <f ca="1">IFERROR(IF(INDEX(MO_Common_QEndDate,0,COLUMN())&gt;TODAY(),CIQ("$"&amp;HP.TradeCurrency&amp;MO.ReportCurrency,"IQ_LASTSALEPRICE"),CIQAVG("$"&amp;HP.TradeCurrency&amp;MO.ReportCurrency,"IQ_LASTSALEPRICE",INDEX(MO_SNA_FPStartDate,0,COLUMN()),INDEX(MO_Common_QEndDate,0,COLUMN()))),"N/A")</f>
        <v>N/A</v>
      </c>
      <c r="AE522" s="257" t="str">
        <f ca="1">IFERROR(IF(INDEX(MO_Common_QEndDate,0,COLUMN())&gt;TODAY(),CIQ("$"&amp;HP.TradeCurrency&amp;MO.ReportCurrency,"IQ_LASTSALEPRICE"),CIQAVG("$"&amp;HP.TradeCurrency&amp;MO.ReportCurrency,"IQ_LASTSALEPRICE",INDEX(MO_SNA_FPStartDate,0,COLUMN()),INDEX(MO_Common_QEndDate,0,COLUMN()))),"N/A")</f>
        <v>N/A</v>
      </c>
      <c r="AF522" s="257" t="str">
        <f ca="1">IFERROR(IF(INDEX(MO_Common_QEndDate,0,COLUMN())&gt;TODAY(),CIQ("$"&amp;HP.TradeCurrency&amp;MO.ReportCurrency,"IQ_LASTSALEPRICE"),CIQAVG("$"&amp;HP.TradeCurrency&amp;MO.ReportCurrency,"IQ_LASTSALEPRICE",INDEX(MO_SNA_FPStartDate,0,COLUMN()),INDEX(MO_Common_QEndDate,0,COLUMN()))),"N/A")</f>
        <v>N/A</v>
      </c>
      <c r="AG522" s="257" t="str">
        <f ca="1">IFERROR(IF(INDEX(MO_Common_QEndDate,0,COLUMN())&gt;TODAY(),CIQ("$"&amp;HP.TradeCurrency&amp;MO.ReportCurrency,"IQ_LASTSALEPRICE"),CIQAVG("$"&amp;HP.TradeCurrency&amp;MO.ReportCurrency,"IQ_LASTSALEPRICE",INDEX(MO_SNA_FPStartDate,0,COLUMN()),INDEX(MO_Common_QEndDate,0,COLUMN()))),"N/A")</f>
        <v>N/A</v>
      </c>
      <c r="AH522" s="257" t="str">
        <f ca="1">IFERROR(IF(INDEX(MO_Common_QEndDate,0,COLUMN())&gt;TODAY(),CIQ("$"&amp;HP.TradeCurrency&amp;MO.ReportCurrency,"IQ_LASTSALEPRICE"),CIQAVG("$"&amp;HP.TradeCurrency&amp;MO.ReportCurrency,"IQ_LASTSALEPRICE",INDEX(MO_SNA_FPStartDate,0,COLUMN()),INDEX(MO_Common_QEndDate,0,COLUMN()))),"N/A")</f>
        <v>N/A</v>
      </c>
      <c r="AI522" s="278" t="str">
        <f ca="1">IFERROR(IF(INDEX(MO_Common_QEndDate,0,COLUMN())&gt;TODAY(),CIQ("$"&amp;HP.TradeCurrency&amp;MO.ReportCurrency,"IQ_LASTSALEPRICE"),CIQAVG("$"&amp;HP.TradeCurrency&amp;MO.ReportCurrency,"IQ_LASTSALEPRICE",INDEX(MO_SNA_FPStartDate,0,COLUMN()),INDEX(MO_Common_QEndDate,0,COLUMN()))),"N/A")</f>
        <v>N/A</v>
      </c>
      <c r="AJ522" s="278" t="str">
        <f ca="1">IFERROR(IF(INDEX(MO_Common_QEndDate,0,COLUMN())&gt;TODAY(),CIQ("$"&amp;HP.TradeCurrency&amp;MO.ReportCurrency,"IQ_LASTSALEPRICE"),CIQAVG("$"&amp;HP.TradeCurrency&amp;MO.ReportCurrency,"IQ_LASTSALEPRICE",INDEX(MO_SNA_FPStartDate,0,COLUMN()),INDEX(MO_Common_QEndDate,0,COLUMN()))),"N/A")</f>
        <v>N/A</v>
      </c>
      <c r="AK522" s="278" t="str">
        <f ca="1">IFERROR(IF(INDEX(MO_Common_QEndDate,0,COLUMN())&gt;TODAY(),CIQ("$"&amp;HP.TradeCurrency&amp;MO.ReportCurrency,"IQ_LASTSALEPRICE"),CIQAVG("$"&amp;HP.TradeCurrency&amp;MO.ReportCurrency,"IQ_LASTSALEPRICE",INDEX(MO_SNA_FPStartDate,0,COLUMN()),INDEX(MO_Common_QEndDate,0,COLUMN()))),"N/A")</f>
        <v>N/A</v>
      </c>
      <c r="AL522" s="278" t="str">
        <f ca="1">IFERROR(IF(INDEX(MO_Common_QEndDate,0,COLUMN())&gt;TODAY(),CIQ("$"&amp;HP.TradeCurrency&amp;MO.ReportCurrency,"IQ_LASTSALEPRICE"),CIQAVG("$"&amp;HP.TradeCurrency&amp;MO.ReportCurrency,"IQ_LASTSALEPRICE",INDEX(MO_SNA_FPStartDate,0,COLUMN()),INDEX(MO_Common_QEndDate,0,COLUMN()))),"N/A")</f>
        <v>N/A</v>
      </c>
      <c r="AM522" s="278" t="str">
        <f ca="1">IFERROR(IF(INDEX(MO_Common_QEndDate,0,COLUMN())&gt;TODAY(),CIQ("$"&amp;HP.TradeCurrency&amp;MO.ReportCurrency,"IQ_LASTSALEPRICE"),CIQAVG("$"&amp;HP.TradeCurrency&amp;MO.ReportCurrency,"IQ_LASTSALEPRICE",INDEX(MO_SNA_FPStartDate,0,COLUMN()),INDEX(MO_Common_QEndDate,0,COLUMN()))),"N/A")</f>
        <v>N/A</v>
      </c>
      <c r="AN522" s="278" t="str">
        <f ca="1">IFERROR(IF(INDEX(MO_Common_QEndDate,0,COLUMN())&gt;TODAY(),CIQ("$"&amp;HP.TradeCurrency&amp;MO.ReportCurrency,"IQ_LASTSALEPRICE"),CIQAVG("$"&amp;HP.TradeCurrency&amp;MO.ReportCurrency,"IQ_LASTSALEPRICE",INDEX(MO_SNA_FPStartDate,0,COLUMN()),INDEX(MO_Common_QEndDate,0,COLUMN()))),"N/A")</f>
        <v>N/A</v>
      </c>
      <c r="AO522" s="278" t="str">
        <f ca="1">IFERROR(IF(INDEX(MO_Common_QEndDate,0,COLUMN())&gt;TODAY(),CIQ("$"&amp;HP.TradeCurrency&amp;MO.ReportCurrency,"IQ_LASTSALEPRICE"),CIQAVG("$"&amp;HP.TradeCurrency&amp;MO.ReportCurrency,"IQ_LASTSALEPRICE",INDEX(MO_SNA_FPStartDate,0,COLUMN()),INDEX(MO_Common_QEndDate,0,COLUMN()))),"N/A")</f>
        <v>N/A</v>
      </c>
      <c r="AP522" s="278" t="str">
        <f ca="1">IFERROR(IF(INDEX(MO_Common_QEndDate,0,COLUMN())&gt;TODAY(),CIQ("$"&amp;HP.TradeCurrency&amp;MO.ReportCurrency,"IQ_LASTSALEPRICE"),CIQAVG("$"&amp;HP.TradeCurrency&amp;MO.ReportCurrency,"IQ_LASTSALEPRICE",INDEX(MO_SNA_FPStartDate,0,COLUMN()),INDEX(MO_Common_QEndDate,0,COLUMN()))),"N/A")</f>
        <v>N/A</v>
      </c>
      <c r="AQ522" s="269" t="str">
        <f ca="1">IFERROR(IF(INDEX(MO_Common_QEndDate,0,COLUMN())&gt;TODAY(),CIQ("$"&amp;HP.TradeCurrency&amp;MO.ReportCurrency,"IQ_LASTSALEPRICE"),CIQAVG("$"&amp;HP.TradeCurrency&amp;MO.ReportCurrency,"IQ_LASTSALEPRICE",INDEX(MO_SNA_FPStartDate,0,COLUMN()),INDEX(MO_Common_QEndDate,0,COLUMN()))),"N/A")</f>
        <v>N/A</v>
      </c>
      <c r="AR522" s="257" t="str">
        <f ca="1">IFERROR(IF(INDEX(MO_Common_QEndDate,0,COLUMN())&gt;TODAY(),CIQ("$"&amp;HP.TradeCurrency&amp;MO.ReportCurrency,"IQ_LASTSALEPRICE"),CIQAVG("$"&amp;HP.TradeCurrency&amp;MO.ReportCurrency,"IQ_LASTSALEPRICE",INDEX(MO_SNA_FPStartDate,0,COLUMN()),INDEX(MO_Common_QEndDate,0,COLUMN()))),"N/A")</f>
        <v>N/A</v>
      </c>
      <c r="AS522" s="257" t="str">
        <f ca="1">IFERROR(IF(INDEX(MO_Common_QEndDate,0,COLUMN())&gt;TODAY(),CIQ("$"&amp;HP.TradeCurrency&amp;MO.ReportCurrency,"IQ_LASTSALEPRICE"),CIQAVG("$"&amp;HP.TradeCurrency&amp;MO.ReportCurrency,"IQ_LASTSALEPRICE",INDEX(MO_SNA_FPStartDate,0,COLUMN()),INDEX(MO_Common_QEndDate,0,COLUMN()))),"N/A")</f>
        <v>N/A</v>
      </c>
      <c r="AT522" s="257" t="str">
        <f ca="1">IFERROR(IF(INDEX(MO_Common_QEndDate,0,COLUMN())&gt;TODAY(),CIQ("$"&amp;HP.TradeCurrency&amp;MO.ReportCurrency,"IQ_LASTSALEPRICE"),CIQAVG("$"&amp;HP.TradeCurrency&amp;MO.ReportCurrency,"IQ_LASTSALEPRICE",INDEX(MO_SNA_FPStartDate,0,COLUMN()),INDEX(MO_Common_QEndDate,0,COLUMN()))),"N/A")</f>
        <v>N/A</v>
      </c>
      <c r="AU522" s="257" t="str">
        <f ca="1">IFERROR(IF(INDEX(MO_Common_QEndDate,0,COLUMN())&gt;TODAY(),CIQ("$"&amp;HP.TradeCurrency&amp;MO.ReportCurrency,"IQ_LASTSALEPRICE"),CIQAVG("$"&amp;HP.TradeCurrency&amp;MO.ReportCurrency,"IQ_LASTSALEPRICE",INDEX(MO_SNA_FPStartDate,0,COLUMN()),INDEX(MO_Common_QEndDate,0,COLUMN()))),"N/A")</f>
        <v>N/A</v>
      </c>
      <c r="AV522" s="257" t="str">
        <f ca="1">IFERROR(IF(INDEX(MO_Common_QEndDate,0,COLUMN())&gt;TODAY(),CIQ("$"&amp;HP.TradeCurrency&amp;MO.ReportCurrency,"IQ_LASTSALEPRICE"),CIQAVG("$"&amp;HP.TradeCurrency&amp;MO.ReportCurrency,"IQ_LASTSALEPRICE",INDEX(MO_SNA_FPStartDate,0,COLUMN()),INDEX(MO_Common_QEndDate,0,COLUMN()))),"N/A")</f>
        <v>N/A</v>
      </c>
      <c r="AW522" s="257" t="str">
        <f ca="1">IFERROR(IF(INDEX(MO_Common_QEndDate,0,COLUMN())&gt;TODAY(),CIQ("$"&amp;HP.TradeCurrency&amp;MO.ReportCurrency,"IQ_LASTSALEPRICE"),CIQAVG("$"&amp;HP.TradeCurrency&amp;MO.ReportCurrency,"IQ_LASTSALEPRICE",INDEX(MO_SNA_FPStartDate,0,COLUMN()),INDEX(MO_Common_QEndDate,0,COLUMN()))),"N/A")</f>
        <v>N/A</v>
      </c>
      <c r="AX522" s="257" t="str">
        <f ca="1">IFERROR(IF(INDEX(MO_Common_QEndDate,0,COLUMN())&gt;TODAY(),CIQ("$"&amp;HP.TradeCurrency&amp;MO.ReportCurrency,"IQ_LASTSALEPRICE"),CIQAVG("$"&amp;HP.TradeCurrency&amp;MO.ReportCurrency,"IQ_LASTSALEPRICE",INDEX(MO_SNA_FPStartDate,0,COLUMN()),INDEX(MO_Common_QEndDate,0,COLUMN()))),"N/A")</f>
        <v>N/A</v>
      </c>
      <c r="AY522" s="257" t="str">
        <f ca="1">IFERROR(IF(INDEX(MO_Common_QEndDate,0,COLUMN())&gt;TODAY(),CIQ("$"&amp;HP.TradeCurrency&amp;MO.ReportCurrency,"IQ_LASTSALEPRICE"),CIQAVG("$"&amp;HP.TradeCurrency&amp;MO.ReportCurrency,"IQ_LASTSALEPRICE",INDEX(MO_SNA_FPStartDate,0,COLUMN()),INDEX(MO_Common_QEndDate,0,COLUMN()))),"N/A")</f>
        <v>N/A</v>
      </c>
      <c r="AZ522" s="257" t="str">
        <f ca="1">IFERROR(IF(INDEX(MO_Common_QEndDate,0,COLUMN())&gt;TODAY(),CIQ("$"&amp;HP.TradeCurrency&amp;MO.ReportCurrency,"IQ_LASTSALEPRICE"),CIQAVG("$"&amp;HP.TradeCurrency&amp;MO.ReportCurrency,"IQ_LASTSALEPRICE",INDEX(MO_SNA_FPStartDate,0,COLUMN()),INDEX(MO_Common_QEndDate,0,COLUMN()))),"N/A")</f>
        <v>N/A</v>
      </c>
      <c r="BA522" s="257" t="str">
        <f ca="1">IFERROR(IF(INDEX(MO_Common_QEndDate,0,COLUMN())&gt;TODAY(),CIQ("$"&amp;HP.TradeCurrency&amp;MO.ReportCurrency,"IQ_LASTSALEPRICE"),CIQAVG("$"&amp;HP.TradeCurrency&amp;MO.ReportCurrency,"IQ_LASTSALEPRICE",INDEX(MO_SNA_FPStartDate,0,COLUMN()),INDEX(MO_Common_QEndDate,0,COLUMN()))),"N/A")</f>
        <v>N/A</v>
      </c>
      <c r="BB522" s="259" t="str">
        <f ca="1">IFERROR(IF(INDEX(MO_Common_QEndDate,0,COLUMN())&gt;TODAY(),CIQ("$"&amp;HP.TradeCurrency&amp;MO.ReportCurrency,"IQ_LASTSALEPRICE"),CIQAVG("$"&amp;HP.TradeCurrency&amp;MO.ReportCurrency,"IQ_LASTSALEPRICE",INDEX(MO_SNA_FPStartDate,0,COLUMN()),INDEX(MO_Common_QEndDate,0,COLUMN()))),"N/A")</f>
        <v>N/A</v>
      </c>
      <c r="BC522" s="260"/>
    </row>
    <row r="523" spans="1:55" s="261" customFormat="1" hidden="1" outlineLevel="1">
      <c r="A523" s="262" t="s">
        <v>275</v>
      </c>
      <c r="B523" s="257"/>
      <c r="C523" s="258" t="str">
        <f ca="1">IFERROR(IF(INDEX(MO_Common_QEndDate,0,COLUMN())&gt;TODAY(),FDS(MO.ReportCurrency&amp;HP.TradeCurrency,"FG_PRICE(NOW)"),FDS(MO.ReportCurrency&amp;HP.TradeCurrency,"P_PRICE_AVG("&amp;INDEX(MO_SNA_FPStartDate,0,COLUMN())&amp;","&amp;INDEX(MO_Common_QEndDate,0,COLUMN())&amp;",,,,0)")),"N/A")</f>
        <v>N/A</v>
      </c>
      <c r="D523" s="258" t="str">
        <f ca="1">IFERROR(IF(INDEX(MO_Common_QEndDate,0,COLUMN())&gt;TODAY(),FDS(MO.ReportCurrency&amp;HP.TradeCurrency,"FG_PRICE(NOW)"),FDS(MO.ReportCurrency&amp;HP.TradeCurrency,"P_PRICE_AVG("&amp;INDEX(MO_SNA_FPStartDate,0,COLUMN())&amp;","&amp;INDEX(MO_Common_QEndDate,0,COLUMN())&amp;",,,,0)")),"N/A")</f>
        <v>N/A</v>
      </c>
      <c r="E523" s="257" t="str">
        <f ca="1">IFERROR(IF(INDEX(MO_Common_QEndDate,0,COLUMN())&gt;TODAY(),FDS(MO.ReportCurrency&amp;HP.TradeCurrency,"FG_PRICE(NOW)"),FDS(MO.ReportCurrency&amp;HP.TradeCurrency,"P_PRICE_AVG("&amp;INDEX(MO_SNA_FPStartDate,0,COLUMN())&amp;","&amp;INDEX(MO_Common_QEndDate,0,COLUMN())&amp;",,,,0)")),"N/A")</f>
        <v>N/A</v>
      </c>
      <c r="F523" s="257" t="str">
        <f ca="1">IFERROR(IF(INDEX(MO_Common_QEndDate,0,COLUMN())&gt;TODAY(),FDS(MO.ReportCurrency&amp;HP.TradeCurrency,"FG_PRICE(NOW)"),FDS(MO.ReportCurrency&amp;HP.TradeCurrency,"P_PRICE_AVG("&amp;INDEX(MO_SNA_FPStartDate,0,COLUMN())&amp;","&amp;INDEX(MO_Common_QEndDate,0,COLUMN())&amp;",,,,0)")),"N/A")</f>
        <v>N/A</v>
      </c>
      <c r="G523" s="257" t="str">
        <f ca="1">IFERROR(IF(INDEX(MO_Common_QEndDate,0,COLUMN())&gt;TODAY(),FDS(MO.ReportCurrency&amp;HP.TradeCurrency,"FG_PRICE(NOW)"),FDS(MO.ReportCurrency&amp;HP.TradeCurrency,"P_PRICE_AVG("&amp;INDEX(MO_SNA_FPStartDate,0,COLUMN())&amp;","&amp;INDEX(MO_Common_QEndDate,0,COLUMN())&amp;",,,,0)")),"N/A")</f>
        <v>N/A</v>
      </c>
      <c r="H523" s="257" t="str">
        <f ca="1">IFERROR(IF(INDEX(MO_Common_QEndDate,0,COLUMN())&gt;TODAY(),FDS(MO.ReportCurrency&amp;HP.TradeCurrency,"FG_PRICE(NOW)"),FDS(MO.ReportCurrency&amp;HP.TradeCurrency,"P_PRICE_AVG("&amp;INDEX(MO_SNA_FPStartDate,0,COLUMN())&amp;","&amp;INDEX(MO_Common_QEndDate,0,COLUMN())&amp;",,,,0)")),"N/A")</f>
        <v>N/A</v>
      </c>
      <c r="I523" s="257" t="str">
        <f ca="1">IFERROR(IF(INDEX(MO_Common_QEndDate,0,COLUMN())&gt;TODAY(),FDS(MO.ReportCurrency&amp;HP.TradeCurrency,"FG_PRICE(NOW)"),FDS(MO.ReportCurrency&amp;HP.TradeCurrency,"P_PRICE_AVG("&amp;INDEX(MO_SNA_FPStartDate,0,COLUMN())&amp;","&amp;INDEX(MO_Common_QEndDate,0,COLUMN())&amp;",,,,0)")),"N/A")</f>
        <v>N/A</v>
      </c>
      <c r="J523" s="257" t="str">
        <f ca="1">IFERROR(IF(INDEX(MO_Common_QEndDate,0,COLUMN())&gt;TODAY(),FDS(MO.ReportCurrency&amp;HP.TradeCurrency,"FG_PRICE(NOW)"),FDS(MO.ReportCurrency&amp;HP.TradeCurrency,"P_PRICE_AVG("&amp;INDEX(MO_SNA_FPStartDate,0,COLUMN())&amp;","&amp;INDEX(MO_Common_QEndDate,0,COLUMN())&amp;",,,,0)")),"N/A")</f>
        <v>N/A</v>
      </c>
      <c r="K523" s="257" t="str">
        <f ca="1">IFERROR(IF(INDEX(MO_Common_QEndDate,0,COLUMN())&gt;TODAY(),FDS(MO.ReportCurrency&amp;HP.TradeCurrency,"FG_PRICE(NOW)"),FDS(MO.ReportCurrency&amp;HP.TradeCurrency,"P_PRICE_AVG("&amp;INDEX(MO_SNA_FPStartDate,0,COLUMN())&amp;","&amp;INDEX(MO_Common_QEndDate,0,COLUMN())&amp;",,,,0)")),"N/A")</f>
        <v>N/A</v>
      </c>
      <c r="L523" s="257" t="str">
        <f ca="1">IFERROR(IF(INDEX(MO_Common_QEndDate,0,COLUMN())&gt;TODAY(),FDS(MO.ReportCurrency&amp;HP.TradeCurrency,"FG_PRICE(NOW)"),FDS(MO.ReportCurrency&amp;HP.TradeCurrency,"P_PRICE_AVG("&amp;INDEX(MO_SNA_FPStartDate,0,COLUMN())&amp;","&amp;INDEX(MO_Common_QEndDate,0,COLUMN())&amp;",,,,0)")),"N/A")</f>
        <v>N/A</v>
      </c>
      <c r="M523" s="257" t="str">
        <f ca="1">IFERROR(IF(INDEX(MO_Common_QEndDate,0,COLUMN())&gt;TODAY(),FDS(MO.ReportCurrency&amp;HP.TradeCurrency,"FG_PRICE(NOW)"),FDS(MO.ReportCurrency&amp;HP.TradeCurrency,"P_PRICE_AVG("&amp;INDEX(MO_SNA_FPStartDate,0,COLUMN())&amp;","&amp;INDEX(MO_Common_QEndDate,0,COLUMN())&amp;",,,,0)")),"N/A")</f>
        <v>N/A</v>
      </c>
      <c r="N523" s="257" t="str">
        <f ca="1">IFERROR(IF(INDEX(MO_Common_QEndDate,0,COLUMN())&gt;TODAY(),FDS(MO.ReportCurrency&amp;HP.TradeCurrency,"FG_PRICE(NOW)"),FDS(MO.ReportCurrency&amp;HP.TradeCurrency,"P_PRICE_AVG("&amp;INDEX(MO_SNA_FPStartDate,0,COLUMN())&amp;","&amp;INDEX(MO_Common_QEndDate,0,COLUMN())&amp;",,,,0)")),"N/A")</f>
        <v>N/A</v>
      </c>
      <c r="O523" s="257" t="str">
        <f ca="1">IFERROR(IF(INDEX(MO_Common_QEndDate,0,COLUMN())&gt;TODAY(),FDS(MO.ReportCurrency&amp;HP.TradeCurrency,"FG_PRICE(NOW)"),FDS(MO.ReportCurrency&amp;HP.TradeCurrency,"P_PRICE_AVG("&amp;INDEX(MO_SNA_FPStartDate,0,COLUMN())&amp;","&amp;INDEX(MO_Common_QEndDate,0,COLUMN())&amp;",,,,0)")),"N/A")</f>
        <v>N/A</v>
      </c>
      <c r="P523" s="257" t="str">
        <f ca="1">IFERROR(IF(INDEX(MO_Common_QEndDate,0,COLUMN())&gt;TODAY(),FDS(MO.ReportCurrency&amp;HP.TradeCurrency,"FG_PRICE(NOW)"),FDS(MO.ReportCurrency&amp;HP.TradeCurrency,"P_PRICE_AVG("&amp;INDEX(MO_SNA_FPStartDate,0,COLUMN())&amp;","&amp;INDEX(MO_Common_QEndDate,0,COLUMN())&amp;",,,,0)")),"N/A")</f>
        <v>N/A</v>
      </c>
      <c r="Q523" s="257" t="str">
        <f ca="1">IFERROR(IF(INDEX(MO_Common_QEndDate,0,COLUMN())&gt;TODAY(),FDS(MO.ReportCurrency&amp;HP.TradeCurrency,"FG_PRICE(NOW)"),FDS(MO.ReportCurrency&amp;HP.TradeCurrency,"P_PRICE_AVG("&amp;INDEX(MO_SNA_FPStartDate,0,COLUMN())&amp;","&amp;INDEX(MO_Common_QEndDate,0,COLUMN())&amp;",,,,0)")),"N/A")</f>
        <v>N/A</v>
      </c>
      <c r="R523" s="257" t="str">
        <f ca="1">IFERROR(IF(INDEX(MO_Common_QEndDate,0,COLUMN())&gt;TODAY(),FDS(MO.ReportCurrency&amp;HP.TradeCurrency,"FG_PRICE(NOW)"),FDS(MO.ReportCurrency&amp;HP.TradeCurrency,"P_PRICE_AVG("&amp;INDEX(MO_SNA_FPStartDate,0,COLUMN())&amp;","&amp;INDEX(MO_Common_QEndDate,0,COLUMN())&amp;",,,,0)")),"N/A")</f>
        <v>N/A</v>
      </c>
      <c r="S523" s="257" t="str">
        <f ca="1">IFERROR(IF(INDEX(MO_Common_QEndDate,0,COLUMN())&gt;TODAY(),FDS(MO.ReportCurrency&amp;HP.TradeCurrency,"FG_PRICE(NOW)"),FDS(MO.ReportCurrency&amp;HP.TradeCurrency,"P_PRICE_AVG("&amp;INDEX(MO_SNA_FPStartDate,0,COLUMN())&amp;","&amp;INDEX(MO_Common_QEndDate,0,COLUMN())&amp;",,,,0)")),"N/A")</f>
        <v>N/A</v>
      </c>
      <c r="T523" s="257" t="str">
        <f ca="1">IFERROR(IF(INDEX(MO_Common_QEndDate,0,COLUMN())&gt;TODAY(),FDS(MO.ReportCurrency&amp;HP.TradeCurrency,"FG_PRICE(NOW)"),FDS(MO.ReportCurrency&amp;HP.TradeCurrency,"P_PRICE_AVG("&amp;INDEX(MO_SNA_FPStartDate,0,COLUMN())&amp;","&amp;INDEX(MO_Common_QEndDate,0,COLUMN())&amp;",,,,0)")),"N/A")</f>
        <v>N/A</v>
      </c>
      <c r="U523" s="257" t="str">
        <f ca="1">IFERROR(IF(INDEX(MO_Common_QEndDate,0,COLUMN())&gt;TODAY(),FDS(MO.ReportCurrency&amp;HP.TradeCurrency,"FG_PRICE(NOW)"),FDS(MO.ReportCurrency&amp;HP.TradeCurrency,"P_PRICE_AVG("&amp;INDEX(MO_SNA_FPStartDate,0,COLUMN())&amp;","&amp;INDEX(MO_Common_QEndDate,0,COLUMN())&amp;",,,,0)")),"N/A")</f>
        <v>N/A</v>
      </c>
      <c r="V523" s="257" t="str">
        <f ca="1">IFERROR(IF(INDEX(MO_Common_QEndDate,0,COLUMN())&gt;TODAY(),FDS(MO.ReportCurrency&amp;HP.TradeCurrency,"FG_PRICE(NOW)"),FDS(MO.ReportCurrency&amp;HP.TradeCurrency,"P_PRICE_AVG("&amp;INDEX(MO_SNA_FPStartDate,0,COLUMN())&amp;","&amp;INDEX(MO_Common_QEndDate,0,COLUMN())&amp;",,,,0)")),"N/A")</f>
        <v>N/A</v>
      </c>
      <c r="W523" s="257" t="str">
        <f ca="1">IFERROR(IF(INDEX(MO_Common_QEndDate,0,COLUMN())&gt;TODAY(),FDS(MO.ReportCurrency&amp;HP.TradeCurrency,"FG_PRICE(NOW)"),FDS(MO.ReportCurrency&amp;HP.TradeCurrency,"P_PRICE_AVG("&amp;INDEX(MO_SNA_FPStartDate,0,COLUMN())&amp;","&amp;INDEX(MO_Common_QEndDate,0,COLUMN())&amp;",,,,0)")),"N/A")</f>
        <v>N/A</v>
      </c>
      <c r="X523" s="257" t="str">
        <f ca="1">IFERROR(IF(INDEX(MO_Common_QEndDate,0,COLUMN())&gt;TODAY(),FDS(MO.ReportCurrency&amp;HP.TradeCurrency,"FG_PRICE(NOW)"),FDS(MO.ReportCurrency&amp;HP.TradeCurrency,"P_PRICE_AVG("&amp;INDEX(MO_SNA_FPStartDate,0,COLUMN())&amp;","&amp;INDEX(MO_Common_QEndDate,0,COLUMN())&amp;",,,,0)")),"N/A")</f>
        <v>N/A</v>
      </c>
      <c r="Y523" s="257" t="str">
        <f ca="1">IFERROR(IF(INDEX(MO_Common_QEndDate,0,COLUMN())&gt;TODAY(),FDS(MO.ReportCurrency&amp;HP.TradeCurrency,"FG_PRICE(NOW)"),FDS(MO.ReportCurrency&amp;HP.TradeCurrency,"P_PRICE_AVG("&amp;INDEX(MO_SNA_FPStartDate,0,COLUMN())&amp;","&amp;INDEX(MO_Common_QEndDate,0,COLUMN())&amp;",,,,0)")),"N/A")</f>
        <v>N/A</v>
      </c>
      <c r="Z523" s="257" t="str">
        <f ca="1">IFERROR(IF(INDEX(MO_Common_QEndDate,0,COLUMN())&gt;TODAY(),FDS(MO.ReportCurrency&amp;HP.TradeCurrency,"FG_PRICE(NOW)"),FDS(MO.ReportCurrency&amp;HP.TradeCurrency,"P_PRICE_AVG("&amp;INDEX(MO_SNA_FPStartDate,0,COLUMN())&amp;","&amp;INDEX(MO_Common_QEndDate,0,COLUMN())&amp;",,,,0)")),"N/A")</f>
        <v>N/A</v>
      </c>
      <c r="AA523" s="257" t="str">
        <f ca="1">IFERROR(IF(INDEX(MO_Common_QEndDate,0,COLUMN())&gt;TODAY(),FDS(MO.ReportCurrency&amp;HP.TradeCurrency,"FG_PRICE(NOW)"),FDS(MO.ReportCurrency&amp;HP.TradeCurrency,"P_PRICE_AVG("&amp;INDEX(MO_SNA_FPStartDate,0,COLUMN())&amp;","&amp;INDEX(MO_Common_QEndDate,0,COLUMN())&amp;",,,,0)")),"N/A")</f>
        <v>N/A</v>
      </c>
      <c r="AB523" s="257" t="str">
        <f ca="1">IFERROR(IF(INDEX(MO_Common_QEndDate,0,COLUMN())&gt;TODAY(),FDS(MO.ReportCurrency&amp;HP.TradeCurrency,"FG_PRICE(NOW)"),FDS(MO.ReportCurrency&amp;HP.TradeCurrency,"P_PRICE_AVG("&amp;INDEX(MO_SNA_FPStartDate,0,COLUMN())&amp;","&amp;INDEX(MO_Common_QEndDate,0,COLUMN())&amp;",,,,0)")),"N/A")</f>
        <v>N/A</v>
      </c>
      <c r="AC523" s="257" t="str">
        <f ca="1">IFERROR(IF(INDEX(MO_Common_QEndDate,0,COLUMN())&gt;TODAY(),FDS(MO.ReportCurrency&amp;HP.TradeCurrency,"FG_PRICE(NOW)"),FDS(MO.ReportCurrency&amp;HP.TradeCurrency,"P_PRICE_AVG("&amp;INDEX(MO_SNA_FPStartDate,0,COLUMN())&amp;","&amp;INDEX(MO_Common_QEndDate,0,COLUMN())&amp;",,,,0)")),"N/A")</f>
        <v>N/A</v>
      </c>
      <c r="AD523" s="257" t="str">
        <f ca="1">IFERROR(IF(INDEX(MO_Common_QEndDate,0,COLUMN())&gt;TODAY(),FDS(MO.ReportCurrency&amp;HP.TradeCurrency,"FG_PRICE(NOW)"),FDS(MO.ReportCurrency&amp;HP.TradeCurrency,"P_PRICE_AVG("&amp;INDEX(MO_SNA_FPStartDate,0,COLUMN())&amp;","&amp;INDEX(MO_Common_QEndDate,0,COLUMN())&amp;",,,,0)")),"N/A")</f>
        <v>N/A</v>
      </c>
      <c r="AE523" s="257" t="str">
        <f ca="1">IFERROR(IF(INDEX(MO_Common_QEndDate,0,COLUMN())&gt;TODAY(),FDS(MO.ReportCurrency&amp;HP.TradeCurrency,"FG_PRICE(NOW)"),FDS(MO.ReportCurrency&amp;HP.TradeCurrency,"P_PRICE_AVG("&amp;INDEX(MO_SNA_FPStartDate,0,COLUMN())&amp;","&amp;INDEX(MO_Common_QEndDate,0,COLUMN())&amp;",,,,0)")),"N/A")</f>
        <v>N/A</v>
      </c>
      <c r="AF523" s="257" t="str">
        <f ca="1">IFERROR(IF(INDEX(MO_Common_QEndDate,0,COLUMN())&gt;TODAY(),FDS(MO.ReportCurrency&amp;HP.TradeCurrency,"FG_PRICE(NOW)"),FDS(MO.ReportCurrency&amp;HP.TradeCurrency,"P_PRICE_AVG("&amp;INDEX(MO_SNA_FPStartDate,0,COLUMN())&amp;","&amp;INDEX(MO_Common_QEndDate,0,COLUMN())&amp;",,,,0)")),"N/A")</f>
        <v>N/A</v>
      </c>
      <c r="AG523" s="257" t="str">
        <f ca="1">IFERROR(IF(INDEX(MO_Common_QEndDate,0,COLUMN())&gt;TODAY(),FDS(MO.ReportCurrency&amp;HP.TradeCurrency,"FG_PRICE(NOW)"),FDS(MO.ReportCurrency&amp;HP.TradeCurrency,"P_PRICE_AVG("&amp;INDEX(MO_SNA_FPStartDate,0,COLUMN())&amp;","&amp;INDEX(MO_Common_QEndDate,0,COLUMN())&amp;",,,,0)")),"N/A")</f>
        <v>N/A</v>
      </c>
      <c r="AH523" s="257" t="str">
        <f ca="1">IFERROR(IF(INDEX(MO_Common_QEndDate,0,COLUMN())&gt;TODAY(),FDS(MO.ReportCurrency&amp;HP.TradeCurrency,"FG_PRICE(NOW)"),FDS(MO.ReportCurrency&amp;HP.TradeCurrency,"P_PRICE_AVG("&amp;INDEX(MO_SNA_FPStartDate,0,COLUMN())&amp;","&amp;INDEX(MO_Common_QEndDate,0,COLUMN())&amp;",,,,0)")),"N/A")</f>
        <v>N/A</v>
      </c>
      <c r="AI523" s="278" t="str">
        <f ca="1">IFERROR(IF(INDEX(MO_Common_QEndDate,0,COLUMN())&gt;TODAY(),FDS(MO.ReportCurrency&amp;HP.TradeCurrency,"FG_PRICE(NOW)"),FDS(MO.ReportCurrency&amp;HP.TradeCurrency,"P_PRICE_AVG("&amp;INDEX(MO_SNA_FPStartDate,0,COLUMN())&amp;","&amp;INDEX(MO_Common_QEndDate,0,COLUMN())&amp;",,,,0)")),"N/A")</f>
        <v>N/A</v>
      </c>
      <c r="AJ523" s="278" t="str">
        <f ca="1">IFERROR(IF(INDEX(MO_Common_QEndDate,0,COLUMN())&gt;TODAY(),FDS(MO.ReportCurrency&amp;HP.TradeCurrency,"FG_PRICE(NOW)"),FDS(MO.ReportCurrency&amp;HP.TradeCurrency,"P_PRICE_AVG("&amp;INDEX(MO_SNA_FPStartDate,0,COLUMN())&amp;","&amp;INDEX(MO_Common_QEndDate,0,COLUMN())&amp;",,,,0)")),"N/A")</f>
        <v>N/A</v>
      </c>
      <c r="AK523" s="278" t="str">
        <f ca="1">IFERROR(IF(INDEX(MO_Common_QEndDate,0,COLUMN())&gt;TODAY(),FDS(MO.ReportCurrency&amp;HP.TradeCurrency,"FG_PRICE(NOW)"),FDS(MO.ReportCurrency&amp;HP.TradeCurrency,"P_PRICE_AVG("&amp;INDEX(MO_SNA_FPStartDate,0,COLUMN())&amp;","&amp;INDEX(MO_Common_QEndDate,0,COLUMN())&amp;",,,,0)")),"N/A")</f>
        <v>N/A</v>
      </c>
      <c r="AL523" s="278" t="str">
        <f ca="1">IFERROR(IF(INDEX(MO_Common_QEndDate,0,COLUMN())&gt;TODAY(),FDS(MO.ReportCurrency&amp;HP.TradeCurrency,"FG_PRICE(NOW)"),FDS(MO.ReportCurrency&amp;HP.TradeCurrency,"P_PRICE_AVG("&amp;INDEX(MO_SNA_FPStartDate,0,COLUMN())&amp;","&amp;INDEX(MO_Common_QEndDate,0,COLUMN())&amp;",,,,0)")),"N/A")</f>
        <v>N/A</v>
      </c>
      <c r="AM523" s="278" t="str">
        <f ca="1">IFERROR(IF(INDEX(MO_Common_QEndDate,0,COLUMN())&gt;TODAY(),FDS(MO.ReportCurrency&amp;HP.TradeCurrency,"FG_PRICE(NOW)"),FDS(MO.ReportCurrency&amp;HP.TradeCurrency,"P_PRICE_AVG("&amp;INDEX(MO_SNA_FPStartDate,0,COLUMN())&amp;","&amp;INDEX(MO_Common_QEndDate,0,COLUMN())&amp;",,,,0)")),"N/A")</f>
        <v>N/A</v>
      </c>
      <c r="AN523" s="278" t="str">
        <f ca="1">IFERROR(IF(INDEX(MO_Common_QEndDate,0,COLUMN())&gt;TODAY(),FDS(MO.ReportCurrency&amp;HP.TradeCurrency,"FG_PRICE(NOW)"),FDS(MO.ReportCurrency&amp;HP.TradeCurrency,"P_PRICE_AVG("&amp;INDEX(MO_SNA_FPStartDate,0,COLUMN())&amp;","&amp;INDEX(MO_Common_QEndDate,0,COLUMN())&amp;",,,,0)")),"N/A")</f>
        <v>N/A</v>
      </c>
      <c r="AO523" s="278" t="str">
        <f ca="1">IFERROR(IF(INDEX(MO_Common_QEndDate,0,COLUMN())&gt;TODAY(),FDS(MO.ReportCurrency&amp;HP.TradeCurrency,"FG_PRICE(NOW)"),FDS(MO.ReportCurrency&amp;HP.TradeCurrency,"P_PRICE_AVG("&amp;INDEX(MO_SNA_FPStartDate,0,COLUMN())&amp;","&amp;INDEX(MO_Common_QEndDate,0,COLUMN())&amp;",,,,0)")),"N/A")</f>
        <v>N/A</v>
      </c>
      <c r="AP523" s="278" t="str">
        <f ca="1">IFERROR(IF(INDEX(MO_Common_QEndDate,0,COLUMN())&gt;TODAY(),FDS(MO.ReportCurrency&amp;HP.TradeCurrency,"FG_PRICE(NOW)"),FDS(MO.ReportCurrency&amp;HP.TradeCurrency,"P_PRICE_AVG("&amp;INDEX(MO_SNA_FPStartDate,0,COLUMN())&amp;","&amp;INDEX(MO_Common_QEndDate,0,COLUMN())&amp;",,,,0)")),"N/A")</f>
        <v>N/A</v>
      </c>
      <c r="AQ523" s="269" t="str">
        <f ca="1">IFERROR(IF(INDEX(MO_Common_QEndDate,0,COLUMN())&gt;TODAY(),FDS(MO.ReportCurrency&amp;HP.TradeCurrency,"FG_PRICE(NOW)"),FDS(MO.ReportCurrency&amp;HP.TradeCurrency,"P_PRICE_AVG("&amp;INDEX(MO_SNA_FPStartDate,0,COLUMN())&amp;","&amp;INDEX(MO_Common_QEndDate,0,COLUMN())&amp;",,,,0)")),"N/A")</f>
        <v>N/A</v>
      </c>
      <c r="AR523" s="257" t="str">
        <f ca="1">IFERROR(IF(INDEX(MO_Common_QEndDate,0,COLUMN())&gt;TODAY(),FDS(MO.ReportCurrency&amp;HP.TradeCurrency,"FG_PRICE(NOW)"),FDS(MO.ReportCurrency&amp;HP.TradeCurrency,"P_PRICE_AVG("&amp;INDEX(MO_SNA_FPStartDate,0,COLUMN())&amp;","&amp;INDEX(MO_Common_QEndDate,0,COLUMN())&amp;",,,,0)")),"N/A")</f>
        <v>N/A</v>
      </c>
      <c r="AS523" s="257" t="str">
        <f ca="1">IFERROR(IF(INDEX(MO_Common_QEndDate,0,COLUMN())&gt;TODAY(),FDS(MO.ReportCurrency&amp;HP.TradeCurrency,"FG_PRICE(NOW)"),FDS(MO.ReportCurrency&amp;HP.TradeCurrency,"P_PRICE_AVG("&amp;INDEX(MO_SNA_FPStartDate,0,COLUMN())&amp;","&amp;INDEX(MO_Common_QEndDate,0,COLUMN())&amp;",,,,0)")),"N/A")</f>
        <v>N/A</v>
      </c>
      <c r="AT523" s="257" t="str">
        <f ca="1">IFERROR(IF(INDEX(MO_Common_QEndDate,0,COLUMN())&gt;TODAY(),FDS(MO.ReportCurrency&amp;HP.TradeCurrency,"FG_PRICE(NOW)"),FDS(MO.ReportCurrency&amp;HP.TradeCurrency,"P_PRICE_AVG("&amp;INDEX(MO_SNA_FPStartDate,0,COLUMN())&amp;","&amp;INDEX(MO_Common_QEndDate,0,COLUMN())&amp;",,,,0)")),"N/A")</f>
        <v>N/A</v>
      </c>
      <c r="AU523" s="257" t="str">
        <f ca="1">IFERROR(IF(INDEX(MO_Common_QEndDate,0,COLUMN())&gt;TODAY(),FDS(MO.ReportCurrency&amp;HP.TradeCurrency,"FG_PRICE(NOW)"),FDS(MO.ReportCurrency&amp;HP.TradeCurrency,"P_PRICE_AVG("&amp;INDEX(MO_SNA_FPStartDate,0,COLUMN())&amp;","&amp;INDEX(MO_Common_QEndDate,0,COLUMN())&amp;",,,,0)")),"N/A")</f>
        <v>N/A</v>
      </c>
      <c r="AV523" s="257" t="str">
        <f ca="1">IFERROR(IF(INDEX(MO_Common_QEndDate,0,COLUMN())&gt;TODAY(),FDS(MO.ReportCurrency&amp;HP.TradeCurrency,"FG_PRICE(NOW)"),FDS(MO.ReportCurrency&amp;HP.TradeCurrency,"P_PRICE_AVG("&amp;INDEX(MO_SNA_FPStartDate,0,COLUMN())&amp;","&amp;INDEX(MO_Common_QEndDate,0,COLUMN())&amp;",,,,0)")),"N/A")</f>
        <v>N/A</v>
      </c>
      <c r="AW523" s="257" t="str">
        <f ca="1">IFERROR(IF(INDEX(MO_Common_QEndDate,0,COLUMN())&gt;TODAY(),FDS(MO.ReportCurrency&amp;HP.TradeCurrency,"FG_PRICE(NOW)"),FDS(MO.ReportCurrency&amp;HP.TradeCurrency,"P_PRICE_AVG("&amp;INDEX(MO_SNA_FPStartDate,0,COLUMN())&amp;","&amp;INDEX(MO_Common_QEndDate,0,COLUMN())&amp;",,,,0)")),"N/A")</f>
        <v>N/A</v>
      </c>
      <c r="AX523" s="257" t="str">
        <f ca="1">IFERROR(IF(INDEX(MO_Common_QEndDate,0,COLUMN())&gt;TODAY(),FDS(MO.ReportCurrency&amp;HP.TradeCurrency,"FG_PRICE(NOW)"),FDS(MO.ReportCurrency&amp;HP.TradeCurrency,"P_PRICE_AVG("&amp;INDEX(MO_SNA_FPStartDate,0,COLUMN())&amp;","&amp;INDEX(MO_Common_QEndDate,0,COLUMN())&amp;",,,,0)")),"N/A")</f>
        <v>N/A</v>
      </c>
      <c r="AY523" s="257" t="str">
        <f ca="1">IFERROR(IF(INDEX(MO_Common_QEndDate,0,COLUMN())&gt;TODAY(),FDS(MO.ReportCurrency&amp;HP.TradeCurrency,"FG_PRICE(NOW)"),FDS(MO.ReportCurrency&amp;HP.TradeCurrency,"P_PRICE_AVG("&amp;INDEX(MO_SNA_FPStartDate,0,COLUMN())&amp;","&amp;INDEX(MO_Common_QEndDate,0,COLUMN())&amp;",,,,0)")),"N/A")</f>
        <v>N/A</v>
      </c>
      <c r="AZ523" s="257" t="str">
        <f ca="1">IFERROR(IF(INDEX(MO_Common_QEndDate,0,COLUMN())&gt;TODAY(),FDS(MO.ReportCurrency&amp;HP.TradeCurrency,"FG_PRICE(NOW)"),FDS(MO.ReportCurrency&amp;HP.TradeCurrency,"P_PRICE_AVG("&amp;INDEX(MO_SNA_FPStartDate,0,COLUMN())&amp;","&amp;INDEX(MO_Common_QEndDate,0,COLUMN())&amp;",,,,0)")),"N/A")</f>
        <v>N/A</v>
      </c>
      <c r="BA523" s="257" t="str">
        <f ca="1">IFERROR(IF(INDEX(MO_Common_QEndDate,0,COLUMN())&gt;TODAY(),FDS(MO.ReportCurrency&amp;HP.TradeCurrency,"FG_PRICE(NOW)"),FDS(MO.ReportCurrency&amp;HP.TradeCurrency,"P_PRICE_AVG("&amp;INDEX(MO_SNA_FPStartDate,0,COLUMN())&amp;","&amp;INDEX(MO_Common_QEndDate,0,COLUMN())&amp;",,,,0)")),"N/A")</f>
        <v>N/A</v>
      </c>
      <c r="BB523" s="259" t="str">
        <f ca="1">IFERROR(IF(INDEX(MO_Common_QEndDate,0,COLUMN())&gt;TODAY(),FDS(MO.ReportCurrency&amp;HP.TradeCurrency,"FG_PRICE(NOW)"),FDS(MO.ReportCurrency&amp;HP.TradeCurrency,"P_PRICE_AVG("&amp;INDEX(MO_SNA_FPStartDate,0,COLUMN())&amp;","&amp;INDEX(MO_Common_QEndDate,0,COLUMN())&amp;",,,,0)")),"N/A")</f>
        <v>N/A</v>
      </c>
      <c r="BC523" s="260"/>
    </row>
    <row r="524" spans="1:55" s="261" customFormat="1" hidden="1" outlineLevel="1">
      <c r="A524" s="262" t="s">
        <v>292</v>
      </c>
      <c r="B524" s="257"/>
      <c r="C524" s="258" t="str">
        <f t="shared" ref="C524:AH524" si="349">"N/A"</f>
        <v>N/A</v>
      </c>
      <c r="D524" s="258" t="str">
        <f t="shared" si="349"/>
        <v>N/A</v>
      </c>
      <c r="E524" s="257" t="str">
        <f t="shared" si="349"/>
        <v>N/A</v>
      </c>
      <c r="F524" s="257" t="str">
        <f t="shared" si="349"/>
        <v>N/A</v>
      </c>
      <c r="G524" s="257" t="str">
        <f t="shared" si="349"/>
        <v>N/A</v>
      </c>
      <c r="H524" s="257" t="str">
        <f t="shared" si="349"/>
        <v>N/A</v>
      </c>
      <c r="I524" s="257" t="str">
        <f t="shared" si="349"/>
        <v>N/A</v>
      </c>
      <c r="J524" s="257" t="str">
        <f t="shared" si="349"/>
        <v>N/A</v>
      </c>
      <c r="K524" s="257" t="str">
        <f t="shared" si="349"/>
        <v>N/A</v>
      </c>
      <c r="L524" s="257" t="str">
        <f t="shared" si="349"/>
        <v>N/A</v>
      </c>
      <c r="M524" s="257" t="str">
        <f t="shared" si="349"/>
        <v>N/A</v>
      </c>
      <c r="N524" s="257" t="str">
        <f t="shared" si="349"/>
        <v>N/A</v>
      </c>
      <c r="O524" s="257" t="str">
        <f t="shared" si="349"/>
        <v>N/A</v>
      </c>
      <c r="P524" s="257" t="str">
        <f t="shared" si="349"/>
        <v>N/A</v>
      </c>
      <c r="Q524" s="257" t="str">
        <f t="shared" si="349"/>
        <v>N/A</v>
      </c>
      <c r="R524" s="257" t="str">
        <f t="shared" si="349"/>
        <v>N/A</v>
      </c>
      <c r="S524" s="257" t="str">
        <f t="shared" si="349"/>
        <v>N/A</v>
      </c>
      <c r="T524" s="257" t="str">
        <f t="shared" si="349"/>
        <v>N/A</v>
      </c>
      <c r="U524" s="257" t="str">
        <f t="shared" si="349"/>
        <v>N/A</v>
      </c>
      <c r="V524" s="257" t="str">
        <f t="shared" si="349"/>
        <v>N/A</v>
      </c>
      <c r="W524" s="257" t="str">
        <f t="shared" si="349"/>
        <v>N/A</v>
      </c>
      <c r="X524" s="257" t="str">
        <f t="shared" si="349"/>
        <v>N/A</v>
      </c>
      <c r="Y524" s="257" t="str">
        <f t="shared" si="349"/>
        <v>N/A</v>
      </c>
      <c r="Z524" s="257" t="str">
        <f t="shared" si="349"/>
        <v>N/A</v>
      </c>
      <c r="AA524" s="257" t="str">
        <f t="shared" si="349"/>
        <v>N/A</v>
      </c>
      <c r="AB524" s="257" t="str">
        <f t="shared" si="349"/>
        <v>N/A</v>
      </c>
      <c r="AC524" s="257" t="str">
        <f t="shared" si="349"/>
        <v>N/A</v>
      </c>
      <c r="AD524" s="257" t="str">
        <f t="shared" si="349"/>
        <v>N/A</v>
      </c>
      <c r="AE524" s="257" t="str">
        <f t="shared" si="349"/>
        <v>N/A</v>
      </c>
      <c r="AF524" s="257" t="str">
        <f t="shared" si="349"/>
        <v>N/A</v>
      </c>
      <c r="AG524" s="257" t="str">
        <f t="shared" si="349"/>
        <v>N/A</v>
      </c>
      <c r="AH524" s="257" t="str">
        <f t="shared" si="349"/>
        <v>N/A</v>
      </c>
      <c r="AI524" s="278" t="str">
        <f t="shared" ref="AI524:BB524" si="350">"N/A"</f>
        <v>N/A</v>
      </c>
      <c r="AJ524" s="278" t="str">
        <f t="shared" si="350"/>
        <v>N/A</v>
      </c>
      <c r="AK524" s="278" t="str">
        <f t="shared" si="350"/>
        <v>N/A</v>
      </c>
      <c r="AL524" s="278" t="str">
        <f t="shared" si="350"/>
        <v>N/A</v>
      </c>
      <c r="AM524" s="278" t="str">
        <f t="shared" si="350"/>
        <v>N/A</v>
      </c>
      <c r="AN524" s="278" t="str">
        <f t="shared" si="350"/>
        <v>N/A</v>
      </c>
      <c r="AO524" s="278" t="str">
        <f t="shared" si="350"/>
        <v>N/A</v>
      </c>
      <c r="AP524" s="278" t="str">
        <f t="shared" si="350"/>
        <v>N/A</v>
      </c>
      <c r="AQ524" s="269" t="str">
        <f t="shared" si="350"/>
        <v>N/A</v>
      </c>
      <c r="AR524" s="257" t="str">
        <f t="shared" si="350"/>
        <v>N/A</v>
      </c>
      <c r="AS524" s="257" t="str">
        <f t="shared" si="350"/>
        <v>N/A</v>
      </c>
      <c r="AT524" s="257" t="str">
        <f t="shared" si="350"/>
        <v>N/A</v>
      </c>
      <c r="AU524" s="257" t="str">
        <f t="shared" si="350"/>
        <v>N/A</v>
      </c>
      <c r="AV524" s="257" t="str">
        <f t="shared" si="350"/>
        <v>N/A</v>
      </c>
      <c r="AW524" s="257" t="str">
        <f t="shared" si="350"/>
        <v>N/A</v>
      </c>
      <c r="AX524" s="257" t="str">
        <f t="shared" si="350"/>
        <v>N/A</v>
      </c>
      <c r="AY524" s="257" t="str">
        <f t="shared" si="350"/>
        <v>N/A</v>
      </c>
      <c r="AZ524" s="257" t="str">
        <f t="shared" si="350"/>
        <v>N/A</v>
      </c>
      <c r="BA524" s="257" t="str">
        <f t="shared" si="350"/>
        <v>N/A</v>
      </c>
      <c r="BB524" s="259" t="str">
        <f t="shared" si="350"/>
        <v>N/A</v>
      </c>
      <c r="BC524" s="260"/>
    </row>
    <row r="525" spans="1:55" s="1" customFormat="1" collapsed="1">
      <c r="A525" s="214"/>
      <c r="B525" s="521"/>
      <c r="C525" s="212"/>
      <c r="D525" s="212"/>
      <c r="E525" s="521"/>
      <c r="F525" s="521"/>
      <c r="G525" s="521"/>
      <c r="H525" s="521"/>
      <c r="I525" s="521"/>
      <c r="J525" s="521"/>
      <c r="K525" s="521"/>
      <c r="L525" s="521"/>
      <c r="M525" s="521"/>
      <c r="N525" s="521"/>
      <c r="O525" s="521"/>
      <c r="P525" s="521"/>
      <c r="Q525" s="521"/>
      <c r="R525" s="521"/>
      <c r="S525" s="521"/>
      <c r="T525" s="521"/>
      <c r="U525" s="521"/>
      <c r="V525" s="521"/>
      <c r="W525" s="521"/>
      <c r="X525" s="521"/>
      <c r="Y525" s="521"/>
      <c r="Z525" s="521"/>
      <c r="AA525" s="521"/>
      <c r="AB525" s="521"/>
      <c r="AC525" s="521"/>
      <c r="AD525" s="521"/>
      <c r="AE525" s="521"/>
      <c r="AF525" s="521"/>
      <c r="AG525" s="521"/>
      <c r="AH525" s="521"/>
      <c r="AI525" s="521"/>
      <c r="AJ525" s="521"/>
      <c r="AK525" s="521"/>
      <c r="AL525" s="521"/>
      <c r="AM525" s="521"/>
      <c r="AN525" s="521"/>
      <c r="AO525" s="544"/>
      <c r="AP525" s="544"/>
      <c r="AQ525" s="545"/>
      <c r="AR525" s="504"/>
      <c r="AS525" s="504"/>
      <c r="AT525" s="504"/>
      <c r="AU525" s="504"/>
      <c r="AV525" s="504"/>
      <c r="AW525" s="504"/>
      <c r="AX525" s="504"/>
      <c r="AY525" s="504"/>
      <c r="AZ525" s="504"/>
      <c r="BA525" s="504"/>
      <c r="BB525" s="505"/>
      <c r="BC525" s="221"/>
    </row>
    <row r="526" spans="1:55">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c r="AA526" s="489"/>
      <c r="AB526" s="489"/>
      <c r="AC526" s="489"/>
      <c r="AD526" s="489"/>
      <c r="AE526" s="489"/>
      <c r="AF526" s="489"/>
      <c r="AG526" s="489"/>
      <c r="AH526" s="489"/>
      <c r="AI526" s="368"/>
      <c r="AJ526" s="368"/>
      <c r="AK526" s="368"/>
      <c r="AL526" s="368"/>
      <c r="AM526" s="368"/>
      <c r="AN526" s="368"/>
      <c r="AO526" s="1011"/>
      <c r="AP526" s="1011"/>
      <c r="AQ526" s="1012"/>
      <c r="AR526" s="495"/>
      <c r="AS526" s="495"/>
      <c r="AT526" s="495"/>
      <c r="AU526" s="495"/>
      <c r="AV526" s="495"/>
      <c r="AW526" s="495"/>
      <c r="AX526" s="495"/>
      <c r="AY526" s="495"/>
      <c r="AZ526" s="495"/>
      <c r="BA526" s="495"/>
      <c r="BB526" s="495"/>
      <c r="BC526" s="222"/>
    </row>
    <row r="527" spans="1:55" s="1" customFormat="1">
      <c r="A527" s="490" t="s">
        <v>356</v>
      </c>
      <c r="B527" s="242"/>
      <c r="C527" s="520"/>
      <c r="D527" s="520"/>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15"/>
      <c r="AJ527" s="515"/>
      <c r="AK527" s="515"/>
      <c r="AL527" s="515"/>
      <c r="AM527" s="515"/>
      <c r="AN527" s="515"/>
      <c r="AO527" s="534"/>
      <c r="AP527" s="534"/>
      <c r="AQ527" s="535"/>
      <c r="AR527" s="516"/>
      <c r="AS527" s="516"/>
      <c r="AT527" s="516"/>
      <c r="AU527" s="516"/>
      <c r="AV527" s="516"/>
      <c r="AW527" s="516"/>
      <c r="AX527" s="516"/>
      <c r="AY527" s="516"/>
      <c r="AZ527" s="516"/>
      <c r="BA527" s="516"/>
      <c r="BB527" s="516"/>
      <c r="BC527" s="221"/>
    </row>
    <row r="528" spans="1:55" s="219" customFormat="1">
      <c r="A528" s="459" t="s">
        <v>0</v>
      </c>
      <c r="B528" s="250">
        <f>FP.LastPrice</f>
        <v>10.119999999999999</v>
      </c>
      <c r="C528" s="250"/>
      <c r="D528" s="250"/>
      <c r="E528" s="250"/>
      <c r="F528" s="250"/>
      <c r="G528" s="250"/>
      <c r="H528" s="250"/>
      <c r="I528" s="250"/>
      <c r="J528" s="250"/>
      <c r="K528" s="250"/>
      <c r="L528" s="250"/>
      <c r="M528" s="250"/>
      <c r="N528" s="250"/>
      <c r="O528" s="250"/>
      <c r="P528" s="250"/>
      <c r="Q528" s="250"/>
      <c r="R528" s="250"/>
      <c r="S528" s="250"/>
      <c r="T528" s="250"/>
      <c r="U528" s="250"/>
      <c r="V528" s="250"/>
      <c r="W528" s="250"/>
      <c r="X528" s="250"/>
      <c r="Y528" s="250"/>
      <c r="Z528" s="250"/>
      <c r="AA528" s="250"/>
      <c r="AB528" s="250"/>
      <c r="AC528" s="250"/>
      <c r="AD528" s="250"/>
      <c r="AE528" s="250"/>
      <c r="AF528" s="250"/>
      <c r="AG528" s="250"/>
      <c r="AH528" s="250"/>
      <c r="AI528" s="277"/>
      <c r="AJ528" s="277"/>
      <c r="AK528" s="277"/>
      <c r="AL528" s="277"/>
      <c r="AM528" s="277"/>
      <c r="AN528" s="277"/>
      <c r="AO528" s="277"/>
      <c r="AP528" s="277"/>
      <c r="AQ528" s="268"/>
      <c r="AR528" s="223"/>
      <c r="AS528" s="223"/>
      <c r="AT528" s="223"/>
      <c r="AU528" s="223"/>
      <c r="AV528" s="223"/>
      <c r="AW528" s="223"/>
      <c r="AX528" s="223"/>
      <c r="AY528" s="223"/>
      <c r="AZ528" s="223"/>
      <c r="BA528" s="223"/>
      <c r="BB528" s="223"/>
      <c r="BC528" s="224"/>
    </row>
    <row r="529" spans="1:55">
      <c r="A529" s="229" t="s">
        <v>357</v>
      </c>
      <c r="B529" s="491">
        <f>FP.LastPriceDate</f>
        <v>44049</v>
      </c>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c r="AA529" s="489"/>
      <c r="AB529" s="489"/>
      <c r="AC529" s="489"/>
      <c r="AD529" s="489"/>
      <c r="AE529" s="489"/>
      <c r="AF529" s="489"/>
      <c r="AG529" s="489"/>
      <c r="AH529" s="489"/>
      <c r="AI529" s="368"/>
      <c r="AJ529" s="368"/>
      <c r="AK529" s="368"/>
      <c r="AL529" s="368"/>
      <c r="AM529" s="368"/>
      <c r="AN529" s="368"/>
      <c r="AO529" s="368"/>
      <c r="AP529" s="368"/>
      <c r="AQ529" s="370"/>
      <c r="AR529" s="495"/>
      <c r="AS529" s="495"/>
      <c r="AT529" s="495"/>
      <c r="AU529" s="495"/>
      <c r="AV529" s="495"/>
      <c r="AW529" s="495"/>
      <c r="AX529" s="495"/>
      <c r="AY529" s="495"/>
      <c r="AZ529" s="495"/>
      <c r="BA529" s="495"/>
      <c r="BB529" s="495"/>
      <c r="BC529" s="222"/>
    </row>
    <row r="530" spans="1:55">
      <c r="A530" s="229" t="s">
        <v>358</v>
      </c>
      <c r="B530" s="489" t="b">
        <f>IF(FP.RealTimeToggle="ON",TRUE,FALSE)</f>
        <v>0</v>
      </c>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c r="AA530" s="489"/>
      <c r="AB530" s="489"/>
      <c r="AC530" s="489"/>
      <c r="AD530" s="489"/>
      <c r="AE530" s="489"/>
      <c r="AF530" s="489"/>
      <c r="AG530" s="489"/>
      <c r="AH530" s="489"/>
      <c r="AI530" s="368"/>
      <c r="AJ530" s="368"/>
      <c r="AK530" s="368"/>
      <c r="AL530" s="368"/>
      <c r="AM530" s="368"/>
      <c r="AN530" s="368"/>
      <c r="AO530" s="368"/>
      <c r="AP530" s="368"/>
      <c r="AQ530" s="370"/>
      <c r="AR530" s="495"/>
      <c r="AS530" s="495"/>
      <c r="AT530" s="495"/>
      <c r="AU530" s="495"/>
      <c r="AV530" s="495"/>
      <c r="AW530" s="495"/>
      <c r="AX530" s="495"/>
      <c r="AY530" s="495"/>
      <c r="AZ530" s="495"/>
      <c r="BA530" s="495"/>
      <c r="BB530" s="495"/>
      <c r="BC530" s="222"/>
    </row>
    <row r="531" spans="1:55" s="219" customFormat="1">
      <c r="A531" s="459" t="s">
        <v>359</v>
      </c>
      <c r="B531" s="250" t="str">
        <f ca="1">IFERROR(CHOOSE(MO.DataSourceIndex,BDP(MO.Ticker.Bloomberg&amp;" EQUITY","LAST_PRICE"),CIQ(MO.Ticker.CapIQ,"IQ_LASTSALEPRICE"),FDS(MO.Ticker.FactSet,"FG_PRICE(NOW)"),_xll.TR(MO.Ticker.Thomson,"TRDPRC_1")),"N/A")</f>
        <v>N/A</v>
      </c>
      <c r="C531" s="250"/>
      <c r="D531" s="250"/>
      <c r="E531" s="250"/>
      <c r="F531" s="250"/>
      <c r="G531" s="250"/>
      <c r="H531" s="250"/>
      <c r="I531" s="250"/>
      <c r="J531" s="250"/>
      <c r="K531" s="250"/>
      <c r="L531" s="250"/>
      <c r="M531" s="250"/>
      <c r="N531" s="250"/>
      <c r="O531" s="250"/>
      <c r="P531" s="250"/>
      <c r="Q531" s="250"/>
      <c r="R531" s="250"/>
      <c r="S531" s="250"/>
      <c r="T531" s="250"/>
      <c r="U531" s="250"/>
      <c r="V531" s="250"/>
      <c r="W531" s="250"/>
      <c r="X531" s="250"/>
      <c r="Y531" s="250"/>
      <c r="Z531" s="250"/>
      <c r="AA531" s="250"/>
      <c r="AB531" s="250"/>
      <c r="AC531" s="250"/>
      <c r="AD531" s="250"/>
      <c r="AE531" s="250"/>
      <c r="AF531" s="250"/>
      <c r="AG531" s="250"/>
      <c r="AH531" s="250"/>
      <c r="AI531" s="277"/>
      <c r="AJ531" s="277"/>
      <c r="AK531" s="277"/>
      <c r="AL531" s="277"/>
      <c r="AM531" s="277"/>
      <c r="AN531" s="277"/>
      <c r="AO531" s="277"/>
      <c r="AP531" s="277"/>
      <c r="AQ531" s="268"/>
      <c r="AR531" s="223"/>
      <c r="AS531" s="223"/>
      <c r="AT531" s="223"/>
      <c r="AU531" s="223"/>
      <c r="AV531" s="223"/>
      <c r="AW531" s="223"/>
      <c r="AX531" s="223"/>
      <c r="AY531" s="223"/>
      <c r="AZ531" s="223"/>
      <c r="BA531" s="223"/>
      <c r="BB531" s="223"/>
      <c r="BC531" s="224"/>
    </row>
    <row r="532" spans="1:55" s="219" customFormat="1">
      <c r="A532" s="459" t="s">
        <v>376</v>
      </c>
      <c r="B532" s="250" t="str">
        <f ca="1">IFERROR(CHOOSE(MO.DataSourceIndex,BDP(HP.Ticker&amp;" Equity","CRNCY"),CIQ(HP.Ticker,"IQ_TRADING_CURRENCY"),FDS(HP.Ticker,"P_CURRENCY(""ISO"")"),_xll.TR(HP.Ticker,"Currency")),HP.TradeCurrency.HardCoded)</f>
        <v>USD</v>
      </c>
      <c r="C532" s="250"/>
      <c r="D532" s="250"/>
      <c r="E532" s="250"/>
      <c r="F532" s="250"/>
      <c r="G532" s="250"/>
      <c r="H532" s="250"/>
      <c r="I532" s="250"/>
      <c r="J532" s="250"/>
      <c r="K532" s="250"/>
      <c r="L532" s="250"/>
      <c r="M532" s="250"/>
      <c r="N532" s="250"/>
      <c r="O532" s="250"/>
      <c r="P532" s="250"/>
      <c r="Q532" s="250"/>
      <c r="R532" s="250"/>
      <c r="S532" s="250"/>
      <c r="T532" s="250"/>
      <c r="U532" s="250"/>
      <c r="V532" s="250"/>
      <c r="W532" s="250"/>
      <c r="X532" s="250"/>
      <c r="Y532" s="250"/>
      <c r="Z532" s="250"/>
      <c r="AA532" s="250"/>
      <c r="AB532" s="250"/>
      <c r="AC532" s="250"/>
      <c r="AD532" s="250"/>
      <c r="AE532" s="250"/>
      <c r="AF532" s="250"/>
      <c r="AG532" s="250"/>
      <c r="AH532" s="250"/>
      <c r="AI532" s="277"/>
      <c r="AJ532" s="277"/>
      <c r="AK532" s="277"/>
      <c r="AL532" s="277"/>
      <c r="AM532" s="277"/>
      <c r="AN532" s="277"/>
      <c r="AO532" s="277"/>
      <c r="AP532" s="277"/>
      <c r="AQ532" s="268"/>
      <c r="AR532" s="223"/>
      <c r="AS532" s="223"/>
      <c r="AT532" s="223"/>
      <c r="AU532" s="223"/>
      <c r="AV532" s="223"/>
      <c r="AW532" s="223"/>
      <c r="AX532" s="223"/>
      <c r="AY532" s="223"/>
      <c r="AZ532" s="223"/>
      <c r="BA532" s="223"/>
      <c r="BB532" s="223"/>
      <c r="BC532" s="224"/>
    </row>
    <row r="533" spans="1:55" s="219" customFormat="1">
      <c r="A533" s="459" t="s">
        <v>377</v>
      </c>
      <c r="B533" s="250" t="s">
        <v>2</v>
      </c>
      <c r="C533" s="250"/>
      <c r="D533" s="250"/>
      <c r="E533" s="250"/>
      <c r="F533" s="250"/>
      <c r="G533" s="250"/>
      <c r="H533" s="250"/>
      <c r="I533" s="250"/>
      <c r="J533" s="250"/>
      <c r="K533" s="250"/>
      <c r="L533" s="250"/>
      <c r="M533" s="250"/>
      <c r="N533" s="250"/>
      <c r="O533" s="250"/>
      <c r="P533" s="250"/>
      <c r="Q533" s="250"/>
      <c r="R533" s="250"/>
      <c r="S533" s="250"/>
      <c r="T533" s="250"/>
      <c r="U533" s="250"/>
      <c r="V533" s="250"/>
      <c r="W533" s="250"/>
      <c r="X533" s="250"/>
      <c r="Y533" s="250"/>
      <c r="Z533" s="250"/>
      <c r="AA533" s="250"/>
      <c r="AB533" s="250"/>
      <c r="AC533" s="250"/>
      <c r="AD533" s="250"/>
      <c r="AE533" s="250"/>
      <c r="AF533" s="250"/>
      <c r="AG533" s="250"/>
      <c r="AH533" s="250"/>
      <c r="AI533" s="277"/>
      <c r="AJ533" s="277"/>
      <c r="AK533" s="277"/>
      <c r="AL533" s="277"/>
      <c r="AM533" s="277"/>
      <c r="AN533" s="277"/>
      <c r="AO533" s="277"/>
      <c r="AP533" s="277"/>
      <c r="AQ533" s="268"/>
      <c r="AR533" s="223"/>
      <c r="AS533" s="223"/>
      <c r="AT533" s="223"/>
      <c r="AU533" s="223"/>
      <c r="AV533" s="223"/>
      <c r="AW533" s="223"/>
      <c r="AX533" s="223"/>
      <c r="AY533" s="223"/>
      <c r="AZ533" s="223"/>
      <c r="BA533" s="223"/>
      <c r="BB533" s="223"/>
      <c r="BC533" s="224"/>
    </row>
    <row r="534" spans="1:55" s="219" customFormat="1">
      <c r="A534" s="459" t="s">
        <v>378</v>
      </c>
      <c r="B534" s="250" t="s">
        <v>2</v>
      </c>
      <c r="C534" s="250"/>
      <c r="D534" s="250"/>
      <c r="E534" s="250"/>
      <c r="F534" s="250"/>
      <c r="G534" s="250"/>
      <c r="H534" s="250"/>
      <c r="I534" s="250"/>
      <c r="J534" s="250"/>
      <c r="K534" s="250"/>
      <c r="L534" s="250"/>
      <c r="M534" s="250"/>
      <c r="N534" s="250"/>
      <c r="O534" s="250"/>
      <c r="P534" s="250"/>
      <c r="Q534" s="250"/>
      <c r="R534" s="250"/>
      <c r="S534" s="250"/>
      <c r="T534" s="250"/>
      <c r="U534" s="250"/>
      <c r="V534" s="250"/>
      <c r="W534" s="250"/>
      <c r="X534" s="250"/>
      <c r="Y534" s="250"/>
      <c r="Z534" s="250"/>
      <c r="AA534" s="250"/>
      <c r="AB534" s="250"/>
      <c r="AC534" s="250"/>
      <c r="AD534" s="250"/>
      <c r="AE534" s="250"/>
      <c r="AF534" s="250"/>
      <c r="AG534" s="250"/>
      <c r="AH534" s="250"/>
      <c r="AI534" s="277"/>
      <c r="AJ534" s="277"/>
      <c r="AK534" s="277"/>
      <c r="AL534" s="277"/>
      <c r="AM534" s="277"/>
      <c r="AN534" s="277"/>
      <c r="AO534" s="277"/>
      <c r="AP534" s="277"/>
      <c r="AQ534" s="268"/>
      <c r="AR534" s="223"/>
      <c r="AS534" s="223"/>
      <c r="AT534" s="223"/>
      <c r="AU534" s="223"/>
      <c r="AV534" s="223"/>
      <c r="AW534" s="223"/>
      <c r="AX534" s="223"/>
      <c r="AY534" s="223"/>
      <c r="AZ534" s="223"/>
      <c r="BA534" s="223"/>
      <c r="BB534" s="223"/>
      <c r="BC534" s="224"/>
    </row>
    <row r="535" spans="1:55" s="219" customFormat="1">
      <c r="A535" s="459" t="s">
        <v>380</v>
      </c>
      <c r="B535" s="257">
        <f ca="1">IF(EXACT(MO.ReportFX,HP.TradeCurrency),1,IF(OR(INDEX(MO_SPT_FXAverage,1,MO.MRFPColumnNumber+1)="N/A",ISERROR(INDEX(MO_SPT_FXAverage,1,MO.MRFPColumnNumber+1))),MO.MRFX.Hardcoded,INDEX(MO_SPT_FXAverage,1,MO.MRFPColumnNumber+1)))</f>
        <v>1</v>
      </c>
      <c r="C535" s="250"/>
      <c r="D535" s="250"/>
      <c r="E535" s="250"/>
      <c r="F535" s="250"/>
      <c r="G535" s="250"/>
      <c r="H535" s="250"/>
      <c r="I535" s="250"/>
      <c r="J535" s="250"/>
      <c r="K535" s="250"/>
      <c r="L535" s="250"/>
      <c r="M535" s="250"/>
      <c r="N535" s="250"/>
      <c r="O535" s="250"/>
      <c r="P535" s="250"/>
      <c r="Q535" s="250"/>
      <c r="R535" s="250"/>
      <c r="S535" s="250"/>
      <c r="T535" s="250"/>
      <c r="U535" s="250"/>
      <c r="V535" s="250"/>
      <c r="W535" s="250"/>
      <c r="X535" s="250"/>
      <c r="Y535" s="250"/>
      <c r="Z535" s="250"/>
      <c r="AA535" s="250"/>
      <c r="AB535" s="250"/>
      <c r="AC535" s="250"/>
      <c r="AD535" s="250"/>
      <c r="AE535" s="250"/>
      <c r="AF535" s="250"/>
      <c r="AG535" s="250"/>
      <c r="AH535" s="250"/>
      <c r="AI535" s="277"/>
      <c r="AJ535" s="277"/>
      <c r="AK535" s="277"/>
      <c r="AL535" s="277"/>
      <c r="AM535" s="277"/>
      <c r="AN535" s="277"/>
      <c r="AO535" s="277"/>
      <c r="AP535" s="277"/>
      <c r="AQ535" s="268"/>
      <c r="AR535" s="223"/>
      <c r="AS535" s="223"/>
      <c r="AT535" s="223"/>
      <c r="AU535" s="223"/>
      <c r="AV535" s="223"/>
      <c r="AW535" s="223"/>
      <c r="AX535" s="223"/>
      <c r="AY535" s="223"/>
      <c r="AZ535" s="223"/>
      <c r="BA535" s="223"/>
      <c r="BB535" s="223"/>
      <c r="BC535" s="224"/>
    </row>
    <row r="536" spans="1:55" s="219" customFormat="1">
      <c r="A536" s="459" t="s">
        <v>379</v>
      </c>
      <c r="B536" s="257">
        <v>1</v>
      </c>
      <c r="C536" s="250"/>
      <c r="D536" s="250"/>
      <c r="E536" s="250"/>
      <c r="F536" s="250"/>
      <c r="G536" s="250"/>
      <c r="H536" s="250"/>
      <c r="I536" s="250"/>
      <c r="J536" s="250"/>
      <c r="K536" s="250"/>
      <c r="L536" s="250"/>
      <c r="M536" s="250"/>
      <c r="N536" s="250"/>
      <c r="O536" s="250"/>
      <c r="P536" s="250"/>
      <c r="Q536" s="250"/>
      <c r="R536" s="250"/>
      <c r="S536" s="250"/>
      <c r="T536" s="250"/>
      <c r="U536" s="250"/>
      <c r="V536" s="250"/>
      <c r="W536" s="250"/>
      <c r="X536" s="250"/>
      <c r="Y536" s="250"/>
      <c r="Z536" s="250"/>
      <c r="AA536" s="250"/>
      <c r="AB536" s="250"/>
      <c r="AC536" s="250"/>
      <c r="AD536" s="250"/>
      <c r="AE536" s="250"/>
      <c r="AF536" s="250"/>
      <c r="AG536" s="250"/>
      <c r="AH536" s="250"/>
      <c r="AI536" s="277"/>
      <c r="AJ536" s="277"/>
      <c r="AK536" s="277"/>
      <c r="AL536" s="277"/>
      <c r="AM536" s="277"/>
      <c r="AN536" s="277"/>
      <c r="AO536" s="277"/>
      <c r="AP536" s="277"/>
      <c r="AQ536" s="268"/>
      <c r="AR536" s="223"/>
      <c r="AS536" s="223"/>
      <c r="AT536" s="223"/>
      <c r="AU536" s="223"/>
      <c r="AV536" s="223"/>
      <c r="AW536" s="223"/>
      <c r="AX536" s="223"/>
      <c r="AY536" s="223"/>
      <c r="AZ536" s="223"/>
      <c r="BA536" s="223"/>
      <c r="BB536" s="223"/>
      <c r="BC536" s="224"/>
    </row>
    <row r="537" spans="1:55" s="220" customFormat="1">
      <c r="A537" s="492" t="s">
        <v>360</v>
      </c>
      <c r="B537" s="477">
        <f>MATCH(MO.MRFP,MO_Common_ColumnHeader,0)</f>
        <v>43</v>
      </c>
      <c r="C537" s="477"/>
      <c r="D537" s="477"/>
      <c r="E537" s="477"/>
      <c r="F537" s="477"/>
      <c r="G537" s="477"/>
      <c r="H537" s="477"/>
      <c r="I537" s="477"/>
      <c r="J537" s="477"/>
      <c r="K537" s="477"/>
      <c r="L537" s="477"/>
      <c r="M537" s="477"/>
      <c r="N537" s="477"/>
      <c r="O537" s="477"/>
      <c r="P537" s="477"/>
      <c r="Q537" s="477"/>
      <c r="R537" s="477"/>
      <c r="S537" s="477"/>
      <c r="T537" s="477"/>
      <c r="U537" s="477"/>
      <c r="V537" s="477"/>
      <c r="W537" s="477"/>
      <c r="X537" s="477"/>
      <c r="Y537" s="477"/>
      <c r="Z537" s="477"/>
      <c r="AA537" s="477"/>
      <c r="AB537" s="477"/>
      <c r="AC537" s="477"/>
      <c r="AD537" s="477"/>
      <c r="AE537" s="477"/>
      <c r="AF537" s="477"/>
      <c r="AG537" s="477"/>
      <c r="AH537" s="477"/>
      <c r="AI537" s="479"/>
      <c r="AJ537" s="479"/>
      <c r="AK537" s="479"/>
      <c r="AL537" s="479"/>
      <c r="AM537" s="479"/>
      <c r="AN537" s="479"/>
      <c r="AO537" s="479"/>
      <c r="AP537" s="479"/>
      <c r="AQ537" s="480"/>
      <c r="AR537" s="497"/>
      <c r="AS537" s="497"/>
      <c r="AT537" s="497"/>
      <c r="AU537" s="497"/>
      <c r="AV537" s="497"/>
      <c r="AW537" s="497"/>
      <c r="AX537" s="497"/>
      <c r="AY537" s="497"/>
      <c r="AZ537" s="497"/>
      <c r="BA537" s="497"/>
      <c r="BB537" s="497"/>
      <c r="BC537" s="225"/>
    </row>
    <row r="538" spans="1:55" s="220" customFormat="1">
      <c r="A538" s="492" t="s">
        <v>361</v>
      </c>
      <c r="B538" s="477" t="s">
        <v>498</v>
      </c>
      <c r="C538" s="477"/>
      <c r="D538" s="477"/>
      <c r="E538" s="477"/>
      <c r="F538" s="477"/>
      <c r="G538" s="477"/>
      <c r="H538" s="477"/>
      <c r="I538" s="477"/>
      <c r="J538" s="477"/>
      <c r="K538" s="477"/>
      <c r="L538" s="477"/>
      <c r="M538" s="477"/>
      <c r="N538" s="477"/>
      <c r="O538" s="477"/>
      <c r="P538" s="477"/>
      <c r="Q538" s="477"/>
      <c r="R538" s="477"/>
      <c r="S538" s="477"/>
      <c r="T538" s="477"/>
      <c r="U538" s="477"/>
      <c r="V538" s="477"/>
      <c r="W538" s="477"/>
      <c r="X538" s="477"/>
      <c r="Y538" s="477"/>
      <c r="Z538" s="477"/>
      <c r="AA538" s="477"/>
      <c r="AB538" s="477"/>
      <c r="AC538" s="477"/>
      <c r="AD538" s="477"/>
      <c r="AE538" s="477"/>
      <c r="AF538" s="477"/>
      <c r="AG538" s="477"/>
      <c r="AH538" s="477"/>
      <c r="AI538" s="479"/>
      <c r="AJ538" s="479"/>
      <c r="AK538" s="479"/>
      <c r="AL538" s="479"/>
      <c r="AM538" s="479"/>
      <c r="AN538" s="479"/>
      <c r="AO538" s="479"/>
      <c r="AP538" s="479"/>
      <c r="AQ538" s="480"/>
      <c r="AR538" s="497"/>
      <c r="AS538" s="497"/>
      <c r="AT538" s="497"/>
      <c r="AU538" s="497"/>
      <c r="AV538" s="497"/>
      <c r="AW538" s="497"/>
      <c r="AX538" s="497"/>
      <c r="AY538" s="497"/>
      <c r="AZ538" s="497"/>
      <c r="BA538" s="497"/>
      <c r="BB538" s="497"/>
      <c r="BC538" s="225"/>
    </row>
    <row r="539" spans="1:55" s="220" customFormat="1">
      <c r="A539" s="492" t="s">
        <v>362</v>
      </c>
      <c r="B539" s="477" t="str">
        <f>"FY"&amp;RIGHT(MO.MRFP,4)</f>
        <v>FY2020</v>
      </c>
      <c r="C539" s="477"/>
      <c r="D539" s="477"/>
      <c r="E539" s="477"/>
      <c r="F539" s="477"/>
      <c r="G539" s="477"/>
      <c r="H539" s="477"/>
      <c r="I539" s="477"/>
      <c r="J539" s="477"/>
      <c r="K539" s="477"/>
      <c r="L539" s="477"/>
      <c r="M539" s="477"/>
      <c r="N539" s="477"/>
      <c r="O539" s="477"/>
      <c r="P539" s="477"/>
      <c r="Q539" s="477"/>
      <c r="R539" s="477"/>
      <c r="S539" s="477"/>
      <c r="T539" s="477"/>
      <c r="U539" s="477"/>
      <c r="V539" s="477"/>
      <c r="W539" s="477"/>
      <c r="X539" s="477"/>
      <c r="Y539" s="477"/>
      <c r="Z539" s="477"/>
      <c r="AA539" s="477"/>
      <c r="AB539" s="477"/>
      <c r="AC539" s="477"/>
      <c r="AD539" s="477"/>
      <c r="AE539" s="477"/>
      <c r="AF539" s="477"/>
      <c r="AG539" s="477"/>
      <c r="AH539" s="477"/>
      <c r="AI539" s="479"/>
      <c r="AJ539" s="479"/>
      <c r="AK539" s="479"/>
      <c r="AL539" s="479"/>
      <c r="AM539" s="479"/>
      <c r="AN539" s="479"/>
      <c r="AO539" s="479"/>
      <c r="AP539" s="479"/>
      <c r="AQ539" s="480"/>
      <c r="AR539" s="497"/>
      <c r="AS539" s="497"/>
      <c r="AT539" s="497"/>
      <c r="AU539" s="497"/>
      <c r="AV539" s="497"/>
      <c r="AW539" s="497"/>
      <c r="AX539" s="497"/>
      <c r="AY539" s="497"/>
      <c r="AZ539" s="497"/>
      <c r="BA539" s="497"/>
      <c r="BB539" s="497"/>
      <c r="BC539" s="225"/>
    </row>
    <row r="540" spans="1:55" s="220" customFormat="1">
      <c r="A540" s="492" t="s">
        <v>425</v>
      </c>
      <c r="B540" s="477" t="str">
        <f>"FY"&amp;RIGHT(MO.MRFP,4)+IF(LEFT(MO.MRFP,2)="FY",1,0)</f>
        <v>FY2020</v>
      </c>
      <c r="C540" s="477"/>
      <c r="D540" s="477"/>
      <c r="E540" s="477"/>
      <c r="F540" s="477"/>
      <c r="G540" s="477"/>
      <c r="H540" s="477"/>
      <c r="I540" s="477"/>
      <c r="J540" s="477"/>
      <c r="K540" s="477"/>
      <c r="L540" s="477"/>
      <c r="M540" s="477"/>
      <c r="N540" s="477"/>
      <c r="O540" s="477"/>
      <c r="P540" s="477"/>
      <c r="Q540" s="477"/>
      <c r="R540" s="477"/>
      <c r="S540" s="477"/>
      <c r="T540" s="477"/>
      <c r="U540" s="477"/>
      <c r="V540" s="477"/>
      <c r="W540" s="477"/>
      <c r="X540" s="477"/>
      <c r="Y540" s="477"/>
      <c r="Z540" s="477"/>
      <c r="AA540" s="477"/>
      <c r="AB540" s="477"/>
      <c r="AC540" s="477"/>
      <c r="AD540" s="477"/>
      <c r="AE540" s="477"/>
      <c r="AF540" s="477"/>
      <c r="AG540" s="477"/>
      <c r="AH540" s="477"/>
      <c r="AI540" s="479"/>
      <c r="AJ540" s="479"/>
      <c r="AK540" s="479"/>
      <c r="AL540" s="479"/>
      <c r="AM540" s="479"/>
      <c r="AN540" s="479"/>
      <c r="AO540" s="479"/>
      <c r="AP540" s="479"/>
      <c r="AQ540" s="480"/>
      <c r="AR540" s="497"/>
      <c r="AS540" s="497"/>
      <c r="AT540" s="497"/>
      <c r="AU540" s="497"/>
      <c r="AV540" s="497"/>
      <c r="AW540" s="497"/>
      <c r="AX540" s="497"/>
      <c r="AY540" s="497"/>
      <c r="AZ540" s="497"/>
      <c r="BA540" s="497"/>
      <c r="BB540" s="497"/>
      <c r="BC540" s="225"/>
    </row>
    <row r="541" spans="1:55" s="220" customFormat="1">
      <c r="A541" s="493" t="s">
        <v>363</v>
      </c>
      <c r="B541" s="494">
        <f>IF(MO.DataSourceName="Bloomberg",1,IF(MO.DataSourceName="Capital IQ",2,IF(MO.DataSourceName="FactSet",3,IF(MO.DataSourceName="Thomson",4,1))))</f>
        <v>1</v>
      </c>
      <c r="C541" s="477"/>
      <c r="D541" s="477"/>
      <c r="E541" s="477"/>
      <c r="F541" s="477"/>
      <c r="G541" s="477"/>
      <c r="H541" s="477"/>
      <c r="I541" s="477"/>
      <c r="J541" s="477"/>
      <c r="K541" s="477"/>
      <c r="L541" s="477"/>
      <c r="M541" s="477"/>
      <c r="N541" s="477"/>
      <c r="O541" s="477"/>
      <c r="P541" s="477"/>
      <c r="Q541" s="477"/>
      <c r="R541" s="477"/>
      <c r="S541" s="477"/>
      <c r="T541" s="477"/>
      <c r="U541" s="477"/>
      <c r="V541" s="477"/>
      <c r="W541" s="477"/>
      <c r="X541" s="477"/>
      <c r="Y541" s="477"/>
      <c r="Z541" s="477"/>
      <c r="AA541" s="477"/>
      <c r="AB541" s="477"/>
      <c r="AC541" s="477"/>
      <c r="AD541" s="477"/>
      <c r="AE541" s="477"/>
      <c r="AF541" s="477"/>
      <c r="AG541" s="477"/>
      <c r="AH541" s="477"/>
      <c r="AI541" s="479"/>
      <c r="AJ541" s="479"/>
      <c r="AK541" s="479"/>
      <c r="AL541" s="479"/>
      <c r="AM541" s="479"/>
      <c r="AN541" s="479"/>
      <c r="AO541" s="479"/>
      <c r="AP541" s="479"/>
      <c r="AQ541" s="480"/>
      <c r="AR541" s="497"/>
      <c r="AS541" s="497"/>
      <c r="AT541" s="497"/>
      <c r="AU541" s="497"/>
      <c r="AV541" s="497"/>
      <c r="AW541" s="497"/>
      <c r="AX541" s="497"/>
      <c r="AY541" s="497"/>
      <c r="AZ541" s="497"/>
      <c r="BA541" s="497"/>
      <c r="BB541" s="497"/>
      <c r="BC541" s="225"/>
    </row>
    <row r="542" spans="1:55">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c r="AA542" s="489"/>
      <c r="AB542" s="489"/>
      <c r="AC542" s="489"/>
      <c r="AD542" s="489"/>
      <c r="AE542" s="489"/>
      <c r="AF542" s="489"/>
      <c r="AG542" s="489"/>
      <c r="AH542" s="489"/>
      <c r="AI542" s="368"/>
      <c r="AJ542" s="368"/>
      <c r="AK542" s="368"/>
      <c r="AL542" s="368"/>
      <c r="AM542" s="368"/>
      <c r="AN542" s="368"/>
      <c r="AO542" s="368"/>
      <c r="AP542" s="368"/>
      <c r="AQ542" s="370"/>
      <c r="AR542" s="495"/>
      <c r="AS542" s="495"/>
      <c r="AT542" s="495"/>
      <c r="AU542" s="495"/>
      <c r="AV542" s="495"/>
      <c r="AW542" s="495"/>
      <c r="AX542" s="495"/>
      <c r="AY542" s="495"/>
      <c r="AZ542" s="495"/>
      <c r="BA542" s="495"/>
      <c r="BB542" s="495"/>
      <c r="BC542" s="222"/>
    </row>
    <row r="543" spans="1:55">
      <c r="A543" s="226" t="s">
        <v>400</v>
      </c>
      <c r="B543" s="226"/>
      <c r="C543" s="226"/>
      <c r="D543" s="226"/>
      <c r="E543" s="226"/>
      <c r="F543" s="226"/>
      <c r="G543" s="226"/>
      <c r="H543" s="226"/>
      <c r="I543" s="226"/>
      <c r="J543" s="226"/>
      <c r="K543" s="226"/>
      <c r="L543" s="226"/>
      <c r="M543" s="226"/>
      <c r="N543" s="226"/>
      <c r="O543" s="226"/>
      <c r="P543" s="226"/>
      <c r="Q543" s="226"/>
      <c r="R543" s="226"/>
      <c r="S543" s="226"/>
      <c r="T543" s="226"/>
      <c r="U543" s="226"/>
      <c r="V543" s="226"/>
      <c r="W543" s="226"/>
      <c r="X543" s="226"/>
      <c r="Y543" s="226"/>
      <c r="Z543" s="226"/>
      <c r="AA543" s="226"/>
      <c r="AB543" s="226"/>
      <c r="AC543" s="226"/>
      <c r="AD543" s="226"/>
      <c r="AE543" s="226"/>
      <c r="AF543" s="226"/>
      <c r="AG543" s="226"/>
      <c r="AH543" s="226"/>
      <c r="AI543" s="279"/>
      <c r="AJ543" s="279"/>
      <c r="AK543" s="279"/>
      <c r="AL543" s="279"/>
      <c r="AM543" s="279"/>
      <c r="AN543" s="279"/>
      <c r="AO543" s="279"/>
      <c r="AP543" s="279"/>
      <c r="AQ543" s="239"/>
      <c r="AR543" s="226"/>
      <c r="AS543" s="226"/>
      <c r="AT543" s="226"/>
      <c r="AU543" s="226"/>
      <c r="AV543" s="226"/>
      <c r="AW543" s="226"/>
      <c r="AX543" s="226"/>
      <c r="AY543" s="226"/>
      <c r="AZ543" s="226"/>
      <c r="BA543" s="226"/>
      <c r="BB543" s="226"/>
      <c r="BC543" s="222"/>
    </row>
  </sheetData>
  <mergeCells count="1">
    <mergeCell ref="B142:C142"/>
  </mergeCells>
  <conditionalFormatting sqref="C440:X450 C455:X460 C454:L454 U454:X454 P454:R454 N454 AA440:AA450 BB461 C461:O461 BB451 AA452:AA460 C452:X453 C451:O451 AZ440:BB450 AZ452:BB460">
    <cfRule type="cellIs" dxfId="179" priority="342" operator="equal">
      <formula>0</formula>
    </cfRule>
    <cfRule type="cellIs" dxfId="178" priority="343" operator="notEqual">
      <formula>0</formula>
    </cfRule>
  </conditionalFormatting>
  <conditionalFormatting sqref="C437:X437 AA437 AZ437:BB437">
    <cfRule type="cellIs" dxfId="177" priority="276" operator="equal">
      <formula>0</formula>
    </cfRule>
    <cfRule type="cellIs" dxfId="176" priority="277" operator="notEqual">
      <formula>0</formula>
    </cfRule>
  </conditionalFormatting>
  <conditionalFormatting sqref="C373:X373 AA373 AZ373:BB373">
    <cfRule type="cellIs" dxfId="175" priority="282" operator="notEqual">
      <formula>0</formula>
    </cfRule>
    <cfRule type="cellIs" dxfId="174" priority="283" operator="equal">
      <formula>0</formula>
    </cfRule>
  </conditionalFormatting>
  <conditionalFormatting sqref="C116:X116 AA116 AZ116:BB116">
    <cfRule type="cellIs" dxfId="173" priority="274" operator="notEqual">
      <formula>0</formula>
    </cfRule>
    <cfRule type="cellIs" dxfId="172" priority="275" operator="equal">
      <formula>0</formula>
    </cfRule>
  </conditionalFormatting>
  <conditionalFormatting sqref="Y440:Z450 Y455:Z460 Z454 Y452:Z453">
    <cfRule type="cellIs" dxfId="171" priority="267" operator="equal">
      <formula>0</formula>
    </cfRule>
    <cfRule type="cellIs" dxfId="170" priority="268" operator="notEqual">
      <formula>0</formula>
    </cfRule>
  </conditionalFormatting>
  <conditionalFormatting sqref="Y437:Z437">
    <cfRule type="cellIs" dxfId="169" priority="257" operator="equal">
      <formula>0</formula>
    </cfRule>
    <cfRule type="cellIs" dxfId="168" priority="258" operator="notEqual">
      <formula>0</formula>
    </cfRule>
  </conditionalFormatting>
  <conditionalFormatting sqref="Y373:Z373">
    <cfRule type="cellIs" dxfId="167" priority="259" operator="notEqual">
      <formula>0</formula>
    </cfRule>
    <cfRule type="cellIs" dxfId="166" priority="260" operator="equal">
      <formula>0</formula>
    </cfRule>
  </conditionalFormatting>
  <conditionalFormatting sqref="Y116:Z116">
    <cfRule type="cellIs" dxfId="165" priority="255" operator="notEqual">
      <formula>0</formula>
    </cfRule>
    <cfRule type="cellIs" dxfId="164" priority="256" operator="equal">
      <formula>0</formula>
    </cfRule>
  </conditionalFormatting>
  <conditionalFormatting sqref="AB437">
    <cfRule type="cellIs" dxfId="163" priority="219" operator="equal">
      <formula>0</formula>
    </cfRule>
    <cfRule type="cellIs" dxfId="162" priority="220" operator="notEqual">
      <formula>0</formula>
    </cfRule>
  </conditionalFormatting>
  <conditionalFormatting sqref="AB373">
    <cfRule type="cellIs" dxfId="161" priority="221" operator="notEqual">
      <formula>0</formula>
    </cfRule>
    <cfRule type="cellIs" dxfId="160" priority="222" operator="equal">
      <formula>0</formula>
    </cfRule>
  </conditionalFormatting>
  <conditionalFormatting sqref="AB116">
    <cfRule type="cellIs" dxfId="159" priority="217" operator="notEqual">
      <formula>0</formula>
    </cfRule>
    <cfRule type="cellIs" dxfId="158" priority="218" operator="equal">
      <formula>0</formula>
    </cfRule>
  </conditionalFormatting>
  <conditionalFormatting sqref="AB440:AB450 AB452:AB460">
    <cfRule type="cellIs" dxfId="157" priority="224" operator="equal">
      <formula>0</formula>
    </cfRule>
    <cfRule type="cellIs" dxfId="156" priority="225" operator="notEqual">
      <formula>0</formula>
    </cfRule>
  </conditionalFormatting>
  <conditionalFormatting sqref="AC440:AC450 AC455:AC460 AC452:AC453">
    <cfRule type="cellIs" dxfId="155" priority="212" operator="equal">
      <formula>0</formula>
    </cfRule>
    <cfRule type="cellIs" dxfId="154" priority="213" operator="notEqual">
      <formula>0</formula>
    </cfRule>
  </conditionalFormatting>
  <conditionalFormatting sqref="AC437">
    <cfRule type="cellIs" dxfId="153" priority="207" operator="equal">
      <formula>0</formula>
    </cfRule>
    <cfRule type="cellIs" dxfId="152" priority="208" operator="notEqual">
      <formula>0</formula>
    </cfRule>
  </conditionalFormatting>
  <conditionalFormatting sqref="AC373">
    <cfRule type="cellIs" dxfId="151" priority="209" operator="notEqual">
      <formula>0</formula>
    </cfRule>
    <cfRule type="cellIs" dxfId="150" priority="210" operator="equal">
      <formula>0</formula>
    </cfRule>
  </conditionalFormatting>
  <conditionalFormatting sqref="AC116">
    <cfRule type="cellIs" dxfId="149" priority="205" operator="notEqual">
      <formula>0</formula>
    </cfRule>
    <cfRule type="cellIs" dxfId="148" priority="206" operator="equal">
      <formula>0</formula>
    </cfRule>
  </conditionalFormatting>
  <conditionalFormatting sqref="AD440:AE450 AD455:AE460 AE454 AD452:AE453">
    <cfRule type="cellIs" dxfId="147" priority="200" operator="equal">
      <formula>0</formula>
    </cfRule>
    <cfRule type="cellIs" dxfId="146" priority="201" operator="notEqual">
      <formula>0</formula>
    </cfRule>
  </conditionalFormatting>
  <conditionalFormatting sqref="AD437:AE437">
    <cfRule type="cellIs" dxfId="145" priority="190" operator="equal">
      <formula>0</formula>
    </cfRule>
    <cfRule type="cellIs" dxfId="144" priority="191" operator="notEqual">
      <formula>0</formula>
    </cfRule>
  </conditionalFormatting>
  <conditionalFormatting sqref="AD373:AE373">
    <cfRule type="cellIs" dxfId="143" priority="192" operator="notEqual">
      <formula>0</formula>
    </cfRule>
    <cfRule type="cellIs" dxfId="142" priority="193" operator="equal">
      <formula>0</formula>
    </cfRule>
  </conditionalFormatting>
  <conditionalFormatting sqref="AD116:AE116">
    <cfRule type="cellIs" dxfId="141" priority="188" operator="notEqual">
      <formula>0</formula>
    </cfRule>
    <cfRule type="cellIs" dxfId="140" priority="189" operator="equal">
      <formula>0</formula>
    </cfRule>
  </conditionalFormatting>
  <conditionalFormatting sqref="AF373">
    <cfRule type="cellIs" dxfId="139" priority="153" operator="notEqual">
      <formula>0</formula>
    </cfRule>
    <cfRule type="cellIs" dxfId="138" priority="154" operator="equal">
      <formula>0</formula>
    </cfRule>
  </conditionalFormatting>
  <conditionalFormatting sqref="AF440:AF450 AF452:AF460">
    <cfRule type="cellIs" dxfId="137" priority="157" operator="equal">
      <formula>0</formula>
    </cfRule>
    <cfRule type="cellIs" dxfId="136" priority="158" operator="notEqual">
      <formula>0</formula>
    </cfRule>
  </conditionalFormatting>
  <conditionalFormatting sqref="AF437">
    <cfRule type="cellIs" dxfId="135" priority="151" operator="equal">
      <formula>0</formula>
    </cfRule>
    <cfRule type="cellIs" dxfId="134" priority="152" operator="notEqual">
      <formula>0</formula>
    </cfRule>
  </conditionalFormatting>
  <conditionalFormatting sqref="AF116">
    <cfRule type="cellIs" dxfId="133" priority="149" operator="notEqual">
      <formula>0</formula>
    </cfRule>
    <cfRule type="cellIs" dxfId="132" priority="150" operator="equal">
      <formula>0</formula>
    </cfRule>
  </conditionalFormatting>
  <conditionalFormatting sqref="AG440:AG450 AG452:AG460">
    <cfRule type="cellIs" dxfId="131" priority="145" operator="equal">
      <formula>0</formula>
    </cfRule>
    <cfRule type="cellIs" dxfId="130" priority="146" operator="notEqual">
      <formula>0</formula>
    </cfRule>
  </conditionalFormatting>
  <conditionalFormatting sqref="AG437">
    <cfRule type="cellIs" dxfId="129" priority="140" operator="equal">
      <formula>0</formula>
    </cfRule>
    <cfRule type="cellIs" dxfId="128" priority="141" operator="notEqual">
      <formula>0</formula>
    </cfRule>
  </conditionalFormatting>
  <conditionalFormatting sqref="AG373">
    <cfRule type="cellIs" dxfId="127" priority="142" operator="notEqual">
      <formula>0</formula>
    </cfRule>
    <cfRule type="cellIs" dxfId="126" priority="143" operator="equal">
      <formula>0</formula>
    </cfRule>
  </conditionalFormatting>
  <conditionalFormatting sqref="AG116">
    <cfRule type="cellIs" dxfId="125" priority="138" operator="notEqual">
      <formula>0</formula>
    </cfRule>
    <cfRule type="cellIs" dxfId="124" priority="139" operator="equal">
      <formula>0</formula>
    </cfRule>
  </conditionalFormatting>
  <conditionalFormatting sqref="AH440:AH450 AH455:AH460 AH452:AH453 AM440:AM450 AM455:AM460 AM452:AM453">
    <cfRule type="cellIs" dxfId="123" priority="135" operator="equal">
      <formula>0</formula>
    </cfRule>
    <cfRule type="cellIs" dxfId="122" priority="136" operator="notEqual">
      <formula>0</formula>
    </cfRule>
  </conditionalFormatting>
  <conditionalFormatting sqref="AH437 AM437">
    <cfRule type="cellIs" dxfId="121" priority="131" operator="equal">
      <formula>0</formula>
    </cfRule>
    <cfRule type="cellIs" dxfId="120" priority="132" operator="notEqual">
      <formula>0</formula>
    </cfRule>
  </conditionalFormatting>
  <conditionalFormatting sqref="AH373 AM373">
    <cfRule type="cellIs" dxfId="119" priority="133" operator="notEqual">
      <formula>0</formula>
    </cfRule>
    <cfRule type="cellIs" dxfId="118" priority="134" operator="equal">
      <formula>0</formula>
    </cfRule>
  </conditionalFormatting>
  <conditionalFormatting sqref="AH116 AM116">
    <cfRule type="cellIs" dxfId="117" priority="129" operator="notEqual">
      <formula>0</formula>
    </cfRule>
    <cfRule type="cellIs" dxfId="116" priority="130" operator="equal">
      <formula>0</formula>
    </cfRule>
  </conditionalFormatting>
  <conditionalFormatting sqref="AI440:AJ450 AI455:AJ460 AJ454 AI452:AJ453 AN440:AO450 AN455:AO455 AO454 AN452:AO453 AN457:AO460 AN456">
    <cfRule type="cellIs" dxfId="115" priority="127" operator="equal">
      <formula>0</formula>
    </cfRule>
    <cfRule type="cellIs" dxfId="114" priority="128" operator="notEqual">
      <formula>0</formula>
    </cfRule>
  </conditionalFormatting>
  <conditionalFormatting sqref="AI437:AJ437 AN437:AO437">
    <cfRule type="cellIs" dxfId="113" priority="123" operator="equal">
      <formula>0</formula>
    </cfRule>
    <cfRule type="cellIs" dxfId="112" priority="124" operator="notEqual">
      <formula>0</formula>
    </cfRule>
  </conditionalFormatting>
  <conditionalFormatting sqref="AI373:AJ373 AN373:AO373">
    <cfRule type="cellIs" dxfId="111" priority="125" operator="notEqual">
      <formula>0</formula>
    </cfRule>
    <cfRule type="cellIs" dxfId="110" priority="126" operator="equal">
      <formula>0</formula>
    </cfRule>
  </conditionalFormatting>
  <conditionalFormatting sqref="AI116:AJ116 AN116:AO116">
    <cfRule type="cellIs" dxfId="109" priority="121" operator="notEqual">
      <formula>0</formula>
    </cfRule>
    <cfRule type="cellIs" dxfId="108" priority="122" operator="equal">
      <formula>0</formula>
    </cfRule>
  </conditionalFormatting>
  <conditionalFormatting sqref="AR452:AY460 AR440:AY450">
    <cfRule type="cellIs" dxfId="107" priority="119" operator="equal">
      <formula>0</formula>
    </cfRule>
    <cfRule type="cellIs" dxfId="106" priority="120" operator="notEqual">
      <formula>0</formula>
    </cfRule>
  </conditionalFormatting>
  <conditionalFormatting sqref="AR437:AY437">
    <cfRule type="cellIs" dxfId="105" priority="115" operator="equal">
      <formula>0</formula>
    </cfRule>
    <cfRule type="cellIs" dxfId="104" priority="116" operator="notEqual">
      <formula>0</formula>
    </cfRule>
  </conditionalFormatting>
  <conditionalFormatting sqref="AR373:AY373">
    <cfRule type="cellIs" dxfId="103" priority="117" operator="notEqual">
      <formula>0</formula>
    </cfRule>
    <cfRule type="cellIs" dxfId="102" priority="118" operator="equal">
      <formula>0</formula>
    </cfRule>
  </conditionalFormatting>
  <conditionalFormatting sqref="AR116:AY116">
    <cfRule type="cellIs" dxfId="101" priority="113" operator="notEqual">
      <formula>0</formula>
    </cfRule>
    <cfRule type="cellIs" dxfId="100" priority="114" operator="equal">
      <formula>0</formula>
    </cfRule>
  </conditionalFormatting>
  <conditionalFormatting sqref="P451">
    <cfRule type="cellIs" dxfId="99" priority="103" operator="equal">
      <formula>0</formula>
    </cfRule>
    <cfRule type="cellIs" dxfId="98" priority="104" operator="notEqual">
      <formula>0</formula>
    </cfRule>
  </conditionalFormatting>
  <conditionalFormatting sqref="U451">
    <cfRule type="cellIs" dxfId="97" priority="101" operator="equal">
      <formula>0</formula>
    </cfRule>
    <cfRule type="cellIs" dxfId="96" priority="102" operator="notEqual">
      <formula>0</formula>
    </cfRule>
  </conditionalFormatting>
  <conditionalFormatting sqref="Z451">
    <cfRule type="cellIs" dxfId="95" priority="99" operator="equal">
      <formula>0</formula>
    </cfRule>
    <cfRule type="cellIs" dxfId="94" priority="100" operator="notEqual">
      <formula>0</formula>
    </cfRule>
  </conditionalFormatting>
  <conditionalFormatting sqref="AE451">
    <cfRule type="cellIs" dxfId="93" priority="97" operator="equal">
      <formula>0</formula>
    </cfRule>
    <cfRule type="cellIs" dxfId="92" priority="98" operator="notEqual">
      <formula>0</formula>
    </cfRule>
  </conditionalFormatting>
  <conditionalFormatting sqref="AZ451:BA451">
    <cfRule type="cellIs" dxfId="91" priority="89" operator="equal">
      <formula>0</formula>
    </cfRule>
    <cfRule type="cellIs" dxfId="90" priority="90" operator="notEqual">
      <formula>0</formula>
    </cfRule>
  </conditionalFormatting>
  <conditionalFormatting sqref="AU451:AX451 AR451:AS451">
    <cfRule type="cellIs" dxfId="89" priority="87" operator="equal">
      <formula>0</formula>
    </cfRule>
    <cfRule type="cellIs" dxfId="88" priority="88" operator="notEqual">
      <formula>0</formula>
    </cfRule>
  </conditionalFormatting>
  <conditionalFormatting sqref="AF451:AI451 AM451:AN451">
    <cfRule type="cellIs" dxfId="87" priority="83" operator="equal">
      <formula>0</formula>
    </cfRule>
    <cfRule type="cellIs" dxfId="86" priority="84" operator="notEqual">
      <formula>0</formula>
    </cfRule>
  </conditionalFormatting>
  <conditionalFormatting sqref="AA451:AD451">
    <cfRule type="cellIs" dxfId="85" priority="81" operator="equal">
      <formula>0</formula>
    </cfRule>
    <cfRule type="cellIs" dxfId="84" priority="82" operator="notEqual">
      <formula>0</formula>
    </cfRule>
  </conditionalFormatting>
  <conditionalFormatting sqref="AJ451 AO451">
    <cfRule type="cellIs" dxfId="83" priority="79" operator="equal">
      <formula>0</formula>
    </cfRule>
    <cfRule type="cellIs" dxfId="82" priority="80" operator="notEqual">
      <formula>0</formula>
    </cfRule>
  </conditionalFormatting>
  <conditionalFormatting sqref="P461">
    <cfRule type="cellIs" dxfId="81" priority="77" operator="equal">
      <formula>0</formula>
    </cfRule>
    <cfRule type="cellIs" dxfId="80" priority="78" operator="notEqual">
      <formula>0</formula>
    </cfRule>
  </conditionalFormatting>
  <conditionalFormatting sqref="U461">
    <cfRule type="cellIs" dxfId="79" priority="75" operator="equal">
      <formula>0</formula>
    </cfRule>
    <cfRule type="cellIs" dxfId="78" priority="76" operator="notEqual">
      <formula>0</formula>
    </cfRule>
  </conditionalFormatting>
  <conditionalFormatting sqref="Z461">
    <cfRule type="cellIs" dxfId="77" priority="73" operator="equal">
      <formula>0</formula>
    </cfRule>
    <cfRule type="cellIs" dxfId="76" priority="74" operator="notEqual">
      <formula>0</formula>
    </cfRule>
  </conditionalFormatting>
  <conditionalFormatting sqref="AE461">
    <cfRule type="cellIs" dxfId="75" priority="71" operator="equal">
      <formula>0</formula>
    </cfRule>
    <cfRule type="cellIs" dxfId="74" priority="72" operator="notEqual">
      <formula>0</formula>
    </cfRule>
  </conditionalFormatting>
  <conditionalFormatting sqref="AT461 AY461">
    <cfRule type="cellIs" dxfId="73" priority="65" operator="equal">
      <formula>0</formula>
    </cfRule>
    <cfRule type="cellIs" dxfId="72" priority="66" operator="notEqual">
      <formula>0</formula>
    </cfRule>
  </conditionalFormatting>
  <conditionalFormatting sqref="AA461">
    <cfRule type="cellIs" dxfId="71" priority="63" operator="equal">
      <formula>0</formula>
    </cfRule>
    <cfRule type="cellIs" dxfId="70" priority="64" operator="notEqual">
      <formula>0</formula>
    </cfRule>
  </conditionalFormatting>
  <conditionalFormatting sqref="AB461">
    <cfRule type="cellIs" dxfId="69" priority="61" operator="equal">
      <formula>0</formula>
    </cfRule>
    <cfRule type="cellIs" dxfId="68" priority="62" operator="notEqual">
      <formula>0</formula>
    </cfRule>
  </conditionalFormatting>
  <conditionalFormatting sqref="AC461">
    <cfRule type="cellIs" dxfId="67" priority="59" operator="equal">
      <formula>0</formula>
    </cfRule>
    <cfRule type="cellIs" dxfId="66" priority="60" operator="notEqual">
      <formula>0</formula>
    </cfRule>
  </conditionalFormatting>
  <conditionalFormatting sqref="AD461">
    <cfRule type="cellIs" dxfId="65" priority="57" operator="equal">
      <formula>0</formula>
    </cfRule>
    <cfRule type="cellIs" dxfId="64" priority="58" operator="notEqual">
      <formula>0</formula>
    </cfRule>
  </conditionalFormatting>
  <conditionalFormatting sqref="AF461">
    <cfRule type="cellIs" dxfId="63" priority="55" operator="equal">
      <formula>0</formula>
    </cfRule>
    <cfRule type="cellIs" dxfId="62" priority="56" operator="notEqual">
      <formula>0</formula>
    </cfRule>
  </conditionalFormatting>
  <conditionalFormatting sqref="AG461">
    <cfRule type="cellIs" dxfId="61" priority="53" operator="equal">
      <formula>0</formula>
    </cfRule>
    <cfRule type="cellIs" dxfId="60" priority="54" operator="notEqual">
      <formula>0</formula>
    </cfRule>
  </conditionalFormatting>
  <conditionalFormatting sqref="AH461 AM461">
    <cfRule type="cellIs" dxfId="59" priority="51" operator="equal">
      <formula>0</formula>
    </cfRule>
    <cfRule type="cellIs" dxfId="58" priority="52" operator="notEqual">
      <formula>0</formula>
    </cfRule>
  </conditionalFormatting>
  <conditionalFormatting sqref="AI461 AN461">
    <cfRule type="cellIs" dxfId="57" priority="49" operator="equal">
      <formula>0</formula>
    </cfRule>
    <cfRule type="cellIs" dxfId="56" priority="50" operator="notEqual">
      <formula>0</formula>
    </cfRule>
  </conditionalFormatting>
  <conditionalFormatting sqref="AR461 AW461">
    <cfRule type="cellIs" dxfId="55" priority="35" operator="equal">
      <formula>0</formula>
    </cfRule>
    <cfRule type="cellIs" dxfId="54" priority="36" operator="notEqual">
      <formula>0</formula>
    </cfRule>
  </conditionalFormatting>
  <conditionalFormatting sqref="AU461">
    <cfRule type="cellIs" dxfId="53" priority="39" operator="equal">
      <formula>0</formula>
    </cfRule>
    <cfRule type="cellIs" dxfId="52" priority="40" operator="notEqual">
      <formula>0</formula>
    </cfRule>
  </conditionalFormatting>
  <conditionalFormatting sqref="AV461">
    <cfRule type="cellIs" dxfId="51" priority="37" operator="equal">
      <formula>0</formula>
    </cfRule>
    <cfRule type="cellIs" dxfId="50" priority="38" operator="notEqual">
      <formula>0</formula>
    </cfRule>
  </conditionalFormatting>
  <conditionalFormatting sqref="AS461 AX461">
    <cfRule type="cellIs" dxfId="49" priority="33" operator="equal">
      <formula>0</formula>
    </cfRule>
    <cfRule type="cellIs" dxfId="48" priority="34" operator="notEqual">
      <formula>0</formula>
    </cfRule>
  </conditionalFormatting>
  <conditionalFormatting sqref="AZ461:BA461">
    <cfRule type="cellIs" dxfId="47" priority="31" operator="equal">
      <formula>0</formula>
    </cfRule>
    <cfRule type="cellIs" dxfId="46" priority="32" operator="notEqual">
      <formula>0</formula>
    </cfRule>
  </conditionalFormatting>
  <conditionalFormatting sqref="AJ461 AO461">
    <cfRule type="cellIs" dxfId="45" priority="27" operator="equal">
      <formula>0</formula>
    </cfRule>
    <cfRule type="cellIs" dxfId="44" priority="28" operator="notEqual">
      <formula>0</formula>
    </cfRule>
  </conditionalFormatting>
  <conditionalFormatting sqref="AK373 AP373">
    <cfRule type="cellIs" dxfId="43" priority="23" operator="notEqual">
      <formula>0</formula>
    </cfRule>
    <cfRule type="cellIs" dxfId="42" priority="24" operator="equal">
      <formula>0</formula>
    </cfRule>
  </conditionalFormatting>
  <conditionalFormatting sqref="AK440:AK450 AK452:AK460 AP440:AP450 AP452:AP460">
    <cfRule type="cellIs" dxfId="41" priority="25" operator="equal">
      <formula>0</formula>
    </cfRule>
    <cfRule type="cellIs" dxfId="40" priority="26" operator="notEqual">
      <formula>0</formula>
    </cfRule>
  </conditionalFormatting>
  <conditionalFormatting sqref="AK437 AP437">
    <cfRule type="cellIs" dxfId="39" priority="21" operator="equal">
      <formula>0</formula>
    </cfRule>
    <cfRule type="cellIs" dxfId="38" priority="22" operator="notEqual">
      <formula>0</formula>
    </cfRule>
  </conditionalFormatting>
  <conditionalFormatting sqref="AK116 AP116">
    <cfRule type="cellIs" dxfId="37" priority="19" operator="notEqual">
      <formula>0</formula>
    </cfRule>
    <cfRule type="cellIs" dxfId="36" priority="20" operator="equal">
      <formula>0</formula>
    </cfRule>
  </conditionalFormatting>
  <conditionalFormatting sqref="AK451 AP451">
    <cfRule type="cellIs" dxfId="35" priority="17" operator="equal">
      <formula>0</formula>
    </cfRule>
    <cfRule type="cellIs" dxfId="34" priority="18" operator="notEqual">
      <formula>0</formula>
    </cfRule>
  </conditionalFormatting>
  <conditionalFormatting sqref="AK461 AP461">
    <cfRule type="cellIs" dxfId="33" priority="15" operator="equal">
      <formula>0</formula>
    </cfRule>
    <cfRule type="cellIs" dxfId="32" priority="16" operator="notEqual">
      <formula>0</formula>
    </cfRule>
  </conditionalFormatting>
  <conditionalFormatting sqref="AT451 AY451">
    <cfRule type="cellIs" dxfId="31" priority="13" operator="equal">
      <formula>0</formula>
    </cfRule>
    <cfRule type="cellIs" dxfId="30" priority="14" operator="notEqual">
      <formula>0</formula>
    </cfRule>
  </conditionalFormatting>
  <conditionalFormatting sqref="AL440:AL450 AL452:AL460 AQ440:AQ450 AQ452:AQ460">
    <cfRule type="cellIs" dxfId="29" priority="11" operator="equal">
      <formula>0</formula>
    </cfRule>
    <cfRule type="cellIs" dxfId="28" priority="12" operator="notEqual">
      <formula>0</formula>
    </cfRule>
  </conditionalFormatting>
  <conditionalFormatting sqref="AL437 AQ437">
    <cfRule type="cellIs" dxfId="27" priority="7" operator="equal">
      <formula>0</formula>
    </cfRule>
    <cfRule type="cellIs" dxfId="26" priority="8" operator="notEqual">
      <formula>0</formula>
    </cfRule>
  </conditionalFormatting>
  <conditionalFormatting sqref="AL373 AQ373">
    <cfRule type="cellIs" dxfId="25" priority="9" operator="notEqual">
      <formula>0</formula>
    </cfRule>
    <cfRule type="cellIs" dxfId="24" priority="10" operator="equal">
      <formula>0</formula>
    </cfRule>
  </conditionalFormatting>
  <conditionalFormatting sqref="AL116 AQ116">
    <cfRule type="cellIs" dxfId="23" priority="5" operator="notEqual">
      <formula>0</formula>
    </cfRule>
    <cfRule type="cellIs" dxfId="22" priority="6" operator="equal">
      <formula>0</formula>
    </cfRule>
  </conditionalFormatting>
  <conditionalFormatting sqref="AL451 AQ451">
    <cfRule type="cellIs" dxfId="21" priority="3" operator="equal">
      <formula>0</formula>
    </cfRule>
    <cfRule type="cellIs" dxfId="20" priority="4" operator="notEqual">
      <formula>0</formula>
    </cfRule>
  </conditionalFormatting>
  <conditionalFormatting sqref="AL461 AQ461">
    <cfRule type="cellIs" dxfId="19" priority="1" operator="equal">
      <formula>0</formula>
    </cfRule>
    <cfRule type="cellIs" dxfId="18" priority="2" operator="notEqual">
      <formula>0</formula>
    </cfRule>
  </conditionalFormatting>
  <dataValidations disablePrompts="1" count="1">
    <dataValidation type="list" allowBlank="1" showInputMessage="1" showErrorMessage="1" sqref="B234" xr:uid="{00000000-0002-0000-0500-000000000000}">
      <formula1>$A$472:$A$474</formula1>
    </dataValidation>
  </dataValidations>
  <hyperlinks>
    <hyperlink ref="A1" r:id="rId1" xr:uid="{00000000-0004-0000-0500-000000000000}"/>
  </hyperlinks>
  <pageMargins left="0" right="0" top="0.39370078740157499" bottom="0" header="0.196850393700787" footer="0"/>
  <pageSetup fitToHeight="0" orientation="landscape" r:id="rId2"/>
  <headerFooter>
    <oddHeader>&amp;CAstronics Corporation&amp;RPage &amp;P</oddHeader>
  </headerFooter>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2C702-D2CB-4AA3-8400-421AE765EBE4}">
  <sheetPr codeName="Sheet4"/>
  <dimension ref="A1:T122"/>
  <sheetViews>
    <sheetView workbookViewId="0">
      <pane ySplit="5" topLeftCell="A6" activePane="bottomLeft" state="frozen"/>
      <selection pane="bottomLeft"/>
    </sheetView>
  </sheetViews>
  <sheetFormatPr defaultColWidth="8.85546875" defaultRowHeight="15" outlineLevelCol="1"/>
  <cols>
    <col min="1" max="1" width="3" style="136" bestFit="1" customWidth="1"/>
    <col min="2" max="2" width="9.28515625" style="62" bestFit="1" customWidth="1"/>
    <col min="3" max="3" width="2.7109375" style="62" customWidth="1"/>
    <col min="4" max="4" width="40.140625" style="137" customWidth="1"/>
    <col min="5" max="5" width="21.7109375" style="138" hidden="1" customWidth="1" outlineLevel="1"/>
    <col min="6" max="6" width="14.42578125" style="62" bestFit="1" customWidth="1" collapsed="1"/>
    <col min="7" max="7" width="2.7109375" style="62" customWidth="1"/>
    <col min="8" max="10" width="10.5703125" style="62" bestFit="1" customWidth="1"/>
    <col min="11" max="11" width="2.7109375" style="62" customWidth="1"/>
    <col min="12" max="12" width="8.7109375" style="62" bestFit="1" customWidth="1"/>
    <col min="13" max="13" width="11.85546875" style="137" bestFit="1" customWidth="1"/>
    <col min="14" max="14" width="2.7109375" style="62" customWidth="1"/>
    <col min="15" max="15" width="13.42578125" style="62" bestFit="1" customWidth="1"/>
    <col min="16" max="16" width="14.28515625" style="66" bestFit="1" customWidth="1"/>
    <col min="17" max="17" width="2.7109375" style="62" customWidth="1"/>
    <col min="18" max="18" width="10.42578125" style="139" bestFit="1" customWidth="1"/>
    <col min="19" max="19" width="13.28515625" style="140" bestFit="1" customWidth="1"/>
    <col min="20" max="16384" width="8.85546875" style="62"/>
  </cols>
  <sheetData>
    <row r="1" spans="1:20" ht="28.5">
      <c r="A1" s="143"/>
      <c r="B1" s="148" t="str">
        <f>MO.CompanyName</f>
        <v>Astronics Corporation</v>
      </c>
      <c r="C1" s="149"/>
      <c r="D1" s="149"/>
      <c r="E1" s="151"/>
      <c r="F1" s="149"/>
      <c r="G1" s="149"/>
      <c r="H1" s="149"/>
      <c r="I1" s="149"/>
      <c r="J1" s="149"/>
      <c r="K1" s="149"/>
      <c r="L1" s="149"/>
      <c r="M1" s="149"/>
      <c r="N1" s="149"/>
      <c r="O1" s="149"/>
      <c r="P1" s="152"/>
      <c r="Q1" s="149"/>
      <c r="R1" s="153"/>
      <c r="S1" s="149"/>
      <c r="T1" s="149"/>
    </row>
    <row r="2" spans="1:20">
      <c r="A2" s="143"/>
      <c r="B2" s="150" t="s">
        <v>399</v>
      </c>
      <c r="C2" s="149"/>
      <c r="D2" s="149"/>
      <c r="E2" s="151"/>
      <c r="F2" s="149" t="str">
        <f>UL.MRQ</f>
        <v>Q2-2020</v>
      </c>
      <c r="G2" s="149"/>
      <c r="H2" s="149"/>
      <c r="I2" s="149"/>
      <c r="J2" s="149"/>
      <c r="K2" s="149"/>
      <c r="L2" s="149"/>
      <c r="M2" s="149"/>
      <c r="N2" s="149"/>
      <c r="O2" s="149"/>
      <c r="P2" s="152"/>
      <c r="Q2" s="149"/>
      <c r="R2" s="153"/>
      <c r="S2" s="149"/>
      <c r="T2" s="149"/>
    </row>
    <row r="3" spans="1:20">
      <c r="A3" s="143"/>
      <c r="B3" s="149"/>
      <c r="C3" s="149"/>
      <c r="D3" s="149"/>
      <c r="E3" s="151"/>
      <c r="F3" s="149"/>
      <c r="G3" s="149"/>
      <c r="H3" s="149"/>
      <c r="I3" s="149"/>
      <c r="J3" s="149"/>
      <c r="K3" s="149"/>
      <c r="L3" s="149"/>
      <c r="M3" s="149"/>
      <c r="N3" s="149"/>
      <c r="O3" s="149"/>
      <c r="P3" s="152"/>
      <c r="Q3" s="149"/>
      <c r="R3" s="149"/>
      <c r="S3" s="149"/>
      <c r="T3" s="149"/>
    </row>
    <row r="4" spans="1:20" s="134" customFormat="1">
      <c r="A4" s="143"/>
      <c r="B4" s="157"/>
      <c r="C4" s="168"/>
      <c r="D4" s="157"/>
      <c r="E4" s="157"/>
      <c r="F4" s="157"/>
      <c r="G4" s="168"/>
      <c r="H4" s="158" t="s">
        <v>307</v>
      </c>
      <c r="I4" s="158"/>
      <c r="J4" s="158"/>
      <c r="K4" s="168"/>
      <c r="L4" s="158" t="s">
        <v>308</v>
      </c>
      <c r="M4" s="158"/>
      <c r="N4" s="168"/>
      <c r="O4" s="158" t="s">
        <v>309</v>
      </c>
      <c r="P4" s="158"/>
      <c r="Q4" s="168"/>
      <c r="R4" s="158" t="s">
        <v>310</v>
      </c>
      <c r="S4" s="158"/>
      <c r="T4" s="153"/>
    </row>
    <row r="5" spans="1:20" s="135" customFormat="1">
      <c r="A5" s="143"/>
      <c r="B5" s="157" t="s">
        <v>311</v>
      </c>
      <c r="C5" s="169"/>
      <c r="D5" s="157" t="s">
        <v>312</v>
      </c>
      <c r="E5" s="157" t="s">
        <v>313</v>
      </c>
      <c r="F5" s="157" t="s">
        <v>314</v>
      </c>
      <c r="G5" s="169"/>
      <c r="H5" s="159" t="s">
        <v>81</v>
      </c>
      <c r="I5" s="159" t="s">
        <v>80</v>
      </c>
      <c r="J5" s="159" t="s">
        <v>315</v>
      </c>
      <c r="K5" s="169"/>
      <c r="L5" s="157" t="s">
        <v>311</v>
      </c>
      <c r="M5" s="159" t="s">
        <v>316</v>
      </c>
      <c r="N5" s="169"/>
      <c r="O5" s="159" t="s">
        <v>317</v>
      </c>
      <c r="P5" s="160" t="s">
        <v>318</v>
      </c>
      <c r="Q5" s="169"/>
      <c r="R5" s="159" t="s">
        <v>319</v>
      </c>
      <c r="S5" s="159" t="s">
        <v>320</v>
      </c>
      <c r="T5" s="156"/>
    </row>
    <row r="6" spans="1:20">
      <c r="A6" s="143">
        <v>111</v>
      </c>
      <c r="B6" s="161" t="str">
        <f>IF(MATCH(F6,MO_Common_ColumnHeader,0)&gt;UL.MRQColNum,"Forward","Historical")</f>
        <v>Forward</v>
      </c>
      <c r="C6" s="149"/>
      <c r="D6" s="170" t="str">
        <f ca="1">INDEX(INDIRECT(E6),0,COLUMN(MO_Common_Column_A))</f>
        <v>Net Revenue</v>
      </c>
      <c r="E6" s="162" t="s">
        <v>321</v>
      </c>
      <c r="F6" s="161" t="s">
        <v>428</v>
      </c>
      <c r="G6" s="149"/>
      <c r="H6" s="163">
        <v>500</v>
      </c>
      <c r="I6" s="163">
        <v>525</v>
      </c>
      <c r="J6" s="163">
        <f>AVERAGE(H6:I6)</f>
        <v>512.5</v>
      </c>
      <c r="K6" s="149"/>
      <c r="L6" s="161" t="str">
        <f>IF(MATCH(F6,MO_Common_ColumnHeader,0)&gt;UL.MRQColNum,"Estimate","Actual")</f>
        <v>Estimate</v>
      </c>
      <c r="M6" s="167">
        <f ca="1">IFERROR(INDEX(INDIRECT(E6),0,MATCH(F6,MO_Common_ColumnHeader,0)),"N/A")</f>
        <v>542.33000000000004</v>
      </c>
      <c r="N6" s="154"/>
      <c r="O6" s="174">
        <f ca="1">IF(ISNUMBER(M6),M6-J6,"N/A")</f>
        <v>29.830000000000041</v>
      </c>
      <c r="P6" s="173">
        <f ca="1">IFERROR(IF(ISNUMBER(M6),M6/J6-1,"N/A"),"N/A")</f>
        <v>5.8204878048780495E-2</v>
      </c>
      <c r="Q6" s="149"/>
      <c r="R6" s="164">
        <v>44043</v>
      </c>
      <c r="S6" s="175" t="s">
        <v>272</v>
      </c>
      <c r="T6" s="149"/>
    </row>
    <row r="7" spans="1:20">
      <c r="A7" s="143">
        <v>110</v>
      </c>
      <c r="B7" s="161" t="str">
        <f>IF(MATCH(F7,MO_Common_ColumnHeader,0)&gt;UL.MRQColNum,"Forward","Historical")</f>
        <v>Forward</v>
      </c>
      <c r="C7" s="149"/>
      <c r="D7" s="170" t="str">
        <f ca="1">INDEX(INDIRECT(E7),0,COLUMN(MO_Common_Column_A))</f>
        <v>Adjusted EBITDA Margin, %</v>
      </c>
      <c r="E7" s="162" t="s">
        <v>495</v>
      </c>
      <c r="F7" s="161" t="s">
        <v>428</v>
      </c>
      <c r="G7" s="149"/>
      <c r="H7" s="165">
        <v>0.05</v>
      </c>
      <c r="I7" s="165">
        <v>0.09</v>
      </c>
      <c r="J7" s="165">
        <f>AVERAGE(H7:I7)</f>
        <v>7.0000000000000007E-2</v>
      </c>
      <c r="K7" s="149"/>
      <c r="L7" s="161" t="str">
        <f>IF(MATCH(F7,MO_Common_ColumnHeader,0)&gt;UL.MRQColNum,"Estimate","Actual")</f>
        <v>Estimate</v>
      </c>
      <c r="M7" s="166">
        <f ca="1">IFERROR(INDEX(INDIRECT(E7),0,MATCH(F7,MO_Common_ColumnHeader,0)),"N/A")</f>
        <v>6.938882230376342E-2</v>
      </c>
      <c r="N7" s="154"/>
      <c r="O7" s="173">
        <f ca="1">IF(ISNUMBER(M7),M7-J7,"N/A")</f>
        <v>-6.1117769623658669E-4</v>
      </c>
      <c r="P7" s="173">
        <f t="shared" ref="P7:P8" ca="1" si="0">IFERROR(IF(ISNUMBER(M7),M7/J7-1,"N/A"),"N/A")</f>
        <v>-8.7311099462369368E-3</v>
      </c>
      <c r="Q7" s="149"/>
      <c r="R7" s="164">
        <v>44043</v>
      </c>
      <c r="S7" s="175" t="s">
        <v>272</v>
      </c>
      <c r="T7" s="149"/>
    </row>
    <row r="8" spans="1:20">
      <c r="A8" s="143">
        <v>109</v>
      </c>
      <c r="B8" s="161" t="str">
        <f>IF(MATCH(F8,MO_Common_ColumnHeader,0)&gt;UL.MRQColNum,"Forward","Historical")</f>
        <v>Forward</v>
      </c>
      <c r="C8" s="149"/>
      <c r="D8" s="170" t="str">
        <f ca="1">INDEX(INDIRECT(E8),0,COLUMN(MO_Common_Column_A))</f>
        <v>Capex</v>
      </c>
      <c r="E8" s="162" t="s">
        <v>330</v>
      </c>
      <c r="F8" s="161" t="s">
        <v>428</v>
      </c>
      <c r="G8" s="149"/>
      <c r="H8" s="163">
        <v>-8</v>
      </c>
      <c r="I8" s="163">
        <v>-8</v>
      </c>
      <c r="J8" s="163">
        <f>AVERAGE(H8:I8)</f>
        <v>-8</v>
      </c>
      <c r="K8" s="149"/>
      <c r="L8" s="161" t="str">
        <f>IF(MATCH(F8,MO_Common_ColumnHeader,0)&gt;UL.MRQColNum,"Estimate","Actual")</f>
        <v>Estimate</v>
      </c>
      <c r="M8" s="167">
        <f ca="1">IFERROR(INDEX(INDIRECT(E8),0,MATCH(F8,MO_Common_ColumnHeader,0)),"N/A")</f>
        <v>-8.0050000000000008</v>
      </c>
      <c r="N8" s="154"/>
      <c r="O8" s="174">
        <f ca="1">IF(ISNUMBER(M8),M8-J8,"N/A")</f>
        <v>-5.0000000000007816E-3</v>
      </c>
      <c r="P8" s="173">
        <f t="shared" ca="1" si="0"/>
        <v>6.250000000000977E-4</v>
      </c>
      <c r="Q8" s="149"/>
      <c r="R8" s="164">
        <v>44043</v>
      </c>
      <c r="S8" s="175" t="s">
        <v>272</v>
      </c>
      <c r="T8" s="149"/>
    </row>
    <row r="9" spans="1:20">
      <c r="A9" s="143">
        <v>108</v>
      </c>
      <c r="B9" s="149"/>
      <c r="C9" s="149"/>
      <c r="D9" s="150"/>
      <c r="E9" s="151"/>
      <c r="F9" s="149"/>
      <c r="G9" s="149"/>
      <c r="H9" s="149"/>
      <c r="I9" s="149"/>
      <c r="J9" s="149"/>
      <c r="K9" s="149"/>
      <c r="L9" s="149"/>
      <c r="M9" s="154"/>
      <c r="N9" s="154"/>
      <c r="O9" s="155"/>
      <c r="P9" s="116"/>
      <c r="Q9" s="149"/>
      <c r="R9" s="153"/>
      <c r="S9" s="176"/>
      <c r="T9" s="149"/>
    </row>
    <row r="10" spans="1:20">
      <c r="A10" s="143">
        <v>107</v>
      </c>
      <c r="B10" s="161" t="str">
        <f>IF(MATCH(F10,MO_Common_ColumnHeader,0)&gt;UL.MRQColNum,"Forward","Historical")</f>
        <v>Forward</v>
      </c>
      <c r="C10" s="149"/>
      <c r="D10" s="170" t="str">
        <f ca="1">INDEX(INDIRECT(E10),0,COLUMN(MO_Common_Column_A))</f>
        <v>Total Revenue Growth, %</v>
      </c>
      <c r="E10" s="162" t="s">
        <v>338</v>
      </c>
      <c r="F10" s="161" t="s">
        <v>428</v>
      </c>
      <c r="G10" s="149"/>
      <c r="H10" s="165">
        <v>-0.3</v>
      </c>
      <c r="I10" s="165">
        <v>-0.35</v>
      </c>
      <c r="J10" s="165">
        <f>AVERAGE(H10:I10)</f>
        <v>-0.32499999999999996</v>
      </c>
      <c r="K10" s="149"/>
      <c r="L10" s="161" t="str">
        <f>IF(MATCH(F10,MO_Common_ColumnHeader,0)&gt;UL.MRQColNum,"Estimate","Actual")</f>
        <v>Estimate</v>
      </c>
      <c r="M10" s="166">
        <f ca="1">IFERROR(INDEX(INDIRECT(E10),0,MATCH(F10,MO_Common_ColumnHeader,0)),"N/A")</f>
        <v>-0.29813822146183133</v>
      </c>
      <c r="N10" s="154"/>
      <c r="O10" s="173">
        <f ca="1">IF(ISNUMBER(M10),M10-J10,"N/A")</f>
        <v>2.6861778538168624E-2</v>
      </c>
      <c r="P10" s="173">
        <f ca="1">IFERROR(IF(ISNUMBER(M10),M10/J10-1,"N/A"),"N/A")</f>
        <v>-8.2651626271288081E-2</v>
      </c>
      <c r="Q10" s="149"/>
      <c r="R10" s="164">
        <v>43957</v>
      </c>
      <c r="S10" s="175" t="s">
        <v>272</v>
      </c>
      <c r="T10" s="149"/>
    </row>
    <row r="11" spans="1:20">
      <c r="A11" s="143">
        <v>106</v>
      </c>
      <c r="B11" s="161" t="str">
        <f>IF(MATCH(F11,MO_Common_ColumnHeader,0)&gt;UL.MRQColNum,"Forward","Historical")</f>
        <v>Forward</v>
      </c>
      <c r="C11" s="149"/>
      <c r="D11" s="170" t="str">
        <f ca="1">INDEX(INDIRECT(E11),0,COLUMN(MO_Common_Column_A))</f>
        <v>Adjusted EBITDA Margin, %</v>
      </c>
      <c r="E11" s="162" t="s">
        <v>495</v>
      </c>
      <c r="F11" s="161" t="s">
        <v>428</v>
      </c>
      <c r="G11" s="149"/>
      <c r="H11" s="165">
        <v>0.05</v>
      </c>
      <c r="I11" s="165">
        <v>0.09</v>
      </c>
      <c r="J11" s="165">
        <f>AVERAGE(H11:I11)</f>
        <v>7.0000000000000007E-2</v>
      </c>
      <c r="K11" s="149"/>
      <c r="L11" s="161" t="str">
        <f>IF(MATCH(F11,MO_Common_ColumnHeader,0)&gt;UL.MRQColNum,"Estimate","Actual")</f>
        <v>Estimate</v>
      </c>
      <c r="M11" s="166">
        <f ca="1">IFERROR(INDEX(INDIRECT(E11),0,MATCH(F11,MO_Common_ColumnHeader,0)),"N/A")</f>
        <v>6.938882230376342E-2</v>
      </c>
      <c r="N11" s="154"/>
      <c r="O11" s="173">
        <f ca="1">IF(ISNUMBER(M11),M11-J11,"N/A")</f>
        <v>-6.1117769623658669E-4</v>
      </c>
      <c r="P11" s="173">
        <f t="shared" ref="P11:P12" ca="1" si="1">IFERROR(IF(ISNUMBER(M11),M11/J11-1,"N/A"),"N/A")</f>
        <v>-8.7311099462369368E-3</v>
      </c>
      <c r="Q11" s="149"/>
      <c r="R11" s="164">
        <v>43957</v>
      </c>
      <c r="S11" s="175" t="s">
        <v>272</v>
      </c>
      <c r="T11" s="149"/>
    </row>
    <row r="12" spans="1:20">
      <c r="A12" s="143">
        <v>105</v>
      </c>
      <c r="B12" s="161" t="str">
        <f>IF(MATCH(F12,MO_Common_ColumnHeader,0)&gt;UL.MRQColNum,"Forward","Historical")</f>
        <v>Forward</v>
      </c>
      <c r="C12" s="149"/>
      <c r="D12" s="170" t="str">
        <f ca="1">INDEX(INDIRECT(E12),0,COLUMN(MO_Common_Column_A))</f>
        <v>Capex</v>
      </c>
      <c r="E12" s="162" t="s">
        <v>330</v>
      </c>
      <c r="F12" s="161" t="s">
        <v>428</v>
      </c>
      <c r="G12" s="149"/>
      <c r="H12" s="163">
        <v>-8</v>
      </c>
      <c r="I12" s="163">
        <v>-8</v>
      </c>
      <c r="J12" s="163">
        <f>AVERAGE(H12:I12)</f>
        <v>-8</v>
      </c>
      <c r="K12" s="149"/>
      <c r="L12" s="161" t="str">
        <f>IF(MATCH(F12,MO_Common_ColumnHeader,0)&gt;UL.MRQColNum,"Estimate","Actual")</f>
        <v>Estimate</v>
      </c>
      <c r="M12" s="167">
        <f ca="1">IFERROR(INDEX(INDIRECT(E12),0,MATCH(F12,MO_Common_ColumnHeader,0)),"N/A")</f>
        <v>-8.0050000000000008</v>
      </c>
      <c r="N12" s="154"/>
      <c r="O12" s="174">
        <f ca="1">IF(ISNUMBER(M12),M12-J12,"N/A")</f>
        <v>-5.0000000000007816E-3</v>
      </c>
      <c r="P12" s="173">
        <f t="shared" ca="1" si="1"/>
        <v>6.250000000000977E-4</v>
      </c>
      <c r="Q12" s="149"/>
      <c r="R12" s="164">
        <v>43957</v>
      </c>
      <c r="S12" s="175" t="s">
        <v>272</v>
      </c>
      <c r="T12" s="149"/>
    </row>
    <row r="13" spans="1:20">
      <c r="A13" s="143">
        <v>104</v>
      </c>
      <c r="B13" s="149"/>
      <c r="C13" s="149"/>
      <c r="D13" s="150"/>
      <c r="E13" s="151"/>
      <c r="F13" s="149"/>
      <c r="G13" s="149"/>
      <c r="H13" s="149"/>
      <c r="I13" s="149"/>
      <c r="J13" s="149"/>
      <c r="K13" s="149"/>
      <c r="L13" s="149"/>
      <c r="M13" s="154"/>
      <c r="N13" s="154"/>
      <c r="O13" s="155"/>
      <c r="P13" s="116"/>
      <c r="Q13" s="149"/>
      <c r="R13" s="153"/>
      <c r="S13" s="176"/>
      <c r="T13" s="149"/>
    </row>
    <row r="14" spans="1:20">
      <c r="A14" s="143">
        <v>103</v>
      </c>
      <c r="B14" s="161" t="str">
        <f>IF(MATCH(F14,MO_Common_ColumnHeader,0)&gt;UL.MRQColNum,"Forward","Historical")</f>
        <v>Forward</v>
      </c>
      <c r="C14" s="149"/>
      <c r="D14" s="170" t="s">
        <v>466</v>
      </c>
      <c r="E14" s="162"/>
      <c r="F14" s="161" t="s">
        <v>428</v>
      </c>
      <c r="G14" s="149"/>
      <c r="H14" s="163">
        <v>51.4</v>
      </c>
      <c r="I14" s="163">
        <v>51.4</v>
      </c>
      <c r="J14" s="163">
        <f>AVERAGE(H14:I14)</f>
        <v>51.4</v>
      </c>
      <c r="K14" s="149"/>
      <c r="L14" s="161" t="str">
        <f>IF(MATCH(F14,MO_Common_ColumnHeader,0)&gt;UL.MRQColNum,"Estimate","Actual")</f>
        <v>Estimate</v>
      </c>
      <c r="M14" s="167" t="str">
        <f ca="1">IFERROR(INDEX(INDIRECT(E14),0,MATCH(F14,MO_Common_ColumnHeader,0)),"N/A")</f>
        <v>N/A</v>
      </c>
      <c r="N14" s="154"/>
      <c r="O14" s="174" t="str">
        <f ca="1">IF(ISNUMBER(M14),M14-J14,"N/A")</f>
        <v>N/A</v>
      </c>
      <c r="P14" s="173" t="str">
        <f ca="1">IFERROR(IF(ISNUMBER(M14),M14/J14-1,"N/A"),"N/A")</f>
        <v>N/A</v>
      </c>
      <c r="Q14" s="149"/>
      <c r="R14" s="164">
        <v>43892</v>
      </c>
      <c r="S14" s="175" t="s">
        <v>464</v>
      </c>
      <c r="T14" s="149"/>
    </row>
    <row r="15" spans="1:20">
      <c r="A15" s="143">
        <v>102</v>
      </c>
      <c r="B15" s="161" t="str">
        <f>IF(MATCH(F15,MO_Common_ColumnHeader,0)&gt;UL.MRQColNum,"Forward","Historical")</f>
        <v>Forward</v>
      </c>
      <c r="C15" s="149"/>
      <c r="D15" s="170" t="s">
        <v>467</v>
      </c>
      <c r="E15" s="162"/>
      <c r="F15" s="161" t="s">
        <v>428</v>
      </c>
      <c r="G15" s="149"/>
      <c r="H15" s="163">
        <v>249.6</v>
      </c>
      <c r="I15" s="163">
        <v>249.6</v>
      </c>
      <c r="J15" s="163">
        <f>AVERAGE(H15:I15)</f>
        <v>249.6</v>
      </c>
      <c r="K15" s="149"/>
      <c r="L15" s="161" t="str">
        <f>IF(MATCH(F15,MO_Common_ColumnHeader,0)&gt;UL.MRQColNum,"Estimate","Actual")</f>
        <v>Estimate</v>
      </c>
      <c r="M15" s="167" t="str">
        <f ca="1">IFERROR(INDEX(INDIRECT(E15),0,MATCH(F15,MO_Common_ColumnHeader,0)),"N/A")</f>
        <v>N/A</v>
      </c>
      <c r="N15" s="154"/>
      <c r="O15" s="174" t="str">
        <f ca="1">IF(ISNUMBER(M15),M15-J15,"N/A")</f>
        <v>N/A</v>
      </c>
      <c r="P15" s="173" t="str">
        <f ca="1">IFERROR(IF(ISNUMBER(M15),M15/J15-1,"N/A"),"N/A")</f>
        <v>N/A</v>
      </c>
      <c r="Q15" s="149"/>
      <c r="R15" s="164">
        <v>43892</v>
      </c>
      <c r="S15" s="175" t="s">
        <v>464</v>
      </c>
      <c r="T15" s="149"/>
    </row>
    <row r="16" spans="1:20">
      <c r="A16" s="143">
        <v>101</v>
      </c>
      <c r="B16" s="149"/>
      <c r="C16" s="149"/>
      <c r="D16" s="150"/>
      <c r="E16" s="151"/>
      <c r="F16" s="149"/>
      <c r="G16" s="149"/>
      <c r="H16" s="149"/>
      <c r="I16" s="149"/>
      <c r="J16" s="149"/>
      <c r="K16" s="149"/>
      <c r="L16" s="149"/>
      <c r="M16" s="154"/>
      <c r="N16" s="154"/>
      <c r="O16" s="155"/>
      <c r="P16" s="116"/>
      <c r="Q16" s="149"/>
      <c r="R16" s="153"/>
      <c r="S16" s="176"/>
      <c r="T16" s="149"/>
    </row>
    <row r="17" spans="1:20">
      <c r="A17" s="143">
        <v>100</v>
      </c>
      <c r="B17" s="161" t="str">
        <f>IF(MATCH(F17,MO_Common_ColumnHeader,0)&gt;UL.MRQColNum,"Forward","Historical")</f>
        <v>Forward</v>
      </c>
      <c r="C17" s="149"/>
      <c r="D17" s="170" t="s">
        <v>465</v>
      </c>
      <c r="E17" s="162"/>
      <c r="F17" s="161" t="s">
        <v>428</v>
      </c>
      <c r="G17" s="149"/>
      <c r="H17" s="163">
        <v>300.89999999999998</v>
      </c>
      <c r="I17" s="163">
        <v>300.89999999999998</v>
      </c>
      <c r="J17" s="163">
        <f>AVERAGE(H17:I17)</f>
        <v>300.89999999999998</v>
      </c>
      <c r="K17" s="149"/>
      <c r="L17" s="161" t="str">
        <f>IF(MATCH(F17,MO_Common_ColumnHeader,0)&gt;UL.MRQColNum,"Estimate","Actual")</f>
        <v>Estimate</v>
      </c>
      <c r="M17" s="167" t="str">
        <f ca="1">IFERROR(INDEX(INDIRECT(E17),0,MATCH(F17,MO_Common_ColumnHeader,0)),"N/A")</f>
        <v>N/A</v>
      </c>
      <c r="N17" s="154"/>
      <c r="O17" s="174" t="str">
        <f ca="1">IF(ISNUMBER(M17),M17-J17,"N/A")</f>
        <v>N/A</v>
      </c>
      <c r="P17" s="173" t="str">
        <f ca="1">IFERROR(IF(ISNUMBER(M17),M17/J17-1,"N/A"),"N/A")</f>
        <v>N/A</v>
      </c>
      <c r="Q17" s="149"/>
      <c r="R17" s="164">
        <v>43887</v>
      </c>
      <c r="S17" s="175" t="s">
        <v>272</v>
      </c>
      <c r="T17" s="149"/>
    </row>
    <row r="18" spans="1:20">
      <c r="A18" s="143">
        <v>99</v>
      </c>
      <c r="B18" s="161" t="str">
        <f>IF(MATCH(F18,MO_Common_ColumnHeader,0)&gt;UL.MRQColNum,"Forward","Historical")</f>
        <v>Forward</v>
      </c>
      <c r="C18" s="149"/>
      <c r="D18" s="170" t="s">
        <v>329</v>
      </c>
      <c r="E18" s="162"/>
      <c r="F18" s="161" t="s">
        <v>428</v>
      </c>
      <c r="G18" s="149"/>
      <c r="H18" s="165">
        <v>0.18</v>
      </c>
      <c r="I18" s="165">
        <v>0.22</v>
      </c>
      <c r="J18" s="165">
        <f>AVERAGE(H18:I18)</f>
        <v>0.2</v>
      </c>
      <c r="K18" s="149"/>
      <c r="L18" s="161" t="str">
        <f>IF(MATCH(F18,MO_Common_ColumnHeader,0)&gt;UL.MRQColNum,"Estimate","Actual")</f>
        <v>Estimate</v>
      </c>
      <c r="M18" s="166">
        <f ca="1">INDEX(MO_RIS_TaxRate_Current,0,MATCH(F18,MO_Common_ColumnHeader,0))+INDEX(MO_RIS_TaxRate_Deferred,0,MATCH(F18,MO_Common_ColumnHeader,0))</f>
        <v>3.504043735818109E-2</v>
      </c>
      <c r="N18" s="154"/>
      <c r="O18" s="173">
        <f ca="1">IF(ISNUMBER(M18),M18-J18,"N/A")</f>
        <v>-0.16495956264181894</v>
      </c>
      <c r="P18" s="173">
        <f ca="1">IFERROR(IF(ISNUMBER(M18),M18/J18-1,"N/A"),"N/A")</f>
        <v>-0.82479781320909451</v>
      </c>
      <c r="Q18" s="149"/>
      <c r="R18" s="164">
        <v>43887</v>
      </c>
      <c r="S18" s="175" t="s">
        <v>272</v>
      </c>
      <c r="T18" s="149"/>
    </row>
    <row r="19" spans="1:20">
      <c r="A19" s="143">
        <v>98</v>
      </c>
      <c r="B19" s="161" t="str">
        <f>IF(MATCH(F19,MO_Common_ColumnHeader,0)&gt;UL.MRQColNum,"Forward","Historical")</f>
        <v>Forward</v>
      </c>
      <c r="C19" s="149"/>
      <c r="D19" s="170" t="str">
        <f ca="1">INDEX(INDIRECT(E19),0,COLUMN(MO_Common_Column_A))</f>
        <v>Capex</v>
      </c>
      <c r="E19" s="162" t="s">
        <v>330</v>
      </c>
      <c r="F19" s="161" t="s">
        <v>428</v>
      </c>
      <c r="G19" s="149"/>
      <c r="H19" s="163">
        <v>-22</v>
      </c>
      <c r="I19" s="163">
        <v>-25</v>
      </c>
      <c r="J19" s="163">
        <f>AVERAGE(H19:I19)</f>
        <v>-23.5</v>
      </c>
      <c r="K19" s="149"/>
      <c r="L19" s="161" t="str">
        <f>IF(MATCH(F19,MO_Common_ColumnHeader,0)&gt;UL.MRQColNum,"Estimate","Actual")</f>
        <v>Estimate</v>
      </c>
      <c r="M19" s="167">
        <f ca="1">IFERROR(INDEX(INDIRECT(E19),0,MATCH(F19,MO_Common_ColumnHeader,0)),"N/A")</f>
        <v>-8.0050000000000008</v>
      </c>
      <c r="N19" s="154"/>
      <c r="O19" s="174">
        <f ca="1">IF(ISNUMBER(M19),M19-J19,"N/A")</f>
        <v>15.494999999999999</v>
      </c>
      <c r="P19" s="173">
        <f ca="1">IFERROR(IF(ISNUMBER(M19),M19/J19-1,"N/A"),"N/A")</f>
        <v>-0.65936170212765954</v>
      </c>
      <c r="Q19" s="149"/>
      <c r="R19" s="164">
        <v>43887</v>
      </c>
      <c r="S19" s="175" t="s">
        <v>272</v>
      </c>
      <c r="T19" s="149"/>
    </row>
    <row r="20" spans="1:20">
      <c r="A20" s="143">
        <v>97</v>
      </c>
      <c r="B20" s="161" t="str">
        <f>IF(MATCH(F20,MO_Common_ColumnHeader,0)&gt;UL.MRQColNum,"Forward","Historical")</f>
        <v>Forward</v>
      </c>
      <c r="C20" s="149"/>
      <c r="D20" s="170" t="str">
        <f ca="1">INDEX(INDIRECT(E20),0,COLUMN(MO_Common_Column_A))</f>
        <v>D&amp;A</v>
      </c>
      <c r="E20" s="162" t="s">
        <v>458</v>
      </c>
      <c r="F20" s="161" t="s">
        <v>428</v>
      </c>
      <c r="G20" s="149"/>
      <c r="H20" s="163">
        <v>33</v>
      </c>
      <c r="I20" s="163">
        <v>35</v>
      </c>
      <c r="J20" s="163">
        <f>AVERAGE(H20:I20)</f>
        <v>34</v>
      </c>
      <c r="K20" s="149"/>
      <c r="L20" s="161" t="str">
        <f>IF(MATCH(F20,MO_Common_ColumnHeader,0)&gt;UL.MRQColNum,"Estimate","Actual")</f>
        <v>Estimate</v>
      </c>
      <c r="M20" s="167">
        <f ca="1">IFERROR(INDEX(INDIRECT(E20),0,MATCH(F20,MO_Common_ColumnHeader,0)),"N/A")</f>
        <v>33.052</v>
      </c>
      <c r="N20" s="154"/>
      <c r="O20" s="174">
        <f ca="1">IF(ISNUMBER(M20),M20-J20,"N/A")</f>
        <v>-0.9480000000000004</v>
      </c>
      <c r="P20" s="173">
        <f ca="1">IFERROR(IF(ISNUMBER(M20),M20/J20-1,"N/A"),"N/A")</f>
        <v>-2.7882352941176469E-2</v>
      </c>
      <c r="Q20" s="149"/>
      <c r="R20" s="164">
        <v>43887</v>
      </c>
      <c r="S20" s="175" t="s">
        <v>272</v>
      </c>
      <c r="T20" s="149"/>
    </row>
    <row r="21" spans="1:20">
      <c r="A21" s="143">
        <v>96</v>
      </c>
      <c r="B21" s="149"/>
      <c r="C21" s="149"/>
      <c r="D21" s="150"/>
      <c r="E21" s="151"/>
      <c r="F21" s="149"/>
      <c r="G21" s="149"/>
      <c r="H21" s="149"/>
      <c r="I21" s="149"/>
      <c r="J21" s="149"/>
      <c r="K21" s="149"/>
      <c r="L21" s="149"/>
      <c r="M21" s="154"/>
      <c r="N21" s="154"/>
      <c r="O21" s="155"/>
      <c r="P21" s="116"/>
      <c r="Q21" s="149"/>
      <c r="R21" s="153"/>
      <c r="S21" s="176"/>
      <c r="T21" s="149"/>
    </row>
    <row r="22" spans="1:20">
      <c r="A22" s="143">
        <v>95</v>
      </c>
      <c r="B22" s="161" t="str">
        <f>IF(MATCH(F22,MO_Common_ColumnHeader,0)&gt;UL.MRQColNum,"Forward","Historical")</f>
        <v>Historical</v>
      </c>
      <c r="C22" s="149"/>
      <c r="D22" s="170" t="str">
        <f ca="1">INDEX(INDIRECT(E22),0,COLUMN(MO_Common_Column_A))</f>
        <v>Net Revenue</v>
      </c>
      <c r="E22" s="162" t="s">
        <v>321</v>
      </c>
      <c r="F22" s="161" t="s">
        <v>457</v>
      </c>
      <c r="G22" s="149"/>
      <c r="H22" s="163">
        <v>155</v>
      </c>
      <c r="I22" s="163">
        <v>165</v>
      </c>
      <c r="J22" s="163">
        <f>AVERAGE(H22:I22)</f>
        <v>160</v>
      </c>
      <c r="K22" s="149"/>
      <c r="L22" s="161" t="str">
        <f>IF(MATCH(F22,MO_Common_ColumnHeader,0)&gt;UL.MRQColNum,"Estimate","Actual")</f>
        <v>Actual</v>
      </c>
      <c r="M22" s="167">
        <f ca="1">IFERROR(INDEX(INDIRECT(E22),0,MATCH(F22,MO_Common_ColumnHeader,0)),"N/A")</f>
        <v>157.584</v>
      </c>
      <c r="N22" s="154"/>
      <c r="O22" s="174">
        <f ca="1">IF(ISNUMBER(M22),M22-J22,"N/A")</f>
        <v>-2.4159999999999968</v>
      </c>
      <c r="P22" s="173">
        <f ca="1">IFERROR(IF(ISNUMBER(M22),M22/J22-1,"N/A"),"N/A")</f>
        <v>-1.5100000000000002E-2</v>
      </c>
      <c r="Q22" s="149"/>
      <c r="R22" s="164">
        <v>43887</v>
      </c>
      <c r="S22" s="175" t="s">
        <v>272</v>
      </c>
      <c r="T22" s="149"/>
    </row>
    <row r="23" spans="1:20">
      <c r="A23" s="143">
        <v>94</v>
      </c>
      <c r="B23" s="161" t="str">
        <f>IF(MATCH(F23,MO_Common_ColumnHeader,0)&gt;UL.MRQColNum,"Forward","Historical")</f>
        <v>Historical</v>
      </c>
      <c r="C23" s="149"/>
      <c r="D23" s="170" t="str">
        <f ca="1">INDEX(INDIRECT(E23),0,COLUMN(MO_Common_Column_A))</f>
        <v>Total Aerospace revenue, mm</v>
      </c>
      <c r="E23" s="162" t="s">
        <v>325</v>
      </c>
      <c r="F23" s="161" t="s">
        <v>457</v>
      </c>
      <c r="G23" s="149"/>
      <c r="H23" s="163">
        <v>139.5</v>
      </c>
      <c r="I23" s="163">
        <v>148.5</v>
      </c>
      <c r="J23" s="163">
        <f>AVERAGE(H23:I23)</f>
        <v>144</v>
      </c>
      <c r="K23" s="149"/>
      <c r="L23" s="161" t="str">
        <f>IF(MATCH(F23,MO_Common_ColumnHeader,0)&gt;UL.MRQColNum,"Estimate","Actual")</f>
        <v>Actual</v>
      </c>
      <c r="M23" s="167">
        <f ca="1">IFERROR(INDEX(INDIRECT(E23),0,MATCH(F23,MO_Common_ColumnHeader,0)),"N/A")</f>
        <v>141.07</v>
      </c>
      <c r="N23" s="154"/>
      <c r="O23" s="174">
        <f ca="1">IF(ISNUMBER(M23),M23-J23,"N/A")</f>
        <v>-2.9300000000000068</v>
      </c>
      <c r="P23" s="173">
        <f ca="1">IFERROR(IF(ISNUMBER(M23),M23/J23-1,"N/A"),"N/A")</f>
        <v>-2.0347222222222294E-2</v>
      </c>
      <c r="Q23" s="149"/>
      <c r="R23" s="164">
        <v>43887</v>
      </c>
      <c r="S23" s="175" t="s">
        <v>272</v>
      </c>
      <c r="T23" s="149"/>
    </row>
    <row r="24" spans="1:20">
      <c r="A24" s="143">
        <v>93</v>
      </c>
      <c r="B24" s="149"/>
      <c r="C24" s="149"/>
      <c r="D24" s="150"/>
      <c r="E24" s="151"/>
      <c r="F24" s="149"/>
      <c r="G24" s="149"/>
      <c r="H24" s="149"/>
      <c r="I24" s="149"/>
      <c r="J24" s="149"/>
      <c r="K24" s="149"/>
      <c r="L24" s="149"/>
      <c r="M24" s="154"/>
      <c r="N24" s="154"/>
      <c r="O24" s="155"/>
      <c r="P24" s="116"/>
      <c r="Q24" s="149"/>
      <c r="R24" s="153"/>
      <c r="S24" s="176"/>
      <c r="T24" s="149"/>
    </row>
    <row r="25" spans="1:20">
      <c r="A25" s="143">
        <v>92</v>
      </c>
      <c r="B25" s="161" t="str">
        <f>IF(MATCH(F25,MO_Common_ColumnHeader,0)&gt;UL.MRQColNum,"Forward","Historical")</f>
        <v>Forward</v>
      </c>
      <c r="C25" s="149"/>
      <c r="D25" s="170" t="str">
        <f ca="1">INDEX(INDIRECT(E25),0,COLUMN(MO_Common_Column_A))</f>
        <v>Total Aerospace revenue, mm</v>
      </c>
      <c r="E25" s="162" t="s">
        <v>325</v>
      </c>
      <c r="F25" s="161" t="s">
        <v>428</v>
      </c>
      <c r="G25" s="149"/>
      <c r="H25" s="163">
        <v>690</v>
      </c>
      <c r="I25" s="163">
        <v>730</v>
      </c>
      <c r="J25" s="163">
        <f>AVERAGE(H25:I25)</f>
        <v>710</v>
      </c>
      <c r="K25" s="149"/>
      <c r="L25" s="161" t="str">
        <f>IF(MATCH(F25,MO_Common_ColumnHeader,0)&gt;UL.MRQColNum,"Estimate","Actual")</f>
        <v>Estimate</v>
      </c>
      <c r="M25" s="167">
        <f ca="1">IFERROR(INDEX(INDIRECT(E25),0,MATCH(F25,MO_Common_ColumnHeader,0)),"N/A")</f>
        <v>484.80699999999996</v>
      </c>
      <c r="N25" s="154"/>
      <c r="O25" s="174">
        <f ca="1">IF(ISNUMBER(M25),M25-J25,"N/A")</f>
        <v>-225.19300000000004</v>
      </c>
      <c r="P25" s="173">
        <f ca="1">IFERROR(IF(ISNUMBER(M25),M25/J25-1,"N/A"),"N/A")</f>
        <v>-0.31717323943661979</v>
      </c>
      <c r="Q25" s="149"/>
      <c r="R25" s="164">
        <v>43774</v>
      </c>
      <c r="S25" s="175" t="s">
        <v>272</v>
      </c>
      <c r="T25" s="149"/>
    </row>
    <row r="26" spans="1:20">
      <c r="A26" s="143">
        <v>91</v>
      </c>
      <c r="B26" s="161" t="str">
        <f>IF(MATCH(F26,MO_Common_ColumnHeader,0)&gt;UL.MRQColNum,"Forward","Historical")</f>
        <v>Forward</v>
      </c>
      <c r="C26" s="149"/>
      <c r="D26" s="170" t="str">
        <f ca="1">INDEX(INDIRECT(E26),0,COLUMN(MO_Common_Column_A))</f>
        <v>Total Test Systems revenue, mm</v>
      </c>
      <c r="E26" s="162" t="s">
        <v>326</v>
      </c>
      <c r="F26" s="161" t="s">
        <v>428</v>
      </c>
      <c r="G26" s="149"/>
      <c r="H26" s="163">
        <v>80</v>
      </c>
      <c r="I26" s="163">
        <v>90</v>
      </c>
      <c r="J26" s="163">
        <f>AVERAGE(H26:I26)</f>
        <v>85</v>
      </c>
      <c r="K26" s="149"/>
      <c r="L26" s="161" t="str">
        <f>IF(MATCH(F26,MO_Common_ColumnHeader,0)&gt;UL.MRQColNum,"Estimate","Actual")</f>
        <v>Estimate</v>
      </c>
      <c r="M26" s="167">
        <f ca="1">IFERROR(INDEX(INDIRECT(E26),0,MATCH(F26,MO_Common_ColumnHeader,0)),"N/A")</f>
        <v>57.522999999999996</v>
      </c>
      <c r="N26" s="154"/>
      <c r="O26" s="174">
        <f ca="1">IF(ISNUMBER(M26),M26-J26,"N/A")</f>
        <v>-27.477000000000004</v>
      </c>
      <c r="P26" s="173">
        <f ca="1">IFERROR(IF(ISNUMBER(M26),M26/J26-1,"N/A"),"N/A")</f>
        <v>-0.32325882352941182</v>
      </c>
      <c r="Q26" s="149"/>
      <c r="R26" s="164">
        <v>43774</v>
      </c>
      <c r="S26" s="175" t="s">
        <v>272</v>
      </c>
      <c r="T26" s="149"/>
    </row>
    <row r="27" spans="1:20">
      <c r="A27" s="143">
        <v>90</v>
      </c>
      <c r="B27" s="161" t="str">
        <f>IF(MATCH(F27,MO_Common_ColumnHeader,0)&gt;UL.MRQColNum,"Forward","Historical")</f>
        <v>Forward</v>
      </c>
      <c r="C27" s="149"/>
      <c r="D27" s="170" t="str">
        <f ca="1">INDEX(INDIRECT(E27),0,COLUMN(MO_Common_Column_A))</f>
        <v>Net Revenue</v>
      </c>
      <c r="E27" s="162" t="s">
        <v>321</v>
      </c>
      <c r="F27" s="161" t="s">
        <v>428</v>
      </c>
      <c r="G27" s="149"/>
      <c r="H27" s="163">
        <v>770</v>
      </c>
      <c r="I27" s="163">
        <v>820</v>
      </c>
      <c r="J27" s="163">
        <f>AVERAGE(H27:I27)</f>
        <v>795</v>
      </c>
      <c r="K27" s="149"/>
      <c r="L27" s="161" t="str">
        <f>IF(MATCH(F27,MO_Common_ColumnHeader,0)&gt;UL.MRQColNum,"Estimate","Actual")</f>
        <v>Estimate</v>
      </c>
      <c r="M27" s="167">
        <f ca="1">IFERROR(INDEX(INDIRECT(E27),0,MATCH(F27,MO_Common_ColumnHeader,0)),"N/A")</f>
        <v>542.33000000000004</v>
      </c>
      <c r="N27" s="154"/>
      <c r="O27" s="174">
        <f ca="1">IF(ISNUMBER(M27),M27-J27,"N/A")</f>
        <v>-252.66999999999996</v>
      </c>
      <c r="P27" s="173">
        <f ca="1">IFERROR(IF(ISNUMBER(M27),M27/J27-1,"N/A"),"N/A")</f>
        <v>-0.31782389937106914</v>
      </c>
      <c r="Q27" s="149"/>
      <c r="R27" s="164">
        <v>43774</v>
      </c>
      <c r="S27" s="175" t="s">
        <v>272</v>
      </c>
      <c r="T27" s="149"/>
    </row>
    <row r="28" spans="1:20">
      <c r="A28" s="143">
        <v>89</v>
      </c>
      <c r="B28" s="161" t="str">
        <f>IF(MATCH(F28,MO_Common_ColumnHeader,0)&gt;UL.MRQColNum,"Forward","Historical")</f>
        <v>Forward</v>
      </c>
      <c r="C28" s="149"/>
      <c r="D28" s="170" t="s">
        <v>329</v>
      </c>
      <c r="E28" s="162"/>
      <c r="F28" s="161" t="s">
        <v>428</v>
      </c>
      <c r="G28" s="149"/>
      <c r="H28" s="165">
        <v>0.18</v>
      </c>
      <c r="I28" s="165">
        <v>0.22</v>
      </c>
      <c r="J28" s="165">
        <f>AVERAGE(H28:I28)</f>
        <v>0.2</v>
      </c>
      <c r="K28" s="149"/>
      <c r="L28" s="161" t="str">
        <f>IF(MATCH(F28,MO_Common_ColumnHeader,0)&gt;UL.MRQColNum,"Estimate","Actual")</f>
        <v>Estimate</v>
      </c>
      <c r="M28" s="166">
        <f ca="1">INDEX(MO_RIS_TaxRate_Current,0,MATCH(F28,MO_Common_ColumnHeader,0))+INDEX(MO_RIS_TaxRate_Deferred,0,MATCH(F28,MO_Common_ColumnHeader,0))</f>
        <v>3.504043735818109E-2</v>
      </c>
      <c r="N28" s="154"/>
      <c r="O28" s="173">
        <f ca="1">IF(ISNUMBER(M28),M28-J28,"N/A")</f>
        <v>-0.16495956264181894</v>
      </c>
      <c r="P28" s="173">
        <f ca="1">IFERROR(IF(ISNUMBER(M28),M28/J28-1,"N/A"),"N/A")</f>
        <v>-0.82479781320909451</v>
      </c>
      <c r="Q28" s="149"/>
      <c r="R28" s="164">
        <v>43774</v>
      </c>
      <c r="S28" s="175" t="s">
        <v>272</v>
      </c>
      <c r="T28" s="149"/>
    </row>
    <row r="29" spans="1:20">
      <c r="A29" s="143">
        <v>88</v>
      </c>
      <c r="B29" s="149"/>
      <c r="C29" s="149"/>
      <c r="D29" s="150"/>
      <c r="E29" s="151"/>
      <c r="F29" s="149"/>
      <c r="G29" s="149"/>
      <c r="H29" s="149"/>
      <c r="I29" s="149"/>
      <c r="J29" s="149"/>
      <c r="K29" s="149"/>
      <c r="L29" s="149"/>
      <c r="M29" s="154"/>
      <c r="N29" s="154"/>
      <c r="O29" s="155"/>
      <c r="P29" s="116"/>
      <c r="Q29" s="149"/>
      <c r="R29" s="153"/>
      <c r="S29" s="176"/>
      <c r="T29" s="149"/>
    </row>
    <row r="30" spans="1:20">
      <c r="A30" s="143">
        <v>87</v>
      </c>
      <c r="B30" s="161" t="str">
        <f t="shared" ref="B30:B35" si="2">IF(MATCH(F30,MO_Common_ColumnHeader,0)&gt;UL.MRQColNum,"Forward","Historical")</f>
        <v>Historical</v>
      </c>
      <c r="C30" s="149"/>
      <c r="D30" s="170" t="str">
        <f ca="1">INDEX(INDIRECT(E30),0,COLUMN(MO_Common_Column_A))</f>
        <v>Total Aerospace revenue, mm</v>
      </c>
      <c r="E30" s="162" t="s">
        <v>325</v>
      </c>
      <c r="F30" s="161" t="s">
        <v>387</v>
      </c>
      <c r="G30" s="149"/>
      <c r="H30" s="163">
        <v>680</v>
      </c>
      <c r="I30" s="163">
        <v>690</v>
      </c>
      <c r="J30" s="163">
        <f t="shared" ref="J30:J35" si="3">AVERAGE(H30:I30)</f>
        <v>685</v>
      </c>
      <c r="K30" s="149"/>
      <c r="L30" s="161" t="str">
        <f t="shared" ref="L30:L35" si="4">IF(MATCH(F30,MO_Common_ColumnHeader,0)&gt;UL.MRQColNum,"Estimate","Actual")</f>
        <v>Actual</v>
      </c>
      <c r="M30" s="167">
        <f ca="1">IFERROR(INDEX(INDIRECT(E30),0,MATCH(F30,MO_Common_ColumnHeader,0)),"N/A")</f>
        <v>692.60900000000015</v>
      </c>
      <c r="N30" s="154"/>
      <c r="O30" s="174">
        <f t="shared" ref="O30:O35" ca="1" si="5">IF(ISNUMBER(M30),M30-J30,"N/A")</f>
        <v>7.609000000000151</v>
      </c>
      <c r="P30" s="173">
        <f t="shared" ref="P30:P35" ca="1" si="6">IFERROR(IF(ISNUMBER(M30),M30/J30-1,"N/A"),"N/A")</f>
        <v>1.1108029197080427E-2</v>
      </c>
      <c r="Q30" s="149"/>
      <c r="R30" s="164">
        <v>43774</v>
      </c>
      <c r="S30" s="175" t="s">
        <v>272</v>
      </c>
      <c r="T30" s="149"/>
    </row>
    <row r="31" spans="1:20">
      <c r="A31" s="143">
        <v>86</v>
      </c>
      <c r="B31" s="161" t="str">
        <f t="shared" si="2"/>
        <v>Historical</v>
      </c>
      <c r="C31" s="149"/>
      <c r="D31" s="170" t="str">
        <f ca="1">INDEX(INDIRECT(E31),0,COLUMN(MO_Common_Column_A))</f>
        <v>Total Test Systems revenue, mm</v>
      </c>
      <c r="E31" s="162" t="s">
        <v>326</v>
      </c>
      <c r="F31" s="161" t="s">
        <v>387</v>
      </c>
      <c r="G31" s="149"/>
      <c r="H31" s="163">
        <v>70</v>
      </c>
      <c r="I31" s="163">
        <v>80</v>
      </c>
      <c r="J31" s="163">
        <f t="shared" si="3"/>
        <v>75</v>
      </c>
      <c r="K31" s="149"/>
      <c r="L31" s="161" t="str">
        <f t="shared" si="4"/>
        <v>Actual</v>
      </c>
      <c r="M31" s="167">
        <f ca="1">IFERROR(INDEX(INDIRECT(E31),0,MATCH(F31,MO_Common_ColumnHeader,0)),"N/A")</f>
        <v>80.092999999999989</v>
      </c>
      <c r="N31" s="154"/>
      <c r="O31" s="174">
        <f t="shared" ca="1" si="5"/>
        <v>5.0929999999999893</v>
      </c>
      <c r="P31" s="173">
        <f t="shared" ca="1" si="6"/>
        <v>6.790666666666656E-2</v>
      </c>
      <c r="Q31" s="149"/>
      <c r="R31" s="164">
        <v>43774</v>
      </c>
      <c r="S31" s="175" t="s">
        <v>272</v>
      </c>
      <c r="T31" s="149"/>
    </row>
    <row r="32" spans="1:20">
      <c r="A32" s="143">
        <v>85</v>
      </c>
      <c r="B32" s="161" t="str">
        <f t="shared" si="2"/>
        <v>Historical</v>
      </c>
      <c r="C32" s="149"/>
      <c r="D32" s="170" t="str">
        <f ca="1">INDEX(INDIRECT(E32),0,COLUMN(MO_Common_Column_A))</f>
        <v>Net Revenue</v>
      </c>
      <c r="E32" s="162" t="s">
        <v>321</v>
      </c>
      <c r="F32" s="161" t="s">
        <v>387</v>
      </c>
      <c r="G32" s="149"/>
      <c r="H32" s="163">
        <v>750</v>
      </c>
      <c r="I32" s="163">
        <v>770</v>
      </c>
      <c r="J32" s="163">
        <f t="shared" si="3"/>
        <v>760</v>
      </c>
      <c r="K32" s="149"/>
      <c r="L32" s="161" t="str">
        <f t="shared" si="4"/>
        <v>Actual</v>
      </c>
      <c r="M32" s="167">
        <f ca="1">IFERROR(INDEX(INDIRECT(E32),0,MATCH(F32,MO_Common_ColumnHeader,0)),"N/A")</f>
        <v>772.702</v>
      </c>
      <c r="N32" s="154"/>
      <c r="O32" s="174">
        <f t="shared" ca="1" si="5"/>
        <v>12.701999999999998</v>
      </c>
      <c r="P32" s="173">
        <f t="shared" ca="1" si="6"/>
        <v>1.6713157894736819E-2</v>
      </c>
      <c r="Q32" s="149"/>
      <c r="R32" s="164">
        <v>43774</v>
      </c>
      <c r="S32" s="175" t="s">
        <v>272</v>
      </c>
      <c r="T32" s="149"/>
    </row>
    <row r="33" spans="1:20">
      <c r="A33" s="143">
        <v>84</v>
      </c>
      <c r="B33" s="161" t="str">
        <f t="shared" si="2"/>
        <v>Historical</v>
      </c>
      <c r="C33" s="149"/>
      <c r="D33" s="170" t="s">
        <v>429</v>
      </c>
      <c r="E33" s="162"/>
      <c r="F33" s="161" t="s">
        <v>387</v>
      </c>
      <c r="G33" s="149"/>
      <c r="H33" s="163">
        <v>5</v>
      </c>
      <c r="I33" s="163">
        <v>10</v>
      </c>
      <c r="J33" s="163">
        <f t="shared" si="3"/>
        <v>7.5</v>
      </c>
      <c r="K33" s="149"/>
      <c r="L33" s="161" t="str">
        <f t="shared" si="4"/>
        <v>Actual</v>
      </c>
      <c r="M33" s="167" t="str">
        <f ca="1">IFERROR(INDEX(INDIRECT(E33),0,MATCH(F33,MO_Common_ColumnHeader,0)),"N/A")</f>
        <v>N/A</v>
      </c>
      <c r="N33" s="154"/>
      <c r="O33" s="174" t="str">
        <f t="shared" ca="1" si="5"/>
        <v>N/A</v>
      </c>
      <c r="P33" s="173" t="str">
        <f t="shared" ca="1" si="6"/>
        <v>N/A</v>
      </c>
      <c r="Q33" s="149"/>
      <c r="R33" s="164">
        <v>43774</v>
      </c>
      <c r="S33" s="175" t="s">
        <v>272</v>
      </c>
      <c r="T33" s="149"/>
    </row>
    <row r="34" spans="1:20">
      <c r="A34" s="143">
        <v>83</v>
      </c>
      <c r="B34" s="161" t="str">
        <f t="shared" si="2"/>
        <v>Historical</v>
      </c>
      <c r="C34" s="149"/>
      <c r="D34" s="170" t="s">
        <v>329</v>
      </c>
      <c r="E34" s="162"/>
      <c r="F34" s="161" t="s">
        <v>387</v>
      </c>
      <c r="G34" s="149"/>
      <c r="H34" s="165">
        <v>0.21</v>
      </c>
      <c r="I34" s="165">
        <v>0.25</v>
      </c>
      <c r="J34" s="165">
        <f t="shared" si="3"/>
        <v>0.22999999999999998</v>
      </c>
      <c r="K34" s="149"/>
      <c r="L34" s="161" t="str">
        <f t="shared" si="4"/>
        <v>Actual</v>
      </c>
      <c r="M34" s="166">
        <f>INDEX(MO_RIS_TaxRate_Current,0,MATCH(F34,MO_Common_ColumnHeader,0))+INDEX(MO_RIS_TaxRate_Deferred,0,MATCH(F34,MO_Common_ColumnHeader,0))</f>
        <v>0.23843755032721831</v>
      </c>
      <c r="N34" s="154"/>
      <c r="O34" s="173">
        <f t="shared" si="5"/>
        <v>8.4375503272183239E-3</v>
      </c>
      <c r="P34" s="173">
        <f t="shared" si="6"/>
        <v>3.6685001422688268E-2</v>
      </c>
      <c r="Q34" s="149"/>
      <c r="R34" s="164">
        <v>43774</v>
      </c>
      <c r="S34" s="175" t="s">
        <v>272</v>
      </c>
      <c r="T34" s="149"/>
    </row>
    <row r="35" spans="1:20">
      <c r="A35" s="143">
        <v>82</v>
      </c>
      <c r="B35" s="161" t="str">
        <f t="shared" si="2"/>
        <v>Historical</v>
      </c>
      <c r="C35" s="149"/>
      <c r="D35" s="170" t="str">
        <f ca="1">INDEX(INDIRECT(E35),0,COLUMN(MO_Common_Column_A))</f>
        <v>Capex</v>
      </c>
      <c r="E35" s="162" t="s">
        <v>330</v>
      </c>
      <c r="F35" s="161" t="s">
        <v>387</v>
      </c>
      <c r="G35" s="149"/>
      <c r="H35" s="163">
        <v>-14</v>
      </c>
      <c r="I35" s="163">
        <v>-19</v>
      </c>
      <c r="J35" s="163">
        <f t="shared" si="3"/>
        <v>-16.5</v>
      </c>
      <c r="K35" s="149"/>
      <c r="L35" s="161" t="str">
        <f t="shared" si="4"/>
        <v>Actual</v>
      </c>
      <c r="M35" s="167">
        <f ca="1">IFERROR(INDEX(INDIRECT(E35),0,MATCH(F35,MO_Common_ColumnHeader,0)),"N/A")</f>
        <v>-12.083</v>
      </c>
      <c r="N35" s="154"/>
      <c r="O35" s="174">
        <f t="shared" ca="1" si="5"/>
        <v>4.4169999999999998</v>
      </c>
      <c r="P35" s="173">
        <f t="shared" ca="1" si="6"/>
        <v>-0.26769696969696966</v>
      </c>
      <c r="Q35" s="149"/>
      <c r="R35" s="164">
        <v>43774</v>
      </c>
      <c r="S35" s="175" t="s">
        <v>272</v>
      </c>
      <c r="T35" s="149"/>
    </row>
    <row r="36" spans="1:20">
      <c r="A36" s="143">
        <v>81</v>
      </c>
      <c r="B36" s="149"/>
      <c r="C36" s="149"/>
      <c r="D36" s="150"/>
      <c r="E36" s="151"/>
      <c r="F36" s="149"/>
      <c r="G36" s="149"/>
      <c r="H36" s="149"/>
      <c r="I36" s="149"/>
      <c r="J36" s="149"/>
      <c r="K36" s="149"/>
      <c r="L36" s="149"/>
      <c r="M36" s="154"/>
      <c r="N36" s="154"/>
      <c r="O36" s="155"/>
      <c r="P36" s="116"/>
      <c r="Q36" s="149"/>
      <c r="R36" s="153"/>
      <c r="S36" s="176"/>
      <c r="T36" s="149"/>
    </row>
    <row r="37" spans="1:20">
      <c r="A37" s="143">
        <v>80</v>
      </c>
      <c r="B37" s="161" t="str">
        <f>IF(MATCH(F37,MO_Common_ColumnHeader,0)&gt;UL.MRQColNum,"Forward","Historical")</f>
        <v>Historical</v>
      </c>
      <c r="C37" s="149"/>
      <c r="D37" s="170" t="str">
        <f ca="1">INDEX(INDIRECT(E37),0,COLUMN(MO_Common_Column_A))</f>
        <v>Net Revenue</v>
      </c>
      <c r="E37" s="162" t="s">
        <v>321</v>
      </c>
      <c r="F37" s="161" t="s">
        <v>427</v>
      </c>
      <c r="G37" s="149"/>
      <c r="H37" s="163">
        <v>175</v>
      </c>
      <c r="I37" s="163">
        <v>195</v>
      </c>
      <c r="J37" s="163">
        <f>AVERAGE(H37:I37)</f>
        <v>185</v>
      </c>
      <c r="K37" s="149"/>
      <c r="L37" s="161" t="str">
        <f>IF(MATCH(F37,MO_Common_ColumnHeader,0)&gt;UL.MRQColNum,"Estimate","Actual")</f>
        <v>Actual</v>
      </c>
      <c r="M37" s="167">
        <f ca="1">IFERROR(INDEX(INDIRECT(E37),0,MATCH(F37,MO_Common_ColumnHeader,0)),"N/A")</f>
        <v>198.41199999999992</v>
      </c>
      <c r="N37" s="154"/>
      <c r="O37" s="174">
        <f ca="1">IF(ISNUMBER(M37),M37-J37,"N/A")</f>
        <v>13.411999999999921</v>
      </c>
      <c r="P37" s="173">
        <f ca="1">IFERROR(IF(ISNUMBER(M37),M37/J37-1,"N/A"),"N/A")</f>
        <v>7.2497297297296814E-2</v>
      </c>
      <c r="Q37" s="149"/>
      <c r="R37" s="164">
        <v>43774</v>
      </c>
      <c r="S37" s="175" t="s">
        <v>272</v>
      </c>
      <c r="T37" s="149"/>
    </row>
    <row r="38" spans="1:20">
      <c r="A38" s="143">
        <v>79</v>
      </c>
      <c r="B38" s="161" t="str">
        <f>IF(MATCH(F38,MO_Common_ColumnHeader,0)&gt;UL.MRQColNum,"Forward","Historical")</f>
        <v>Historical</v>
      </c>
      <c r="C38" s="149"/>
      <c r="D38" s="170" t="s">
        <v>431</v>
      </c>
      <c r="E38" s="162"/>
      <c r="F38" s="161" t="s">
        <v>427</v>
      </c>
      <c r="G38" s="149"/>
      <c r="H38" s="165">
        <v>0.46</v>
      </c>
      <c r="I38" s="165">
        <v>0.46</v>
      </c>
      <c r="J38" s="165">
        <f>AVERAGE(H38:I38)</f>
        <v>0.46</v>
      </c>
      <c r="K38" s="149"/>
      <c r="L38" s="161" t="str">
        <f>IF(MATCH(F38,MO_Common_ColumnHeader,0)&gt;UL.MRQColNum,"Estimate","Actual")</f>
        <v>Actual</v>
      </c>
      <c r="M38" s="166" t="str">
        <f ca="1">IFERROR(INDEX(INDIRECT(E38),0,MATCH(F38,MO_Common_ColumnHeader,0)),"N/A")</f>
        <v>N/A</v>
      </c>
      <c r="N38" s="154"/>
      <c r="O38" s="173" t="str">
        <f ca="1">IF(ISNUMBER(M38),M38-J38,"N/A")</f>
        <v>N/A</v>
      </c>
      <c r="P38" s="173" t="str">
        <f ca="1">IFERROR(IF(ISNUMBER(M38),M38/J38-1,"N/A"),"N/A")</f>
        <v>N/A</v>
      </c>
      <c r="Q38" s="149"/>
      <c r="R38" s="164">
        <v>43774</v>
      </c>
      <c r="S38" s="175" t="s">
        <v>272</v>
      </c>
      <c r="T38" s="149"/>
    </row>
    <row r="39" spans="1:20">
      <c r="A39" s="143">
        <v>78</v>
      </c>
      <c r="B39" s="149"/>
      <c r="C39" s="149"/>
      <c r="D39" s="150"/>
      <c r="E39" s="151"/>
      <c r="F39" s="149"/>
      <c r="G39" s="149"/>
      <c r="H39" s="149"/>
      <c r="I39" s="149"/>
      <c r="J39" s="149"/>
      <c r="K39" s="149"/>
      <c r="L39" s="149"/>
      <c r="M39" s="154"/>
      <c r="N39" s="154"/>
      <c r="O39" s="155"/>
      <c r="P39" s="116"/>
      <c r="Q39" s="149"/>
      <c r="R39" s="153"/>
      <c r="S39" s="176"/>
      <c r="T39" s="149"/>
    </row>
    <row r="40" spans="1:20">
      <c r="A40" s="143">
        <v>77</v>
      </c>
      <c r="B40" s="161" t="str">
        <f t="shared" ref="B40:B45" si="7">IF(MATCH(F40,MO_Common_ColumnHeader,0)&gt;UL.MRQColNum,"Forward","Historical")</f>
        <v>Historical</v>
      </c>
      <c r="C40" s="149"/>
      <c r="D40" s="170" t="str">
        <f ca="1">INDEX(INDIRECT(E40),0,COLUMN(MO_Common_Column_A))</f>
        <v>Total Aerospace revenue, mm</v>
      </c>
      <c r="E40" s="162" t="s">
        <v>325</v>
      </c>
      <c r="F40" s="161" t="s">
        <v>387</v>
      </c>
      <c r="G40" s="149"/>
      <c r="H40" s="163">
        <v>680</v>
      </c>
      <c r="I40" s="163">
        <v>700</v>
      </c>
      <c r="J40" s="163">
        <f t="shared" ref="J40:J45" si="8">AVERAGE(H40:I40)</f>
        <v>690</v>
      </c>
      <c r="K40" s="149"/>
      <c r="L40" s="161" t="str">
        <f t="shared" ref="L40:L45" si="9">IF(MATCH(F40,MO_Common_ColumnHeader,0)&gt;UL.MRQColNum,"Estimate","Actual")</f>
        <v>Actual</v>
      </c>
      <c r="M40" s="167">
        <f ca="1">IFERROR(INDEX(INDIRECT(E40),0,MATCH(F40,MO_Common_ColumnHeader,0)),"N/A")</f>
        <v>692.60900000000015</v>
      </c>
      <c r="N40" s="154"/>
      <c r="O40" s="174">
        <f t="shared" ref="O40:O45" ca="1" si="10">IF(ISNUMBER(M40),M40-J40,"N/A")</f>
        <v>2.609000000000151</v>
      </c>
      <c r="P40" s="173">
        <f t="shared" ref="P40:P45" ca="1" si="11">IFERROR(IF(ISNUMBER(M40),M40/J40-1,"N/A"),"N/A")</f>
        <v>3.7811594202901144E-3</v>
      </c>
      <c r="Q40" s="149"/>
      <c r="R40" s="164">
        <v>43682</v>
      </c>
      <c r="S40" s="175" t="s">
        <v>272</v>
      </c>
      <c r="T40" s="149"/>
    </row>
    <row r="41" spans="1:20">
      <c r="A41" s="143">
        <v>76</v>
      </c>
      <c r="B41" s="161" t="str">
        <f t="shared" si="7"/>
        <v>Historical</v>
      </c>
      <c r="C41" s="149"/>
      <c r="D41" s="170" t="str">
        <f ca="1">INDEX(INDIRECT(E41),0,COLUMN(MO_Common_Column_A))</f>
        <v>Total Test Systems revenue, mm</v>
      </c>
      <c r="E41" s="162" t="s">
        <v>326</v>
      </c>
      <c r="F41" s="161" t="s">
        <v>387</v>
      </c>
      <c r="G41" s="149"/>
      <c r="H41" s="163">
        <v>60</v>
      </c>
      <c r="I41" s="163">
        <v>75</v>
      </c>
      <c r="J41" s="163">
        <f t="shared" si="8"/>
        <v>67.5</v>
      </c>
      <c r="K41" s="149"/>
      <c r="L41" s="161" t="str">
        <f t="shared" si="9"/>
        <v>Actual</v>
      </c>
      <c r="M41" s="167">
        <f ca="1">IFERROR(INDEX(INDIRECT(E41),0,MATCH(F41,MO_Common_ColumnHeader,0)),"N/A")</f>
        <v>80.092999999999989</v>
      </c>
      <c r="N41" s="154"/>
      <c r="O41" s="174">
        <f t="shared" ca="1" si="10"/>
        <v>12.592999999999989</v>
      </c>
      <c r="P41" s="173">
        <f t="shared" ca="1" si="11"/>
        <v>0.18656296296296282</v>
      </c>
      <c r="Q41" s="149"/>
      <c r="R41" s="164">
        <v>43682</v>
      </c>
      <c r="S41" s="175" t="s">
        <v>272</v>
      </c>
      <c r="T41" s="149"/>
    </row>
    <row r="42" spans="1:20">
      <c r="A42" s="143">
        <v>75</v>
      </c>
      <c r="B42" s="161" t="str">
        <f t="shared" si="7"/>
        <v>Historical</v>
      </c>
      <c r="C42" s="149"/>
      <c r="D42" s="170" t="str">
        <f ca="1">INDEX(INDIRECT(E42),0,COLUMN(MO_Common_Column_A))</f>
        <v>Net Revenue</v>
      </c>
      <c r="E42" s="162" t="s">
        <v>321</v>
      </c>
      <c r="F42" s="161" t="s">
        <v>387</v>
      </c>
      <c r="G42" s="149"/>
      <c r="H42" s="163">
        <v>740</v>
      </c>
      <c r="I42" s="163">
        <v>775</v>
      </c>
      <c r="J42" s="163">
        <f t="shared" si="8"/>
        <v>757.5</v>
      </c>
      <c r="K42" s="149"/>
      <c r="L42" s="161" t="str">
        <f t="shared" si="9"/>
        <v>Actual</v>
      </c>
      <c r="M42" s="167">
        <f ca="1">IFERROR(INDEX(INDIRECT(E42),0,MATCH(F42,MO_Common_ColumnHeader,0)),"N/A")</f>
        <v>772.702</v>
      </c>
      <c r="N42" s="154"/>
      <c r="O42" s="174">
        <f t="shared" ca="1" si="10"/>
        <v>15.201999999999998</v>
      </c>
      <c r="P42" s="173">
        <f t="shared" ca="1" si="11"/>
        <v>2.0068646864686457E-2</v>
      </c>
      <c r="Q42" s="149"/>
      <c r="R42" s="164">
        <v>43682</v>
      </c>
      <c r="S42" s="175" t="s">
        <v>272</v>
      </c>
      <c r="T42" s="149"/>
    </row>
    <row r="43" spans="1:20">
      <c r="A43" s="143">
        <v>74</v>
      </c>
      <c r="B43" s="161" t="str">
        <f t="shared" si="7"/>
        <v>Historical</v>
      </c>
      <c r="C43" s="149"/>
      <c r="D43" s="170" t="s">
        <v>328</v>
      </c>
      <c r="E43" s="162"/>
      <c r="F43" s="161" t="s">
        <v>387</v>
      </c>
      <c r="G43" s="149"/>
      <c r="H43" s="163">
        <v>265.79000000000002</v>
      </c>
      <c r="I43" s="163">
        <v>265.79000000000002</v>
      </c>
      <c r="J43" s="163">
        <f t="shared" si="8"/>
        <v>265.79000000000002</v>
      </c>
      <c r="K43" s="149"/>
      <c r="L43" s="161" t="str">
        <f t="shared" si="9"/>
        <v>Actual</v>
      </c>
      <c r="M43" s="167" t="str">
        <f ca="1">IFERROR(INDEX(INDIRECT(E43),0,MATCH(F43,MO_Common_ColumnHeader,0)),"N/A")</f>
        <v>N/A</v>
      </c>
      <c r="N43" s="154"/>
      <c r="O43" s="174" t="str">
        <f t="shared" ca="1" si="10"/>
        <v>N/A</v>
      </c>
      <c r="P43" s="173" t="str">
        <f t="shared" ca="1" si="11"/>
        <v>N/A</v>
      </c>
      <c r="Q43" s="149"/>
      <c r="R43" s="164">
        <v>43682</v>
      </c>
      <c r="S43" s="175" t="s">
        <v>272</v>
      </c>
      <c r="T43" s="149"/>
    </row>
    <row r="44" spans="1:20">
      <c r="A44" s="143">
        <v>73</v>
      </c>
      <c r="B44" s="161" t="str">
        <f t="shared" si="7"/>
        <v>Historical</v>
      </c>
      <c r="C44" s="149"/>
      <c r="D44" s="170" t="s">
        <v>329</v>
      </c>
      <c r="E44" s="162"/>
      <c r="F44" s="161" t="s">
        <v>387</v>
      </c>
      <c r="G44" s="149"/>
      <c r="H44" s="165">
        <v>0.15</v>
      </c>
      <c r="I44" s="165">
        <v>0.19</v>
      </c>
      <c r="J44" s="165">
        <f t="shared" si="8"/>
        <v>0.16999999999999998</v>
      </c>
      <c r="K44" s="149"/>
      <c r="L44" s="161" t="str">
        <f t="shared" si="9"/>
        <v>Actual</v>
      </c>
      <c r="M44" s="166">
        <f>INDEX(MO_RIS_TaxRate_Current,0,MATCH(F44,MO_Common_ColumnHeader,0))+INDEX(MO_RIS_TaxRate_Deferred,0,MATCH(F44,MO_Common_ColumnHeader,0))</f>
        <v>0.23843755032721831</v>
      </c>
      <c r="N44" s="154"/>
      <c r="O44" s="173">
        <f t="shared" si="10"/>
        <v>6.8437550327218322E-2</v>
      </c>
      <c r="P44" s="173">
        <f t="shared" si="11"/>
        <v>0.40257382545422549</v>
      </c>
      <c r="Q44" s="149"/>
      <c r="R44" s="164">
        <v>43682</v>
      </c>
      <c r="S44" s="175" t="s">
        <v>272</v>
      </c>
      <c r="T44" s="149"/>
    </row>
    <row r="45" spans="1:20">
      <c r="A45" s="143">
        <v>72</v>
      </c>
      <c r="B45" s="161" t="str">
        <f t="shared" si="7"/>
        <v>Historical</v>
      </c>
      <c r="C45" s="149"/>
      <c r="D45" s="170" t="str">
        <f ca="1">INDEX(INDIRECT(E45),0,COLUMN(MO_Common_Column_A))</f>
        <v>Capex</v>
      </c>
      <c r="E45" s="162" t="s">
        <v>330</v>
      </c>
      <c r="F45" s="161" t="s">
        <v>387</v>
      </c>
      <c r="G45" s="149"/>
      <c r="H45" s="163">
        <v>-22</v>
      </c>
      <c r="I45" s="163">
        <v>-28</v>
      </c>
      <c r="J45" s="163">
        <f t="shared" si="8"/>
        <v>-25</v>
      </c>
      <c r="K45" s="149"/>
      <c r="L45" s="161" t="str">
        <f t="shared" si="9"/>
        <v>Actual</v>
      </c>
      <c r="M45" s="167">
        <f ca="1">IFERROR(INDEX(INDIRECT(E45),0,MATCH(F45,MO_Common_ColumnHeader,0)),"N/A")</f>
        <v>-12.083</v>
      </c>
      <c r="N45" s="154"/>
      <c r="O45" s="174">
        <f t="shared" ca="1" si="10"/>
        <v>12.917</v>
      </c>
      <c r="P45" s="173">
        <f t="shared" ca="1" si="11"/>
        <v>-0.51668000000000003</v>
      </c>
      <c r="Q45" s="149"/>
      <c r="R45" s="164">
        <v>43682</v>
      </c>
      <c r="S45" s="175" t="s">
        <v>272</v>
      </c>
      <c r="T45" s="149"/>
    </row>
    <row r="46" spans="1:20">
      <c r="A46" s="143">
        <v>71</v>
      </c>
      <c r="B46" s="149"/>
      <c r="C46" s="149"/>
      <c r="D46" s="150"/>
      <c r="E46" s="151"/>
      <c r="F46" s="149"/>
      <c r="G46" s="149"/>
      <c r="H46" s="149"/>
      <c r="I46" s="149"/>
      <c r="J46" s="149"/>
      <c r="K46" s="149"/>
      <c r="L46" s="149"/>
      <c r="M46" s="154"/>
      <c r="N46" s="154"/>
      <c r="O46" s="155"/>
      <c r="P46" s="116"/>
      <c r="Q46" s="149"/>
      <c r="R46" s="153"/>
      <c r="S46" s="176"/>
      <c r="T46" s="149"/>
    </row>
    <row r="47" spans="1:20">
      <c r="A47" s="143">
        <v>70</v>
      </c>
      <c r="B47" s="161" t="str">
        <f t="shared" ref="B47:B52" si="12">IF(MATCH(F47,MO_Common_ColumnHeader,0)&gt;UL.MRQColNum,"Forward","Historical")</f>
        <v>Historical</v>
      </c>
      <c r="C47" s="149"/>
      <c r="D47" s="170" t="str">
        <f ca="1">INDEX(INDIRECT(E47),0,COLUMN(MO_Common_Column_A))</f>
        <v>Total Aerospace revenue, mm</v>
      </c>
      <c r="E47" s="162" t="s">
        <v>325</v>
      </c>
      <c r="F47" s="161" t="s">
        <v>387</v>
      </c>
      <c r="G47" s="149"/>
      <c r="H47" s="163">
        <v>710</v>
      </c>
      <c r="I47" s="163">
        <v>745</v>
      </c>
      <c r="J47" s="163">
        <f t="shared" ref="J47:J52" si="13">AVERAGE(H47:I47)</f>
        <v>727.5</v>
      </c>
      <c r="K47" s="149"/>
      <c r="L47" s="161" t="str">
        <f t="shared" ref="L47:L52" si="14">IF(MATCH(F47,MO_Common_ColumnHeader,0)&gt;UL.MRQColNum,"Estimate","Actual")</f>
        <v>Actual</v>
      </c>
      <c r="M47" s="167">
        <f ca="1">IFERROR(INDEX(INDIRECT(E47),0,MATCH(F47,MO_Common_ColumnHeader,0)),"N/A")</f>
        <v>692.60900000000015</v>
      </c>
      <c r="N47" s="154"/>
      <c r="O47" s="174">
        <f t="shared" ref="O47:O52" ca="1" si="15">IF(ISNUMBER(M47),M47-J47,"N/A")</f>
        <v>-34.890999999999849</v>
      </c>
      <c r="P47" s="173">
        <f t="shared" ref="P47:P52" ca="1" si="16">IFERROR(IF(ISNUMBER(M47),M47/J47-1,"N/A"),"N/A")</f>
        <v>-4.7960137457044416E-2</v>
      </c>
      <c r="Q47" s="149"/>
      <c r="R47" s="164">
        <v>43593</v>
      </c>
      <c r="S47" s="175" t="s">
        <v>272</v>
      </c>
      <c r="T47" s="149"/>
    </row>
    <row r="48" spans="1:20">
      <c r="A48" s="143">
        <v>69</v>
      </c>
      <c r="B48" s="161" t="str">
        <f t="shared" si="12"/>
        <v>Historical</v>
      </c>
      <c r="C48" s="149"/>
      <c r="D48" s="170" t="str">
        <f ca="1">INDEX(INDIRECT(E48),0,COLUMN(MO_Common_Column_A))</f>
        <v>Total Test Systems revenue, mm</v>
      </c>
      <c r="E48" s="162" t="s">
        <v>326</v>
      </c>
      <c r="F48" s="161" t="s">
        <v>387</v>
      </c>
      <c r="G48" s="149"/>
      <c r="H48" s="163">
        <v>50</v>
      </c>
      <c r="I48" s="163">
        <v>60</v>
      </c>
      <c r="J48" s="163">
        <f t="shared" si="13"/>
        <v>55</v>
      </c>
      <c r="K48" s="149"/>
      <c r="L48" s="161" t="str">
        <f t="shared" si="14"/>
        <v>Actual</v>
      </c>
      <c r="M48" s="167">
        <f ca="1">IFERROR(INDEX(INDIRECT(E48),0,MATCH(F48,MO_Common_ColumnHeader,0)),"N/A")</f>
        <v>80.092999999999989</v>
      </c>
      <c r="N48" s="154"/>
      <c r="O48" s="174">
        <f t="shared" ca="1" si="15"/>
        <v>25.092999999999989</v>
      </c>
      <c r="P48" s="173">
        <f t="shared" ca="1" si="16"/>
        <v>0.45623636363636355</v>
      </c>
      <c r="Q48" s="149"/>
      <c r="R48" s="164">
        <v>43593</v>
      </c>
      <c r="S48" s="175" t="s">
        <v>272</v>
      </c>
      <c r="T48" s="149"/>
    </row>
    <row r="49" spans="1:20">
      <c r="A49" s="143">
        <v>68</v>
      </c>
      <c r="B49" s="161" t="str">
        <f t="shared" si="12"/>
        <v>Historical</v>
      </c>
      <c r="C49" s="149"/>
      <c r="D49" s="170" t="str">
        <f ca="1">INDEX(INDIRECT(E49),0,COLUMN(MO_Common_Column_A))</f>
        <v>Net Revenue</v>
      </c>
      <c r="E49" s="162" t="s">
        <v>321</v>
      </c>
      <c r="F49" s="161" t="s">
        <v>387</v>
      </c>
      <c r="G49" s="149"/>
      <c r="H49" s="163">
        <v>760</v>
      </c>
      <c r="I49" s="163">
        <v>805</v>
      </c>
      <c r="J49" s="163">
        <f t="shared" si="13"/>
        <v>782.5</v>
      </c>
      <c r="K49" s="149"/>
      <c r="L49" s="161" t="str">
        <f t="shared" si="14"/>
        <v>Actual</v>
      </c>
      <c r="M49" s="167">
        <f ca="1">IFERROR(INDEX(INDIRECT(E49),0,MATCH(F49,MO_Common_ColumnHeader,0)),"N/A")</f>
        <v>772.702</v>
      </c>
      <c r="N49" s="154"/>
      <c r="O49" s="174">
        <f t="shared" ca="1" si="15"/>
        <v>-9.7980000000000018</v>
      </c>
      <c r="P49" s="173">
        <f t="shared" ca="1" si="16"/>
        <v>-1.2521405750798742E-2</v>
      </c>
      <c r="Q49" s="149"/>
      <c r="R49" s="164">
        <v>43593</v>
      </c>
      <c r="S49" s="175" t="s">
        <v>272</v>
      </c>
      <c r="T49" s="149"/>
    </row>
    <row r="50" spans="1:20">
      <c r="A50" s="143">
        <v>67</v>
      </c>
      <c r="B50" s="161" t="str">
        <f t="shared" si="12"/>
        <v>Historical</v>
      </c>
      <c r="C50" s="149"/>
      <c r="D50" s="170" t="s">
        <v>328</v>
      </c>
      <c r="E50" s="162"/>
      <c r="F50" s="161" t="s">
        <v>387</v>
      </c>
      <c r="G50" s="149"/>
      <c r="H50" s="163">
        <v>336.12684000000002</v>
      </c>
      <c r="I50" s="163">
        <v>336.12684000000002</v>
      </c>
      <c r="J50" s="163">
        <f t="shared" si="13"/>
        <v>336.12684000000002</v>
      </c>
      <c r="K50" s="149"/>
      <c r="L50" s="161" t="str">
        <f t="shared" si="14"/>
        <v>Actual</v>
      </c>
      <c r="M50" s="167" t="str">
        <f ca="1">IFERROR(INDEX(INDIRECT(E50),0,MATCH(F50,MO_Common_ColumnHeader,0)),"N/A")</f>
        <v>N/A</v>
      </c>
      <c r="N50" s="154"/>
      <c r="O50" s="174" t="str">
        <f t="shared" ca="1" si="15"/>
        <v>N/A</v>
      </c>
      <c r="P50" s="173" t="str">
        <f t="shared" ca="1" si="16"/>
        <v>N/A</v>
      </c>
      <c r="Q50" s="149"/>
      <c r="R50" s="164">
        <v>43593</v>
      </c>
      <c r="S50" s="175" t="s">
        <v>272</v>
      </c>
      <c r="T50" s="149"/>
    </row>
    <row r="51" spans="1:20">
      <c r="A51" s="143">
        <v>66</v>
      </c>
      <c r="B51" s="161" t="str">
        <f t="shared" si="12"/>
        <v>Historical</v>
      </c>
      <c r="C51" s="149"/>
      <c r="D51" s="170" t="s">
        <v>329</v>
      </c>
      <c r="E51" s="162"/>
      <c r="F51" s="161" t="s">
        <v>387</v>
      </c>
      <c r="G51" s="149"/>
      <c r="H51" s="165">
        <v>0.18</v>
      </c>
      <c r="I51" s="165">
        <v>0.22</v>
      </c>
      <c r="J51" s="165">
        <f t="shared" si="13"/>
        <v>0.2</v>
      </c>
      <c r="K51" s="149"/>
      <c r="L51" s="161" t="str">
        <f t="shared" si="14"/>
        <v>Actual</v>
      </c>
      <c r="M51" s="166">
        <f>INDEX(MO_RIS_TaxRate_Current,0,MATCH(F51,MO_Common_ColumnHeader,0))+INDEX(MO_RIS_TaxRate_Deferred,0,MATCH(F51,MO_Common_ColumnHeader,0))</f>
        <v>0.23843755032721831</v>
      </c>
      <c r="N51" s="154"/>
      <c r="O51" s="173">
        <f t="shared" si="15"/>
        <v>3.8437550327218295E-2</v>
      </c>
      <c r="P51" s="173">
        <f t="shared" si="16"/>
        <v>0.19218775163609148</v>
      </c>
      <c r="Q51" s="149"/>
      <c r="R51" s="164">
        <v>43593</v>
      </c>
      <c r="S51" s="175" t="s">
        <v>272</v>
      </c>
      <c r="T51" s="149"/>
    </row>
    <row r="52" spans="1:20">
      <c r="A52" s="143">
        <v>65</v>
      </c>
      <c r="B52" s="161" t="str">
        <f t="shared" si="12"/>
        <v>Historical</v>
      </c>
      <c r="C52" s="149"/>
      <c r="D52" s="170" t="str">
        <f ca="1">INDEX(INDIRECT(E52),0,COLUMN(MO_Common_Column_A))</f>
        <v>Capex</v>
      </c>
      <c r="E52" s="162" t="s">
        <v>330</v>
      </c>
      <c r="F52" s="161" t="s">
        <v>387</v>
      </c>
      <c r="G52" s="149"/>
      <c r="H52" s="163">
        <v>-22</v>
      </c>
      <c r="I52" s="163">
        <v>-28</v>
      </c>
      <c r="J52" s="163">
        <f t="shared" si="13"/>
        <v>-25</v>
      </c>
      <c r="K52" s="149"/>
      <c r="L52" s="161" t="str">
        <f t="shared" si="14"/>
        <v>Actual</v>
      </c>
      <c r="M52" s="167">
        <f ca="1">IFERROR(INDEX(INDIRECT(E52),0,MATCH(F52,MO_Common_ColumnHeader,0)),"N/A")</f>
        <v>-12.083</v>
      </c>
      <c r="N52" s="154"/>
      <c r="O52" s="174">
        <f t="shared" ca="1" si="15"/>
        <v>12.917</v>
      </c>
      <c r="P52" s="173">
        <f t="shared" ca="1" si="16"/>
        <v>-0.51668000000000003</v>
      </c>
      <c r="Q52" s="149"/>
      <c r="R52" s="164">
        <v>43593</v>
      </c>
      <c r="S52" s="175" t="s">
        <v>272</v>
      </c>
      <c r="T52" s="149"/>
    </row>
    <row r="53" spans="1:20">
      <c r="A53" s="143">
        <v>64</v>
      </c>
      <c r="B53" s="149"/>
      <c r="C53" s="149"/>
      <c r="D53" s="150"/>
      <c r="E53" s="151"/>
      <c r="F53" s="149"/>
      <c r="G53" s="149"/>
      <c r="H53" s="149"/>
      <c r="I53" s="149"/>
      <c r="J53" s="149"/>
      <c r="K53" s="149"/>
      <c r="L53" s="149"/>
      <c r="M53" s="154"/>
      <c r="N53" s="154"/>
      <c r="O53" s="155"/>
      <c r="P53" s="116"/>
      <c r="Q53" s="149"/>
      <c r="R53" s="153"/>
      <c r="S53" s="176"/>
      <c r="T53" s="149"/>
    </row>
    <row r="54" spans="1:20">
      <c r="A54" s="143">
        <v>63</v>
      </c>
      <c r="B54" s="161" t="str">
        <f t="shared" ref="B54:B60" si="17">IF(MATCH(F54,MO_Common_ColumnHeader,0)&gt;UL.MRQColNum,"Forward","Historical")</f>
        <v>Historical</v>
      </c>
      <c r="C54" s="149"/>
      <c r="D54" s="170" t="str">
        <f ca="1">INDEX(INDIRECT(E54),0,COLUMN(MO_Common_Column_A))</f>
        <v>Total Aerospace revenue, mm</v>
      </c>
      <c r="E54" s="162" t="s">
        <v>325</v>
      </c>
      <c r="F54" s="161" t="s">
        <v>387</v>
      </c>
      <c r="G54" s="149"/>
      <c r="H54" s="163">
        <v>710</v>
      </c>
      <c r="I54" s="163">
        <v>745</v>
      </c>
      <c r="J54" s="163">
        <f t="shared" ref="J54:J60" si="18">AVERAGE(H54:I54)</f>
        <v>727.5</v>
      </c>
      <c r="K54" s="149"/>
      <c r="L54" s="161" t="str">
        <f t="shared" ref="L54:L60" si="19">IF(MATCH(F54,MO_Common_ColumnHeader,0)&gt;UL.MRQColNum,"Estimate","Actual")</f>
        <v>Actual</v>
      </c>
      <c r="M54" s="167">
        <f ca="1">IFERROR(INDEX(INDIRECT(E54),0,MATCH(F54,MO_Common_ColumnHeader,0)),"N/A")</f>
        <v>692.60900000000015</v>
      </c>
      <c r="N54" s="154"/>
      <c r="O54" s="174">
        <f t="shared" ref="O54:O60" ca="1" si="20">IF(ISNUMBER(M54),M54-J54,"N/A")</f>
        <v>-34.890999999999849</v>
      </c>
      <c r="P54" s="173">
        <f t="shared" ref="P54:P60" ca="1" si="21">IFERROR(IF(ISNUMBER(M54),M54/J54-1,"N/A"),"N/A")</f>
        <v>-4.7960137457044416E-2</v>
      </c>
      <c r="Q54" s="149"/>
      <c r="R54" s="164">
        <v>43517</v>
      </c>
      <c r="S54" s="175" t="s">
        <v>272</v>
      </c>
      <c r="T54" s="149"/>
    </row>
    <row r="55" spans="1:20">
      <c r="A55" s="143">
        <v>62</v>
      </c>
      <c r="B55" s="161" t="str">
        <f t="shared" si="17"/>
        <v>Historical</v>
      </c>
      <c r="C55" s="149"/>
      <c r="D55" s="170" t="str">
        <f ca="1">INDEX(INDIRECT(E55),0,COLUMN(MO_Common_Column_A))</f>
        <v>Total Test Systems revenue, mm</v>
      </c>
      <c r="E55" s="162" t="s">
        <v>326</v>
      </c>
      <c r="F55" s="161" t="s">
        <v>387</v>
      </c>
      <c r="G55" s="149"/>
      <c r="H55" s="163">
        <v>50</v>
      </c>
      <c r="I55" s="163">
        <v>60</v>
      </c>
      <c r="J55" s="163">
        <f t="shared" si="18"/>
        <v>55</v>
      </c>
      <c r="K55" s="149"/>
      <c r="L55" s="161" t="str">
        <f t="shared" si="19"/>
        <v>Actual</v>
      </c>
      <c r="M55" s="167">
        <f ca="1">IFERROR(INDEX(INDIRECT(E55),0,MATCH(F55,MO_Common_ColumnHeader,0)),"N/A")</f>
        <v>80.092999999999989</v>
      </c>
      <c r="N55" s="154"/>
      <c r="O55" s="174">
        <f t="shared" ca="1" si="20"/>
        <v>25.092999999999989</v>
      </c>
      <c r="P55" s="173">
        <f t="shared" ca="1" si="21"/>
        <v>0.45623636363636355</v>
      </c>
      <c r="Q55" s="149"/>
      <c r="R55" s="164">
        <v>43517</v>
      </c>
      <c r="S55" s="175" t="s">
        <v>272</v>
      </c>
      <c r="T55" s="149"/>
    </row>
    <row r="56" spans="1:20">
      <c r="A56" s="143">
        <v>61</v>
      </c>
      <c r="B56" s="161" t="str">
        <f t="shared" si="17"/>
        <v>Historical</v>
      </c>
      <c r="C56" s="149"/>
      <c r="D56" s="170" t="str">
        <f ca="1">INDEX(INDIRECT(E56),0,COLUMN(MO_Common_Column_A))</f>
        <v>Net Revenue</v>
      </c>
      <c r="E56" s="162" t="s">
        <v>321</v>
      </c>
      <c r="F56" s="161" t="s">
        <v>387</v>
      </c>
      <c r="G56" s="149"/>
      <c r="H56" s="163">
        <v>760</v>
      </c>
      <c r="I56" s="163">
        <v>805</v>
      </c>
      <c r="J56" s="163">
        <f t="shared" si="18"/>
        <v>782.5</v>
      </c>
      <c r="K56" s="149"/>
      <c r="L56" s="161" t="str">
        <f t="shared" si="19"/>
        <v>Actual</v>
      </c>
      <c r="M56" s="167">
        <f ca="1">IFERROR(INDEX(INDIRECT(E56),0,MATCH(F56,MO_Common_ColumnHeader,0)),"N/A")</f>
        <v>772.702</v>
      </c>
      <c r="N56" s="154"/>
      <c r="O56" s="174">
        <f t="shared" ca="1" si="20"/>
        <v>-9.7980000000000018</v>
      </c>
      <c r="P56" s="173">
        <f t="shared" ca="1" si="21"/>
        <v>-1.2521405750798742E-2</v>
      </c>
      <c r="Q56" s="149"/>
      <c r="R56" s="164">
        <v>43517</v>
      </c>
      <c r="S56" s="175" t="s">
        <v>272</v>
      </c>
      <c r="T56" s="149"/>
    </row>
    <row r="57" spans="1:20">
      <c r="A57" s="143">
        <v>60</v>
      </c>
      <c r="B57" s="161" t="str">
        <f t="shared" si="17"/>
        <v>Historical</v>
      </c>
      <c r="C57" s="149"/>
      <c r="D57" s="170" t="s">
        <v>388</v>
      </c>
      <c r="E57" s="162"/>
      <c r="F57" s="161" t="s">
        <v>387</v>
      </c>
      <c r="G57" s="149"/>
      <c r="H57" s="163">
        <v>80</v>
      </c>
      <c r="I57" s="163">
        <v>80</v>
      </c>
      <c r="J57" s="163">
        <f t="shared" si="18"/>
        <v>80</v>
      </c>
      <c r="K57" s="149"/>
      <c r="L57" s="161" t="str">
        <f t="shared" si="19"/>
        <v>Actual</v>
      </c>
      <c r="M57" s="167">
        <f>-Model!AK166</f>
        <v>80.132999999999996</v>
      </c>
      <c r="N57" s="154"/>
      <c r="O57" s="174">
        <f t="shared" si="20"/>
        <v>0.13299999999999557</v>
      </c>
      <c r="P57" s="173">
        <f t="shared" si="21"/>
        <v>1.6624999999999002E-3</v>
      </c>
      <c r="Q57" s="149"/>
      <c r="R57" s="164">
        <v>43517</v>
      </c>
      <c r="S57" s="175" t="s">
        <v>272</v>
      </c>
      <c r="T57" s="149"/>
    </row>
    <row r="58" spans="1:20">
      <c r="A58" s="143">
        <v>59</v>
      </c>
      <c r="B58" s="161" t="str">
        <f t="shared" si="17"/>
        <v>Historical</v>
      </c>
      <c r="C58" s="149"/>
      <c r="D58" s="170" t="s">
        <v>328</v>
      </c>
      <c r="E58" s="162"/>
      <c r="F58" s="161" t="s">
        <v>387</v>
      </c>
      <c r="G58" s="149"/>
      <c r="H58" s="163">
        <v>352.4</v>
      </c>
      <c r="I58" s="163">
        <v>352.4</v>
      </c>
      <c r="J58" s="163">
        <f t="shared" si="18"/>
        <v>352.4</v>
      </c>
      <c r="K58" s="149"/>
      <c r="L58" s="161" t="str">
        <f t="shared" si="19"/>
        <v>Actual</v>
      </c>
      <c r="M58" s="167" t="str">
        <f ca="1">IFERROR(INDEX(INDIRECT(E58),0,MATCH(F58,MO_Common_ColumnHeader,0)),"N/A")</f>
        <v>N/A</v>
      </c>
      <c r="N58" s="154"/>
      <c r="O58" s="174" t="str">
        <f t="shared" ca="1" si="20"/>
        <v>N/A</v>
      </c>
      <c r="P58" s="173" t="str">
        <f t="shared" ca="1" si="21"/>
        <v>N/A</v>
      </c>
      <c r="Q58" s="149"/>
      <c r="R58" s="164">
        <v>43517</v>
      </c>
      <c r="S58" s="175" t="s">
        <v>272</v>
      </c>
      <c r="T58" s="149"/>
    </row>
    <row r="59" spans="1:20">
      <c r="A59" s="143">
        <v>58</v>
      </c>
      <c r="B59" s="161" t="str">
        <f t="shared" si="17"/>
        <v>Historical</v>
      </c>
      <c r="C59" s="149"/>
      <c r="D59" s="170" t="s">
        <v>329</v>
      </c>
      <c r="E59" s="162"/>
      <c r="F59" s="161" t="s">
        <v>387</v>
      </c>
      <c r="G59" s="149"/>
      <c r="H59" s="165">
        <v>0.18</v>
      </c>
      <c r="I59" s="165">
        <v>0.2</v>
      </c>
      <c r="J59" s="165">
        <f t="shared" si="18"/>
        <v>0.19</v>
      </c>
      <c r="K59" s="149"/>
      <c r="L59" s="161" t="str">
        <f t="shared" si="19"/>
        <v>Actual</v>
      </c>
      <c r="M59" s="166">
        <f>INDEX(MO_RIS_TaxRate_Current,0,MATCH(F59,MO_Common_ColumnHeader,0))+INDEX(MO_RIS_TaxRate_Deferred,0,MATCH(F59,MO_Common_ColumnHeader,0))</f>
        <v>0.23843755032721831</v>
      </c>
      <c r="N59" s="154"/>
      <c r="O59" s="173">
        <f t="shared" si="20"/>
        <v>4.8437550327218304E-2</v>
      </c>
      <c r="P59" s="173">
        <f t="shared" si="21"/>
        <v>0.25493447540641223</v>
      </c>
      <c r="Q59" s="149"/>
      <c r="R59" s="164">
        <v>43517</v>
      </c>
      <c r="S59" s="175" t="s">
        <v>272</v>
      </c>
      <c r="T59" s="149"/>
    </row>
    <row r="60" spans="1:20">
      <c r="A60" s="143">
        <v>57</v>
      </c>
      <c r="B60" s="161" t="str">
        <f t="shared" si="17"/>
        <v>Historical</v>
      </c>
      <c r="C60" s="149"/>
      <c r="D60" s="170" t="str">
        <f ca="1">INDEX(INDIRECT(E60),0,COLUMN(MO_Common_Column_A))</f>
        <v>Capex</v>
      </c>
      <c r="E60" s="162" t="s">
        <v>330</v>
      </c>
      <c r="F60" s="161" t="s">
        <v>387</v>
      </c>
      <c r="G60" s="149"/>
      <c r="H60" s="163">
        <v>-22</v>
      </c>
      <c r="I60" s="163">
        <v>-28</v>
      </c>
      <c r="J60" s="163">
        <f t="shared" si="18"/>
        <v>-25</v>
      </c>
      <c r="K60" s="149"/>
      <c r="L60" s="161" t="str">
        <f t="shared" si="19"/>
        <v>Actual</v>
      </c>
      <c r="M60" s="167">
        <f ca="1">IFERROR(INDEX(INDIRECT(E60),0,MATCH(F60,MO_Common_ColumnHeader,0)),"N/A")</f>
        <v>-12.083</v>
      </c>
      <c r="N60" s="154"/>
      <c r="O60" s="174">
        <f t="shared" ca="1" si="20"/>
        <v>12.917</v>
      </c>
      <c r="P60" s="173">
        <f t="shared" ca="1" si="21"/>
        <v>-0.51668000000000003</v>
      </c>
      <c r="Q60" s="149"/>
      <c r="R60" s="164">
        <v>43517</v>
      </c>
      <c r="S60" s="175" t="s">
        <v>272</v>
      </c>
      <c r="T60" s="149"/>
    </row>
    <row r="61" spans="1:20">
      <c r="A61" s="143">
        <v>56</v>
      </c>
      <c r="B61" s="149"/>
      <c r="C61" s="149"/>
      <c r="D61" s="150"/>
      <c r="E61" s="151"/>
      <c r="F61" s="149"/>
      <c r="G61" s="149"/>
      <c r="H61" s="149"/>
      <c r="I61" s="149"/>
      <c r="J61" s="149"/>
      <c r="K61" s="149"/>
      <c r="L61" s="149"/>
      <c r="M61" s="154"/>
      <c r="N61" s="154"/>
      <c r="O61" s="155"/>
      <c r="P61" s="116"/>
      <c r="Q61" s="149"/>
      <c r="R61" s="153"/>
      <c r="S61" s="176"/>
      <c r="T61" s="149"/>
    </row>
    <row r="62" spans="1:20">
      <c r="A62" s="143">
        <v>55</v>
      </c>
      <c r="B62" s="161" t="str">
        <f t="shared" ref="B62:B68" si="22">IF(MATCH(F62,MO_Common_ColumnHeader,0)&gt;UL.MRQColNum,"Forward","Historical")</f>
        <v>Historical</v>
      </c>
      <c r="C62" s="149"/>
      <c r="D62" s="170" t="str">
        <f ca="1">INDEX(INDIRECT(E62),0,COLUMN(MO_Common_Column_A))</f>
        <v>Net Revenue</v>
      </c>
      <c r="E62" s="162" t="s">
        <v>321</v>
      </c>
      <c r="F62" s="161" t="s">
        <v>324</v>
      </c>
      <c r="G62" s="149"/>
      <c r="H62" s="163">
        <v>790</v>
      </c>
      <c r="I62" s="163">
        <v>800</v>
      </c>
      <c r="J62" s="163">
        <f t="shared" ref="J62:J68" si="23">AVERAGE(H62:I62)</f>
        <v>795</v>
      </c>
      <c r="K62" s="149"/>
      <c r="L62" s="161" t="str">
        <f t="shared" ref="L62:L68" si="24">IF(MATCH(F62,MO_Common_ColumnHeader,0)&gt;UL.MRQColNum,"Estimate","Actual")</f>
        <v>Actual</v>
      </c>
      <c r="M62" s="163">
        <f ca="1">IFERROR(INDEX(INDIRECT(E62),0,MATCH(F62,MO_Common_ColumnHeader,0)),"N/A")</f>
        <v>803.25599999999997</v>
      </c>
      <c r="N62" s="149"/>
      <c r="O62" s="171">
        <f t="shared" ref="O62:O68" ca="1" si="25">IF(ISNUMBER(M62),M62-J62,"N/A")</f>
        <v>8.2559999999999718</v>
      </c>
      <c r="P62" s="172">
        <f t="shared" ref="P62:P68" ca="1" si="26">IFERROR(IF(ISNUMBER(M62),M62/J62-1,"N/A"),"N/A")</f>
        <v>1.0384905660377308E-2</v>
      </c>
      <c r="Q62" s="149"/>
      <c r="R62" s="164">
        <v>43409</v>
      </c>
      <c r="S62" s="175" t="s">
        <v>272</v>
      </c>
      <c r="T62" s="149"/>
    </row>
    <row r="63" spans="1:20">
      <c r="A63" s="143">
        <v>54</v>
      </c>
      <c r="B63" s="161" t="str">
        <f t="shared" si="22"/>
        <v>Historical</v>
      </c>
      <c r="C63" s="149"/>
      <c r="D63" s="170" t="str">
        <f ca="1">INDEX(INDIRECT(E63),0,COLUMN(MO_Common_Column_A))</f>
        <v>Total Aerospace revenue, mm</v>
      </c>
      <c r="E63" s="162" t="s">
        <v>325</v>
      </c>
      <c r="F63" s="161" t="s">
        <v>324</v>
      </c>
      <c r="G63" s="149"/>
      <c r="H63" s="163">
        <v>670</v>
      </c>
      <c r="I63" s="163">
        <v>675</v>
      </c>
      <c r="J63" s="163">
        <f t="shared" si="23"/>
        <v>672.5</v>
      </c>
      <c r="K63" s="149"/>
      <c r="L63" s="161" t="str">
        <f t="shared" si="24"/>
        <v>Actual</v>
      </c>
      <c r="M63" s="167">
        <f ca="1">IFERROR(INDEX(INDIRECT(E63),0,MATCH(F63,MO_Common_ColumnHeader,0)),"N/A")</f>
        <v>675.62500000000011</v>
      </c>
      <c r="N63" s="154"/>
      <c r="O63" s="174">
        <f t="shared" ca="1" si="25"/>
        <v>3.1250000000001137</v>
      </c>
      <c r="P63" s="173">
        <f t="shared" ca="1" si="26"/>
        <v>4.646840148698983E-3</v>
      </c>
      <c r="Q63" s="149"/>
      <c r="R63" s="164">
        <v>43409</v>
      </c>
      <c r="S63" s="175" t="s">
        <v>272</v>
      </c>
      <c r="T63" s="149"/>
    </row>
    <row r="64" spans="1:20">
      <c r="A64" s="143">
        <v>53</v>
      </c>
      <c r="B64" s="161" t="str">
        <f t="shared" si="22"/>
        <v>Historical</v>
      </c>
      <c r="C64" s="149"/>
      <c r="D64" s="170" t="str">
        <f ca="1">INDEX(INDIRECT(E64),0,COLUMN(MO_Common_Column_A))</f>
        <v>Total Test Systems revenue, mm</v>
      </c>
      <c r="E64" s="162" t="s">
        <v>326</v>
      </c>
      <c r="F64" s="161" t="s">
        <v>324</v>
      </c>
      <c r="G64" s="149"/>
      <c r="H64" s="163">
        <v>120</v>
      </c>
      <c r="I64" s="163">
        <v>125</v>
      </c>
      <c r="J64" s="163">
        <f t="shared" si="23"/>
        <v>122.5</v>
      </c>
      <c r="K64" s="149"/>
      <c r="L64" s="161" t="str">
        <f t="shared" si="24"/>
        <v>Actual</v>
      </c>
      <c r="M64" s="167">
        <f ca="1">IFERROR(INDEX(INDIRECT(E64),0,MATCH(F64,MO_Common_ColumnHeader,0)),"N/A")</f>
        <v>127.631</v>
      </c>
      <c r="N64" s="154"/>
      <c r="O64" s="174">
        <f t="shared" ca="1" si="25"/>
        <v>5.1310000000000002</v>
      </c>
      <c r="P64" s="173">
        <f t="shared" ca="1" si="26"/>
        <v>4.1885714285714304E-2</v>
      </c>
      <c r="Q64" s="149"/>
      <c r="R64" s="164">
        <v>43409</v>
      </c>
      <c r="S64" s="175" t="s">
        <v>272</v>
      </c>
      <c r="T64" s="149"/>
    </row>
    <row r="65" spans="1:20">
      <c r="A65" s="143">
        <v>52</v>
      </c>
      <c r="B65" s="161" t="str">
        <f t="shared" si="22"/>
        <v>Historical</v>
      </c>
      <c r="C65" s="149"/>
      <c r="D65" s="170" t="s">
        <v>328</v>
      </c>
      <c r="E65" s="162"/>
      <c r="F65" s="161" t="s">
        <v>324</v>
      </c>
      <c r="G65" s="149"/>
      <c r="H65" s="163">
        <v>326.44200000000001</v>
      </c>
      <c r="I65" s="163">
        <v>326.44200000000001</v>
      </c>
      <c r="J65" s="163">
        <f t="shared" si="23"/>
        <v>326.44200000000001</v>
      </c>
      <c r="K65" s="149"/>
      <c r="L65" s="161" t="str">
        <f t="shared" si="24"/>
        <v>Actual</v>
      </c>
      <c r="M65" s="167" t="str">
        <f ca="1">IFERROR(INDEX(INDIRECT(E65),0,MATCH(F65,MO_Common_ColumnHeader,0)),"N/A")</f>
        <v>N/A</v>
      </c>
      <c r="N65" s="154"/>
      <c r="O65" s="174" t="str">
        <f t="shared" ca="1" si="25"/>
        <v>N/A</v>
      </c>
      <c r="P65" s="173" t="str">
        <f t="shared" ca="1" si="26"/>
        <v>N/A</v>
      </c>
      <c r="Q65" s="149"/>
      <c r="R65" s="164">
        <v>43409</v>
      </c>
      <c r="S65" s="175" t="s">
        <v>272</v>
      </c>
      <c r="T65" s="149"/>
    </row>
    <row r="66" spans="1:20">
      <c r="A66" s="143">
        <v>51</v>
      </c>
      <c r="B66" s="161" t="str">
        <f t="shared" si="22"/>
        <v>Historical</v>
      </c>
      <c r="C66" s="149"/>
      <c r="D66" s="170" t="s">
        <v>329</v>
      </c>
      <c r="E66" s="162"/>
      <c r="F66" s="161" t="s">
        <v>324</v>
      </c>
      <c r="G66" s="149"/>
      <c r="H66" s="165">
        <v>0.1</v>
      </c>
      <c r="I66" s="165">
        <v>0.13</v>
      </c>
      <c r="J66" s="165">
        <f t="shared" si="23"/>
        <v>0.115</v>
      </c>
      <c r="K66" s="149"/>
      <c r="L66" s="161" t="str">
        <f t="shared" si="24"/>
        <v>Actual</v>
      </c>
      <c r="M66" s="166">
        <f>INDEX(MO_RIS_TaxRate_Current,0,MATCH(F66,MO_Common_ColumnHeader,0))+INDEX(MO_RIS_TaxRate_Deferred,0,MATCH(F66,MO_Common_ColumnHeader,0))</f>
        <v>0.1047970620863776</v>
      </c>
      <c r="N66" s="154"/>
      <c r="O66" s="173">
        <f t="shared" si="25"/>
        <v>-1.0202937913622409E-2</v>
      </c>
      <c r="P66" s="173">
        <f t="shared" si="26"/>
        <v>-8.8721199248890548E-2</v>
      </c>
      <c r="Q66" s="149"/>
      <c r="R66" s="164">
        <v>43409</v>
      </c>
      <c r="S66" s="175" t="s">
        <v>272</v>
      </c>
      <c r="T66" s="149"/>
    </row>
    <row r="67" spans="1:20">
      <c r="A67" s="143">
        <v>50</v>
      </c>
      <c r="B67" s="161" t="str">
        <f t="shared" si="22"/>
        <v>Historical</v>
      </c>
      <c r="C67" s="149"/>
      <c r="D67" s="170" t="str">
        <f ca="1">INDEX(INDIRECT(E67),0,COLUMN(MO_Common_Column_A))</f>
        <v>Capex</v>
      </c>
      <c r="E67" s="162" t="s">
        <v>330</v>
      </c>
      <c r="F67" s="161" t="s">
        <v>324</v>
      </c>
      <c r="G67" s="149"/>
      <c r="H67" s="163">
        <v>-18</v>
      </c>
      <c r="I67" s="163">
        <v>-22</v>
      </c>
      <c r="J67" s="163">
        <f t="shared" si="23"/>
        <v>-20</v>
      </c>
      <c r="K67" s="149"/>
      <c r="L67" s="161" t="str">
        <f t="shared" si="24"/>
        <v>Actual</v>
      </c>
      <c r="M67" s="167">
        <f ca="1">IFERROR(INDEX(INDIRECT(E67),0,MATCH(F67,MO_Common_ColumnHeader,0)),"N/A")</f>
        <v>-16.317</v>
      </c>
      <c r="N67" s="154"/>
      <c r="O67" s="174">
        <f t="shared" ca="1" si="25"/>
        <v>3.6829999999999998</v>
      </c>
      <c r="P67" s="173">
        <f t="shared" ca="1" si="26"/>
        <v>-0.18415000000000004</v>
      </c>
      <c r="Q67" s="149"/>
      <c r="R67" s="164">
        <v>43409</v>
      </c>
      <c r="S67" s="175" t="s">
        <v>272</v>
      </c>
      <c r="T67" s="149"/>
    </row>
    <row r="68" spans="1:20">
      <c r="A68" s="143">
        <v>49</v>
      </c>
      <c r="B68" s="161" t="str">
        <f t="shared" si="22"/>
        <v>Historical</v>
      </c>
      <c r="C68" s="149"/>
      <c r="D68" s="170" t="s">
        <v>331</v>
      </c>
      <c r="E68" s="162"/>
      <c r="F68" s="161" t="s">
        <v>324</v>
      </c>
      <c r="G68" s="149"/>
      <c r="H68" s="163">
        <v>115</v>
      </c>
      <c r="I68" s="163">
        <v>120</v>
      </c>
      <c r="J68" s="163">
        <f t="shared" si="23"/>
        <v>117.5</v>
      </c>
      <c r="K68" s="149"/>
      <c r="L68" s="161" t="str">
        <f t="shared" si="24"/>
        <v>Actual</v>
      </c>
      <c r="M68" s="167">
        <f>INDEX(MO_RIS_SGA,0,MATCH(F68,MO_Common_ColumnHeader,0))+INDEX(MO_RIS_SBC,0,MATCH(F68,MO_Common_ColumnHeader,0))</f>
        <v>117.033</v>
      </c>
      <c r="N68" s="154"/>
      <c r="O68" s="174">
        <f t="shared" si="25"/>
        <v>-0.46699999999999875</v>
      </c>
      <c r="P68" s="173">
        <f t="shared" si="26"/>
        <v>-3.9744680851063752E-3</v>
      </c>
      <c r="Q68" s="149"/>
      <c r="R68" s="164">
        <v>43409</v>
      </c>
      <c r="S68" s="175" t="s">
        <v>272</v>
      </c>
      <c r="T68" s="149"/>
    </row>
    <row r="69" spans="1:20">
      <c r="A69" s="143">
        <v>48</v>
      </c>
      <c r="B69" s="149"/>
      <c r="C69" s="149"/>
      <c r="D69" s="150"/>
      <c r="E69" s="151"/>
      <c r="F69" s="149"/>
      <c r="G69" s="149"/>
      <c r="H69" s="149"/>
      <c r="I69" s="149"/>
      <c r="J69" s="149"/>
      <c r="K69" s="149"/>
      <c r="L69" s="149"/>
      <c r="M69" s="154"/>
      <c r="N69" s="154"/>
      <c r="O69" s="155"/>
      <c r="P69" s="116"/>
      <c r="Q69" s="149"/>
      <c r="R69" s="153"/>
      <c r="S69" s="176"/>
      <c r="T69" s="149"/>
    </row>
    <row r="70" spans="1:20">
      <c r="A70" s="143">
        <v>47</v>
      </c>
      <c r="B70" s="161" t="str">
        <f>IF(MATCH(F70,MO_Common_ColumnHeader,0)&gt;UL.MRQColNum,"Forward","Historical")</f>
        <v>Historical</v>
      </c>
      <c r="C70" s="149"/>
      <c r="D70" s="170" t="str">
        <f ca="1">INDEX(INDIRECT(E70),0,COLUMN(MO_Common_Column_A))</f>
        <v>Total Aerospace revenue growth, %</v>
      </c>
      <c r="E70" s="162" t="s">
        <v>336</v>
      </c>
      <c r="F70" s="161" t="s">
        <v>373</v>
      </c>
      <c r="G70" s="149"/>
      <c r="H70" s="165">
        <v>0.24</v>
      </c>
      <c r="I70" s="165">
        <v>0.24</v>
      </c>
      <c r="J70" s="165">
        <f>AVERAGE(H70:I70)</f>
        <v>0.24</v>
      </c>
      <c r="K70" s="149"/>
      <c r="L70" s="161" t="str">
        <f>IF(MATCH(F70,MO_Common_ColumnHeader,0)&gt;UL.MRQColNum,"Estimate","Actual")</f>
        <v>Actual</v>
      </c>
      <c r="M70" s="166">
        <f ca="1">IFERROR(INDEX(INDIRECT(E70),0,MATCH(F70,MO_Common_ColumnHeader,0)),"N/A")</f>
        <v>0.25562099651777648</v>
      </c>
      <c r="N70" s="154"/>
      <c r="O70" s="173">
        <f ca="1">IF(ISNUMBER(M70),M70-J70,"N/A")</f>
        <v>1.5620996517776486E-2</v>
      </c>
      <c r="P70" s="173">
        <f ca="1">IFERROR(IF(ISNUMBER(M70),M70/J70-1,"N/A"),"N/A")</f>
        <v>6.5087485490735286E-2</v>
      </c>
      <c r="Q70" s="149"/>
      <c r="R70" s="164">
        <v>43409</v>
      </c>
      <c r="S70" s="175" t="s">
        <v>272</v>
      </c>
      <c r="T70" s="149"/>
    </row>
    <row r="71" spans="1:20">
      <c r="A71" s="143">
        <v>46</v>
      </c>
      <c r="B71" s="161" t="str">
        <f>IF(MATCH(F71,MO_Common_ColumnHeader,0)&gt;UL.MRQColNum,"Forward","Historical")</f>
        <v>Historical</v>
      </c>
      <c r="C71" s="149"/>
      <c r="D71" s="170" t="str">
        <f ca="1">INDEX(INDIRECT(E71),0,COLUMN(MO_Common_Column_A))</f>
        <v>Total Aerospace revenue, mm</v>
      </c>
      <c r="E71" s="162" t="s">
        <v>325</v>
      </c>
      <c r="F71" s="161" t="s">
        <v>373</v>
      </c>
      <c r="G71" s="149"/>
      <c r="H71" s="163">
        <v>170</v>
      </c>
      <c r="I71" s="163">
        <v>175</v>
      </c>
      <c r="J71" s="163">
        <f>AVERAGE(H71:I71)</f>
        <v>172.5</v>
      </c>
      <c r="K71" s="149"/>
      <c r="L71" s="161" t="str">
        <f>IF(MATCH(F71,MO_Common_ColumnHeader,0)&gt;UL.MRQColNum,"Estimate","Actual")</f>
        <v>Actual</v>
      </c>
      <c r="M71" s="167">
        <f ca="1">IFERROR(INDEX(INDIRECT(E71),0,MATCH(F71,MO_Common_ColumnHeader,0)),"N/A")</f>
        <v>175.24200000000002</v>
      </c>
      <c r="N71" s="154"/>
      <c r="O71" s="174">
        <f ca="1">IF(ISNUMBER(M71),M71-J71,"N/A")</f>
        <v>2.7420000000000186</v>
      </c>
      <c r="P71" s="173">
        <f ca="1">IFERROR(IF(ISNUMBER(M71),M71/J71-1,"N/A"),"N/A")</f>
        <v>1.5895652173913088E-2</v>
      </c>
      <c r="Q71" s="149"/>
      <c r="R71" s="164">
        <v>43409</v>
      </c>
      <c r="S71" s="175" t="s">
        <v>272</v>
      </c>
      <c r="T71" s="149"/>
    </row>
    <row r="72" spans="1:20">
      <c r="A72" s="143">
        <v>45</v>
      </c>
      <c r="B72" s="161" t="str">
        <f>IF(MATCH(F72,MO_Common_ColumnHeader,0)&gt;UL.MRQColNum,"Forward","Historical")</f>
        <v>Historical</v>
      </c>
      <c r="C72" s="149"/>
      <c r="D72" s="170" t="str">
        <f ca="1">INDEX(INDIRECT(E72),0,COLUMN(MO_Common_Column_A))</f>
        <v>Total Test Systems revenue, mm</v>
      </c>
      <c r="E72" s="162" t="s">
        <v>326</v>
      </c>
      <c r="F72" s="161" t="s">
        <v>373</v>
      </c>
      <c r="G72" s="149"/>
      <c r="H72" s="163">
        <v>25</v>
      </c>
      <c r="I72" s="163">
        <v>25</v>
      </c>
      <c r="J72" s="163">
        <f>AVERAGE(H72:I72)</f>
        <v>25</v>
      </c>
      <c r="K72" s="149"/>
      <c r="L72" s="161" t="str">
        <f>IF(MATCH(F72,MO_Common_ColumnHeader,0)&gt;UL.MRQColNum,"Estimate","Actual")</f>
        <v>Actual</v>
      </c>
      <c r="M72" s="167">
        <f ca="1">IFERROR(INDEX(INDIRECT(E72),0,MATCH(F72,MO_Common_ColumnHeader,0)),"N/A")</f>
        <v>27.674999999999997</v>
      </c>
      <c r="N72" s="154"/>
      <c r="O72" s="174">
        <f ca="1">IF(ISNUMBER(M72),M72-J72,"N/A")</f>
        <v>2.6749999999999972</v>
      </c>
      <c r="P72" s="173">
        <f ca="1">IFERROR(IF(ISNUMBER(M72),M72/J72-1,"N/A"),"N/A")</f>
        <v>0.10699999999999998</v>
      </c>
      <c r="Q72" s="149"/>
      <c r="R72" s="164">
        <v>43409</v>
      </c>
      <c r="S72" s="175" t="s">
        <v>272</v>
      </c>
      <c r="T72" s="149"/>
    </row>
    <row r="73" spans="1:20">
      <c r="A73" s="143">
        <v>44</v>
      </c>
      <c r="B73" s="161" t="str">
        <f>IF(MATCH(F73,MO_Common_ColumnHeader,0)&gt;UL.MRQColNum,"Forward","Historical")</f>
        <v>Historical</v>
      </c>
      <c r="C73" s="149"/>
      <c r="D73" s="170" t="s">
        <v>329</v>
      </c>
      <c r="E73" s="162"/>
      <c r="F73" s="161" t="s">
        <v>373</v>
      </c>
      <c r="G73" s="149"/>
      <c r="H73" s="165">
        <v>0.18</v>
      </c>
      <c r="I73" s="165">
        <v>0.21</v>
      </c>
      <c r="J73" s="165">
        <f>AVERAGE(H73:I73)</f>
        <v>0.19500000000000001</v>
      </c>
      <c r="K73" s="149"/>
      <c r="L73" s="161" t="str">
        <f>IF(MATCH(F73,MO_Common_ColumnHeader,0)&gt;UL.MRQColNum,"Estimate","Actual")</f>
        <v>Actual</v>
      </c>
      <c r="M73" s="166">
        <f>INDEX(MO_RIS_TaxRate_Current,0,MATCH(F73,MO_Common_ColumnHeader,0))+INDEX(MO_RIS_TaxRate_Deferred,0,MATCH(F73,MO_Common_ColumnHeader,0))</f>
        <v>0.19937155316147048</v>
      </c>
      <c r="N73" s="154"/>
      <c r="O73" s="173">
        <f>IF(ISNUMBER(M73),M73-J73,"N/A")</f>
        <v>4.3715531614704761E-3</v>
      </c>
      <c r="P73" s="173">
        <f>IFERROR(IF(ISNUMBER(M73),M73/J73-1,"N/A"),"N/A")</f>
        <v>2.2418221340874345E-2</v>
      </c>
      <c r="Q73" s="149"/>
      <c r="R73" s="164">
        <v>43409</v>
      </c>
      <c r="S73" s="175" t="s">
        <v>272</v>
      </c>
      <c r="T73" s="149"/>
    </row>
    <row r="74" spans="1:20">
      <c r="A74" s="143">
        <v>43</v>
      </c>
      <c r="B74" s="149"/>
      <c r="C74" s="149"/>
      <c r="D74" s="150"/>
      <c r="E74" s="151"/>
      <c r="F74" s="149"/>
      <c r="G74" s="149"/>
      <c r="H74" s="149"/>
      <c r="I74" s="149"/>
      <c r="J74" s="149"/>
      <c r="K74" s="149"/>
      <c r="L74" s="149"/>
      <c r="M74" s="154"/>
      <c r="N74" s="154"/>
      <c r="O74" s="155"/>
      <c r="P74" s="116"/>
      <c r="Q74" s="149"/>
      <c r="R74" s="153"/>
      <c r="S74" s="176"/>
      <c r="T74" s="149"/>
    </row>
    <row r="75" spans="1:20">
      <c r="A75" s="143">
        <v>42</v>
      </c>
      <c r="B75" s="161" t="str">
        <f t="shared" ref="B75:B84" si="27">IF(MATCH(F75,MO_Common_ColumnHeader,0)&gt;UL.MRQColNum,"Forward","Historical")</f>
        <v>Historical</v>
      </c>
      <c r="C75" s="149"/>
      <c r="D75" s="170" t="str">
        <f t="shared" ref="D75:D80" ca="1" si="28">INDEX(INDIRECT(E75),0,COLUMN(MO_Common_Column_A))</f>
        <v>Net Revenue</v>
      </c>
      <c r="E75" s="162" t="s">
        <v>321</v>
      </c>
      <c r="F75" s="161" t="s">
        <v>324</v>
      </c>
      <c r="G75" s="149"/>
      <c r="H75" s="163">
        <v>765</v>
      </c>
      <c r="I75" s="163">
        <v>815</v>
      </c>
      <c r="J75" s="163">
        <f t="shared" ref="J75:J84" si="29">AVERAGE(H75:I75)</f>
        <v>790</v>
      </c>
      <c r="K75" s="149"/>
      <c r="L75" s="161" t="str">
        <f t="shared" ref="L75:L84" si="30">IF(MATCH(F75,MO_Common_ColumnHeader,0)&gt;UL.MRQColNum,"Estimate","Actual")</f>
        <v>Actual</v>
      </c>
      <c r="M75" s="163">
        <f t="shared" ref="M75:M81" ca="1" si="31">IFERROR(INDEX(INDIRECT(E75),0,MATCH(F75,MO_Common_ColumnHeader,0)),"N/A")</f>
        <v>803.25599999999997</v>
      </c>
      <c r="N75" s="149"/>
      <c r="O75" s="171">
        <f t="shared" ref="O75:O84" ca="1" si="32">IF(ISNUMBER(M75),M75-J75,"N/A")</f>
        <v>13.255999999999972</v>
      </c>
      <c r="P75" s="172">
        <f t="shared" ref="P75:P84" ca="1" si="33">IFERROR(IF(ISNUMBER(M75),M75/J75-1,"N/A"),"N/A")</f>
        <v>1.6779746835442921E-2</v>
      </c>
      <c r="Q75" s="149"/>
      <c r="R75" s="164">
        <v>43315</v>
      </c>
      <c r="S75" s="175" t="s">
        <v>272</v>
      </c>
      <c r="T75" s="149"/>
    </row>
    <row r="76" spans="1:20">
      <c r="A76" s="143">
        <v>41</v>
      </c>
      <c r="B76" s="161" t="str">
        <f t="shared" si="27"/>
        <v>Historical</v>
      </c>
      <c r="C76" s="149"/>
      <c r="D76" s="170" t="str">
        <f t="shared" ca="1" si="28"/>
        <v>Total Aerospace revenue growth, %</v>
      </c>
      <c r="E76" s="162" t="s">
        <v>336</v>
      </c>
      <c r="F76" s="161" t="s">
        <v>324</v>
      </c>
      <c r="G76" s="149"/>
      <c r="H76" s="165">
        <v>0.24</v>
      </c>
      <c r="I76" s="165">
        <v>0.24</v>
      </c>
      <c r="J76" s="165">
        <f t="shared" si="29"/>
        <v>0.24</v>
      </c>
      <c r="K76" s="149"/>
      <c r="L76" s="161" t="str">
        <f t="shared" si="30"/>
        <v>Actual</v>
      </c>
      <c r="M76" s="166">
        <f t="shared" ca="1" si="31"/>
        <v>0.26378826905198816</v>
      </c>
      <c r="N76" s="154"/>
      <c r="O76" s="173">
        <f t="shared" ca="1" si="32"/>
        <v>2.3788269051988165E-2</v>
      </c>
      <c r="P76" s="173">
        <f t="shared" ca="1" si="33"/>
        <v>9.9117787716617389E-2</v>
      </c>
      <c r="Q76" s="149"/>
      <c r="R76" s="164">
        <v>43315</v>
      </c>
      <c r="S76" s="175" t="s">
        <v>272</v>
      </c>
      <c r="T76" s="149"/>
    </row>
    <row r="77" spans="1:20">
      <c r="A77" s="143">
        <v>40</v>
      </c>
      <c r="B77" s="161" t="str">
        <f t="shared" si="27"/>
        <v>Historical</v>
      </c>
      <c r="C77" s="149"/>
      <c r="D77" s="170" t="str">
        <f t="shared" ca="1" si="28"/>
        <v>Total Test Systems revenue growth, %</v>
      </c>
      <c r="E77" s="162" t="s">
        <v>337</v>
      </c>
      <c r="F77" s="161" t="s">
        <v>324</v>
      </c>
      <c r="G77" s="149"/>
      <c r="H77" s="165">
        <v>0.39</v>
      </c>
      <c r="I77" s="165">
        <v>0.39</v>
      </c>
      <c r="J77" s="165">
        <f t="shared" si="29"/>
        <v>0.39</v>
      </c>
      <c r="K77" s="149"/>
      <c r="L77" s="161" t="str">
        <f t="shared" si="30"/>
        <v>Actual</v>
      </c>
      <c r="M77" s="166">
        <f t="shared" ca="1" si="31"/>
        <v>0.4203158211014788</v>
      </c>
      <c r="N77" s="154"/>
      <c r="O77" s="173">
        <f t="shared" ca="1" si="32"/>
        <v>3.031582110147879E-2</v>
      </c>
      <c r="P77" s="173">
        <f t="shared" ca="1" si="33"/>
        <v>7.7732874619176329E-2</v>
      </c>
      <c r="Q77" s="149"/>
      <c r="R77" s="164">
        <v>43315</v>
      </c>
      <c r="S77" s="175" t="s">
        <v>272</v>
      </c>
      <c r="T77" s="149"/>
    </row>
    <row r="78" spans="1:20">
      <c r="A78" s="143">
        <v>39</v>
      </c>
      <c r="B78" s="161" t="str">
        <f t="shared" si="27"/>
        <v>Historical</v>
      </c>
      <c r="C78" s="149"/>
      <c r="D78" s="170" t="str">
        <f t="shared" ca="1" si="28"/>
        <v>Total Revenue Growth, %</v>
      </c>
      <c r="E78" s="162" t="s">
        <v>338</v>
      </c>
      <c r="F78" s="161" t="s">
        <v>324</v>
      </c>
      <c r="G78" s="149"/>
      <c r="H78" s="165">
        <v>0.26</v>
      </c>
      <c r="I78" s="165">
        <v>0.26</v>
      </c>
      <c r="J78" s="165">
        <f t="shared" si="29"/>
        <v>0.26</v>
      </c>
      <c r="K78" s="149"/>
      <c r="L78" s="161" t="str">
        <f t="shared" si="30"/>
        <v>Actual</v>
      </c>
      <c r="M78" s="166">
        <f t="shared" ca="1" si="31"/>
        <v>0.28631274180737387</v>
      </c>
      <c r="N78" s="154"/>
      <c r="O78" s="173">
        <f t="shared" ca="1" si="32"/>
        <v>2.6312741807373863E-2</v>
      </c>
      <c r="P78" s="173">
        <f t="shared" ca="1" si="33"/>
        <v>0.10120285310528399</v>
      </c>
      <c r="Q78" s="149"/>
      <c r="R78" s="164">
        <v>43315</v>
      </c>
      <c r="S78" s="175" t="s">
        <v>272</v>
      </c>
      <c r="T78" s="149"/>
    </row>
    <row r="79" spans="1:20">
      <c r="A79" s="143">
        <v>38</v>
      </c>
      <c r="B79" s="161" t="str">
        <f t="shared" si="27"/>
        <v>Historical</v>
      </c>
      <c r="C79" s="149"/>
      <c r="D79" s="170" t="str">
        <f t="shared" ca="1" si="28"/>
        <v>Total Aerospace revenue, mm</v>
      </c>
      <c r="E79" s="162" t="s">
        <v>325</v>
      </c>
      <c r="F79" s="161" t="s">
        <v>324</v>
      </c>
      <c r="G79" s="149"/>
      <c r="H79" s="163">
        <v>650</v>
      </c>
      <c r="I79" s="163">
        <v>680</v>
      </c>
      <c r="J79" s="163">
        <f t="shared" si="29"/>
        <v>665</v>
      </c>
      <c r="K79" s="149"/>
      <c r="L79" s="161" t="str">
        <f t="shared" si="30"/>
        <v>Actual</v>
      </c>
      <c r="M79" s="167">
        <f t="shared" ca="1" si="31"/>
        <v>675.62500000000011</v>
      </c>
      <c r="N79" s="154"/>
      <c r="O79" s="174">
        <f t="shared" ca="1" si="32"/>
        <v>10.625000000000114</v>
      </c>
      <c r="P79" s="173">
        <f t="shared" ca="1" si="33"/>
        <v>1.5977443609022757E-2</v>
      </c>
      <c r="Q79" s="149"/>
      <c r="R79" s="164">
        <v>43315</v>
      </c>
      <c r="S79" s="175" t="s">
        <v>272</v>
      </c>
      <c r="T79" s="149"/>
    </row>
    <row r="80" spans="1:20">
      <c r="A80" s="143">
        <v>37</v>
      </c>
      <c r="B80" s="161" t="str">
        <f t="shared" si="27"/>
        <v>Historical</v>
      </c>
      <c r="C80" s="149"/>
      <c r="D80" s="170" t="str">
        <f t="shared" ca="1" si="28"/>
        <v>Total Test Systems revenue, mm</v>
      </c>
      <c r="E80" s="162" t="s">
        <v>326</v>
      </c>
      <c r="F80" s="161" t="s">
        <v>324</v>
      </c>
      <c r="G80" s="149"/>
      <c r="H80" s="163">
        <v>115</v>
      </c>
      <c r="I80" s="163">
        <v>135</v>
      </c>
      <c r="J80" s="163">
        <f t="shared" si="29"/>
        <v>125</v>
      </c>
      <c r="K80" s="149"/>
      <c r="L80" s="161" t="str">
        <f t="shared" si="30"/>
        <v>Actual</v>
      </c>
      <c r="M80" s="167">
        <f t="shared" ca="1" si="31"/>
        <v>127.631</v>
      </c>
      <c r="N80" s="154"/>
      <c r="O80" s="174">
        <f t="shared" ca="1" si="32"/>
        <v>2.6310000000000002</v>
      </c>
      <c r="P80" s="173">
        <f t="shared" ca="1" si="33"/>
        <v>2.1047999999999956E-2</v>
      </c>
      <c r="Q80" s="149"/>
      <c r="R80" s="164">
        <v>43315</v>
      </c>
      <c r="S80" s="175" t="s">
        <v>272</v>
      </c>
      <c r="T80" s="149"/>
    </row>
    <row r="81" spans="1:20">
      <c r="A81" s="143">
        <v>36</v>
      </c>
      <c r="B81" s="161" t="str">
        <f t="shared" si="27"/>
        <v>Historical</v>
      </c>
      <c r="C81" s="149"/>
      <c r="D81" s="170" t="s">
        <v>328</v>
      </c>
      <c r="E81" s="162"/>
      <c r="F81" s="161" t="s">
        <v>324</v>
      </c>
      <c r="G81" s="149"/>
      <c r="H81" s="163">
        <v>309.05799999999994</v>
      </c>
      <c r="I81" s="163">
        <v>309.05799999999994</v>
      </c>
      <c r="J81" s="163">
        <f t="shared" si="29"/>
        <v>309.05799999999994</v>
      </c>
      <c r="K81" s="149"/>
      <c r="L81" s="161" t="str">
        <f t="shared" si="30"/>
        <v>Actual</v>
      </c>
      <c r="M81" s="167" t="str">
        <f t="shared" ca="1" si="31"/>
        <v>N/A</v>
      </c>
      <c r="N81" s="154"/>
      <c r="O81" s="174" t="str">
        <f t="shared" ca="1" si="32"/>
        <v>N/A</v>
      </c>
      <c r="P81" s="173" t="str">
        <f t="shared" ca="1" si="33"/>
        <v>N/A</v>
      </c>
      <c r="Q81" s="149"/>
      <c r="R81" s="164">
        <v>43315</v>
      </c>
      <c r="S81" s="175" t="s">
        <v>272</v>
      </c>
      <c r="T81" s="149"/>
    </row>
    <row r="82" spans="1:20">
      <c r="A82" s="143">
        <v>35</v>
      </c>
      <c r="B82" s="161" t="str">
        <f t="shared" si="27"/>
        <v>Historical</v>
      </c>
      <c r="C82" s="149"/>
      <c r="D82" s="170" t="s">
        <v>329</v>
      </c>
      <c r="E82" s="162"/>
      <c r="F82" s="161" t="s">
        <v>324</v>
      </c>
      <c r="G82" s="149"/>
      <c r="H82" s="165">
        <v>0.18</v>
      </c>
      <c r="I82" s="165">
        <v>0.21</v>
      </c>
      <c r="J82" s="165">
        <f t="shared" si="29"/>
        <v>0.19500000000000001</v>
      </c>
      <c r="K82" s="149"/>
      <c r="L82" s="161" t="str">
        <f t="shared" si="30"/>
        <v>Actual</v>
      </c>
      <c r="M82" s="166">
        <f>INDEX(MO_RIS_TaxRate_Current,0,MATCH(F82,MO_Common_ColumnHeader,0))+INDEX(MO_RIS_TaxRate_Deferred,0,MATCH(F82,MO_Common_ColumnHeader,0))</f>
        <v>0.1047970620863776</v>
      </c>
      <c r="N82" s="154"/>
      <c r="O82" s="173">
        <f t="shared" si="32"/>
        <v>-9.0202937913622411E-2</v>
      </c>
      <c r="P82" s="173">
        <f t="shared" si="33"/>
        <v>-0.46257916878780725</v>
      </c>
      <c r="Q82" s="149"/>
      <c r="R82" s="164">
        <v>43315</v>
      </c>
      <c r="S82" s="175" t="s">
        <v>272</v>
      </c>
      <c r="T82" s="149"/>
    </row>
    <row r="83" spans="1:20">
      <c r="A83" s="143">
        <v>34</v>
      </c>
      <c r="B83" s="161" t="str">
        <f t="shared" si="27"/>
        <v>Historical</v>
      </c>
      <c r="C83" s="149"/>
      <c r="D83" s="170" t="str">
        <f ca="1">INDEX(INDIRECT(E83),0,COLUMN(MO_Common_Column_A))</f>
        <v>Capex</v>
      </c>
      <c r="E83" s="162" t="s">
        <v>330</v>
      </c>
      <c r="F83" s="161" t="s">
        <v>324</v>
      </c>
      <c r="G83" s="149"/>
      <c r="H83" s="163">
        <v>-28</v>
      </c>
      <c r="I83" s="163">
        <v>-24</v>
      </c>
      <c r="J83" s="163">
        <f t="shared" si="29"/>
        <v>-26</v>
      </c>
      <c r="K83" s="149"/>
      <c r="L83" s="161" t="str">
        <f t="shared" si="30"/>
        <v>Actual</v>
      </c>
      <c r="M83" s="167">
        <f ca="1">IFERROR(INDEX(INDIRECT(E83),0,MATCH(F83,MO_Common_ColumnHeader,0)),"N/A")</f>
        <v>-16.317</v>
      </c>
      <c r="N83" s="154"/>
      <c r="O83" s="174">
        <f t="shared" ca="1" si="32"/>
        <v>9.6829999999999998</v>
      </c>
      <c r="P83" s="173">
        <f t="shared" ca="1" si="33"/>
        <v>-0.37242307692307697</v>
      </c>
      <c r="Q83" s="149"/>
      <c r="R83" s="164">
        <v>43315</v>
      </c>
      <c r="S83" s="175" t="s">
        <v>272</v>
      </c>
      <c r="T83" s="149"/>
    </row>
    <row r="84" spans="1:20">
      <c r="A84" s="143">
        <v>33</v>
      </c>
      <c r="B84" s="161" t="str">
        <f t="shared" si="27"/>
        <v>Historical</v>
      </c>
      <c r="C84" s="149"/>
      <c r="D84" s="170" t="s">
        <v>331</v>
      </c>
      <c r="E84" s="162"/>
      <c r="F84" s="161" t="s">
        <v>324</v>
      </c>
      <c r="G84" s="149"/>
      <c r="H84" s="163">
        <v>110</v>
      </c>
      <c r="I84" s="163">
        <v>115</v>
      </c>
      <c r="J84" s="163">
        <f t="shared" si="29"/>
        <v>112.5</v>
      </c>
      <c r="K84" s="149"/>
      <c r="L84" s="161" t="str">
        <f t="shared" si="30"/>
        <v>Actual</v>
      </c>
      <c r="M84" s="167">
        <f>INDEX(MO_RIS_SGA,0,MATCH(F84,MO_Common_ColumnHeader,0))+INDEX(MO_RIS_SBC,0,MATCH(F84,MO_Common_ColumnHeader,0))</f>
        <v>117.033</v>
      </c>
      <c r="N84" s="154"/>
      <c r="O84" s="174">
        <f t="shared" si="32"/>
        <v>4.5330000000000013</v>
      </c>
      <c r="P84" s="173">
        <f t="shared" si="33"/>
        <v>4.0293333333333292E-2</v>
      </c>
      <c r="Q84" s="149"/>
      <c r="R84" s="164">
        <v>43315</v>
      </c>
      <c r="S84" s="175" t="s">
        <v>272</v>
      </c>
      <c r="T84" s="149"/>
    </row>
    <row r="85" spans="1:20">
      <c r="A85" s="143">
        <v>32</v>
      </c>
      <c r="B85" s="149"/>
      <c r="C85" s="149"/>
      <c r="D85" s="150"/>
      <c r="E85" s="151"/>
      <c r="F85" s="149"/>
      <c r="G85" s="149"/>
      <c r="H85" s="149"/>
      <c r="I85" s="149"/>
      <c r="J85" s="149"/>
      <c r="K85" s="149"/>
      <c r="L85" s="149"/>
      <c r="M85" s="154"/>
      <c r="N85" s="154"/>
      <c r="O85" s="155"/>
      <c r="P85" s="116"/>
      <c r="Q85" s="149"/>
      <c r="R85" s="153"/>
      <c r="S85" s="176"/>
      <c r="T85" s="149"/>
    </row>
    <row r="86" spans="1:20">
      <c r="A86" s="143">
        <v>31</v>
      </c>
      <c r="B86" s="161" t="str">
        <f t="shared" ref="B86:B92" si="34">IF(MATCH(F86,MO_Common_ColumnHeader,0)&gt;UL.MRQColNum,"Forward","Historical")</f>
        <v>Historical</v>
      </c>
      <c r="C86" s="149"/>
      <c r="D86" s="170" t="str">
        <f ca="1">INDEX(INDIRECT(E86),0,COLUMN(MO_Common_Column_A))</f>
        <v>Net Revenue</v>
      </c>
      <c r="E86" s="162" t="s">
        <v>321</v>
      </c>
      <c r="F86" s="161" t="s">
        <v>324</v>
      </c>
      <c r="G86" s="149"/>
      <c r="H86" s="163">
        <v>765</v>
      </c>
      <c r="I86" s="163">
        <v>815</v>
      </c>
      <c r="J86" s="163">
        <f t="shared" ref="J86:J92" si="35">AVERAGE(H86:I86)</f>
        <v>790</v>
      </c>
      <c r="K86" s="149"/>
      <c r="L86" s="161" t="str">
        <f t="shared" ref="L86:L92" si="36">IF(MATCH(F86,MO_Common_ColumnHeader,0)&gt;UL.MRQColNum,"Estimate","Actual")</f>
        <v>Actual</v>
      </c>
      <c r="M86" s="163">
        <f ca="1">IFERROR(INDEX(INDIRECT(E86),0,MATCH(F86,MO_Common_ColumnHeader,0)),"N/A")</f>
        <v>803.25599999999997</v>
      </c>
      <c r="N86" s="149"/>
      <c r="O86" s="171">
        <f t="shared" ref="O86:O92" ca="1" si="37">IF(ISNUMBER(M86),M86-J86,"N/A")</f>
        <v>13.255999999999972</v>
      </c>
      <c r="P86" s="172">
        <f t="shared" ref="P86:P92" ca="1" si="38">IFERROR(IF(ISNUMBER(M86),M86/J86-1,"N/A"),"N/A")</f>
        <v>1.6779746835442921E-2</v>
      </c>
      <c r="Q86" s="149"/>
      <c r="R86" s="164">
        <v>43229</v>
      </c>
      <c r="S86" s="175" t="s">
        <v>272</v>
      </c>
      <c r="T86" s="149"/>
    </row>
    <row r="87" spans="1:20">
      <c r="A87" s="143">
        <v>30</v>
      </c>
      <c r="B87" s="161" t="str">
        <f t="shared" si="34"/>
        <v>Historical</v>
      </c>
      <c r="C87" s="149"/>
      <c r="D87" s="170" t="str">
        <f ca="1">INDEX(INDIRECT(E87),0,COLUMN(MO_Common_Column_A))</f>
        <v>Total Aerospace revenue, mm</v>
      </c>
      <c r="E87" s="162" t="s">
        <v>325</v>
      </c>
      <c r="F87" s="161" t="s">
        <v>324</v>
      </c>
      <c r="G87" s="149"/>
      <c r="H87" s="163">
        <v>650</v>
      </c>
      <c r="I87" s="163">
        <v>680</v>
      </c>
      <c r="J87" s="163">
        <f t="shared" si="35"/>
        <v>665</v>
      </c>
      <c r="K87" s="149"/>
      <c r="L87" s="161" t="str">
        <f t="shared" si="36"/>
        <v>Actual</v>
      </c>
      <c r="M87" s="167">
        <f ca="1">IFERROR(INDEX(INDIRECT(E87),0,MATCH(F87,MO_Common_ColumnHeader,0)),"N/A")</f>
        <v>675.62500000000011</v>
      </c>
      <c r="N87" s="154"/>
      <c r="O87" s="174">
        <f t="shared" ca="1" si="37"/>
        <v>10.625000000000114</v>
      </c>
      <c r="P87" s="173">
        <f t="shared" ca="1" si="38"/>
        <v>1.5977443609022757E-2</v>
      </c>
      <c r="Q87" s="149"/>
      <c r="R87" s="164">
        <v>43229</v>
      </c>
      <c r="S87" s="175" t="s">
        <v>272</v>
      </c>
      <c r="T87" s="149"/>
    </row>
    <row r="88" spans="1:20">
      <c r="A88" s="143">
        <v>29</v>
      </c>
      <c r="B88" s="161" t="str">
        <f t="shared" si="34"/>
        <v>Historical</v>
      </c>
      <c r="C88" s="149"/>
      <c r="D88" s="170" t="str">
        <f ca="1">INDEX(INDIRECT(E88),0,COLUMN(MO_Common_Column_A))</f>
        <v>Total Test Systems revenue, mm</v>
      </c>
      <c r="E88" s="162" t="s">
        <v>326</v>
      </c>
      <c r="F88" s="161" t="s">
        <v>324</v>
      </c>
      <c r="G88" s="149"/>
      <c r="H88" s="163">
        <v>115</v>
      </c>
      <c r="I88" s="163">
        <v>135</v>
      </c>
      <c r="J88" s="163">
        <f t="shared" si="35"/>
        <v>125</v>
      </c>
      <c r="K88" s="149"/>
      <c r="L88" s="161" t="str">
        <f t="shared" si="36"/>
        <v>Actual</v>
      </c>
      <c r="M88" s="167">
        <f ca="1">IFERROR(INDEX(INDIRECT(E88),0,MATCH(F88,MO_Common_ColumnHeader,0)),"N/A")</f>
        <v>127.631</v>
      </c>
      <c r="N88" s="154"/>
      <c r="O88" s="174">
        <f t="shared" ca="1" si="37"/>
        <v>2.6310000000000002</v>
      </c>
      <c r="P88" s="173">
        <f t="shared" ca="1" si="38"/>
        <v>2.1047999999999956E-2</v>
      </c>
      <c r="Q88" s="149"/>
      <c r="R88" s="164">
        <v>43229</v>
      </c>
      <c r="S88" s="175" t="s">
        <v>272</v>
      </c>
      <c r="T88" s="149"/>
    </row>
    <row r="89" spans="1:20">
      <c r="A89" s="143">
        <v>28</v>
      </c>
      <c r="B89" s="161" t="str">
        <f t="shared" si="34"/>
        <v>Historical</v>
      </c>
      <c r="C89" s="149"/>
      <c r="D89" s="170" t="s">
        <v>328</v>
      </c>
      <c r="E89" s="162"/>
      <c r="F89" s="161" t="s">
        <v>324</v>
      </c>
      <c r="G89" s="149"/>
      <c r="H89" s="163">
        <v>356.1</v>
      </c>
      <c r="I89" s="163">
        <v>356.1</v>
      </c>
      <c r="J89" s="163">
        <f t="shared" si="35"/>
        <v>356.1</v>
      </c>
      <c r="K89" s="149"/>
      <c r="L89" s="161" t="str">
        <f t="shared" si="36"/>
        <v>Actual</v>
      </c>
      <c r="M89" s="167" t="str">
        <f ca="1">IFERROR(INDEX(INDIRECT(E89),0,MATCH(F89,MO_Common_ColumnHeader,0)),"N/A")</f>
        <v>N/A</v>
      </c>
      <c r="N89" s="154"/>
      <c r="O89" s="174" t="str">
        <f t="shared" ca="1" si="37"/>
        <v>N/A</v>
      </c>
      <c r="P89" s="173" t="str">
        <f t="shared" ca="1" si="38"/>
        <v>N/A</v>
      </c>
      <c r="Q89" s="149"/>
      <c r="R89" s="164">
        <v>43229</v>
      </c>
      <c r="S89" s="175" t="s">
        <v>272</v>
      </c>
      <c r="T89" s="149"/>
    </row>
    <row r="90" spans="1:20">
      <c r="A90" s="143">
        <v>27</v>
      </c>
      <c r="B90" s="161" t="str">
        <f t="shared" si="34"/>
        <v>Historical</v>
      </c>
      <c r="C90" s="149"/>
      <c r="D90" s="170" t="s">
        <v>329</v>
      </c>
      <c r="E90" s="162"/>
      <c r="F90" s="161" t="s">
        <v>324</v>
      </c>
      <c r="G90" s="149"/>
      <c r="H90" s="165">
        <v>0.18</v>
      </c>
      <c r="I90" s="165">
        <v>0.21</v>
      </c>
      <c r="J90" s="165">
        <f t="shared" si="35"/>
        <v>0.19500000000000001</v>
      </c>
      <c r="K90" s="149"/>
      <c r="L90" s="161" t="str">
        <f t="shared" si="36"/>
        <v>Actual</v>
      </c>
      <c r="M90" s="166">
        <f>INDEX(MO_RIS_TaxRate_Current,0,MATCH(F90,MO_Common_ColumnHeader,0))+INDEX(MO_RIS_TaxRate_Deferred,0,MATCH(F90,MO_Common_ColumnHeader,0))</f>
        <v>0.1047970620863776</v>
      </c>
      <c r="N90" s="154"/>
      <c r="O90" s="173">
        <f t="shared" si="37"/>
        <v>-9.0202937913622411E-2</v>
      </c>
      <c r="P90" s="173">
        <f t="shared" si="38"/>
        <v>-0.46257916878780725</v>
      </c>
      <c r="Q90" s="149"/>
      <c r="R90" s="164">
        <v>43229</v>
      </c>
      <c r="S90" s="175" t="s">
        <v>272</v>
      </c>
      <c r="T90" s="149"/>
    </row>
    <row r="91" spans="1:20">
      <c r="A91" s="143">
        <v>26</v>
      </c>
      <c r="B91" s="161" t="str">
        <f t="shared" si="34"/>
        <v>Historical</v>
      </c>
      <c r="C91" s="149"/>
      <c r="D91" s="170" t="str">
        <f ca="1">INDEX(INDIRECT(E91),0,COLUMN(MO_Common_Column_A))</f>
        <v>Capex</v>
      </c>
      <c r="E91" s="162" t="s">
        <v>330</v>
      </c>
      <c r="F91" s="161" t="s">
        <v>324</v>
      </c>
      <c r="G91" s="149"/>
      <c r="H91" s="163">
        <v>-28</v>
      </c>
      <c r="I91" s="163">
        <v>-24</v>
      </c>
      <c r="J91" s="163">
        <f t="shared" si="35"/>
        <v>-26</v>
      </c>
      <c r="K91" s="149"/>
      <c r="L91" s="161" t="str">
        <f t="shared" si="36"/>
        <v>Actual</v>
      </c>
      <c r="M91" s="167">
        <f ca="1">IFERROR(INDEX(INDIRECT(E91),0,MATCH(F91,MO_Common_ColumnHeader,0)),"N/A")</f>
        <v>-16.317</v>
      </c>
      <c r="N91" s="154"/>
      <c r="O91" s="174">
        <f t="shared" ca="1" si="37"/>
        <v>9.6829999999999998</v>
      </c>
      <c r="P91" s="173">
        <f t="shared" ca="1" si="38"/>
        <v>-0.37242307692307697</v>
      </c>
      <c r="Q91" s="149"/>
      <c r="R91" s="164">
        <v>43229</v>
      </c>
      <c r="S91" s="175" t="s">
        <v>272</v>
      </c>
      <c r="T91" s="149"/>
    </row>
    <row r="92" spans="1:20">
      <c r="A92" s="143">
        <v>25</v>
      </c>
      <c r="B92" s="161" t="str">
        <f t="shared" si="34"/>
        <v>Historical</v>
      </c>
      <c r="C92" s="149"/>
      <c r="D92" s="170" t="s">
        <v>331</v>
      </c>
      <c r="E92" s="162"/>
      <c r="F92" s="161" t="s">
        <v>324</v>
      </c>
      <c r="G92" s="149"/>
      <c r="H92" s="163">
        <v>110</v>
      </c>
      <c r="I92" s="163">
        <v>115</v>
      </c>
      <c r="J92" s="163">
        <f t="shared" si="35"/>
        <v>112.5</v>
      </c>
      <c r="K92" s="149"/>
      <c r="L92" s="161" t="str">
        <f t="shared" si="36"/>
        <v>Actual</v>
      </c>
      <c r="M92" s="167">
        <f>INDEX(MO_RIS_SGA,0,MATCH(F92,MO_Common_ColumnHeader,0))+INDEX(MO_RIS_SBC,0,MATCH(F92,MO_Common_ColumnHeader,0))</f>
        <v>117.033</v>
      </c>
      <c r="N92" s="154"/>
      <c r="O92" s="174">
        <f t="shared" si="37"/>
        <v>4.5330000000000013</v>
      </c>
      <c r="P92" s="173">
        <f t="shared" si="38"/>
        <v>4.0293333333333292E-2</v>
      </c>
      <c r="Q92" s="149"/>
      <c r="R92" s="164">
        <v>43229</v>
      </c>
      <c r="S92" s="175" t="s">
        <v>272</v>
      </c>
      <c r="T92" s="149"/>
    </row>
    <row r="93" spans="1:20">
      <c r="A93" s="143">
        <v>24</v>
      </c>
      <c r="B93" s="149"/>
      <c r="C93" s="149"/>
      <c r="D93" s="150"/>
      <c r="E93" s="151"/>
      <c r="F93" s="149"/>
      <c r="G93" s="149"/>
      <c r="H93" s="149"/>
      <c r="I93" s="149"/>
      <c r="J93" s="149"/>
      <c r="K93" s="149"/>
      <c r="L93" s="149"/>
      <c r="M93" s="154"/>
      <c r="N93" s="154"/>
      <c r="O93" s="155"/>
      <c r="P93" s="116"/>
      <c r="Q93" s="149"/>
      <c r="R93" s="153"/>
      <c r="S93" s="176"/>
      <c r="T93" s="149"/>
    </row>
    <row r="94" spans="1:20">
      <c r="A94" s="143">
        <v>23</v>
      </c>
      <c r="B94" s="161" t="str">
        <f t="shared" ref="B94:B100" si="39">IF(MATCH(F94,MO_Common_ColumnHeader,0)&gt;UL.MRQColNum,"Forward","Historical")</f>
        <v>Historical</v>
      </c>
      <c r="C94" s="149"/>
      <c r="D94" s="170" t="str">
        <f ca="1">INDEX(INDIRECT(E94),0,COLUMN(MO_Common_Column_A))</f>
        <v>Net Revenue</v>
      </c>
      <c r="E94" s="162" t="s">
        <v>321</v>
      </c>
      <c r="F94" s="161" t="s">
        <v>324</v>
      </c>
      <c r="G94" s="149"/>
      <c r="H94" s="163">
        <v>745</v>
      </c>
      <c r="I94" s="163">
        <v>815</v>
      </c>
      <c r="J94" s="163">
        <f t="shared" ref="J94:J100" si="40">AVERAGE(H94:I94)</f>
        <v>780</v>
      </c>
      <c r="K94" s="149"/>
      <c r="L94" s="161" t="str">
        <f t="shared" ref="L94:L100" si="41">IF(MATCH(F94,MO_Common_ColumnHeader,0)&gt;UL.MRQColNum,"Estimate","Actual")</f>
        <v>Actual</v>
      </c>
      <c r="M94" s="163">
        <f ca="1">IFERROR(INDEX(INDIRECT(E94),0,MATCH(F94,MO_Common_ColumnHeader,0)),"N/A")</f>
        <v>803.25599999999997</v>
      </c>
      <c r="N94" s="149"/>
      <c r="O94" s="171">
        <f t="shared" ref="O94:O100" ca="1" si="42">IF(ISNUMBER(M94),M94-J94,"N/A")</f>
        <v>23.255999999999972</v>
      </c>
      <c r="P94" s="172">
        <f t="shared" ref="P94:P100" ca="1" si="43">IFERROR(IF(ISNUMBER(M94),M94/J94-1,"N/A"),"N/A")</f>
        <v>2.9815384615384577E-2</v>
      </c>
      <c r="Q94" s="149"/>
      <c r="R94" s="164">
        <v>43157</v>
      </c>
      <c r="S94" s="175" t="s">
        <v>272</v>
      </c>
      <c r="T94" s="149"/>
    </row>
    <row r="95" spans="1:20">
      <c r="A95" s="143">
        <v>22</v>
      </c>
      <c r="B95" s="161" t="str">
        <f t="shared" si="39"/>
        <v>Historical</v>
      </c>
      <c r="C95" s="149"/>
      <c r="D95" s="170" t="str">
        <f ca="1">INDEX(INDIRECT(E95),0,COLUMN(MO_Common_Column_A))</f>
        <v>Total Aerospace revenue, mm</v>
      </c>
      <c r="E95" s="162" t="s">
        <v>325</v>
      </c>
      <c r="F95" s="161" t="s">
        <v>324</v>
      </c>
      <c r="G95" s="149"/>
      <c r="H95" s="163">
        <v>630</v>
      </c>
      <c r="I95" s="163">
        <v>680</v>
      </c>
      <c r="J95" s="163">
        <f t="shared" si="40"/>
        <v>655</v>
      </c>
      <c r="K95" s="149"/>
      <c r="L95" s="161" t="str">
        <f t="shared" si="41"/>
        <v>Actual</v>
      </c>
      <c r="M95" s="167">
        <f ca="1">IFERROR(INDEX(INDIRECT(E95),0,MATCH(F95,MO_Common_ColumnHeader,0)),"N/A")</f>
        <v>675.62500000000011</v>
      </c>
      <c r="N95" s="154"/>
      <c r="O95" s="174">
        <f t="shared" ca="1" si="42"/>
        <v>20.625000000000114</v>
      </c>
      <c r="P95" s="173">
        <f t="shared" ca="1" si="43"/>
        <v>3.1488549618320816E-2</v>
      </c>
      <c r="Q95" s="149"/>
      <c r="R95" s="164">
        <v>43157</v>
      </c>
      <c r="S95" s="175" t="s">
        <v>272</v>
      </c>
      <c r="T95" s="149"/>
    </row>
    <row r="96" spans="1:20">
      <c r="A96" s="143">
        <v>21</v>
      </c>
      <c r="B96" s="161" t="str">
        <f t="shared" si="39"/>
        <v>Historical</v>
      </c>
      <c r="C96" s="149"/>
      <c r="D96" s="170" t="str">
        <f ca="1">INDEX(INDIRECT(E96),0,COLUMN(MO_Common_Column_A))</f>
        <v>Total Test Systems revenue, mm</v>
      </c>
      <c r="E96" s="162" t="s">
        <v>326</v>
      </c>
      <c r="F96" s="161" t="s">
        <v>324</v>
      </c>
      <c r="G96" s="149"/>
      <c r="H96" s="163">
        <v>115</v>
      </c>
      <c r="I96" s="163">
        <v>135</v>
      </c>
      <c r="J96" s="163">
        <f t="shared" si="40"/>
        <v>125</v>
      </c>
      <c r="K96" s="149"/>
      <c r="L96" s="161" t="str">
        <f t="shared" si="41"/>
        <v>Actual</v>
      </c>
      <c r="M96" s="167">
        <f ca="1">IFERROR(INDEX(INDIRECT(E96),0,MATCH(F96,MO_Common_ColumnHeader,0)),"N/A")</f>
        <v>127.631</v>
      </c>
      <c r="N96" s="154"/>
      <c r="O96" s="174">
        <f t="shared" ca="1" si="42"/>
        <v>2.6310000000000002</v>
      </c>
      <c r="P96" s="173">
        <f t="shared" ca="1" si="43"/>
        <v>2.1047999999999956E-2</v>
      </c>
      <c r="Q96" s="149"/>
      <c r="R96" s="164">
        <v>43157</v>
      </c>
      <c r="S96" s="175" t="s">
        <v>272</v>
      </c>
      <c r="T96" s="149"/>
    </row>
    <row r="97" spans="1:20">
      <c r="A97" s="143">
        <v>20</v>
      </c>
      <c r="B97" s="161" t="str">
        <f t="shared" si="39"/>
        <v>Historical</v>
      </c>
      <c r="C97" s="149"/>
      <c r="D97" s="170" t="s">
        <v>328</v>
      </c>
      <c r="E97" s="162"/>
      <c r="F97" s="161" t="s">
        <v>324</v>
      </c>
      <c r="G97" s="149"/>
      <c r="H97" s="163">
        <v>-346.7</v>
      </c>
      <c r="I97" s="163">
        <v>-346.7</v>
      </c>
      <c r="J97" s="163">
        <f t="shared" si="40"/>
        <v>-346.7</v>
      </c>
      <c r="K97" s="149"/>
      <c r="L97" s="161" t="str">
        <f t="shared" si="41"/>
        <v>Actual</v>
      </c>
      <c r="M97" s="167" t="str">
        <f ca="1">IFERROR(INDEX(INDIRECT(E97),0,MATCH(F97,MO_Common_ColumnHeader,0)),"N/A")</f>
        <v>N/A</v>
      </c>
      <c r="N97" s="154"/>
      <c r="O97" s="174" t="str">
        <f t="shared" ca="1" si="42"/>
        <v>N/A</v>
      </c>
      <c r="P97" s="173" t="str">
        <f t="shared" ca="1" si="43"/>
        <v>N/A</v>
      </c>
      <c r="Q97" s="149"/>
      <c r="R97" s="164">
        <v>43157</v>
      </c>
      <c r="S97" s="175" t="s">
        <v>272</v>
      </c>
      <c r="T97" s="149"/>
    </row>
    <row r="98" spans="1:20">
      <c r="A98" s="143">
        <v>19</v>
      </c>
      <c r="B98" s="161" t="str">
        <f t="shared" si="39"/>
        <v>Historical</v>
      </c>
      <c r="C98" s="149"/>
      <c r="D98" s="170" t="s">
        <v>329</v>
      </c>
      <c r="E98" s="162"/>
      <c r="F98" s="161" t="s">
        <v>324</v>
      </c>
      <c r="G98" s="149"/>
      <c r="H98" s="165">
        <v>0.18</v>
      </c>
      <c r="I98" s="165">
        <v>0.22</v>
      </c>
      <c r="J98" s="165">
        <f t="shared" si="40"/>
        <v>0.2</v>
      </c>
      <c r="K98" s="149"/>
      <c r="L98" s="161" t="str">
        <f t="shared" si="41"/>
        <v>Actual</v>
      </c>
      <c r="M98" s="166">
        <f>INDEX(MO_RIS_TaxRate_Current,0,MATCH(F98,MO_Common_ColumnHeader,0))+INDEX(MO_RIS_TaxRate_Deferred,0,MATCH(F98,MO_Common_ColumnHeader,0))</f>
        <v>0.1047970620863776</v>
      </c>
      <c r="N98" s="154"/>
      <c r="O98" s="173">
        <f t="shared" si="42"/>
        <v>-9.5202937913622415E-2</v>
      </c>
      <c r="P98" s="173">
        <f t="shared" si="43"/>
        <v>-0.4760146895681121</v>
      </c>
      <c r="Q98" s="149"/>
      <c r="R98" s="164">
        <v>43157</v>
      </c>
      <c r="S98" s="175" t="s">
        <v>272</v>
      </c>
      <c r="T98" s="149"/>
    </row>
    <row r="99" spans="1:20">
      <c r="A99" s="143">
        <v>18</v>
      </c>
      <c r="B99" s="161" t="str">
        <f t="shared" si="39"/>
        <v>Historical</v>
      </c>
      <c r="C99" s="149"/>
      <c r="D99" s="170" t="str">
        <f ca="1">INDEX(INDIRECT(E99),0,COLUMN(MO_Common_Column_A))</f>
        <v>Capex</v>
      </c>
      <c r="E99" s="162" t="s">
        <v>330</v>
      </c>
      <c r="F99" s="161" t="s">
        <v>324</v>
      </c>
      <c r="G99" s="149"/>
      <c r="H99" s="163">
        <v>-24</v>
      </c>
      <c r="I99" s="163">
        <v>-28</v>
      </c>
      <c r="J99" s="163">
        <f t="shared" si="40"/>
        <v>-26</v>
      </c>
      <c r="K99" s="149"/>
      <c r="L99" s="161" t="str">
        <f t="shared" si="41"/>
        <v>Actual</v>
      </c>
      <c r="M99" s="167">
        <f ca="1">IFERROR(INDEX(INDIRECT(E99),0,MATCH(F99,MO_Common_ColumnHeader,0)),"N/A")</f>
        <v>-16.317</v>
      </c>
      <c r="N99" s="154"/>
      <c r="O99" s="174">
        <f t="shared" ca="1" si="42"/>
        <v>9.6829999999999998</v>
      </c>
      <c r="P99" s="173">
        <f t="shared" ca="1" si="43"/>
        <v>-0.37242307692307697</v>
      </c>
      <c r="Q99" s="149"/>
      <c r="R99" s="164">
        <v>43157</v>
      </c>
      <c r="S99" s="175" t="s">
        <v>272</v>
      </c>
      <c r="T99" s="149"/>
    </row>
    <row r="100" spans="1:20">
      <c r="A100" s="143">
        <v>17</v>
      </c>
      <c r="B100" s="161" t="str">
        <f t="shared" si="39"/>
        <v>Historical</v>
      </c>
      <c r="C100" s="149"/>
      <c r="D100" s="170" t="s">
        <v>331</v>
      </c>
      <c r="E100" s="162"/>
      <c r="F100" s="161" t="s">
        <v>324</v>
      </c>
      <c r="G100" s="149"/>
      <c r="H100" s="163">
        <v>110</v>
      </c>
      <c r="I100" s="163">
        <v>115</v>
      </c>
      <c r="J100" s="163">
        <f t="shared" si="40"/>
        <v>112.5</v>
      </c>
      <c r="K100" s="149"/>
      <c r="L100" s="161" t="str">
        <f t="shared" si="41"/>
        <v>Actual</v>
      </c>
      <c r="M100" s="167">
        <f>INDEX(MO_RIS_SGA,0,MATCH(F100,MO_Common_ColumnHeader,0))+INDEX(MO_RIS_SBC,0,MATCH(F100,MO_Common_ColumnHeader,0))</f>
        <v>117.033</v>
      </c>
      <c r="N100" s="154"/>
      <c r="O100" s="174">
        <f t="shared" si="42"/>
        <v>4.5330000000000013</v>
      </c>
      <c r="P100" s="173">
        <f t="shared" si="43"/>
        <v>4.0293333333333292E-2</v>
      </c>
      <c r="Q100" s="149"/>
      <c r="R100" s="164">
        <v>43157</v>
      </c>
      <c r="S100" s="175" t="s">
        <v>272</v>
      </c>
      <c r="T100" s="149"/>
    </row>
    <row r="101" spans="1:20">
      <c r="A101" s="143">
        <v>16</v>
      </c>
      <c r="B101" s="149"/>
      <c r="C101" s="149"/>
      <c r="D101" s="150"/>
      <c r="E101" s="151"/>
      <c r="F101" s="149"/>
      <c r="G101" s="149"/>
      <c r="H101" s="149"/>
      <c r="I101" s="149"/>
      <c r="J101" s="149"/>
      <c r="K101" s="149"/>
      <c r="L101" s="149"/>
      <c r="M101" s="154"/>
      <c r="N101" s="154"/>
      <c r="O101" s="155"/>
      <c r="P101" s="116"/>
      <c r="Q101" s="149"/>
      <c r="R101" s="153"/>
      <c r="S101" s="176"/>
      <c r="T101" s="149"/>
    </row>
    <row r="102" spans="1:20">
      <c r="A102" s="143">
        <v>15</v>
      </c>
      <c r="B102" s="161" t="str">
        <f>IF(MATCH(F102,MO_Common_ColumnHeader,0)&gt;UL.MRQColNum,"Forward","Historical")</f>
        <v>Historical</v>
      </c>
      <c r="C102" s="149"/>
      <c r="D102" s="170" t="str">
        <f ca="1">INDEX(INDIRECT(E102),0,COLUMN(MO_Common_Column_A))</f>
        <v>Net Revenue</v>
      </c>
      <c r="E102" s="162" t="s">
        <v>321</v>
      </c>
      <c r="F102" s="161" t="s">
        <v>324</v>
      </c>
      <c r="G102" s="149"/>
      <c r="H102" s="163">
        <v>675</v>
      </c>
      <c r="I102" s="163">
        <v>750</v>
      </c>
      <c r="J102" s="163">
        <f>AVERAGE(H102:I102)</f>
        <v>712.5</v>
      </c>
      <c r="K102" s="149"/>
      <c r="L102" s="161" t="str">
        <f>IF(MATCH(F102,MO_Common_ColumnHeader,0)&gt;UL.MRQColNum,"Estimate","Actual")</f>
        <v>Actual</v>
      </c>
      <c r="M102" s="167">
        <f ca="1">IFERROR(INDEX(INDIRECT(E102),0,MATCH(F102,MO_Common_ColumnHeader,0)),"N/A")</f>
        <v>803.25599999999997</v>
      </c>
      <c r="N102" s="154"/>
      <c r="O102" s="174">
        <f ca="1">IF(ISNUMBER(M102),M102-J102,"N/A")</f>
        <v>90.755999999999972</v>
      </c>
      <c r="P102" s="173">
        <f ca="1">IFERROR(IF(ISNUMBER(M102),M102/J102-1,"N/A"),"N/A")</f>
        <v>0.12737684210526301</v>
      </c>
      <c r="Q102" s="149"/>
      <c r="R102" s="164">
        <v>43046</v>
      </c>
      <c r="S102" s="175" t="s">
        <v>272</v>
      </c>
      <c r="T102" s="149"/>
    </row>
    <row r="103" spans="1:20">
      <c r="A103" s="143">
        <v>14</v>
      </c>
      <c r="B103" s="161" t="str">
        <f>IF(MATCH(F103,MO_Common_ColumnHeader,0)&gt;UL.MRQColNum,"Forward","Historical")</f>
        <v>Historical</v>
      </c>
      <c r="C103" s="149"/>
      <c r="D103" s="170" t="s">
        <v>323</v>
      </c>
      <c r="E103" s="162"/>
      <c r="F103" s="161" t="s">
        <v>324</v>
      </c>
      <c r="G103" s="149"/>
      <c r="H103" s="165">
        <v>0.1</v>
      </c>
      <c r="I103" s="165">
        <v>0.1</v>
      </c>
      <c r="J103" s="165">
        <f>AVERAGE(H103:I103)</f>
        <v>0.1</v>
      </c>
      <c r="K103" s="149"/>
      <c r="L103" s="161" t="str">
        <f>IF(MATCH(F103,MO_Common_ColumnHeader,0)&gt;UL.MRQColNum,"Estimate","Actual")</f>
        <v>Actual</v>
      </c>
      <c r="M103" s="166" t="str">
        <f ca="1">IFERROR(INDEX(INDIRECT(E103),0,MATCH(F103,MO_Common_ColumnHeader,0)),"N/A")</f>
        <v>N/A</v>
      </c>
      <c r="N103" s="154"/>
      <c r="O103" s="173" t="str">
        <f ca="1">IF(ISNUMBER(M103),M103-J103,"N/A")</f>
        <v>N/A</v>
      </c>
      <c r="P103" s="173" t="str">
        <f ca="1">IFERROR(IF(ISNUMBER(M103),M103/J103-1,"N/A"),"N/A")</f>
        <v>N/A</v>
      </c>
      <c r="Q103" s="149"/>
      <c r="R103" s="164">
        <v>43046</v>
      </c>
      <c r="S103" s="175" t="s">
        <v>272</v>
      </c>
      <c r="T103" s="149"/>
    </row>
    <row r="104" spans="1:20">
      <c r="A104" s="143">
        <v>13</v>
      </c>
      <c r="B104" s="161" t="str">
        <f>IF(MATCH(F104,MO_Common_ColumnHeader,0)&gt;UL.MRQColNum,"Forward","Historical")</f>
        <v>Historical</v>
      </c>
      <c r="C104" s="149"/>
      <c r="D104" s="170" t="str">
        <f ca="1">INDEX(INDIRECT(E104),0,COLUMN(MO_Common_Column_A))</f>
        <v>Total Aerospace revenue, mm</v>
      </c>
      <c r="E104" s="162" t="s">
        <v>325</v>
      </c>
      <c r="F104" s="161" t="s">
        <v>324</v>
      </c>
      <c r="G104" s="149"/>
      <c r="H104" s="163">
        <v>570</v>
      </c>
      <c r="I104" s="163">
        <v>630</v>
      </c>
      <c r="J104" s="163">
        <f>AVERAGE(H104:I104)</f>
        <v>600</v>
      </c>
      <c r="K104" s="149"/>
      <c r="L104" s="161" t="str">
        <f>IF(MATCH(F104,MO_Common_ColumnHeader,0)&gt;UL.MRQColNum,"Estimate","Actual")</f>
        <v>Actual</v>
      </c>
      <c r="M104" s="167">
        <f ca="1">IFERROR(INDEX(INDIRECT(E104),0,MATCH(F104,MO_Common_ColumnHeader,0)),"N/A")</f>
        <v>675.62500000000011</v>
      </c>
      <c r="N104" s="154"/>
      <c r="O104" s="174">
        <f ca="1">IF(ISNUMBER(M104),M104-J104,"N/A")</f>
        <v>75.625000000000114</v>
      </c>
      <c r="P104" s="173">
        <f ca="1">IFERROR(IF(ISNUMBER(M104),M104/J104-1,"N/A"),"N/A")</f>
        <v>0.12604166666666683</v>
      </c>
      <c r="Q104" s="149"/>
      <c r="R104" s="164">
        <v>43046</v>
      </c>
      <c r="S104" s="175" t="s">
        <v>272</v>
      </c>
      <c r="T104" s="149"/>
    </row>
    <row r="105" spans="1:20">
      <c r="A105" s="143">
        <v>12</v>
      </c>
      <c r="B105" s="161" t="str">
        <f>IF(MATCH(F105,MO_Common_ColumnHeader,0)&gt;UL.MRQColNum,"Forward","Historical")</f>
        <v>Historical</v>
      </c>
      <c r="C105" s="149"/>
      <c r="D105" s="170" t="str">
        <f ca="1">INDEX(INDIRECT(E105),0,COLUMN(MO_Common_Column_A))</f>
        <v>Total Test Systems revenue, mm</v>
      </c>
      <c r="E105" s="162" t="s">
        <v>326</v>
      </c>
      <c r="F105" s="161" t="s">
        <v>324</v>
      </c>
      <c r="G105" s="149"/>
      <c r="H105" s="163">
        <v>105</v>
      </c>
      <c r="I105" s="163">
        <v>120</v>
      </c>
      <c r="J105" s="163">
        <f>AVERAGE(H105:I105)</f>
        <v>112.5</v>
      </c>
      <c r="K105" s="149"/>
      <c r="L105" s="161" t="str">
        <f>IF(MATCH(F105,MO_Common_ColumnHeader,0)&gt;UL.MRQColNum,"Estimate","Actual")</f>
        <v>Actual</v>
      </c>
      <c r="M105" s="167">
        <f ca="1">IFERROR(INDEX(INDIRECT(E105),0,MATCH(F105,MO_Common_ColumnHeader,0)),"N/A")</f>
        <v>127.631</v>
      </c>
      <c r="N105" s="154"/>
      <c r="O105" s="174">
        <f ca="1">IF(ISNUMBER(M105),M105-J105,"N/A")</f>
        <v>15.131</v>
      </c>
      <c r="P105" s="173">
        <f ca="1">IFERROR(IF(ISNUMBER(M105),M105/J105-1,"N/A"),"N/A")</f>
        <v>0.13449777777777783</v>
      </c>
      <c r="Q105" s="149"/>
      <c r="R105" s="164">
        <v>43046</v>
      </c>
      <c r="S105" s="175" t="s">
        <v>272</v>
      </c>
      <c r="T105" s="149"/>
    </row>
    <row r="106" spans="1:20">
      <c r="A106" s="143">
        <v>11</v>
      </c>
      <c r="B106" s="149"/>
      <c r="C106" s="149"/>
      <c r="D106" s="150"/>
      <c r="E106" s="151"/>
      <c r="F106" s="149"/>
      <c r="G106" s="149"/>
      <c r="H106" s="149"/>
      <c r="I106" s="149"/>
      <c r="J106" s="149"/>
      <c r="K106" s="149"/>
      <c r="L106" s="149"/>
      <c r="M106" s="154"/>
      <c r="N106" s="154"/>
      <c r="O106" s="155"/>
      <c r="P106" s="116"/>
      <c r="Q106" s="149"/>
      <c r="R106" s="153"/>
      <c r="S106" s="176"/>
      <c r="T106" s="149"/>
    </row>
    <row r="107" spans="1:20">
      <c r="A107" s="143">
        <v>10</v>
      </c>
      <c r="B107" s="161" t="str">
        <f t="shared" ref="B107:B112" si="44">IF(MATCH(F107,MO_Common_ColumnHeader,0)&gt;UL.MRQColNum,"Forward","Historical")</f>
        <v>Historical</v>
      </c>
      <c r="C107" s="149"/>
      <c r="D107" s="170" t="str">
        <f ca="1">INDEX(INDIRECT(E107),0,COLUMN(MO_Common_Column_A))</f>
        <v>Net Revenue</v>
      </c>
      <c r="E107" s="162" t="s">
        <v>321</v>
      </c>
      <c r="F107" s="161" t="s">
        <v>327</v>
      </c>
      <c r="G107" s="149"/>
      <c r="H107" s="163">
        <v>622</v>
      </c>
      <c r="I107" s="163">
        <v>636</v>
      </c>
      <c r="J107" s="163">
        <f t="shared" ref="J107:J112" si="45">AVERAGE(H107:I107)</f>
        <v>629</v>
      </c>
      <c r="K107" s="149"/>
      <c r="L107" s="161" t="str">
        <f t="shared" ref="L107:L112" si="46">IF(MATCH(F107,MO_Common_ColumnHeader,0)&gt;UL.MRQColNum,"Estimate","Actual")</f>
        <v>Actual</v>
      </c>
      <c r="M107" s="167">
        <f ca="1">IFERROR(INDEX(INDIRECT(E107),0,MATCH(F107,MO_Common_ColumnHeader,0)),"N/A")</f>
        <v>624.46400000000006</v>
      </c>
      <c r="N107" s="154"/>
      <c r="O107" s="174">
        <f t="shared" ref="O107:O112" ca="1" si="47">IF(ISNUMBER(M107),M107-J107,"N/A")</f>
        <v>-4.5359999999999445</v>
      </c>
      <c r="P107" s="173">
        <f t="shared" ref="P107:P112" ca="1" si="48">IFERROR(IF(ISNUMBER(M107),M107/J107-1,"N/A"),"N/A")</f>
        <v>-7.2114467408583849E-3</v>
      </c>
      <c r="Q107" s="149"/>
      <c r="R107" s="164">
        <v>43046</v>
      </c>
      <c r="S107" s="175" t="s">
        <v>272</v>
      </c>
      <c r="T107" s="149"/>
    </row>
    <row r="108" spans="1:20">
      <c r="A108" s="143">
        <v>9</v>
      </c>
      <c r="B108" s="161" t="str">
        <f t="shared" si="44"/>
        <v>Historical</v>
      </c>
      <c r="C108" s="149"/>
      <c r="D108" s="170" t="str">
        <f ca="1">INDEX(INDIRECT(E108),0,COLUMN(MO_Common_Column_A))</f>
        <v>Total Aerospace revenue, mm</v>
      </c>
      <c r="E108" s="162" t="s">
        <v>325</v>
      </c>
      <c r="F108" s="161" t="s">
        <v>327</v>
      </c>
      <c r="G108" s="149"/>
      <c r="H108" s="163">
        <v>534</v>
      </c>
      <c r="I108" s="163">
        <v>545</v>
      </c>
      <c r="J108" s="163">
        <f t="shared" si="45"/>
        <v>539.5</v>
      </c>
      <c r="K108" s="149"/>
      <c r="L108" s="161" t="str">
        <f t="shared" si="46"/>
        <v>Actual</v>
      </c>
      <c r="M108" s="167">
        <f ca="1">IFERROR(INDEX(INDIRECT(E108),0,MATCH(F108,MO_Common_ColumnHeader,0)),"N/A")</f>
        <v>534.60300000000007</v>
      </c>
      <c r="N108" s="154"/>
      <c r="O108" s="174">
        <f t="shared" ca="1" si="47"/>
        <v>-4.8969999999999345</v>
      </c>
      <c r="P108" s="173">
        <f t="shared" ca="1" si="48"/>
        <v>-9.0769230769229825E-3</v>
      </c>
      <c r="Q108" s="149"/>
      <c r="R108" s="164">
        <v>43046</v>
      </c>
      <c r="S108" s="175" t="s">
        <v>272</v>
      </c>
      <c r="T108" s="149"/>
    </row>
    <row r="109" spans="1:20">
      <c r="A109" s="143">
        <v>8</v>
      </c>
      <c r="B109" s="161" t="str">
        <f t="shared" si="44"/>
        <v>Historical</v>
      </c>
      <c r="C109" s="149"/>
      <c r="D109" s="170" t="str">
        <f ca="1">INDEX(INDIRECT(E109),0,COLUMN(MO_Common_Column_A))</f>
        <v>Total Test Systems revenue, mm</v>
      </c>
      <c r="E109" s="162" t="s">
        <v>326</v>
      </c>
      <c r="F109" s="161" t="s">
        <v>327</v>
      </c>
      <c r="G109" s="149"/>
      <c r="H109" s="163">
        <v>88</v>
      </c>
      <c r="I109" s="163">
        <v>91</v>
      </c>
      <c r="J109" s="163">
        <f t="shared" si="45"/>
        <v>89.5</v>
      </c>
      <c r="K109" s="149"/>
      <c r="L109" s="161" t="str">
        <f t="shared" si="46"/>
        <v>Actual</v>
      </c>
      <c r="M109" s="167">
        <f ca="1">IFERROR(INDEX(INDIRECT(E109),0,MATCH(F109,MO_Common_ColumnHeader,0)),"N/A")</f>
        <v>89.861000000000004</v>
      </c>
      <c r="N109" s="154"/>
      <c r="O109" s="174">
        <f t="shared" ca="1" si="47"/>
        <v>0.36100000000000421</v>
      </c>
      <c r="P109" s="173">
        <f t="shared" ca="1" si="48"/>
        <v>4.0335195530727397E-3</v>
      </c>
      <c r="Q109" s="149"/>
      <c r="R109" s="164">
        <v>43046</v>
      </c>
      <c r="S109" s="175" t="s">
        <v>272</v>
      </c>
      <c r="T109" s="149"/>
    </row>
    <row r="110" spans="1:20">
      <c r="A110" s="143">
        <v>7</v>
      </c>
      <c r="B110" s="161" t="str">
        <f t="shared" si="44"/>
        <v>Historical</v>
      </c>
      <c r="C110" s="149"/>
      <c r="D110" s="170" t="s">
        <v>331</v>
      </c>
      <c r="E110" s="162"/>
      <c r="F110" s="161" t="s">
        <v>327</v>
      </c>
      <c r="G110" s="149"/>
      <c r="H110" s="163">
        <v>96</v>
      </c>
      <c r="I110" s="163">
        <v>97</v>
      </c>
      <c r="J110" s="163">
        <f t="shared" si="45"/>
        <v>96.5</v>
      </c>
      <c r="K110" s="149"/>
      <c r="L110" s="161" t="str">
        <f t="shared" si="46"/>
        <v>Actual</v>
      </c>
      <c r="M110" s="167">
        <f>INDEX(MO_RIS_SGA,0,MATCH(F110,MO_Common_ColumnHeader,0))+INDEX(MO_RIS_SBC,0,MATCH(F110,MO_Common_ColumnHeader,0))</f>
        <v>88.775000000000006</v>
      </c>
      <c r="N110" s="154"/>
      <c r="O110" s="174">
        <f t="shared" si="47"/>
        <v>-7.7249999999999943</v>
      </c>
      <c r="P110" s="173">
        <f t="shared" si="48"/>
        <v>-8.0051813471502586E-2</v>
      </c>
      <c r="Q110" s="149"/>
      <c r="R110" s="164">
        <v>43046</v>
      </c>
      <c r="S110" s="175" t="s">
        <v>272</v>
      </c>
      <c r="T110" s="149"/>
    </row>
    <row r="111" spans="1:20">
      <c r="A111" s="143">
        <v>6</v>
      </c>
      <c r="B111" s="161" t="str">
        <f t="shared" si="44"/>
        <v>Historical</v>
      </c>
      <c r="C111" s="149"/>
      <c r="D111" s="170" t="s">
        <v>329</v>
      </c>
      <c r="E111" s="162"/>
      <c r="F111" s="161" t="s">
        <v>327</v>
      </c>
      <c r="G111" s="149"/>
      <c r="H111" s="165">
        <v>0.28000000000000003</v>
      </c>
      <c r="I111" s="165">
        <v>0.3</v>
      </c>
      <c r="J111" s="165">
        <f t="shared" si="45"/>
        <v>0.29000000000000004</v>
      </c>
      <c r="K111" s="149"/>
      <c r="L111" s="161" t="str">
        <f t="shared" si="46"/>
        <v>Actual</v>
      </c>
      <c r="M111" s="166">
        <f>INDEX(MO_RIS_TaxRate_Current,0,MATCH(F111,MO_Common_ColumnHeader,0))+INDEX(MO_RIS_TaxRate_Deferred,0,MATCH(F111,MO_Common_ColumnHeader,0))</f>
        <v>0.21255652034732475</v>
      </c>
      <c r="N111" s="154"/>
      <c r="O111" s="173">
        <f t="shared" si="47"/>
        <v>-7.7443479652675284E-2</v>
      </c>
      <c r="P111" s="173">
        <f t="shared" si="48"/>
        <v>-0.26704648156094923</v>
      </c>
      <c r="Q111" s="149"/>
      <c r="R111" s="164">
        <v>43046</v>
      </c>
      <c r="S111" s="175" t="s">
        <v>272</v>
      </c>
      <c r="T111" s="149"/>
    </row>
    <row r="112" spans="1:20">
      <c r="A112" s="143">
        <v>5</v>
      </c>
      <c r="B112" s="161" t="str">
        <f t="shared" si="44"/>
        <v>Historical</v>
      </c>
      <c r="C112" s="149"/>
      <c r="D112" s="170" t="str">
        <f ca="1">INDEX(INDIRECT(E112),0,COLUMN(MO_Common_Column_A))</f>
        <v>Capex</v>
      </c>
      <c r="E112" s="162" t="s">
        <v>330</v>
      </c>
      <c r="F112" s="161" t="s">
        <v>327</v>
      </c>
      <c r="G112" s="149"/>
      <c r="H112" s="163">
        <v>-17</v>
      </c>
      <c r="I112" s="163">
        <v>-19</v>
      </c>
      <c r="J112" s="163">
        <f t="shared" si="45"/>
        <v>-18</v>
      </c>
      <c r="K112" s="149"/>
      <c r="L112" s="161" t="str">
        <f t="shared" si="46"/>
        <v>Actual</v>
      </c>
      <c r="M112" s="167">
        <f ca="1">IFERROR(INDEX(INDIRECT(E112),0,MATCH(F112,MO_Common_ColumnHeader,0)),"N/A")</f>
        <v>-13.478</v>
      </c>
      <c r="N112" s="154"/>
      <c r="O112" s="174">
        <f t="shared" ca="1" si="47"/>
        <v>4.5220000000000002</v>
      </c>
      <c r="P112" s="173">
        <f t="shared" ca="1" si="48"/>
        <v>-0.25122222222222224</v>
      </c>
      <c r="Q112" s="149"/>
      <c r="R112" s="164">
        <v>43046</v>
      </c>
      <c r="S112" s="175" t="s">
        <v>272</v>
      </c>
      <c r="T112" s="149"/>
    </row>
    <row r="113" spans="1:20">
      <c r="A113" s="143">
        <v>4</v>
      </c>
      <c r="B113" s="149"/>
      <c r="C113" s="149"/>
      <c r="D113" s="150"/>
      <c r="E113" s="151"/>
      <c r="F113" s="149"/>
      <c r="G113" s="149"/>
      <c r="H113" s="149"/>
      <c r="I113" s="149"/>
      <c r="J113" s="149"/>
      <c r="K113" s="149"/>
      <c r="L113" s="149"/>
      <c r="M113" s="154"/>
      <c r="N113" s="154"/>
      <c r="O113" s="155"/>
      <c r="P113" s="116"/>
      <c r="Q113" s="149"/>
      <c r="R113" s="153"/>
      <c r="S113" s="176"/>
      <c r="T113" s="149"/>
    </row>
    <row r="114" spans="1:20">
      <c r="A114" s="143">
        <v>3</v>
      </c>
      <c r="B114" s="161" t="str">
        <f>IF(MATCH(F114,MO_Common_ColumnHeader,0)&gt;UL.MRQColNum,"Forward","Historical")</f>
        <v>Historical</v>
      </c>
      <c r="C114" s="149"/>
      <c r="D114" s="170" t="str">
        <f ca="1">INDEX(INDIRECT(E114),0,COLUMN(MO_Common_Column_A))</f>
        <v>Net Revenue</v>
      </c>
      <c r="E114" s="162" t="s">
        <v>321</v>
      </c>
      <c r="F114" s="161" t="s">
        <v>322</v>
      </c>
      <c r="G114" s="149"/>
      <c r="H114" s="163">
        <v>169</v>
      </c>
      <c r="I114" s="163">
        <v>183</v>
      </c>
      <c r="J114" s="163">
        <f>AVERAGE(H114:I114)</f>
        <v>176</v>
      </c>
      <c r="K114" s="149"/>
      <c r="L114" s="161" t="str">
        <f>IF(MATCH(F114,MO_Common_ColumnHeader,0)&gt;UL.MRQColNum,"Estimate","Actual")</f>
        <v>Actual</v>
      </c>
      <c r="M114" s="167">
        <f ca="1">IFERROR(INDEX(INDIRECT(E114),0,MATCH(F114,MO_Common_ColumnHeader,0)),"N/A")</f>
        <v>171.3180000000001</v>
      </c>
      <c r="N114" s="154"/>
      <c r="O114" s="174">
        <f ca="1">IF(ISNUMBER(M114),M114-J114,"N/A")</f>
        <v>-4.6819999999999027</v>
      </c>
      <c r="P114" s="173">
        <f ca="1">IFERROR(IF(ISNUMBER(M114),M114/J114-1,"N/A"),"N/A")</f>
        <v>-2.6602272727272225E-2</v>
      </c>
      <c r="Q114" s="149"/>
      <c r="R114" s="164">
        <v>43046</v>
      </c>
      <c r="S114" s="175" t="s">
        <v>272</v>
      </c>
      <c r="T114" s="149"/>
    </row>
    <row r="115" spans="1:20">
      <c r="A115" s="143">
        <v>2</v>
      </c>
      <c r="B115" s="161" t="str">
        <f>IF(MATCH(F115,MO_Common_ColumnHeader,0)&gt;UL.MRQColNum,"Forward","Historical")</f>
        <v>Historical</v>
      </c>
      <c r="C115" s="149"/>
      <c r="D115" s="170" t="str">
        <f ca="1">INDEX(INDIRECT(E115),0,COLUMN(MO_Common_Column_A))</f>
        <v>Total Aerospace revenue, mm</v>
      </c>
      <c r="E115" s="162" t="s">
        <v>325</v>
      </c>
      <c r="F115" s="161" t="s">
        <v>322</v>
      </c>
      <c r="G115" s="149"/>
      <c r="H115" s="163">
        <v>139</v>
      </c>
      <c r="I115" s="163">
        <v>150</v>
      </c>
      <c r="J115" s="163">
        <f>AVERAGE(H115:I115)</f>
        <v>144.5</v>
      </c>
      <c r="K115" s="149"/>
      <c r="L115" s="161" t="str">
        <f>IF(MATCH(F115,MO_Common_ColumnHeader,0)&gt;UL.MRQColNum,"Estimate","Actual")</f>
        <v>Actual</v>
      </c>
      <c r="M115" s="167">
        <f ca="1">IFERROR(INDEX(INDIRECT(E115),0,MATCH(F115,MO_Common_ColumnHeader,0)),"N/A")</f>
        <v>139.56600000000003</v>
      </c>
      <c r="N115" s="154"/>
      <c r="O115" s="174">
        <f ca="1">IF(ISNUMBER(M115),M115-J115,"N/A")</f>
        <v>-4.9339999999999691</v>
      </c>
      <c r="P115" s="173">
        <f ca="1">IFERROR(IF(ISNUMBER(M115),M115/J115-1,"N/A"),"N/A")</f>
        <v>-3.4145328719722978E-2</v>
      </c>
      <c r="Q115" s="149"/>
      <c r="R115" s="164">
        <v>43046</v>
      </c>
      <c r="S115" s="175" t="s">
        <v>272</v>
      </c>
      <c r="T115" s="149"/>
    </row>
    <row r="116" spans="1:20">
      <c r="A116" s="143">
        <v>1</v>
      </c>
      <c r="B116" s="161" t="str">
        <f>IF(MATCH(F116,MO_Common_ColumnHeader,0)&gt;UL.MRQColNum,"Forward","Historical")</f>
        <v>Historical</v>
      </c>
      <c r="C116" s="149"/>
      <c r="D116" s="170" t="str">
        <f ca="1">INDEX(INDIRECT(E116),0,COLUMN(MO_Common_Column_A))</f>
        <v>Total Test Systems revenue, mm</v>
      </c>
      <c r="E116" s="162" t="s">
        <v>326</v>
      </c>
      <c r="F116" s="161" t="s">
        <v>322</v>
      </c>
      <c r="G116" s="149"/>
      <c r="H116" s="163">
        <v>30</v>
      </c>
      <c r="I116" s="163">
        <v>33</v>
      </c>
      <c r="J116" s="163">
        <f>AVERAGE(H116:I116)</f>
        <v>31.5</v>
      </c>
      <c r="K116" s="149"/>
      <c r="L116" s="161" t="str">
        <f>IF(MATCH(F116,MO_Common_ColumnHeader,0)&gt;UL.MRQColNum,"Estimate","Actual")</f>
        <v>Actual</v>
      </c>
      <c r="M116" s="167">
        <f ca="1">IFERROR(INDEX(INDIRECT(E116),0,MATCH(F116,MO_Common_ColumnHeader,0)),"N/A")</f>
        <v>31.752000000000002</v>
      </c>
      <c r="N116" s="154"/>
      <c r="O116" s="174">
        <f ca="1">IF(ISNUMBER(M116),M116-J116,"N/A")</f>
        <v>0.25200000000000244</v>
      </c>
      <c r="P116" s="173">
        <f ca="1">IFERROR(IF(ISNUMBER(M116),M116/J116-1,"N/A"),"N/A")</f>
        <v>8.0000000000000071E-3</v>
      </c>
      <c r="Q116" s="149"/>
      <c r="R116" s="164">
        <v>43046</v>
      </c>
      <c r="S116" s="175" t="s">
        <v>272</v>
      </c>
      <c r="T116" s="149"/>
    </row>
    <row r="117" spans="1:20">
      <c r="A117" s="143">
        <v>0</v>
      </c>
      <c r="B117" s="149"/>
      <c r="C117" s="149"/>
      <c r="D117" s="149"/>
      <c r="E117" s="151"/>
      <c r="F117" s="149"/>
      <c r="G117" s="149"/>
      <c r="H117" s="149"/>
      <c r="I117" s="149"/>
      <c r="J117" s="149"/>
      <c r="K117" s="149"/>
      <c r="L117" s="149"/>
      <c r="M117" s="154"/>
      <c r="N117" s="154"/>
      <c r="O117" s="154"/>
      <c r="P117" s="102"/>
      <c r="Q117" s="149"/>
      <c r="R117" s="153"/>
      <c r="S117" s="149"/>
      <c r="T117" s="149"/>
    </row>
    <row r="118" spans="1:20">
      <c r="M118" s="144"/>
      <c r="N118" s="145"/>
      <c r="O118" s="145"/>
      <c r="P118" s="146"/>
    </row>
    <row r="119" spans="1:20">
      <c r="M119" s="144"/>
      <c r="N119" s="145"/>
      <c r="O119" s="145"/>
      <c r="P119" s="146"/>
    </row>
    <row r="120" spans="1:20">
      <c r="M120" s="144"/>
      <c r="N120" s="145"/>
      <c r="O120" s="145"/>
      <c r="P120" s="146"/>
    </row>
    <row r="121" spans="1:20">
      <c r="M121" s="144"/>
      <c r="N121" s="145"/>
      <c r="O121" s="145"/>
      <c r="P121" s="146"/>
    </row>
    <row r="122" spans="1:20">
      <c r="M122" s="144"/>
      <c r="N122" s="145"/>
      <c r="O122" s="145"/>
      <c r="P122" s="146"/>
    </row>
  </sheetData>
  <autoFilter ref="A5:T5" xr:uid="{00000000-0009-0000-0000-000006000000}">
    <sortState xmlns:xlrd2="http://schemas.microsoft.com/office/spreadsheetml/2017/richdata2" ref="A5:T83">
      <sortCondition descending="1" ref="A5:A83"/>
    </sortState>
  </autoFilter>
  <sortState xmlns:xlrd2="http://schemas.microsoft.com/office/spreadsheetml/2017/richdata2" ref="A40:T117">
    <sortCondition descending="1" ref="A40:A117"/>
  </sortState>
  <conditionalFormatting sqref="P1:P3 P114:P116 P101:P112 P37 P5">
    <cfRule type="colorScale" priority="128">
      <colorScale>
        <cfvo type="num" val="-0.1"/>
        <cfvo type="num" val="0"/>
        <cfvo type="num" val="0.1"/>
        <color rgb="FFF8696B"/>
        <color rgb="FFFFEB84"/>
        <color rgb="FF63BE7B"/>
      </colorScale>
    </cfRule>
  </conditionalFormatting>
  <conditionalFormatting sqref="P94">
    <cfRule type="colorScale" priority="125">
      <colorScale>
        <cfvo type="num" val="-0.1"/>
        <cfvo type="num" val="0"/>
        <cfvo type="num" val="0.1"/>
        <color rgb="FFF8696B"/>
        <color rgb="FFFFEB84"/>
        <color rgb="FF63BE7B"/>
      </colorScale>
    </cfRule>
  </conditionalFormatting>
  <conditionalFormatting sqref="P95">
    <cfRule type="colorScale" priority="124">
      <colorScale>
        <cfvo type="num" val="-0.1"/>
        <cfvo type="num" val="0"/>
        <cfvo type="num" val="0.1"/>
        <color rgb="FFF8696B"/>
        <color rgb="FFFFEB84"/>
        <color rgb="FF63BE7B"/>
      </colorScale>
    </cfRule>
  </conditionalFormatting>
  <conditionalFormatting sqref="P96">
    <cfRule type="colorScale" priority="123">
      <colorScale>
        <cfvo type="num" val="-0.1"/>
        <cfvo type="num" val="0"/>
        <cfvo type="num" val="0.1"/>
        <color rgb="FFF8696B"/>
        <color rgb="FFFFEB84"/>
        <color rgb="FF63BE7B"/>
      </colorScale>
    </cfRule>
  </conditionalFormatting>
  <conditionalFormatting sqref="P100">
    <cfRule type="colorScale" priority="118">
      <colorScale>
        <cfvo type="num" val="-0.1"/>
        <cfvo type="num" val="0"/>
        <cfvo type="num" val="0.1"/>
        <color rgb="FFF8696B"/>
        <color rgb="FFFFEB84"/>
        <color rgb="FF63BE7B"/>
      </colorScale>
    </cfRule>
  </conditionalFormatting>
  <conditionalFormatting sqref="P97">
    <cfRule type="colorScale" priority="121">
      <colorScale>
        <cfvo type="num" val="-0.1"/>
        <cfvo type="num" val="0"/>
        <cfvo type="num" val="0.1"/>
        <color rgb="FFF8696B"/>
        <color rgb="FFFFEB84"/>
        <color rgb="FF63BE7B"/>
      </colorScale>
    </cfRule>
  </conditionalFormatting>
  <conditionalFormatting sqref="P98">
    <cfRule type="colorScale" priority="120">
      <colorScale>
        <cfvo type="num" val="-0.1"/>
        <cfvo type="num" val="0"/>
        <cfvo type="num" val="0.1"/>
        <color rgb="FFF8696B"/>
        <color rgb="FFFFEB84"/>
        <color rgb="FF63BE7B"/>
      </colorScale>
    </cfRule>
  </conditionalFormatting>
  <conditionalFormatting sqref="P99">
    <cfRule type="colorScale" priority="119">
      <colorScale>
        <cfvo type="num" val="-0.1"/>
        <cfvo type="num" val="0"/>
        <cfvo type="num" val="0.1"/>
        <color rgb="FFF8696B"/>
        <color rgb="FFFFEB84"/>
        <color rgb="FF63BE7B"/>
      </colorScale>
    </cfRule>
  </conditionalFormatting>
  <conditionalFormatting sqref="P113">
    <cfRule type="colorScale" priority="117">
      <colorScale>
        <cfvo type="num" val="-0.1"/>
        <cfvo type="num" val="0"/>
        <cfvo type="num" val="0.1"/>
        <color rgb="FFF8696B"/>
        <color rgb="FFFFEB84"/>
        <color rgb="FF63BE7B"/>
      </colorScale>
    </cfRule>
  </conditionalFormatting>
  <conditionalFormatting sqref="P117">
    <cfRule type="colorScale" priority="116">
      <colorScale>
        <cfvo type="num" val="-0.1"/>
        <cfvo type="num" val="0"/>
        <cfvo type="num" val="0.1"/>
        <color rgb="FFF8696B"/>
        <color rgb="FFFFEB84"/>
        <color rgb="FF63BE7B"/>
      </colorScale>
    </cfRule>
  </conditionalFormatting>
  <conditionalFormatting sqref="P93">
    <cfRule type="colorScale" priority="115">
      <colorScale>
        <cfvo type="num" val="-0.1"/>
        <cfvo type="num" val="0"/>
        <cfvo type="num" val="0.1"/>
        <color rgb="FFF8696B"/>
        <color rgb="FFFFEB84"/>
        <color rgb="FF63BE7B"/>
      </colorScale>
    </cfRule>
  </conditionalFormatting>
  <conditionalFormatting sqref="P86">
    <cfRule type="colorScale" priority="114">
      <colorScale>
        <cfvo type="num" val="-0.1"/>
        <cfvo type="num" val="0"/>
        <cfvo type="num" val="0.1"/>
        <color rgb="FFF8696B"/>
        <color rgb="FFFFEB84"/>
        <color rgb="FF63BE7B"/>
      </colorScale>
    </cfRule>
  </conditionalFormatting>
  <conditionalFormatting sqref="P87">
    <cfRule type="colorScale" priority="113">
      <colorScale>
        <cfvo type="num" val="-0.1"/>
        <cfvo type="num" val="0"/>
        <cfvo type="num" val="0.1"/>
        <color rgb="FFF8696B"/>
        <color rgb="FFFFEB84"/>
        <color rgb="FF63BE7B"/>
      </colorScale>
    </cfRule>
  </conditionalFormatting>
  <conditionalFormatting sqref="P88">
    <cfRule type="colorScale" priority="112">
      <colorScale>
        <cfvo type="num" val="-0.1"/>
        <cfvo type="num" val="0"/>
        <cfvo type="num" val="0.1"/>
        <color rgb="FFF8696B"/>
        <color rgb="FFFFEB84"/>
        <color rgb="FF63BE7B"/>
      </colorScale>
    </cfRule>
  </conditionalFormatting>
  <conditionalFormatting sqref="P92">
    <cfRule type="colorScale" priority="108">
      <colorScale>
        <cfvo type="num" val="-0.1"/>
        <cfvo type="num" val="0"/>
        <cfvo type="num" val="0.1"/>
        <color rgb="FFF8696B"/>
        <color rgb="FFFFEB84"/>
        <color rgb="FF63BE7B"/>
      </colorScale>
    </cfRule>
  </conditionalFormatting>
  <conditionalFormatting sqref="P89">
    <cfRule type="colorScale" priority="111">
      <colorScale>
        <cfvo type="num" val="-0.1"/>
        <cfvo type="num" val="0"/>
        <cfvo type="num" val="0.1"/>
        <color rgb="FFF8696B"/>
        <color rgb="FFFFEB84"/>
        <color rgb="FF63BE7B"/>
      </colorScale>
    </cfRule>
  </conditionalFormatting>
  <conditionalFormatting sqref="P90">
    <cfRule type="colorScale" priority="110">
      <colorScale>
        <cfvo type="num" val="-0.1"/>
        <cfvo type="num" val="0"/>
        <cfvo type="num" val="0.1"/>
        <color rgb="FFF8696B"/>
        <color rgb="FFFFEB84"/>
        <color rgb="FF63BE7B"/>
      </colorScale>
    </cfRule>
  </conditionalFormatting>
  <conditionalFormatting sqref="P91">
    <cfRule type="colorScale" priority="109">
      <colorScale>
        <cfvo type="num" val="-0.1"/>
        <cfvo type="num" val="0"/>
        <cfvo type="num" val="0.1"/>
        <color rgb="FFF8696B"/>
        <color rgb="FFFFEB84"/>
        <color rgb="FF63BE7B"/>
      </colorScale>
    </cfRule>
  </conditionalFormatting>
  <conditionalFormatting sqref="P85">
    <cfRule type="colorScale" priority="107">
      <colorScale>
        <cfvo type="num" val="-0.1"/>
        <cfvo type="num" val="0"/>
        <cfvo type="num" val="0.1"/>
        <color rgb="FFF8696B"/>
        <color rgb="FFFFEB84"/>
        <color rgb="FF63BE7B"/>
      </colorScale>
    </cfRule>
  </conditionalFormatting>
  <conditionalFormatting sqref="P75">
    <cfRule type="colorScale" priority="106">
      <colorScale>
        <cfvo type="num" val="-0.1"/>
        <cfvo type="num" val="0"/>
        <cfvo type="num" val="0.1"/>
        <color rgb="FFF8696B"/>
        <color rgb="FFFFEB84"/>
        <color rgb="FF63BE7B"/>
      </colorScale>
    </cfRule>
  </conditionalFormatting>
  <conditionalFormatting sqref="P79">
    <cfRule type="colorScale" priority="105">
      <colorScale>
        <cfvo type="num" val="-0.1"/>
        <cfvo type="num" val="0"/>
        <cfvo type="num" val="0.1"/>
        <color rgb="FFF8696B"/>
        <color rgb="FFFFEB84"/>
        <color rgb="FF63BE7B"/>
      </colorScale>
    </cfRule>
  </conditionalFormatting>
  <conditionalFormatting sqref="P80">
    <cfRule type="colorScale" priority="104">
      <colorScale>
        <cfvo type="num" val="-0.1"/>
        <cfvo type="num" val="0"/>
        <cfvo type="num" val="0.1"/>
        <color rgb="FFF8696B"/>
        <color rgb="FFFFEB84"/>
        <color rgb="FF63BE7B"/>
      </colorScale>
    </cfRule>
  </conditionalFormatting>
  <conditionalFormatting sqref="P84">
    <cfRule type="colorScale" priority="100">
      <colorScale>
        <cfvo type="num" val="-0.1"/>
        <cfvo type="num" val="0"/>
        <cfvo type="num" val="0.1"/>
        <color rgb="FFF8696B"/>
        <color rgb="FFFFEB84"/>
        <color rgb="FF63BE7B"/>
      </colorScale>
    </cfRule>
  </conditionalFormatting>
  <conditionalFormatting sqref="P81">
    <cfRule type="colorScale" priority="103">
      <colorScale>
        <cfvo type="num" val="-0.1"/>
        <cfvo type="num" val="0"/>
        <cfvo type="num" val="0.1"/>
        <color rgb="FFF8696B"/>
        <color rgb="FFFFEB84"/>
        <color rgb="FF63BE7B"/>
      </colorScale>
    </cfRule>
  </conditionalFormatting>
  <conditionalFormatting sqref="P82">
    <cfRule type="colorScale" priority="102">
      <colorScale>
        <cfvo type="num" val="-0.1"/>
        <cfvo type="num" val="0"/>
        <cfvo type="num" val="0.1"/>
        <color rgb="FFF8696B"/>
        <color rgb="FFFFEB84"/>
        <color rgb="FF63BE7B"/>
      </colorScale>
    </cfRule>
  </conditionalFormatting>
  <conditionalFormatting sqref="P83">
    <cfRule type="colorScale" priority="101">
      <colorScale>
        <cfvo type="num" val="-0.1"/>
        <cfvo type="num" val="0"/>
        <cfvo type="num" val="0.1"/>
        <color rgb="FFF8696B"/>
        <color rgb="FFFFEB84"/>
        <color rgb="FF63BE7B"/>
      </colorScale>
    </cfRule>
  </conditionalFormatting>
  <conditionalFormatting sqref="P76">
    <cfRule type="colorScale" priority="99">
      <colorScale>
        <cfvo type="num" val="-0.1"/>
        <cfvo type="num" val="0"/>
        <cfvo type="num" val="0.1"/>
        <color rgb="FFF8696B"/>
        <color rgb="FFFFEB84"/>
        <color rgb="FF63BE7B"/>
      </colorScale>
    </cfRule>
  </conditionalFormatting>
  <conditionalFormatting sqref="P77">
    <cfRule type="colorScale" priority="98">
      <colorScale>
        <cfvo type="num" val="-0.1"/>
        <cfvo type="num" val="0"/>
        <cfvo type="num" val="0.1"/>
        <color rgb="FFF8696B"/>
        <color rgb="FFFFEB84"/>
        <color rgb="FF63BE7B"/>
      </colorScale>
    </cfRule>
  </conditionalFormatting>
  <conditionalFormatting sqref="P78">
    <cfRule type="colorScale" priority="97">
      <colorScale>
        <cfvo type="num" val="-0.1"/>
        <cfvo type="num" val="0"/>
        <cfvo type="num" val="0.1"/>
        <color rgb="FFF8696B"/>
        <color rgb="FFFFEB84"/>
        <color rgb="FF63BE7B"/>
      </colorScale>
    </cfRule>
  </conditionalFormatting>
  <conditionalFormatting sqref="P74">
    <cfRule type="colorScale" priority="96">
      <colorScale>
        <cfvo type="num" val="-0.1"/>
        <cfvo type="num" val="0"/>
        <cfvo type="num" val="0.1"/>
        <color rgb="FFF8696B"/>
        <color rgb="FFFFEB84"/>
        <color rgb="FF63BE7B"/>
      </colorScale>
    </cfRule>
  </conditionalFormatting>
  <conditionalFormatting sqref="P71">
    <cfRule type="colorScale" priority="94">
      <colorScale>
        <cfvo type="num" val="-0.1"/>
        <cfvo type="num" val="0"/>
        <cfvo type="num" val="0.1"/>
        <color rgb="FFF8696B"/>
        <color rgb="FFFFEB84"/>
        <color rgb="FF63BE7B"/>
      </colorScale>
    </cfRule>
  </conditionalFormatting>
  <conditionalFormatting sqref="P72">
    <cfRule type="colorScale" priority="93">
      <colorScale>
        <cfvo type="num" val="-0.1"/>
        <cfvo type="num" val="0"/>
        <cfvo type="num" val="0.1"/>
        <color rgb="FFF8696B"/>
        <color rgb="FFFFEB84"/>
        <color rgb="FF63BE7B"/>
      </colorScale>
    </cfRule>
  </conditionalFormatting>
  <conditionalFormatting sqref="P73">
    <cfRule type="colorScale" priority="91">
      <colorScale>
        <cfvo type="num" val="-0.1"/>
        <cfvo type="num" val="0"/>
        <cfvo type="num" val="0.1"/>
        <color rgb="FFF8696B"/>
        <color rgb="FFFFEB84"/>
        <color rgb="FF63BE7B"/>
      </colorScale>
    </cfRule>
  </conditionalFormatting>
  <conditionalFormatting sqref="P70">
    <cfRule type="colorScale" priority="88">
      <colorScale>
        <cfvo type="num" val="-0.1"/>
        <cfvo type="num" val="0"/>
        <cfvo type="num" val="0.1"/>
        <color rgb="FFF8696B"/>
        <color rgb="FFFFEB84"/>
        <color rgb="FF63BE7B"/>
      </colorScale>
    </cfRule>
  </conditionalFormatting>
  <conditionalFormatting sqref="P69">
    <cfRule type="colorScale" priority="85">
      <colorScale>
        <cfvo type="num" val="-0.1"/>
        <cfvo type="num" val="0"/>
        <cfvo type="num" val="0.1"/>
        <color rgb="FFF8696B"/>
        <color rgb="FFFFEB84"/>
        <color rgb="FF63BE7B"/>
      </colorScale>
    </cfRule>
  </conditionalFormatting>
  <conditionalFormatting sqref="P62">
    <cfRule type="colorScale" priority="84">
      <colorScale>
        <cfvo type="num" val="-0.1"/>
        <cfvo type="num" val="0"/>
        <cfvo type="num" val="0.1"/>
        <color rgb="FFF8696B"/>
        <color rgb="FFFFEB84"/>
        <color rgb="FF63BE7B"/>
      </colorScale>
    </cfRule>
  </conditionalFormatting>
  <conditionalFormatting sqref="P63">
    <cfRule type="colorScale" priority="83">
      <colorScale>
        <cfvo type="num" val="-0.1"/>
        <cfvo type="num" val="0"/>
        <cfvo type="num" val="0.1"/>
        <color rgb="FFF8696B"/>
        <color rgb="FFFFEB84"/>
        <color rgb="FF63BE7B"/>
      </colorScale>
    </cfRule>
  </conditionalFormatting>
  <conditionalFormatting sqref="P64">
    <cfRule type="colorScale" priority="82">
      <colorScale>
        <cfvo type="num" val="-0.1"/>
        <cfvo type="num" val="0"/>
        <cfvo type="num" val="0.1"/>
        <color rgb="FFF8696B"/>
        <color rgb="FFFFEB84"/>
        <color rgb="FF63BE7B"/>
      </colorScale>
    </cfRule>
  </conditionalFormatting>
  <conditionalFormatting sqref="P68">
    <cfRule type="colorScale" priority="78">
      <colorScale>
        <cfvo type="num" val="-0.1"/>
        <cfvo type="num" val="0"/>
        <cfvo type="num" val="0.1"/>
        <color rgb="FFF8696B"/>
        <color rgb="FFFFEB84"/>
        <color rgb="FF63BE7B"/>
      </colorScale>
    </cfRule>
  </conditionalFormatting>
  <conditionalFormatting sqref="P65">
    <cfRule type="colorScale" priority="81">
      <colorScale>
        <cfvo type="num" val="-0.1"/>
        <cfvo type="num" val="0"/>
        <cfvo type="num" val="0.1"/>
        <color rgb="FFF8696B"/>
        <color rgb="FFFFEB84"/>
        <color rgb="FF63BE7B"/>
      </colorScale>
    </cfRule>
  </conditionalFormatting>
  <conditionalFormatting sqref="P66">
    <cfRule type="colorScale" priority="80">
      <colorScale>
        <cfvo type="num" val="-0.1"/>
        <cfvo type="num" val="0"/>
        <cfvo type="num" val="0.1"/>
        <color rgb="FFF8696B"/>
        <color rgb="FFFFEB84"/>
        <color rgb="FF63BE7B"/>
      </colorScale>
    </cfRule>
  </conditionalFormatting>
  <conditionalFormatting sqref="P67">
    <cfRule type="colorScale" priority="79">
      <colorScale>
        <cfvo type="num" val="-0.1"/>
        <cfvo type="num" val="0"/>
        <cfvo type="num" val="0.1"/>
        <color rgb="FFF8696B"/>
        <color rgb="FFFFEB84"/>
        <color rgb="FF63BE7B"/>
      </colorScale>
    </cfRule>
  </conditionalFormatting>
  <conditionalFormatting sqref="P61">
    <cfRule type="colorScale" priority="74">
      <colorScale>
        <cfvo type="num" val="-0.1"/>
        <cfvo type="num" val="0"/>
        <cfvo type="num" val="0.1"/>
        <color rgb="FFF8696B"/>
        <color rgb="FFFFEB84"/>
        <color rgb="FF63BE7B"/>
      </colorScale>
    </cfRule>
  </conditionalFormatting>
  <conditionalFormatting sqref="P56">
    <cfRule type="colorScale" priority="73">
      <colorScale>
        <cfvo type="num" val="-0.1"/>
        <cfvo type="num" val="0"/>
        <cfvo type="num" val="0.1"/>
        <color rgb="FFF8696B"/>
        <color rgb="FFFFEB84"/>
        <color rgb="FF63BE7B"/>
      </colorScale>
    </cfRule>
  </conditionalFormatting>
  <conditionalFormatting sqref="P55:P56">
    <cfRule type="colorScale" priority="72">
      <colorScale>
        <cfvo type="num" val="-0.1"/>
        <cfvo type="num" val="0"/>
        <cfvo type="num" val="0.1"/>
        <color rgb="FFF8696B"/>
        <color rgb="FFFFEB84"/>
        <color rgb="FF63BE7B"/>
      </colorScale>
    </cfRule>
  </conditionalFormatting>
  <conditionalFormatting sqref="P57">
    <cfRule type="colorScale" priority="71">
      <colorScale>
        <cfvo type="num" val="-0.1"/>
        <cfvo type="num" val="0"/>
        <cfvo type="num" val="0.1"/>
        <color rgb="FFF8696B"/>
        <color rgb="FFFFEB84"/>
        <color rgb="FF63BE7B"/>
      </colorScale>
    </cfRule>
  </conditionalFormatting>
  <conditionalFormatting sqref="P58">
    <cfRule type="colorScale" priority="70">
      <colorScale>
        <cfvo type="num" val="-0.1"/>
        <cfvo type="num" val="0"/>
        <cfvo type="num" val="0.1"/>
        <color rgb="FFF8696B"/>
        <color rgb="FFFFEB84"/>
        <color rgb="FF63BE7B"/>
      </colorScale>
    </cfRule>
  </conditionalFormatting>
  <conditionalFormatting sqref="P59">
    <cfRule type="colorScale" priority="69">
      <colorScale>
        <cfvo type="num" val="-0.1"/>
        <cfvo type="num" val="0"/>
        <cfvo type="num" val="0.1"/>
        <color rgb="FFF8696B"/>
        <color rgb="FFFFEB84"/>
        <color rgb="FF63BE7B"/>
      </colorScale>
    </cfRule>
  </conditionalFormatting>
  <conditionalFormatting sqref="P60">
    <cfRule type="colorScale" priority="68">
      <colorScale>
        <cfvo type="num" val="-0.1"/>
        <cfvo type="num" val="0"/>
        <cfvo type="num" val="0.1"/>
        <color rgb="FFF8696B"/>
        <color rgb="FFFFEB84"/>
        <color rgb="FF63BE7B"/>
      </colorScale>
    </cfRule>
  </conditionalFormatting>
  <conditionalFormatting sqref="P54">
    <cfRule type="colorScale" priority="67">
      <colorScale>
        <cfvo type="num" val="-0.1"/>
        <cfvo type="num" val="0"/>
        <cfvo type="num" val="0.1"/>
        <color rgb="FFF8696B"/>
        <color rgb="FFFFEB84"/>
        <color rgb="FF63BE7B"/>
      </colorScale>
    </cfRule>
  </conditionalFormatting>
  <conditionalFormatting sqref="P53">
    <cfRule type="colorScale" priority="66">
      <colorScale>
        <cfvo type="num" val="-0.1"/>
        <cfvo type="num" val="0"/>
        <cfvo type="num" val="0.1"/>
        <color rgb="FFF8696B"/>
        <color rgb="FFFFEB84"/>
        <color rgb="FF63BE7B"/>
      </colorScale>
    </cfRule>
  </conditionalFormatting>
  <conditionalFormatting sqref="P49">
    <cfRule type="colorScale" priority="65">
      <colorScale>
        <cfvo type="num" val="-0.1"/>
        <cfvo type="num" val="0"/>
        <cfvo type="num" val="0.1"/>
        <color rgb="FFF8696B"/>
        <color rgb="FFFFEB84"/>
        <color rgb="FF63BE7B"/>
      </colorScale>
    </cfRule>
  </conditionalFormatting>
  <conditionalFormatting sqref="P48:P49">
    <cfRule type="colorScale" priority="64">
      <colorScale>
        <cfvo type="num" val="-0.1"/>
        <cfvo type="num" val="0"/>
        <cfvo type="num" val="0.1"/>
        <color rgb="FFF8696B"/>
        <color rgb="FFFFEB84"/>
        <color rgb="FF63BE7B"/>
      </colorScale>
    </cfRule>
  </conditionalFormatting>
  <conditionalFormatting sqref="P50">
    <cfRule type="colorScale" priority="62">
      <colorScale>
        <cfvo type="num" val="-0.1"/>
        <cfvo type="num" val="0"/>
        <cfvo type="num" val="0.1"/>
        <color rgb="FFF8696B"/>
        <color rgb="FFFFEB84"/>
        <color rgb="FF63BE7B"/>
      </colorScale>
    </cfRule>
  </conditionalFormatting>
  <conditionalFormatting sqref="P51">
    <cfRule type="colorScale" priority="61">
      <colorScale>
        <cfvo type="num" val="-0.1"/>
        <cfvo type="num" val="0"/>
        <cfvo type="num" val="0.1"/>
        <color rgb="FFF8696B"/>
        <color rgb="FFFFEB84"/>
        <color rgb="FF63BE7B"/>
      </colorScale>
    </cfRule>
  </conditionalFormatting>
  <conditionalFormatting sqref="P52">
    <cfRule type="colorScale" priority="60">
      <colorScale>
        <cfvo type="num" val="-0.1"/>
        <cfvo type="num" val="0"/>
        <cfvo type="num" val="0.1"/>
        <color rgb="FFF8696B"/>
        <color rgb="FFFFEB84"/>
        <color rgb="FF63BE7B"/>
      </colorScale>
    </cfRule>
  </conditionalFormatting>
  <conditionalFormatting sqref="P47">
    <cfRule type="colorScale" priority="59">
      <colorScale>
        <cfvo type="num" val="-0.1"/>
        <cfvo type="num" val="0"/>
        <cfvo type="num" val="0.1"/>
        <color rgb="FFF8696B"/>
        <color rgb="FFFFEB84"/>
        <color rgb="FF63BE7B"/>
      </colorScale>
    </cfRule>
  </conditionalFormatting>
  <conditionalFormatting sqref="P46">
    <cfRule type="colorScale" priority="58">
      <colorScale>
        <cfvo type="num" val="-0.1"/>
        <cfvo type="num" val="0"/>
        <cfvo type="num" val="0.1"/>
        <color rgb="FFF8696B"/>
        <color rgb="FFFFEB84"/>
        <color rgb="FF63BE7B"/>
      </colorScale>
    </cfRule>
  </conditionalFormatting>
  <conditionalFormatting sqref="P42">
    <cfRule type="colorScale" priority="57">
      <colorScale>
        <cfvo type="num" val="-0.1"/>
        <cfvo type="num" val="0"/>
        <cfvo type="num" val="0.1"/>
        <color rgb="FFF8696B"/>
        <color rgb="FFFFEB84"/>
        <color rgb="FF63BE7B"/>
      </colorScale>
    </cfRule>
  </conditionalFormatting>
  <conditionalFormatting sqref="P41:P42">
    <cfRule type="colorScale" priority="56">
      <colorScale>
        <cfvo type="num" val="-0.1"/>
        <cfvo type="num" val="0"/>
        <cfvo type="num" val="0.1"/>
        <color rgb="FFF8696B"/>
        <color rgb="FFFFEB84"/>
        <color rgb="FF63BE7B"/>
      </colorScale>
    </cfRule>
  </conditionalFormatting>
  <conditionalFormatting sqref="P43">
    <cfRule type="colorScale" priority="55">
      <colorScale>
        <cfvo type="num" val="-0.1"/>
        <cfvo type="num" val="0"/>
        <cfvo type="num" val="0.1"/>
        <color rgb="FFF8696B"/>
        <color rgb="FFFFEB84"/>
        <color rgb="FF63BE7B"/>
      </colorScale>
    </cfRule>
  </conditionalFormatting>
  <conditionalFormatting sqref="P44">
    <cfRule type="colorScale" priority="54">
      <colorScale>
        <cfvo type="num" val="-0.1"/>
        <cfvo type="num" val="0"/>
        <cfvo type="num" val="0.1"/>
        <color rgb="FFF8696B"/>
        <color rgb="FFFFEB84"/>
        <color rgb="FF63BE7B"/>
      </colorScale>
    </cfRule>
  </conditionalFormatting>
  <conditionalFormatting sqref="P45">
    <cfRule type="colorScale" priority="53">
      <colorScale>
        <cfvo type="num" val="-0.1"/>
        <cfvo type="num" val="0"/>
        <cfvo type="num" val="0.1"/>
        <color rgb="FFF8696B"/>
        <color rgb="FFFFEB84"/>
        <color rgb="FF63BE7B"/>
      </colorScale>
    </cfRule>
  </conditionalFormatting>
  <conditionalFormatting sqref="P40">
    <cfRule type="colorScale" priority="52">
      <colorScale>
        <cfvo type="num" val="-0.1"/>
        <cfvo type="num" val="0"/>
        <cfvo type="num" val="0.1"/>
        <color rgb="FFF8696B"/>
        <color rgb="FFFFEB84"/>
        <color rgb="FF63BE7B"/>
      </colorScale>
    </cfRule>
  </conditionalFormatting>
  <conditionalFormatting sqref="P37">
    <cfRule type="colorScale" priority="51">
      <colorScale>
        <cfvo type="num" val="-0.1"/>
        <cfvo type="num" val="0"/>
        <cfvo type="num" val="0.1"/>
        <color rgb="FFF8696B"/>
        <color rgb="FFFFEB84"/>
        <color rgb="FF63BE7B"/>
      </colorScale>
    </cfRule>
  </conditionalFormatting>
  <conditionalFormatting sqref="P38">
    <cfRule type="colorScale" priority="49">
      <colorScale>
        <cfvo type="num" val="-0.1"/>
        <cfvo type="num" val="0"/>
        <cfvo type="num" val="0.1"/>
        <color rgb="FFF8696B"/>
        <color rgb="FFFFEB84"/>
        <color rgb="FF63BE7B"/>
      </colorScale>
    </cfRule>
  </conditionalFormatting>
  <conditionalFormatting sqref="P39">
    <cfRule type="colorScale" priority="45">
      <colorScale>
        <cfvo type="num" val="-0.1"/>
        <cfvo type="num" val="0"/>
        <cfvo type="num" val="0.1"/>
        <color rgb="FFF8696B"/>
        <color rgb="FFFFEB84"/>
        <color rgb="FF63BE7B"/>
      </colorScale>
    </cfRule>
  </conditionalFormatting>
  <conditionalFormatting sqref="P32">
    <cfRule type="colorScale" priority="44">
      <colorScale>
        <cfvo type="num" val="-0.1"/>
        <cfvo type="num" val="0"/>
        <cfvo type="num" val="0.1"/>
        <color rgb="FFF8696B"/>
        <color rgb="FFFFEB84"/>
        <color rgb="FF63BE7B"/>
      </colorScale>
    </cfRule>
  </conditionalFormatting>
  <conditionalFormatting sqref="P31:P32">
    <cfRule type="colorScale" priority="43">
      <colorScale>
        <cfvo type="num" val="-0.1"/>
        <cfvo type="num" val="0"/>
        <cfvo type="num" val="0.1"/>
        <color rgb="FFF8696B"/>
        <color rgb="FFFFEB84"/>
        <color rgb="FF63BE7B"/>
      </colorScale>
    </cfRule>
  </conditionalFormatting>
  <conditionalFormatting sqref="P33">
    <cfRule type="colorScale" priority="42">
      <colorScale>
        <cfvo type="num" val="-0.1"/>
        <cfvo type="num" val="0"/>
        <cfvo type="num" val="0.1"/>
        <color rgb="FFF8696B"/>
        <color rgb="FFFFEB84"/>
        <color rgb="FF63BE7B"/>
      </colorScale>
    </cfRule>
  </conditionalFormatting>
  <conditionalFormatting sqref="P34">
    <cfRule type="colorScale" priority="41">
      <colorScale>
        <cfvo type="num" val="-0.1"/>
        <cfvo type="num" val="0"/>
        <cfvo type="num" val="0.1"/>
        <color rgb="FFF8696B"/>
        <color rgb="FFFFEB84"/>
        <color rgb="FF63BE7B"/>
      </colorScale>
    </cfRule>
  </conditionalFormatting>
  <conditionalFormatting sqref="P35">
    <cfRule type="colorScale" priority="40">
      <colorScale>
        <cfvo type="num" val="-0.1"/>
        <cfvo type="num" val="0"/>
        <cfvo type="num" val="0.1"/>
        <color rgb="FFF8696B"/>
        <color rgb="FFFFEB84"/>
        <color rgb="FF63BE7B"/>
      </colorScale>
    </cfRule>
  </conditionalFormatting>
  <conditionalFormatting sqref="P30">
    <cfRule type="colorScale" priority="39">
      <colorScale>
        <cfvo type="num" val="-0.1"/>
        <cfvo type="num" val="0"/>
        <cfvo type="num" val="0.1"/>
        <color rgb="FFF8696B"/>
        <color rgb="FFFFEB84"/>
        <color rgb="FF63BE7B"/>
      </colorScale>
    </cfRule>
  </conditionalFormatting>
  <conditionalFormatting sqref="P36">
    <cfRule type="colorScale" priority="38">
      <colorScale>
        <cfvo type="num" val="-0.1"/>
        <cfvo type="num" val="0"/>
        <cfvo type="num" val="0.1"/>
        <color rgb="FFF8696B"/>
        <color rgb="FFFFEB84"/>
        <color rgb="FF63BE7B"/>
      </colorScale>
    </cfRule>
  </conditionalFormatting>
  <conditionalFormatting sqref="P27">
    <cfRule type="colorScale" priority="37">
      <colorScale>
        <cfvo type="num" val="-0.1"/>
        <cfvo type="num" val="0"/>
        <cfvo type="num" val="0.1"/>
        <color rgb="FFF8696B"/>
        <color rgb="FFFFEB84"/>
        <color rgb="FF63BE7B"/>
      </colorScale>
    </cfRule>
  </conditionalFormatting>
  <conditionalFormatting sqref="P26:P27">
    <cfRule type="colorScale" priority="36">
      <colorScale>
        <cfvo type="num" val="-0.1"/>
        <cfvo type="num" val="0"/>
        <cfvo type="num" val="0.1"/>
        <color rgb="FFF8696B"/>
        <color rgb="FFFFEB84"/>
        <color rgb="FF63BE7B"/>
      </colorScale>
    </cfRule>
  </conditionalFormatting>
  <conditionalFormatting sqref="P28">
    <cfRule type="colorScale" priority="34">
      <colorScale>
        <cfvo type="num" val="-0.1"/>
        <cfvo type="num" val="0"/>
        <cfvo type="num" val="0.1"/>
        <color rgb="FFF8696B"/>
        <color rgb="FFFFEB84"/>
        <color rgb="FF63BE7B"/>
      </colorScale>
    </cfRule>
  </conditionalFormatting>
  <conditionalFormatting sqref="P25">
    <cfRule type="colorScale" priority="32">
      <colorScale>
        <cfvo type="num" val="-0.1"/>
        <cfvo type="num" val="0"/>
        <cfvo type="num" val="0.1"/>
        <color rgb="FFF8696B"/>
        <color rgb="FFFFEB84"/>
        <color rgb="FF63BE7B"/>
      </colorScale>
    </cfRule>
  </conditionalFormatting>
  <conditionalFormatting sqref="P29">
    <cfRule type="colorScale" priority="31">
      <colorScale>
        <cfvo type="num" val="-0.1"/>
        <cfvo type="num" val="0"/>
        <cfvo type="num" val="0.1"/>
        <color rgb="FFF8696B"/>
        <color rgb="FFFFEB84"/>
        <color rgb="FF63BE7B"/>
      </colorScale>
    </cfRule>
  </conditionalFormatting>
  <conditionalFormatting sqref="P18">
    <cfRule type="colorScale" priority="26">
      <colorScale>
        <cfvo type="num" val="-0.1"/>
        <cfvo type="num" val="0"/>
        <cfvo type="num" val="0.1"/>
        <color rgb="FFF8696B"/>
        <color rgb="FFFFEB84"/>
        <color rgb="FF63BE7B"/>
      </colorScale>
    </cfRule>
  </conditionalFormatting>
  <conditionalFormatting sqref="P19">
    <cfRule type="colorScale" priority="25">
      <colorScale>
        <cfvo type="num" val="-0.1"/>
        <cfvo type="num" val="0"/>
        <cfvo type="num" val="0.1"/>
        <color rgb="FFF8696B"/>
        <color rgb="FFFFEB84"/>
        <color rgb="FF63BE7B"/>
      </colorScale>
    </cfRule>
  </conditionalFormatting>
  <conditionalFormatting sqref="P21">
    <cfRule type="colorScale" priority="23">
      <colorScale>
        <cfvo type="num" val="-0.1"/>
        <cfvo type="num" val="0"/>
        <cfvo type="num" val="0.1"/>
        <color rgb="FFF8696B"/>
        <color rgb="FFFFEB84"/>
        <color rgb="FF63BE7B"/>
      </colorScale>
    </cfRule>
  </conditionalFormatting>
  <conditionalFormatting sqref="P24">
    <cfRule type="colorScale" priority="22">
      <colorScale>
        <cfvo type="num" val="-0.1"/>
        <cfvo type="num" val="0"/>
        <cfvo type="num" val="0.1"/>
        <color rgb="FFF8696B"/>
        <color rgb="FFFFEB84"/>
        <color rgb="FF63BE7B"/>
      </colorScale>
    </cfRule>
  </conditionalFormatting>
  <conditionalFormatting sqref="P22">
    <cfRule type="colorScale" priority="21">
      <colorScale>
        <cfvo type="num" val="-0.1"/>
        <cfvo type="num" val="0"/>
        <cfvo type="num" val="0.1"/>
        <color rgb="FFF8696B"/>
        <color rgb="FFFFEB84"/>
        <color rgb="FF63BE7B"/>
      </colorScale>
    </cfRule>
  </conditionalFormatting>
  <conditionalFormatting sqref="P22">
    <cfRule type="colorScale" priority="20">
      <colorScale>
        <cfvo type="num" val="-0.1"/>
        <cfvo type="num" val="0"/>
        <cfvo type="num" val="0.1"/>
        <color rgb="FFF8696B"/>
        <color rgb="FFFFEB84"/>
        <color rgb="FF63BE7B"/>
      </colorScale>
    </cfRule>
  </conditionalFormatting>
  <conditionalFormatting sqref="P23">
    <cfRule type="colorScale" priority="18">
      <colorScale>
        <cfvo type="num" val="-0.1"/>
        <cfvo type="num" val="0"/>
        <cfvo type="num" val="0.1"/>
        <color rgb="FFF8696B"/>
        <color rgb="FFFFEB84"/>
        <color rgb="FF63BE7B"/>
      </colorScale>
    </cfRule>
  </conditionalFormatting>
  <conditionalFormatting sqref="P17">
    <cfRule type="colorScale" priority="17">
      <colorScale>
        <cfvo type="num" val="-0.1"/>
        <cfvo type="num" val="0"/>
        <cfvo type="num" val="0.1"/>
        <color rgb="FFF8696B"/>
        <color rgb="FFFFEB84"/>
        <color rgb="FF63BE7B"/>
      </colorScale>
    </cfRule>
  </conditionalFormatting>
  <conditionalFormatting sqref="P20">
    <cfRule type="colorScale" priority="16">
      <colorScale>
        <cfvo type="num" val="-0.1"/>
        <cfvo type="num" val="0"/>
        <cfvo type="num" val="0.1"/>
        <color rgb="FFF8696B"/>
        <color rgb="FFFFEB84"/>
        <color rgb="FF63BE7B"/>
      </colorScale>
    </cfRule>
  </conditionalFormatting>
  <conditionalFormatting sqref="P16">
    <cfRule type="colorScale" priority="15">
      <colorScale>
        <cfvo type="num" val="-0.1"/>
        <cfvo type="num" val="0"/>
        <cfvo type="num" val="0.1"/>
        <color rgb="FFF8696B"/>
        <color rgb="FFFFEB84"/>
        <color rgb="FF63BE7B"/>
      </colorScale>
    </cfRule>
  </conditionalFormatting>
  <conditionalFormatting sqref="P14">
    <cfRule type="colorScale" priority="14">
      <colorScale>
        <cfvo type="num" val="-0.1"/>
        <cfvo type="num" val="0"/>
        <cfvo type="num" val="0.1"/>
        <color rgb="FFF8696B"/>
        <color rgb="FFFFEB84"/>
        <color rgb="FF63BE7B"/>
      </colorScale>
    </cfRule>
  </conditionalFormatting>
  <conditionalFormatting sqref="P15">
    <cfRule type="colorScale" priority="13">
      <colorScale>
        <cfvo type="num" val="-0.1"/>
        <cfvo type="num" val="0"/>
        <cfvo type="num" val="0.1"/>
        <color rgb="FFF8696B"/>
        <color rgb="FFFFEB84"/>
        <color rgb="FF63BE7B"/>
      </colorScale>
    </cfRule>
  </conditionalFormatting>
  <conditionalFormatting sqref="P13">
    <cfRule type="colorScale" priority="10">
      <colorScale>
        <cfvo type="num" val="-0.1"/>
        <cfvo type="num" val="0"/>
        <cfvo type="num" val="0.1"/>
        <color rgb="FFF8696B"/>
        <color rgb="FFFFEB84"/>
        <color rgb="FF63BE7B"/>
      </colorScale>
    </cfRule>
  </conditionalFormatting>
  <conditionalFormatting sqref="P10">
    <cfRule type="colorScale" priority="9">
      <colorScale>
        <cfvo type="num" val="-0.1"/>
        <cfvo type="num" val="0"/>
        <cfvo type="num" val="0.1"/>
        <color rgb="FFF8696B"/>
        <color rgb="FFFFEB84"/>
        <color rgb="FF63BE7B"/>
      </colorScale>
    </cfRule>
  </conditionalFormatting>
  <conditionalFormatting sqref="P11:P12">
    <cfRule type="colorScale" priority="7">
      <colorScale>
        <cfvo type="num" val="-0.1"/>
        <cfvo type="num" val="0"/>
        <cfvo type="num" val="0.1"/>
        <color rgb="FFF8696B"/>
        <color rgb="FFFFEB84"/>
        <color rgb="FF63BE7B"/>
      </colorScale>
    </cfRule>
  </conditionalFormatting>
  <conditionalFormatting sqref="P6">
    <cfRule type="colorScale" priority="6">
      <colorScale>
        <cfvo type="num" val="-0.1"/>
        <cfvo type="num" val="0"/>
        <cfvo type="num" val="0.1"/>
        <color rgb="FFF8696B"/>
        <color rgb="FFFFEB84"/>
        <color rgb="FF63BE7B"/>
      </colorScale>
    </cfRule>
  </conditionalFormatting>
  <conditionalFormatting sqref="P6">
    <cfRule type="colorScale" priority="5">
      <colorScale>
        <cfvo type="num" val="-0.1"/>
        <cfvo type="num" val="0"/>
        <cfvo type="num" val="0.1"/>
        <color rgb="FFF8696B"/>
        <color rgb="FFFFEB84"/>
        <color rgb="FF63BE7B"/>
      </colorScale>
    </cfRule>
  </conditionalFormatting>
  <conditionalFormatting sqref="P7">
    <cfRule type="colorScale" priority="3">
      <colorScale>
        <cfvo type="num" val="-0.1"/>
        <cfvo type="num" val="0"/>
        <cfvo type="num" val="0.1"/>
        <color rgb="FFF8696B"/>
        <color rgb="FFFFEB84"/>
        <color rgb="FF63BE7B"/>
      </colorScale>
    </cfRule>
  </conditionalFormatting>
  <conditionalFormatting sqref="P9">
    <cfRule type="colorScale" priority="2">
      <colorScale>
        <cfvo type="num" val="-0.1"/>
        <cfvo type="num" val="0"/>
        <cfvo type="num" val="0.1"/>
        <color rgb="FFF8696B"/>
        <color rgb="FFFFEB84"/>
        <color rgb="FF63BE7B"/>
      </colorScale>
    </cfRule>
  </conditionalFormatting>
  <conditionalFormatting sqref="P8">
    <cfRule type="colorScale" priority="1">
      <colorScale>
        <cfvo type="num" val="-0.1"/>
        <cfvo type="num" val="0"/>
        <cfvo type="num" val="0.1"/>
        <color rgb="FFF8696B"/>
        <color rgb="FFFFEB84"/>
        <color rgb="FF63BE7B"/>
      </colorScale>
    </cfRule>
  </conditionalFormatting>
  <hyperlinks>
    <hyperlink ref="S104:S105" r:id="rId1" display="Press Release" xr:uid="{00000000-0004-0000-0600-000000000000}"/>
    <hyperlink ref="S103" r:id="rId2" xr:uid="{00000000-0004-0000-0600-000001000000}"/>
    <hyperlink ref="S94" r:id="rId3" xr:uid="{00000000-0004-0000-0600-000002000000}"/>
    <hyperlink ref="S95" r:id="rId4" xr:uid="{00000000-0004-0000-0600-000003000000}"/>
    <hyperlink ref="S96" r:id="rId5" xr:uid="{00000000-0004-0000-0600-000004000000}"/>
    <hyperlink ref="S97" r:id="rId6" xr:uid="{00000000-0004-0000-0600-000005000000}"/>
    <hyperlink ref="S98" r:id="rId7" xr:uid="{00000000-0004-0000-0600-000006000000}"/>
    <hyperlink ref="S99" r:id="rId8" xr:uid="{00000000-0004-0000-0600-000007000000}"/>
    <hyperlink ref="S100" r:id="rId9" xr:uid="{00000000-0004-0000-0600-000008000000}"/>
    <hyperlink ref="S107:S116" r:id="rId10" display="Press Release" xr:uid="{00000000-0004-0000-0600-000009000000}"/>
    <hyperlink ref="S117" r:id="rId11" display="Press Release" xr:uid="{00000000-0004-0000-0600-00000A000000}"/>
    <hyperlink ref="S102" r:id="rId12" xr:uid="{00000000-0004-0000-0600-00000B000000}"/>
    <hyperlink ref="S86" r:id="rId13" xr:uid="{00000000-0004-0000-0600-00000C000000}"/>
    <hyperlink ref="S87" r:id="rId14" xr:uid="{00000000-0004-0000-0600-00000D000000}"/>
    <hyperlink ref="S88" r:id="rId15" xr:uid="{00000000-0004-0000-0600-00000E000000}"/>
    <hyperlink ref="S89:S92" r:id="rId16" display="Press Release" xr:uid="{00000000-0004-0000-0600-00000F000000}"/>
    <hyperlink ref="S75" r:id="rId17" xr:uid="{00000000-0004-0000-0600-000010000000}"/>
    <hyperlink ref="S76:S84" r:id="rId18" display="Press Release" xr:uid="{00000000-0004-0000-0600-000011000000}"/>
    <hyperlink ref="S62" r:id="rId19" xr:uid="{00000000-0004-0000-0600-000012000000}"/>
    <hyperlink ref="S63:S68" r:id="rId20" display="Press Release" xr:uid="{00000000-0004-0000-0600-000013000000}"/>
    <hyperlink ref="S70:S72" r:id="rId21" display="Press Release" xr:uid="{00000000-0004-0000-0600-000014000000}"/>
    <hyperlink ref="S73" r:id="rId22" xr:uid="{00000000-0004-0000-0600-000015000000}"/>
    <hyperlink ref="S56" r:id="rId23" xr:uid="{00000000-0004-0000-0600-000016000000}"/>
    <hyperlink ref="S55" r:id="rId24" xr:uid="{00000000-0004-0000-0600-000017000000}"/>
    <hyperlink ref="S57" r:id="rId25" xr:uid="{00000000-0004-0000-0600-000018000000}"/>
    <hyperlink ref="S58" r:id="rId26" xr:uid="{00000000-0004-0000-0600-000019000000}"/>
    <hyperlink ref="S59" r:id="rId27" xr:uid="{00000000-0004-0000-0600-00001A000000}"/>
    <hyperlink ref="S60" r:id="rId28" xr:uid="{00000000-0004-0000-0600-00001B000000}"/>
    <hyperlink ref="S54" r:id="rId29" xr:uid="{00000000-0004-0000-0600-00001C000000}"/>
    <hyperlink ref="S47" r:id="rId30" xr:uid="{00000000-0004-0000-0600-00001D000000}"/>
    <hyperlink ref="S48" r:id="rId31" xr:uid="{00000000-0004-0000-0600-00001E000000}"/>
    <hyperlink ref="S49" r:id="rId32" xr:uid="{00000000-0004-0000-0600-00001F000000}"/>
    <hyperlink ref="S50" r:id="rId33" xr:uid="{00000000-0004-0000-0600-000020000000}"/>
    <hyperlink ref="S51" r:id="rId34" xr:uid="{00000000-0004-0000-0600-000021000000}"/>
    <hyperlink ref="S52" r:id="rId35" xr:uid="{00000000-0004-0000-0600-000022000000}"/>
    <hyperlink ref="S40" r:id="rId36" xr:uid="{00000000-0004-0000-0600-000023000000}"/>
    <hyperlink ref="S41:S45" r:id="rId37" display="Press Release" xr:uid="{00000000-0004-0000-0600-000024000000}"/>
    <hyperlink ref="S25" r:id="rId38" xr:uid="{00000000-0004-0000-0600-000025000000}"/>
    <hyperlink ref="S26:S28" r:id="rId39" display="Press Release" xr:uid="{00000000-0004-0000-0600-000026000000}"/>
    <hyperlink ref="S30:S35" r:id="rId40" display="Press Release" xr:uid="{00000000-0004-0000-0600-000027000000}"/>
    <hyperlink ref="S37:S38" r:id="rId41" display="Press Release" xr:uid="{00000000-0004-0000-0600-000028000000}"/>
    <hyperlink ref="S17:S19" r:id="rId42" display="Press Release" xr:uid="{00000000-0004-0000-0600-000029000000}"/>
    <hyperlink ref="S18" r:id="rId43" xr:uid="{00000000-0004-0000-0600-00002A000000}"/>
    <hyperlink ref="S19" r:id="rId44" xr:uid="{00000000-0004-0000-0600-00002B000000}"/>
    <hyperlink ref="S22" r:id="rId45" xr:uid="{00000000-0004-0000-0600-00002C000000}"/>
    <hyperlink ref="S23" r:id="rId46" xr:uid="{00000000-0004-0000-0600-00002D000000}"/>
    <hyperlink ref="S23" r:id="rId47" xr:uid="{00000000-0004-0000-0600-00002E000000}"/>
    <hyperlink ref="S20" r:id="rId48" xr:uid="{00000000-0004-0000-0600-00002F000000}"/>
    <hyperlink ref="S17" r:id="rId49" xr:uid="{00000000-0004-0000-0600-000030000000}"/>
    <hyperlink ref="S14" r:id="rId50" xr:uid="{00000000-0004-0000-0600-000031000000}"/>
    <hyperlink ref="S15" r:id="rId51" xr:uid="{00000000-0004-0000-0600-000032000000}"/>
    <hyperlink ref="S10:S12" r:id="rId52" display="Press Release" xr:uid="{00000000-0004-0000-0600-000033000000}"/>
    <hyperlink ref="S11" r:id="rId53" xr:uid="{00000000-0004-0000-0600-000034000000}"/>
    <hyperlink ref="S12" r:id="rId54" xr:uid="{00000000-0004-0000-0600-000035000000}"/>
    <hyperlink ref="S10" r:id="rId55" xr:uid="{00000000-0004-0000-0600-000036000000}"/>
    <hyperlink ref="S6" r:id="rId56" xr:uid="{00000000-0004-0000-0600-000037000000}"/>
    <hyperlink ref="S7" r:id="rId57" xr:uid="{00000000-0004-0000-0600-000038000000}"/>
    <hyperlink ref="S8" r:id="rId58" xr:uid="{00000000-0004-0000-0600-000039000000}"/>
  </hyperlinks>
  <pageMargins left="0.7" right="0.7" top="0.75" bottom="0.75" header="0.3" footer="0.3"/>
  <pageSetup orientation="portrait" r:id="rId59"/>
  <legacyDrawing r:id="rId6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8E05-2DC7-45F1-A88A-2262AAA58427}">
  <sheetPr codeName="Sheet1">
    <pageSetUpPr fitToPage="1"/>
  </sheetPr>
  <dimension ref="A1:BC126"/>
  <sheetViews>
    <sheetView tabSelected="1" workbookViewId="0">
      <pane xSplit="2" ySplit="2" topLeftCell="C66" activePane="bottomRight" state="frozen"/>
      <selection pane="topRight" activeCell="C1" sqref="C1"/>
      <selection pane="bottomLeft" activeCell="A3" sqref="A3"/>
      <selection pane="bottomRight" activeCell="K101" sqref="K101"/>
    </sheetView>
  </sheetViews>
  <sheetFormatPr defaultColWidth="9.140625" defaultRowHeight="15" outlineLevelRow="1" outlineLevelCol="1"/>
  <cols>
    <col min="1" max="1" width="41.28515625" style="62" customWidth="1"/>
    <col min="2" max="6" width="9.7109375" style="62" customWidth="1"/>
    <col min="7" max="10" width="9.7109375" style="62" hidden="1" customWidth="1" outlineLevel="1"/>
    <col min="11" max="11" width="9.7109375" style="62" customWidth="1" collapsed="1"/>
    <col min="12" max="15" width="9.7109375" style="62" hidden="1" customWidth="1" outlineLevel="1"/>
    <col min="16" max="16" width="9.7109375" style="62" customWidth="1" collapsed="1"/>
    <col min="17" max="20" width="9.7109375" style="62" hidden="1" customWidth="1" outlineLevel="1"/>
    <col min="21" max="21" width="9.7109375" style="62" customWidth="1" collapsed="1"/>
    <col min="22" max="25" width="9.7109375" style="62" hidden="1" customWidth="1" outlineLevel="1"/>
    <col min="26" max="26" width="9.7109375" style="62" customWidth="1" collapsed="1"/>
    <col min="27" max="30" width="9.7109375" style="62" hidden="1" customWidth="1" outlineLevel="1"/>
    <col min="31" max="31" width="9.7109375" style="62" customWidth="1" collapsed="1"/>
    <col min="32" max="35" width="9.7109375" style="62" hidden="1" customWidth="1" outlineLevel="1"/>
    <col min="36" max="36" width="9.7109375" style="62" customWidth="1" collapsed="1"/>
    <col min="37" max="40" width="9.7109375" style="62" hidden="1" customWidth="1" outlineLevel="1"/>
    <col min="41" max="41" width="9.7109375" style="62" customWidth="1" collapsed="1"/>
    <col min="42" max="45" width="9.7109375" style="62" customWidth="1" outlineLevel="1"/>
    <col min="46" max="46" width="9.7109375" style="62" customWidth="1"/>
    <col min="47" max="50" width="9.7109375" style="62" hidden="1" customWidth="1" outlineLevel="1"/>
    <col min="51" max="51" width="9.7109375" style="62" collapsed="1"/>
    <col min="52" max="54" width="9.7109375" style="62" customWidth="1"/>
    <col min="55" max="55" width="8.85546875" style="62" customWidth="1"/>
    <col min="56" max="16384" width="9.140625" style="62"/>
  </cols>
  <sheetData>
    <row r="1" spans="1:55" ht="28.5">
      <c r="A1" s="148" t="str">
        <f>MO.CompanyName</f>
        <v>Astronics Corporation</v>
      </c>
      <c r="B1" s="531"/>
      <c r="C1" s="310">
        <f t="shared" ref="C1:AH1" si="0">INDEX(MO_Common_QEndDate,0,COLUMN())</f>
        <v>40178</v>
      </c>
      <c r="D1" s="282">
        <f t="shared" si="0"/>
        <v>40543</v>
      </c>
      <c r="E1" s="282">
        <f t="shared" si="0"/>
        <v>40908</v>
      </c>
      <c r="F1" s="282">
        <f t="shared" si="0"/>
        <v>41274</v>
      </c>
      <c r="G1" s="282">
        <f t="shared" si="0"/>
        <v>41364</v>
      </c>
      <c r="H1" s="282">
        <f t="shared" si="0"/>
        <v>41455</v>
      </c>
      <c r="I1" s="282">
        <f t="shared" si="0"/>
        <v>41547</v>
      </c>
      <c r="J1" s="282">
        <f t="shared" si="0"/>
        <v>41639</v>
      </c>
      <c r="K1" s="282">
        <f t="shared" si="0"/>
        <v>41639</v>
      </c>
      <c r="L1" s="282">
        <f t="shared" si="0"/>
        <v>41729</v>
      </c>
      <c r="M1" s="282">
        <f t="shared" si="0"/>
        <v>41820</v>
      </c>
      <c r="N1" s="282">
        <f t="shared" si="0"/>
        <v>41912</v>
      </c>
      <c r="O1" s="282">
        <f t="shared" si="0"/>
        <v>42004</v>
      </c>
      <c r="P1" s="282">
        <f t="shared" si="0"/>
        <v>42004</v>
      </c>
      <c r="Q1" s="282">
        <f t="shared" si="0"/>
        <v>42094</v>
      </c>
      <c r="R1" s="282">
        <f t="shared" si="0"/>
        <v>42185</v>
      </c>
      <c r="S1" s="282">
        <f t="shared" si="0"/>
        <v>42277</v>
      </c>
      <c r="T1" s="282">
        <f t="shared" si="0"/>
        <v>42369</v>
      </c>
      <c r="U1" s="282">
        <f t="shared" si="0"/>
        <v>42369</v>
      </c>
      <c r="V1" s="282">
        <f t="shared" si="0"/>
        <v>42460</v>
      </c>
      <c r="W1" s="282">
        <f t="shared" si="0"/>
        <v>42551</v>
      </c>
      <c r="X1" s="282">
        <f t="shared" si="0"/>
        <v>42643</v>
      </c>
      <c r="Y1" s="282">
        <f t="shared" si="0"/>
        <v>42735</v>
      </c>
      <c r="Z1" s="282">
        <f t="shared" si="0"/>
        <v>42735</v>
      </c>
      <c r="AA1" s="282">
        <f t="shared" si="0"/>
        <v>42825</v>
      </c>
      <c r="AB1" s="282">
        <f t="shared" si="0"/>
        <v>42916</v>
      </c>
      <c r="AC1" s="282">
        <f t="shared" si="0"/>
        <v>43008</v>
      </c>
      <c r="AD1" s="282">
        <f t="shared" si="0"/>
        <v>43100</v>
      </c>
      <c r="AE1" s="282">
        <f t="shared" si="0"/>
        <v>43100</v>
      </c>
      <c r="AF1" s="282">
        <f t="shared" si="0"/>
        <v>43190</v>
      </c>
      <c r="AG1" s="282">
        <f t="shared" si="0"/>
        <v>43281</v>
      </c>
      <c r="AH1" s="282">
        <f t="shared" si="0"/>
        <v>43373</v>
      </c>
      <c r="AI1" s="282">
        <f t="shared" ref="AI1:BB1" si="1">INDEX(MO_Common_QEndDate,0,COLUMN())</f>
        <v>43465</v>
      </c>
      <c r="AJ1" s="282">
        <f t="shared" si="1"/>
        <v>43465</v>
      </c>
      <c r="AK1" s="282">
        <f t="shared" si="1"/>
        <v>43555</v>
      </c>
      <c r="AL1" s="282">
        <f t="shared" si="1"/>
        <v>43646</v>
      </c>
      <c r="AM1" s="282">
        <f t="shared" si="1"/>
        <v>43738</v>
      </c>
      <c r="AN1" s="282">
        <f t="shared" si="1"/>
        <v>43830</v>
      </c>
      <c r="AO1" s="282">
        <f t="shared" si="1"/>
        <v>43830</v>
      </c>
      <c r="AP1" s="282">
        <f>INDEX(MO_Common_QEndDate,0,COLUMN())</f>
        <v>43921</v>
      </c>
      <c r="AQ1" s="317">
        <f>INDEX(MO_Common_QEndDate,0,COLUMN())</f>
        <v>44012</v>
      </c>
      <c r="AR1" s="141">
        <f t="shared" si="1"/>
        <v>44104</v>
      </c>
      <c r="AS1" s="141">
        <f t="shared" si="1"/>
        <v>44196</v>
      </c>
      <c r="AT1" s="141">
        <f t="shared" si="1"/>
        <v>44196</v>
      </c>
      <c r="AU1" s="141">
        <f t="shared" si="1"/>
        <v>44286</v>
      </c>
      <c r="AV1" s="141">
        <f t="shared" si="1"/>
        <v>44377</v>
      </c>
      <c r="AW1" s="141">
        <f t="shared" si="1"/>
        <v>44469</v>
      </c>
      <c r="AX1" s="141">
        <f t="shared" si="1"/>
        <v>44561</v>
      </c>
      <c r="AY1" s="141">
        <f t="shared" si="1"/>
        <v>44561</v>
      </c>
      <c r="AZ1" s="141">
        <f t="shared" si="1"/>
        <v>44926</v>
      </c>
      <c r="BA1" s="141">
        <f t="shared" si="1"/>
        <v>45291</v>
      </c>
      <c r="BB1" s="141">
        <f t="shared" si="1"/>
        <v>45657</v>
      </c>
      <c r="BC1" s="177"/>
    </row>
    <row r="2" spans="1:55" s="63" customFormat="1">
      <c r="A2" s="178" t="s">
        <v>1</v>
      </c>
      <c r="B2" s="179" t="str">
        <f>MO.ReportFX</f>
        <v>USD</v>
      </c>
      <c r="C2" s="315" t="str">
        <f t="shared" ref="C2:AH2" si="2">INDEX(MO_Common_ColumnHeader,0,COLUMN())</f>
        <v>FY2009</v>
      </c>
      <c r="D2" s="294" t="str">
        <f t="shared" si="2"/>
        <v>FY2010</v>
      </c>
      <c r="E2" s="294" t="str">
        <f t="shared" si="2"/>
        <v>FY2011</v>
      </c>
      <c r="F2" s="294" t="str">
        <f t="shared" si="2"/>
        <v>FY2012</v>
      </c>
      <c r="G2" s="294" t="str">
        <f t="shared" si="2"/>
        <v>Q1-2013</v>
      </c>
      <c r="H2" s="294" t="str">
        <f t="shared" si="2"/>
        <v>Q2-2013</v>
      </c>
      <c r="I2" s="294" t="str">
        <f t="shared" si="2"/>
        <v>Q3-2013</v>
      </c>
      <c r="J2" s="294" t="str">
        <f t="shared" si="2"/>
        <v>Q4-2013</v>
      </c>
      <c r="K2" s="294" t="str">
        <f t="shared" si="2"/>
        <v>FY2013</v>
      </c>
      <c r="L2" s="294" t="str">
        <f t="shared" si="2"/>
        <v>Q1-2014</v>
      </c>
      <c r="M2" s="294" t="str">
        <f t="shared" si="2"/>
        <v>Q2-2014</v>
      </c>
      <c r="N2" s="294" t="str">
        <f t="shared" si="2"/>
        <v>Q3-2014</v>
      </c>
      <c r="O2" s="294" t="str">
        <f t="shared" si="2"/>
        <v>Q4-2014</v>
      </c>
      <c r="P2" s="294" t="str">
        <f t="shared" si="2"/>
        <v>FY2014</v>
      </c>
      <c r="Q2" s="294" t="str">
        <f t="shared" si="2"/>
        <v>Q1-2015</v>
      </c>
      <c r="R2" s="294" t="str">
        <f t="shared" si="2"/>
        <v>Q2-2015</v>
      </c>
      <c r="S2" s="294" t="str">
        <f t="shared" si="2"/>
        <v>Q3-2015</v>
      </c>
      <c r="T2" s="294" t="str">
        <f t="shared" si="2"/>
        <v>Q4-2015</v>
      </c>
      <c r="U2" s="294" t="str">
        <f t="shared" si="2"/>
        <v>FY2015</v>
      </c>
      <c r="V2" s="294" t="str">
        <f t="shared" si="2"/>
        <v>Q1-2016</v>
      </c>
      <c r="W2" s="294" t="str">
        <f t="shared" si="2"/>
        <v>Q2-2016</v>
      </c>
      <c r="X2" s="294" t="str">
        <f t="shared" si="2"/>
        <v>Q3-2016</v>
      </c>
      <c r="Y2" s="294" t="str">
        <f t="shared" si="2"/>
        <v>Q4-2016</v>
      </c>
      <c r="Z2" s="294" t="str">
        <f t="shared" si="2"/>
        <v>FY2016</v>
      </c>
      <c r="AA2" s="294" t="str">
        <f t="shared" si="2"/>
        <v>Q1-2017</v>
      </c>
      <c r="AB2" s="294" t="str">
        <f t="shared" si="2"/>
        <v>Q2-2017</v>
      </c>
      <c r="AC2" s="294" t="str">
        <f t="shared" si="2"/>
        <v>Q3-2017</v>
      </c>
      <c r="AD2" s="294" t="str">
        <f t="shared" si="2"/>
        <v>Q4-2017</v>
      </c>
      <c r="AE2" s="294" t="str">
        <f t="shared" si="2"/>
        <v>FY2017</v>
      </c>
      <c r="AF2" s="294" t="str">
        <f t="shared" si="2"/>
        <v>Q1-2018</v>
      </c>
      <c r="AG2" s="294" t="str">
        <f t="shared" si="2"/>
        <v>Q2-2018</v>
      </c>
      <c r="AH2" s="294" t="str">
        <f t="shared" si="2"/>
        <v>Q3-2018</v>
      </c>
      <c r="AI2" s="294" t="str">
        <f t="shared" ref="AI2:BB2" si="3">INDEX(MO_Common_ColumnHeader,0,COLUMN())</f>
        <v>Q4-2018</v>
      </c>
      <c r="AJ2" s="294" t="str">
        <f t="shared" si="3"/>
        <v>FY2018</v>
      </c>
      <c r="AK2" s="294" t="str">
        <f t="shared" si="3"/>
        <v>Q1-2019</v>
      </c>
      <c r="AL2" s="294" t="str">
        <f t="shared" si="3"/>
        <v>Q2-2019</v>
      </c>
      <c r="AM2" s="294" t="str">
        <f t="shared" si="3"/>
        <v>Q3-2019</v>
      </c>
      <c r="AN2" s="294" t="str">
        <f t="shared" si="3"/>
        <v>Q4-2019</v>
      </c>
      <c r="AO2" s="294" t="str">
        <f t="shared" si="3"/>
        <v>FY2019</v>
      </c>
      <c r="AP2" s="294" t="str">
        <f>INDEX(MO_Common_ColumnHeader,0,COLUMN())</f>
        <v>Q1-2020</v>
      </c>
      <c r="AQ2" s="318" t="str">
        <f>INDEX(MO_Common_ColumnHeader,0,COLUMN())</f>
        <v>Q2-2020</v>
      </c>
      <c r="AR2" s="98" t="str">
        <f t="shared" si="3"/>
        <v>Q3-2020</v>
      </c>
      <c r="AS2" s="98" t="str">
        <f t="shared" si="3"/>
        <v>Q4-2020</v>
      </c>
      <c r="AT2" s="98" t="str">
        <f t="shared" si="3"/>
        <v>FY2020</v>
      </c>
      <c r="AU2" s="98" t="str">
        <f t="shared" si="3"/>
        <v>Q1-2021</v>
      </c>
      <c r="AV2" s="98" t="str">
        <f t="shared" si="3"/>
        <v>Q2-2021</v>
      </c>
      <c r="AW2" s="98" t="str">
        <f t="shared" si="3"/>
        <v>Q3-2021</v>
      </c>
      <c r="AX2" s="98" t="str">
        <f t="shared" si="3"/>
        <v>Q4-2021</v>
      </c>
      <c r="AY2" s="98" t="str">
        <f t="shared" si="3"/>
        <v>FY2021</v>
      </c>
      <c r="AZ2" s="98" t="str">
        <f t="shared" si="3"/>
        <v>FY2022</v>
      </c>
      <c r="BA2" s="98" t="str">
        <f t="shared" si="3"/>
        <v>FY2023</v>
      </c>
      <c r="BB2" s="98" t="str">
        <f t="shared" si="3"/>
        <v>FY2024</v>
      </c>
      <c r="BC2" s="531"/>
    </row>
    <row r="3" spans="1:55">
      <c r="A3" s="94" t="s">
        <v>218</v>
      </c>
      <c r="B3" s="94"/>
      <c r="C3" s="283"/>
      <c r="D3" s="283"/>
      <c r="E3" s="283"/>
      <c r="F3" s="283"/>
      <c r="G3" s="283"/>
      <c r="H3" s="283"/>
      <c r="I3" s="283"/>
      <c r="J3" s="283"/>
      <c r="K3" s="283"/>
      <c r="L3" s="283"/>
      <c r="M3" s="283"/>
      <c r="N3" s="283"/>
      <c r="O3" s="283"/>
      <c r="P3" s="283"/>
      <c r="Q3" s="283"/>
      <c r="R3" s="283"/>
      <c r="S3" s="283"/>
      <c r="T3" s="283"/>
      <c r="U3" s="283"/>
      <c r="V3" s="283"/>
      <c r="W3" s="283"/>
      <c r="X3" s="283"/>
      <c r="Y3" s="283"/>
      <c r="Z3" s="283"/>
      <c r="AA3" s="283"/>
      <c r="AB3" s="283"/>
      <c r="AC3" s="283"/>
      <c r="AD3" s="283"/>
      <c r="AE3" s="283"/>
      <c r="AF3" s="283"/>
      <c r="AG3" s="283"/>
      <c r="AH3" s="283"/>
      <c r="AI3" s="283"/>
      <c r="AJ3" s="283"/>
      <c r="AK3" s="283"/>
      <c r="AL3" s="283"/>
      <c r="AM3" s="283"/>
      <c r="AN3" s="283"/>
      <c r="AO3" s="283"/>
      <c r="AP3" s="283"/>
      <c r="AQ3" s="319"/>
      <c r="AR3" s="94"/>
      <c r="AS3" s="94"/>
      <c r="AT3" s="94"/>
      <c r="AU3" s="94"/>
      <c r="AV3" s="94"/>
      <c r="AW3" s="94"/>
      <c r="AX3" s="94"/>
      <c r="AY3" s="94"/>
      <c r="AZ3" s="94"/>
      <c r="BA3" s="94"/>
      <c r="BB3" s="94"/>
      <c r="BC3" s="152"/>
    </row>
    <row r="4" spans="1:55" s="64" customFormat="1">
      <c r="A4" s="180" t="str">
        <f>"Stock Price - "&amp;SP.ValuationToggle</f>
        <v>Stock Price - Avg</v>
      </c>
      <c r="B4" s="142" t="s">
        <v>384</v>
      </c>
      <c r="C4" s="311">
        <f t="shared" ref="C4:AH4" ca="1" si="4">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3.99363478487032</v>
      </c>
      <c r="D4" s="311">
        <f t="shared" ca="1" si="4"/>
        <v>6.6468614324274897</v>
      </c>
      <c r="E4" s="311">
        <f t="shared" ca="1" si="4"/>
        <v>14.9725437543855</v>
      </c>
      <c r="F4" s="311">
        <f t="shared" ca="1" si="4"/>
        <v>14.601683981214901</v>
      </c>
      <c r="G4" s="295">
        <f t="shared" ca="1" si="4"/>
        <v>16.570276697600001</v>
      </c>
      <c r="H4" s="295">
        <f t="shared" ca="1" si="4"/>
        <v>20.928289706800001</v>
      </c>
      <c r="I4" s="295">
        <f t="shared" ca="1" si="4"/>
        <v>28.196684344000001</v>
      </c>
      <c r="J4" s="295">
        <f t="shared" ca="1" si="4"/>
        <v>34.716695133999998</v>
      </c>
      <c r="K4" s="311">
        <f t="shared" ca="1" si="4"/>
        <v>25.102986470600001</v>
      </c>
      <c r="L4" s="295">
        <f t="shared" ca="1" si="4"/>
        <v>33.548762766400003</v>
      </c>
      <c r="M4" s="295">
        <f t="shared" ca="1" si="4"/>
        <v>31.768516342000002</v>
      </c>
      <c r="N4" s="295">
        <f t="shared" ca="1" si="4"/>
        <v>32.664309128799999</v>
      </c>
      <c r="O4" s="295">
        <f t="shared" ca="1" si="4"/>
        <v>32.2107431608</v>
      </c>
      <c r="P4" s="311">
        <f t="shared" ca="1" si="4"/>
        <v>32.548082849499998</v>
      </c>
      <c r="Q4" s="295">
        <f t="shared" ca="1" si="4"/>
        <v>47.658428000000001</v>
      </c>
      <c r="R4" s="295">
        <f t="shared" ca="1" si="4"/>
        <v>54.410871999999998</v>
      </c>
      <c r="S4" s="295">
        <f t="shared" ca="1" si="4"/>
        <v>41.514704000000002</v>
      </c>
      <c r="T4" s="295">
        <f t="shared" ca="1" si="4"/>
        <v>33.518732</v>
      </c>
      <c r="U4" s="311">
        <f t="shared" ca="1" si="4"/>
        <v>44.275683999999998</v>
      </c>
      <c r="V4" s="295">
        <f t="shared" ca="1" si="4"/>
        <v>24.4826086956522</v>
      </c>
      <c r="W4" s="295">
        <f t="shared" ca="1" si="4"/>
        <v>26.9</v>
      </c>
      <c r="X4" s="295">
        <f t="shared" ca="1" si="4"/>
        <v>29.226086956521701</v>
      </c>
      <c r="Y4" s="295">
        <f t="shared" ca="1" si="4"/>
        <v>31.0695652173913</v>
      </c>
      <c r="Z4" s="284">
        <f t="shared" ca="1" si="4"/>
        <v>27.919565217391298</v>
      </c>
      <c r="AA4" s="295">
        <f t="shared" ca="1" si="4"/>
        <v>27.634782608695701</v>
      </c>
      <c r="AB4" s="295">
        <f t="shared" ca="1" si="4"/>
        <v>27.4</v>
      </c>
      <c r="AC4" s="295">
        <f t="shared" ca="1" si="4"/>
        <v>24.595652173912999</v>
      </c>
      <c r="AD4" s="295">
        <f t="shared" ca="1" si="4"/>
        <v>32.182608695652199</v>
      </c>
      <c r="AE4" s="284">
        <f t="shared" ca="1" si="4"/>
        <v>27.953260869565199</v>
      </c>
      <c r="AF4" s="295">
        <f t="shared" ca="1" si="4"/>
        <v>34.875340983606598</v>
      </c>
      <c r="AG4" s="295">
        <f t="shared" ca="1" si="4"/>
        <v>30.973424999999999</v>
      </c>
      <c r="AH4" s="295">
        <f t="shared" ca="1" si="4"/>
        <v>35.524276190476201</v>
      </c>
      <c r="AI4" s="295">
        <f t="shared" ref="AI4:BB4" ca="1" si="5">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31.485012698412699</v>
      </c>
      <c r="AJ4" s="284">
        <f t="shared" ca="1" si="5"/>
        <v>33.192351394422303</v>
      </c>
      <c r="AK4" s="295">
        <f t="shared" ca="1" si="5"/>
        <v>31.982459016393499</v>
      </c>
      <c r="AL4" s="295">
        <f t="shared" ca="1" si="5"/>
        <v>37.7184920634921</v>
      </c>
      <c r="AM4" s="295">
        <f t="shared" ca="1" si="5"/>
        <v>32.211953125000001</v>
      </c>
      <c r="AN4" s="295">
        <f t="shared" ca="1" si="5"/>
        <v>29.465468749999999</v>
      </c>
      <c r="AO4" s="284">
        <f t="shared" ca="1" si="5"/>
        <v>32.8355158730159</v>
      </c>
      <c r="AP4" s="295">
        <f ca="1">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21.5854838709677</v>
      </c>
      <c r="AQ4" s="351">
        <f ca="1">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9.3803968253968204</v>
      </c>
      <c r="AR4" s="99">
        <f t="shared" ca="1" si="5"/>
        <v>10.119999999999999</v>
      </c>
      <c r="AS4" s="99">
        <f t="shared" ca="1" si="5"/>
        <v>10.119999999999999</v>
      </c>
      <c r="AT4" s="100">
        <f t="shared" ca="1" si="5"/>
        <v>10.119999999999999</v>
      </c>
      <c r="AU4" s="99">
        <f t="shared" ca="1" si="5"/>
        <v>10.119999999999999</v>
      </c>
      <c r="AV4" s="99">
        <f t="shared" ca="1" si="5"/>
        <v>10.119999999999999</v>
      </c>
      <c r="AW4" s="99">
        <f t="shared" ca="1" si="5"/>
        <v>10.119999999999999</v>
      </c>
      <c r="AX4" s="99">
        <f t="shared" ca="1" si="5"/>
        <v>10.119999999999999</v>
      </c>
      <c r="AY4" s="100">
        <f t="shared" ca="1" si="5"/>
        <v>10.119999999999999</v>
      </c>
      <c r="AZ4" s="100">
        <f t="shared" ca="1" si="5"/>
        <v>10.119999999999999</v>
      </c>
      <c r="BA4" s="100">
        <f t="shared" ca="1" si="5"/>
        <v>10.119999999999999</v>
      </c>
      <c r="BB4" s="100">
        <f t="shared" ca="1" si="5"/>
        <v>10.119999999999999</v>
      </c>
      <c r="BC4" s="111"/>
    </row>
    <row r="5" spans="1:55" s="63" customFormat="1">
      <c r="A5" s="182" t="str">
        <f>INDEX(MO_RIS_ShareCount_WAD_Adj,0,COLUMN())</f>
        <v>Adjusted Shares Outstanding - WAD</v>
      </c>
      <c r="B5" s="183"/>
      <c r="C5" s="563">
        <f t="shared" ref="C5:AH5" si="6">INDEX(MO_RIS_ShareCount_WAD_Adj,0,COLUMN())</f>
        <v>27.491899999999998</v>
      </c>
      <c r="D5" s="563">
        <f t="shared" si="6"/>
        <v>30.330099999999995</v>
      </c>
      <c r="E5" s="563">
        <f t="shared" si="6"/>
        <v>30.990199999999998</v>
      </c>
      <c r="F5" s="563">
        <f t="shared" si="6"/>
        <v>33.337350000000001</v>
      </c>
      <c r="G5" s="564">
        <f t="shared" si="6"/>
        <v>25.42765</v>
      </c>
      <c r="H5" s="564">
        <f t="shared" si="6"/>
        <v>25.421900000000001</v>
      </c>
      <c r="I5" s="564">
        <f t="shared" si="6"/>
        <v>29.855149999999995</v>
      </c>
      <c r="J5" s="564">
        <f t="shared" si="6"/>
        <v>30.193249999999995</v>
      </c>
      <c r="K5" s="563">
        <f t="shared" si="6"/>
        <v>33.620249999999999</v>
      </c>
      <c r="L5" s="564">
        <f t="shared" si="6"/>
        <v>30.534799999999997</v>
      </c>
      <c r="M5" s="564">
        <f t="shared" si="6"/>
        <v>30.518699999999999</v>
      </c>
      <c r="N5" s="564">
        <f t="shared" si="6"/>
        <v>34.475849999999994</v>
      </c>
      <c r="O5" s="564">
        <f t="shared" si="6"/>
        <v>34.467799999999997</v>
      </c>
      <c r="P5" s="563">
        <f t="shared" si="6"/>
        <v>34.455149999999996</v>
      </c>
      <c r="Q5" s="564">
        <f t="shared" si="6"/>
        <v>34.646049999999995</v>
      </c>
      <c r="R5" s="564">
        <f t="shared" si="6"/>
        <v>34.664449999999995</v>
      </c>
      <c r="S5" s="564">
        <f t="shared" si="6"/>
        <v>34.634549999999997</v>
      </c>
      <c r="T5" s="564">
        <f t="shared" si="6"/>
        <v>34.715049999999998</v>
      </c>
      <c r="U5" s="563">
        <f t="shared" si="6"/>
        <v>34.664449999999995</v>
      </c>
      <c r="V5" s="564">
        <f t="shared" si="6"/>
        <v>34.843849999999996</v>
      </c>
      <c r="W5" s="564">
        <f t="shared" si="6"/>
        <v>34.774850000000001</v>
      </c>
      <c r="X5" s="564">
        <f t="shared" si="6"/>
        <v>34.279199999999996</v>
      </c>
      <c r="Y5" s="564">
        <f t="shared" si="6"/>
        <v>34.203299999999999</v>
      </c>
      <c r="Z5" s="563">
        <f t="shared" si="6"/>
        <v>34.536799999999999</v>
      </c>
      <c r="AA5" s="564">
        <f t="shared" si="6"/>
        <v>34.709299999999999</v>
      </c>
      <c r="AB5" s="564">
        <f t="shared" si="6"/>
        <v>34.602349999999994</v>
      </c>
      <c r="AC5" s="564">
        <f t="shared" si="6"/>
        <v>33.349999999999994</v>
      </c>
      <c r="AD5" s="564">
        <f t="shared" si="6"/>
        <v>32.21725</v>
      </c>
      <c r="AE5" s="563">
        <f t="shared" si="6"/>
        <v>33.717999999999996</v>
      </c>
      <c r="AF5" s="564">
        <f t="shared" si="6"/>
        <v>33.014199999999995</v>
      </c>
      <c r="AG5" s="564">
        <f t="shared" si="6"/>
        <v>33.068249999999999</v>
      </c>
      <c r="AH5" s="564">
        <f t="shared" si="6"/>
        <v>32.969000000000001</v>
      </c>
      <c r="AI5" s="564">
        <f t="shared" ref="AI5:BB5" si="7">INDEX(MO_RIS_ShareCount_WAD_Adj,0,COLUMN())</f>
        <v>33.344000000000001</v>
      </c>
      <c r="AJ5" s="563">
        <f t="shared" si="7"/>
        <v>33.136000000000003</v>
      </c>
      <c r="AK5" s="564">
        <f t="shared" si="7"/>
        <v>33.213999999999999</v>
      </c>
      <c r="AL5" s="564">
        <f t="shared" si="7"/>
        <v>33.174999999999997</v>
      </c>
      <c r="AM5" s="564">
        <f t="shared" si="7"/>
        <v>32.582999999999998</v>
      </c>
      <c r="AN5" s="564">
        <f t="shared" si="7"/>
        <v>30.919</v>
      </c>
      <c r="AO5" s="563">
        <f t="shared" si="7"/>
        <v>32.459000000000003</v>
      </c>
      <c r="AP5" s="564">
        <f>INDEX(MO_RIS_ShareCount_WAD_Adj,0,COLUMN())</f>
        <v>30.814</v>
      </c>
      <c r="AQ5" s="565">
        <f>INDEX(MO_RIS_ShareCount_WAD_Adj,0,COLUMN())</f>
        <v>30.756</v>
      </c>
      <c r="AR5" s="566">
        <f t="shared" ca="1" si="7"/>
        <v>30.756</v>
      </c>
      <c r="AS5" s="566">
        <f t="shared" ca="1" si="7"/>
        <v>30.756</v>
      </c>
      <c r="AT5" s="567">
        <f t="shared" ca="1" si="7"/>
        <v>30.770499999999998</v>
      </c>
      <c r="AU5" s="566">
        <f t="shared" ca="1" si="7"/>
        <v>30.756</v>
      </c>
      <c r="AV5" s="566">
        <f t="shared" ca="1" si="7"/>
        <v>30.756</v>
      </c>
      <c r="AW5" s="566">
        <f t="shared" ca="1" si="7"/>
        <v>30.756</v>
      </c>
      <c r="AX5" s="566">
        <f t="shared" ca="1" si="7"/>
        <v>30.756</v>
      </c>
      <c r="AY5" s="567">
        <f t="shared" ca="1" si="7"/>
        <v>30.756</v>
      </c>
      <c r="AZ5" s="567">
        <f t="shared" ca="1" si="7"/>
        <v>30.756</v>
      </c>
      <c r="BA5" s="567">
        <f t="shared" ca="1" si="7"/>
        <v>30.756</v>
      </c>
      <c r="BB5" s="567">
        <f t="shared" ca="1" si="7"/>
        <v>30.756</v>
      </c>
      <c r="BC5" s="531"/>
    </row>
    <row r="6" spans="1:55" s="65" customFormat="1">
      <c r="A6" s="184" t="str">
        <f>"Market Cap - "&amp;SP.ValuationToggle</f>
        <v>Market Cap - Avg</v>
      </c>
      <c r="B6" s="185"/>
      <c r="C6" s="568">
        <f t="shared" ref="C6:AH6" ca="1" si="8">INDEX(SP_CS_StockPrice,0,COLUMN())*INDEX(SP_CS_ShareCount,0,COLUMN())</f>
        <v>109.79260814217633</v>
      </c>
      <c r="D6" s="568">
        <f t="shared" ca="1" si="8"/>
        <v>201.59997193166896</v>
      </c>
      <c r="E6" s="568">
        <f t="shared" ca="1" si="8"/>
        <v>464.00212545715749</v>
      </c>
      <c r="F6" s="568">
        <f t="shared" ca="1" si="8"/>
        <v>486.78144947115459</v>
      </c>
      <c r="G6" s="569">
        <f t="shared" ca="1" si="8"/>
        <v>421.34319626972865</v>
      </c>
      <c r="H6" s="569">
        <f t="shared" ca="1" si="8"/>
        <v>532.03688809729897</v>
      </c>
      <c r="I6" s="569">
        <f t="shared" ca="1" si="8"/>
        <v>841.81624059277146</v>
      </c>
      <c r="J6" s="569">
        <f t="shared" ca="1" si="8"/>
        <v>1048.2098553546452</v>
      </c>
      <c r="K6" s="568">
        <f t="shared" ca="1" si="8"/>
        <v>843.96868088818962</v>
      </c>
      <c r="L6" s="569">
        <f t="shared" ca="1" si="8"/>
        <v>1024.4047613194707</v>
      </c>
      <c r="M6" s="569">
        <f t="shared" ca="1" si="8"/>
        <v>969.53381968659539</v>
      </c>
      <c r="N6" s="569">
        <f t="shared" ca="1" si="8"/>
        <v>1126.1298218781392</v>
      </c>
      <c r="O6" s="569">
        <f t="shared" ca="1" si="8"/>
        <v>1110.2334531178221</v>
      </c>
      <c r="P6" s="568">
        <f t="shared" ca="1" si="8"/>
        <v>1121.4490767919497</v>
      </c>
      <c r="Q6" s="569">
        <f t="shared" ca="1" si="8"/>
        <v>1651.1762794093997</v>
      </c>
      <c r="R6" s="569">
        <f t="shared" ca="1" si="8"/>
        <v>1886.1229519003996</v>
      </c>
      <c r="S6" s="569">
        <f t="shared" ca="1" si="8"/>
        <v>1437.8430914231999</v>
      </c>
      <c r="T6" s="569">
        <f t="shared" ca="1" si="8"/>
        <v>1163.6044573166</v>
      </c>
      <c r="U6" s="568">
        <f t="shared" ca="1" si="8"/>
        <v>1534.7922342337997</v>
      </c>
      <c r="V6" s="569">
        <f t="shared" ca="1" si="8"/>
        <v>853.06834500000082</v>
      </c>
      <c r="W6" s="569">
        <f t="shared" ca="1" si="8"/>
        <v>935.44346499999995</v>
      </c>
      <c r="X6" s="569">
        <f t="shared" ca="1" si="8"/>
        <v>1001.8468799999986</v>
      </c>
      <c r="Y6" s="569">
        <f t="shared" ca="1" si="8"/>
        <v>1062.6816599999997</v>
      </c>
      <c r="Z6" s="568">
        <f t="shared" ca="1" si="8"/>
        <v>964.25243999999975</v>
      </c>
      <c r="AA6" s="569">
        <f t="shared" ca="1" si="8"/>
        <v>959.18396000000166</v>
      </c>
      <c r="AB6" s="569">
        <f t="shared" ca="1" si="8"/>
        <v>948.10438999999974</v>
      </c>
      <c r="AC6" s="569">
        <f t="shared" ca="1" si="8"/>
        <v>820.26499999999839</v>
      </c>
      <c r="AD6" s="569">
        <f t="shared" ca="1" si="8"/>
        <v>1036.8351500000008</v>
      </c>
      <c r="AE6" s="568">
        <f t="shared" ca="1" si="8"/>
        <v>942.52804999999933</v>
      </c>
      <c r="AF6" s="569">
        <f t="shared" ca="1" si="8"/>
        <v>1151.3814823009848</v>
      </c>
      <c r="AG6" s="569">
        <f t="shared" ca="1" si="8"/>
        <v>1024.23696125625</v>
      </c>
      <c r="AH6" s="569">
        <f t="shared" ca="1" si="8"/>
        <v>1171.1998617238098</v>
      </c>
      <c r="AI6" s="569">
        <f t="shared" ref="AI6:BB6" ca="1" si="9">INDEX(SP_CS_StockPrice,0,COLUMN())*INDEX(SP_CS_ShareCount,0,COLUMN())</f>
        <v>1049.8362634158732</v>
      </c>
      <c r="AJ6" s="568">
        <f t="shared" ca="1" si="9"/>
        <v>1099.8617558055776</v>
      </c>
      <c r="AK6" s="569">
        <f t="shared" ca="1" si="9"/>
        <v>1062.2653937704936</v>
      </c>
      <c r="AL6" s="569">
        <f t="shared" ca="1" si="9"/>
        <v>1251.3109742063502</v>
      </c>
      <c r="AM6" s="569">
        <f t="shared" ca="1" si="9"/>
        <v>1049.5620686718751</v>
      </c>
      <c r="AN6" s="569">
        <f t="shared" ca="1" si="9"/>
        <v>911.04282828124997</v>
      </c>
      <c r="AO6" s="568">
        <f t="shared" ca="1" si="9"/>
        <v>1065.8080097222232</v>
      </c>
      <c r="AP6" s="569">
        <f ca="1">INDEX(SP_CS_StockPrice,0,COLUMN())*INDEX(SP_CS_ShareCount,0,COLUMN())</f>
        <v>665.13509999999872</v>
      </c>
      <c r="AQ6" s="570">
        <f ca="1">INDEX(SP_CS_StockPrice,0,COLUMN())*INDEX(SP_CS_ShareCount,0,COLUMN())</f>
        <v>288.50348476190459</v>
      </c>
      <c r="AR6" s="569">
        <f t="shared" ca="1" si="9"/>
        <v>311.25072</v>
      </c>
      <c r="AS6" s="569">
        <f t="shared" ca="1" si="9"/>
        <v>311.25072</v>
      </c>
      <c r="AT6" s="568">
        <f t="shared" ca="1" si="9"/>
        <v>311.39745999999997</v>
      </c>
      <c r="AU6" s="569">
        <f t="shared" ca="1" si="9"/>
        <v>311.25072</v>
      </c>
      <c r="AV6" s="569">
        <f t="shared" ca="1" si="9"/>
        <v>311.25072</v>
      </c>
      <c r="AW6" s="569">
        <f t="shared" ca="1" si="9"/>
        <v>311.25072</v>
      </c>
      <c r="AX6" s="569">
        <f t="shared" ca="1" si="9"/>
        <v>311.25072</v>
      </c>
      <c r="AY6" s="568">
        <f t="shared" ca="1" si="9"/>
        <v>311.25072</v>
      </c>
      <c r="AZ6" s="568">
        <f t="shared" ca="1" si="9"/>
        <v>311.25072</v>
      </c>
      <c r="BA6" s="568">
        <f t="shared" ca="1" si="9"/>
        <v>311.25072</v>
      </c>
      <c r="BB6" s="568">
        <f t="shared" ca="1" si="9"/>
        <v>311.25072</v>
      </c>
      <c r="BC6" s="532"/>
    </row>
    <row r="7" spans="1:55" s="63" customFormat="1">
      <c r="A7" s="182" t="str">
        <f>INDEX(MO_BSS_Cash,0,COLUMN())</f>
        <v>Cash</v>
      </c>
      <c r="B7" s="183"/>
      <c r="C7" s="563">
        <f t="shared" ref="C7:AH7" si="10">INDEX(MO_BSS_Cash,0,COLUMN())</f>
        <v>14.949</v>
      </c>
      <c r="D7" s="563">
        <f t="shared" si="10"/>
        <v>22.709</v>
      </c>
      <c r="E7" s="563">
        <f t="shared" si="10"/>
        <v>10.919</v>
      </c>
      <c r="F7" s="563">
        <f t="shared" si="10"/>
        <v>7.38</v>
      </c>
      <c r="G7" s="564">
        <f t="shared" si="10"/>
        <v>17.797999999999998</v>
      </c>
      <c r="H7" s="564">
        <f t="shared" si="10"/>
        <v>16.535</v>
      </c>
      <c r="I7" s="564">
        <f t="shared" si="10"/>
        <v>68.186000000000007</v>
      </c>
      <c r="J7" s="564">
        <f t="shared" si="10"/>
        <v>54.634999999999998</v>
      </c>
      <c r="K7" s="563">
        <f t="shared" si="10"/>
        <v>54.634999999999998</v>
      </c>
      <c r="L7" s="564">
        <f t="shared" si="10"/>
        <v>29.117000000000001</v>
      </c>
      <c r="M7" s="564">
        <f t="shared" si="10"/>
        <v>20.824999999999999</v>
      </c>
      <c r="N7" s="564">
        <f t="shared" si="10"/>
        <v>24.928000000000001</v>
      </c>
      <c r="O7" s="564">
        <f t="shared" si="10"/>
        <v>21.196999999999999</v>
      </c>
      <c r="P7" s="563">
        <f t="shared" si="10"/>
        <v>21.196999999999999</v>
      </c>
      <c r="Q7" s="564">
        <f t="shared" si="10"/>
        <v>22.562999999999999</v>
      </c>
      <c r="R7" s="564">
        <f t="shared" si="10"/>
        <v>23.766999999999999</v>
      </c>
      <c r="S7" s="564">
        <f t="shared" si="10"/>
        <v>22.433</v>
      </c>
      <c r="T7" s="564">
        <f t="shared" si="10"/>
        <v>18.561</v>
      </c>
      <c r="U7" s="563">
        <f t="shared" si="10"/>
        <v>18.561</v>
      </c>
      <c r="V7" s="564">
        <f t="shared" si="10"/>
        <v>15.791</v>
      </c>
      <c r="W7" s="564">
        <f t="shared" si="10"/>
        <v>20.411000000000001</v>
      </c>
      <c r="X7" s="564">
        <f t="shared" si="10"/>
        <v>13.278</v>
      </c>
      <c r="Y7" s="564">
        <f t="shared" si="10"/>
        <v>17.901</v>
      </c>
      <c r="Z7" s="563">
        <f t="shared" si="10"/>
        <v>17.901</v>
      </c>
      <c r="AA7" s="564">
        <f t="shared" si="10"/>
        <v>10.763</v>
      </c>
      <c r="AB7" s="564">
        <f t="shared" si="10"/>
        <v>8.2680000000000007</v>
      </c>
      <c r="AC7" s="564">
        <f t="shared" si="10"/>
        <v>15.377000000000001</v>
      </c>
      <c r="AD7" s="564">
        <f t="shared" si="10"/>
        <v>17.914000000000001</v>
      </c>
      <c r="AE7" s="563">
        <f t="shared" si="10"/>
        <v>17.914000000000001</v>
      </c>
      <c r="AF7" s="564">
        <f t="shared" si="10"/>
        <v>16.387</v>
      </c>
      <c r="AG7" s="564">
        <f t="shared" si="10"/>
        <v>10.608000000000001</v>
      </c>
      <c r="AH7" s="564">
        <f t="shared" si="10"/>
        <v>4.8929999999999998</v>
      </c>
      <c r="AI7" s="564">
        <f t="shared" ref="AI7:BB7" si="11">INDEX(MO_BSS_Cash,0,COLUMN())</f>
        <v>16.622</v>
      </c>
      <c r="AJ7" s="563">
        <f t="shared" si="11"/>
        <v>16.622</v>
      </c>
      <c r="AK7" s="564">
        <f t="shared" si="11"/>
        <v>15.965999999999999</v>
      </c>
      <c r="AL7" s="564">
        <f t="shared" si="11"/>
        <v>17.106000000000002</v>
      </c>
      <c r="AM7" s="564">
        <f t="shared" si="11"/>
        <v>22.795000000000002</v>
      </c>
      <c r="AN7" s="564">
        <f t="shared" si="11"/>
        <v>31.905999999999999</v>
      </c>
      <c r="AO7" s="563">
        <f t="shared" si="11"/>
        <v>31.905999999999999</v>
      </c>
      <c r="AP7" s="564">
        <f>INDEX(MO_BSS_Cash,0,COLUMN())</f>
        <v>188.364</v>
      </c>
      <c r="AQ7" s="565">
        <f>INDEX(MO_BSS_Cash,0,COLUMN())</f>
        <v>46.639000000000003</v>
      </c>
      <c r="AR7" s="566">
        <f t="shared" ca="1" si="11"/>
        <v>74.712711769929314</v>
      </c>
      <c r="AS7" s="566">
        <f t="shared" ca="1" si="11"/>
        <v>100.6811694882748</v>
      </c>
      <c r="AT7" s="567">
        <f t="shared" ca="1" si="11"/>
        <v>100.6811694882748</v>
      </c>
      <c r="AU7" s="566">
        <f t="shared" ca="1" si="11"/>
        <v>103.52345006076395</v>
      </c>
      <c r="AV7" s="566">
        <f t="shared" ca="1" si="11"/>
        <v>86.912606386816279</v>
      </c>
      <c r="AW7" s="566">
        <f t="shared" ca="1" si="11"/>
        <v>72.402456654558193</v>
      </c>
      <c r="AX7" s="566">
        <f t="shared" ca="1" si="11"/>
        <v>79.572766450805119</v>
      </c>
      <c r="AY7" s="567">
        <f t="shared" ca="1" si="11"/>
        <v>79.572766450805119</v>
      </c>
      <c r="AZ7" s="567">
        <f t="shared" ca="1" si="11"/>
        <v>139.80017026561234</v>
      </c>
      <c r="BA7" s="567">
        <f t="shared" ca="1" si="11"/>
        <v>123.50392501616143</v>
      </c>
      <c r="BB7" s="567">
        <f t="shared" ca="1" si="11"/>
        <v>320.50374254579123</v>
      </c>
      <c r="BC7" s="531"/>
    </row>
    <row r="8" spans="1:55" s="63" customFormat="1">
      <c r="A8" s="182" t="str">
        <f>INDEX(MO_BSS_Debt,0,COLUMN())</f>
        <v>Debt</v>
      </c>
      <c r="B8" s="183"/>
      <c r="C8" s="563">
        <f t="shared" ref="C8:AH8" si="12">INDEX(MO_BSS_Debt,0,COLUMN())</f>
        <v>44.775999999999996</v>
      </c>
      <c r="D8" s="563">
        <f t="shared" si="12"/>
        <v>38.578000000000003</v>
      </c>
      <c r="E8" s="563">
        <f t="shared" si="12"/>
        <v>33.262999999999998</v>
      </c>
      <c r="F8" s="563">
        <f t="shared" si="12"/>
        <v>29.983000000000001</v>
      </c>
      <c r="G8" s="564">
        <f t="shared" si="12"/>
        <v>27.932000000000002</v>
      </c>
      <c r="H8" s="564">
        <f t="shared" si="12"/>
        <v>25.475000000000001</v>
      </c>
      <c r="I8" s="564">
        <f t="shared" si="12"/>
        <v>198.66900000000001</v>
      </c>
      <c r="J8" s="564">
        <f t="shared" si="12"/>
        <v>200.32</v>
      </c>
      <c r="K8" s="563">
        <f t="shared" si="12"/>
        <v>200.32</v>
      </c>
      <c r="L8" s="564">
        <f t="shared" si="12"/>
        <v>268.41800000000001</v>
      </c>
      <c r="M8" s="564">
        <f t="shared" si="12"/>
        <v>245.61799999999999</v>
      </c>
      <c r="N8" s="564">
        <f t="shared" si="12"/>
        <v>212.643</v>
      </c>
      <c r="O8" s="564">
        <f t="shared" si="12"/>
        <v>183.00799999999998</v>
      </c>
      <c r="P8" s="563">
        <f t="shared" si="12"/>
        <v>183.00799999999998</v>
      </c>
      <c r="Q8" s="564">
        <f t="shared" si="12"/>
        <v>216.75699999999998</v>
      </c>
      <c r="R8" s="564">
        <f t="shared" si="12"/>
        <v>231.17099999999999</v>
      </c>
      <c r="S8" s="564">
        <f t="shared" si="12"/>
        <v>208.53399999999999</v>
      </c>
      <c r="T8" s="564">
        <f t="shared" si="12"/>
        <v>169.78900000000002</v>
      </c>
      <c r="U8" s="563">
        <f t="shared" si="12"/>
        <v>169.78900000000002</v>
      </c>
      <c r="V8" s="564">
        <f t="shared" si="12"/>
        <v>172.34599999999998</v>
      </c>
      <c r="W8" s="564">
        <f t="shared" si="12"/>
        <v>166.589</v>
      </c>
      <c r="X8" s="564">
        <f t="shared" si="12"/>
        <v>163.99100000000001</v>
      </c>
      <c r="Y8" s="564">
        <f t="shared" si="12"/>
        <v>148.12</v>
      </c>
      <c r="Z8" s="563">
        <f t="shared" si="12"/>
        <v>148.12</v>
      </c>
      <c r="AA8" s="564">
        <f t="shared" si="12"/>
        <v>141.49599999999998</v>
      </c>
      <c r="AB8" s="564">
        <f t="shared" si="12"/>
        <v>162.96600000000001</v>
      </c>
      <c r="AC8" s="564">
        <f t="shared" si="12"/>
        <v>177.34699999999998</v>
      </c>
      <c r="AD8" s="564">
        <f t="shared" si="12"/>
        <v>271.767</v>
      </c>
      <c r="AE8" s="563">
        <f t="shared" si="12"/>
        <v>271.767</v>
      </c>
      <c r="AF8" s="564">
        <f t="shared" si="12"/>
        <v>276.10500000000002</v>
      </c>
      <c r="AG8" s="564">
        <f t="shared" si="12"/>
        <v>265.34499999999997</v>
      </c>
      <c r="AH8" s="564">
        <f t="shared" si="12"/>
        <v>259.64499999999998</v>
      </c>
      <c r="AI8" s="564">
        <f t="shared" ref="AI8:BB8" si="13">INDEX(MO_BSS_Debt,0,COLUMN())</f>
        <v>233.982</v>
      </c>
      <c r="AJ8" s="563">
        <f t="shared" si="13"/>
        <v>233.982</v>
      </c>
      <c r="AK8" s="564">
        <f t="shared" si="13"/>
        <v>115.306</v>
      </c>
      <c r="AL8" s="564">
        <f t="shared" si="13"/>
        <v>122.283</v>
      </c>
      <c r="AM8" s="564">
        <f t="shared" si="13"/>
        <v>180.24600000000001</v>
      </c>
      <c r="AN8" s="564">
        <f t="shared" si="13"/>
        <v>188.22399999999999</v>
      </c>
      <c r="AO8" s="563">
        <f t="shared" si="13"/>
        <v>188.22399999999999</v>
      </c>
      <c r="AP8" s="564">
        <f>INDEX(MO_BSS_Debt,0,COLUMN())</f>
        <v>333.22300000000001</v>
      </c>
      <c r="AQ8" s="565">
        <f>INDEX(MO_BSS_Debt,0,COLUMN())</f>
        <v>173.22399999999999</v>
      </c>
      <c r="AR8" s="566">
        <f t="shared" si="13"/>
        <v>173.22399999999999</v>
      </c>
      <c r="AS8" s="566">
        <f t="shared" si="13"/>
        <v>173.22399999999999</v>
      </c>
      <c r="AT8" s="567">
        <f t="shared" si="13"/>
        <v>173.22399999999999</v>
      </c>
      <c r="AU8" s="566">
        <f t="shared" si="13"/>
        <v>173.22399999999999</v>
      </c>
      <c r="AV8" s="566">
        <f t="shared" si="13"/>
        <v>173.22399999999999</v>
      </c>
      <c r="AW8" s="566">
        <f t="shared" si="13"/>
        <v>173.22399999999999</v>
      </c>
      <c r="AX8" s="566">
        <f t="shared" si="13"/>
        <v>173.22399999999999</v>
      </c>
      <c r="AY8" s="567">
        <f t="shared" si="13"/>
        <v>173.22399999999999</v>
      </c>
      <c r="AZ8" s="567">
        <f t="shared" si="13"/>
        <v>173.22399999999999</v>
      </c>
      <c r="BA8" s="567">
        <f t="shared" si="13"/>
        <v>173.22399999999999</v>
      </c>
      <c r="BB8" s="567">
        <f t="shared" si="13"/>
        <v>173.22399999999999</v>
      </c>
      <c r="BC8" s="531"/>
    </row>
    <row r="9" spans="1:55" s="63" customFormat="1">
      <c r="A9" s="182" t="s">
        <v>461</v>
      </c>
      <c r="B9" s="183"/>
      <c r="C9" s="563">
        <f t="shared" ref="C9:AH9" si="14">INDEX(MO_BSS_OL,0,COLUMN())</f>
        <v>0</v>
      </c>
      <c r="D9" s="563">
        <f t="shared" si="14"/>
        <v>0</v>
      </c>
      <c r="E9" s="563">
        <f t="shared" si="14"/>
        <v>0</v>
      </c>
      <c r="F9" s="563">
        <f t="shared" si="14"/>
        <v>0</v>
      </c>
      <c r="G9" s="564">
        <f t="shared" si="14"/>
        <v>0</v>
      </c>
      <c r="H9" s="564">
        <f t="shared" si="14"/>
        <v>0</v>
      </c>
      <c r="I9" s="564">
        <f t="shared" si="14"/>
        <v>0</v>
      </c>
      <c r="J9" s="564">
        <f t="shared" si="14"/>
        <v>0</v>
      </c>
      <c r="K9" s="563">
        <f t="shared" si="14"/>
        <v>0</v>
      </c>
      <c r="L9" s="564">
        <f t="shared" si="14"/>
        <v>0</v>
      </c>
      <c r="M9" s="564">
        <f t="shared" si="14"/>
        <v>0</v>
      </c>
      <c r="N9" s="564">
        <f t="shared" si="14"/>
        <v>0</v>
      </c>
      <c r="O9" s="564">
        <f t="shared" si="14"/>
        <v>0</v>
      </c>
      <c r="P9" s="563">
        <f t="shared" si="14"/>
        <v>0</v>
      </c>
      <c r="Q9" s="564">
        <f t="shared" si="14"/>
        <v>0</v>
      </c>
      <c r="R9" s="564">
        <f t="shared" si="14"/>
        <v>0</v>
      </c>
      <c r="S9" s="564">
        <f t="shared" si="14"/>
        <v>0</v>
      </c>
      <c r="T9" s="564">
        <f t="shared" si="14"/>
        <v>0</v>
      </c>
      <c r="U9" s="563">
        <f t="shared" si="14"/>
        <v>0</v>
      </c>
      <c r="V9" s="564">
        <f t="shared" si="14"/>
        <v>0</v>
      </c>
      <c r="W9" s="564">
        <f t="shared" si="14"/>
        <v>0</v>
      </c>
      <c r="X9" s="564">
        <f t="shared" si="14"/>
        <v>0</v>
      </c>
      <c r="Y9" s="564">
        <f t="shared" si="14"/>
        <v>0</v>
      </c>
      <c r="Z9" s="563">
        <f t="shared" si="14"/>
        <v>0</v>
      </c>
      <c r="AA9" s="564">
        <f t="shared" si="14"/>
        <v>0</v>
      </c>
      <c r="AB9" s="564">
        <f t="shared" si="14"/>
        <v>0</v>
      </c>
      <c r="AC9" s="564">
        <f t="shared" si="14"/>
        <v>0</v>
      </c>
      <c r="AD9" s="564">
        <f t="shared" si="14"/>
        <v>0</v>
      </c>
      <c r="AE9" s="563">
        <f t="shared" si="14"/>
        <v>0</v>
      </c>
      <c r="AF9" s="564">
        <f t="shared" si="14"/>
        <v>0</v>
      </c>
      <c r="AG9" s="564">
        <f t="shared" si="14"/>
        <v>0</v>
      </c>
      <c r="AH9" s="564">
        <f t="shared" si="14"/>
        <v>0</v>
      </c>
      <c r="AI9" s="564">
        <f t="shared" ref="AI9:BB9" si="15">INDEX(MO_BSS_OL,0,COLUMN())</f>
        <v>0</v>
      </c>
      <c r="AJ9" s="563">
        <f t="shared" si="15"/>
        <v>0</v>
      </c>
      <c r="AK9" s="564">
        <f t="shared" si="15"/>
        <v>0</v>
      </c>
      <c r="AL9" s="564">
        <f t="shared" si="15"/>
        <v>0</v>
      </c>
      <c r="AM9" s="564">
        <f t="shared" si="15"/>
        <v>0</v>
      </c>
      <c r="AN9" s="564">
        <f t="shared" si="15"/>
        <v>25.556000000000001</v>
      </c>
      <c r="AO9" s="563">
        <f t="shared" si="15"/>
        <v>25.556000000000001</v>
      </c>
      <c r="AP9" s="564">
        <f>INDEX(MO_BSS_OL,0,COLUMN())</f>
        <v>24.679000000000002</v>
      </c>
      <c r="AQ9" s="565">
        <f>INDEX(MO_BSS_OL,0,COLUMN())</f>
        <v>24.567</v>
      </c>
      <c r="AR9" s="566">
        <f t="shared" si="15"/>
        <v>24.567</v>
      </c>
      <c r="AS9" s="566">
        <f t="shared" si="15"/>
        <v>24.567</v>
      </c>
      <c r="AT9" s="567">
        <f t="shared" si="15"/>
        <v>24.567</v>
      </c>
      <c r="AU9" s="566">
        <f t="shared" si="15"/>
        <v>24.567</v>
      </c>
      <c r="AV9" s="566">
        <f t="shared" si="15"/>
        <v>24.567</v>
      </c>
      <c r="AW9" s="566">
        <f t="shared" si="15"/>
        <v>24.567</v>
      </c>
      <c r="AX9" s="566">
        <f t="shared" si="15"/>
        <v>24.567</v>
      </c>
      <c r="AY9" s="567">
        <f t="shared" si="15"/>
        <v>24.567</v>
      </c>
      <c r="AZ9" s="567">
        <f t="shared" si="15"/>
        <v>24.567</v>
      </c>
      <c r="BA9" s="567">
        <f t="shared" si="15"/>
        <v>24.567</v>
      </c>
      <c r="BB9" s="567">
        <f t="shared" si="15"/>
        <v>24.567</v>
      </c>
      <c r="BC9" s="531"/>
    </row>
    <row r="10" spans="1:55" s="63" customFormat="1">
      <c r="A10" s="182" t="s">
        <v>78</v>
      </c>
      <c r="B10" s="183"/>
      <c r="C10" s="563">
        <f t="shared" ref="C10:AH10" si="16">INDEX(MO_VA_EVCalc_NCI,0,COLUMN())+INDEX(MO_VA_EVCalc_Prefs,0,COLUMN())+INDEX(MO_VA_EVCalc_Other,0,COLUMN())</f>
        <v>0</v>
      </c>
      <c r="D10" s="563">
        <f t="shared" si="16"/>
        <v>0</v>
      </c>
      <c r="E10" s="563">
        <f t="shared" si="16"/>
        <v>0</v>
      </c>
      <c r="F10" s="563">
        <f t="shared" si="16"/>
        <v>0</v>
      </c>
      <c r="G10" s="564">
        <f t="shared" si="16"/>
        <v>0</v>
      </c>
      <c r="H10" s="564">
        <f t="shared" si="16"/>
        <v>0</v>
      </c>
      <c r="I10" s="564">
        <f t="shared" si="16"/>
        <v>0</v>
      </c>
      <c r="J10" s="564">
        <f t="shared" si="16"/>
        <v>0</v>
      </c>
      <c r="K10" s="563">
        <f t="shared" si="16"/>
        <v>0</v>
      </c>
      <c r="L10" s="564">
        <f t="shared" si="16"/>
        <v>0</v>
      </c>
      <c r="M10" s="564">
        <f t="shared" si="16"/>
        <v>0</v>
      </c>
      <c r="N10" s="564">
        <f t="shared" si="16"/>
        <v>0</v>
      </c>
      <c r="O10" s="564">
        <f t="shared" si="16"/>
        <v>0</v>
      </c>
      <c r="P10" s="563">
        <f t="shared" si="16"/>
        <v>0</v>
      </c>
      <c r="Q10" s="564">
        <f t="shared" si="16"/>
        <v>0</v>
      </c>
      <c r="R10" s="564">
        <f t="shared" si="16"/>
        <v>0</v>
      </c>
      <c r="S10" s="564">
        <f t="shared" si="16"/>
        <v>0</v>
      </c>
      <c r="T10" s="564">
        <f t="shared" si="16"/>
        <v>0</v>
      </c>
      <c r="U10" s="563">
        <f t="shared" si="16"/>
        <v>0</v>
      </c>
      <c r="V10" s="564">
        <f t="shared" si="16"/>
        <v>0</v>
      </c>
      <c r="W10" s="564">
        <f t="shared" si="16"/>
        <v>0</v>
      </c>
      <c r="X10" s="564">
        <f t="shared" si="16"/>
        <v>0</v>
      </c>
      <c r="Y10" s="564">
        <f t="shared" si="16"/>
        <v>0</v>
      </c>
      <c r="Z10" s="563">
        <f t="shared" si="16"/>
        <v>0</v>
      </c>
      <c r="AA10" s="564">
        <f t="shared" si="16"/>
        <v>0</v>
      </c>
      <c r="AB10" s="564">
        <f t="shared" si="16"/>
        <v>0</v>
      </c>
      <c r="AC10" s="564">
        <f t="shared" si="16"/>
        <v>0</v>
      </c>
      <c r="AD10" s="564">
        <f t="shared" si="16"/>
        <v>0</v>
      </c>
      <c r="AE10" s="563">
        <f t="shared" si="16"/>
        <v>0</v>
      </c>
      <c r="AF10" s="564">
        <f t="shared" si="16"/>
        <v>0</v>
      </c>
      <c r="AG10" s="564">
        <f t="shared" si="16"/>
        <v>0</v>
      </c>
      <c r="AH10" s="564">
        <f t="shared" si="16"/>
        <v>0</v>
      </c>
      <c r="AI10" s="564">
        <f t="shared" ref="AI10:BB10" si="17">INDEX(MO_VA_EVCalc_NCI,0,COLUMN())+INDEX(MO_VA_EVCalc_Prefs,0,COLUMN())+INDEX(MO_VA_EVCalc_Other,0,COLUMN())</f>
        <v>0</v>
      </c>
      <c r="AJ10" s="563">
        <f t="shared" si="17"/>
        <v>0</v>
      </c>
      <c r="AK10" s="564">
        <f t="shared" si="17"/>
        <v>0</v>
      </c>
      <c r="AL10" s="564">
        <f t="shared" si="17"/>
        <v>0</v>
      </c>
      <c r="AM10" s="564">
        <f t="shared" si="17"/>
        <v>0</v>
      </c>
      <c r="AN10" s="564">
        <f t="shared" si="17"/>
        <v>0</v>
      </c>
      <c r="AO10" s="563">
        <f t="shared" si="17"/>
        <v>0</v>
      </c>
      <c r="AP10" s="564">
        <f>INDEX(MO_VA_EVCalc_NCI,0,COLUMN())+INDEX(MO_VA_EVCalc_Prefs,0,COLUMN())+INDEX(MO_VA_EVCalc_Other,0,COLUMN())</f>
        <v>0</v>
      </c>
      <c r="AQ10" s="565">
        <f>INDEX(MO_VA_EVCalc_NCI,0,COLUMN())+INDEX(MO_VA_EVCalc_Prefs,0,COLUMN())+INDEX(MO_VA_EVCalc_Other,0,COLUMN())</f>
        <v>0</v>
      </c>
      <c r="AR10" s="566">
        <f t="shared" si="17"/>
        <v>0</v>
      </c>
      <c r="AS10" s="566">
        <f t="shared" si="17"/>
        <v>0</v>
      </c>
      <c r="AT10" s="567">
        <f t="shared" si="17"/>
        <v>0</v>
      </c>
      <c r="AU10" s="566">
        <f t="shared" si="17"/>
        <v>0</v>
      </c>
      <c r="AV10" s="566">
        <f t="shared" si="17"/>
        <v>0</v>
      </c>
      <c r="AW10" s="566">
        <f t="shared" si="17"/>
        <v>0</v>
      </c>
      <c r="AX10" s="566">
        <f t="shared" si="17"/>
        <v>0</v>
      </c>
      <c r="AY10" s="567">
        <f t="shared" si="17"/>
        <v>0</v>
      </c>
      <c r="AZ10" s="567">
        <f t="shared" si="17"/>
        <v>0</v>
      </c>
      <c r="BA10" s="567">
        <f t="shared" si="17"/>
        <v>0</v>
      </c>
      <c r="BB10" s="567">
        <f t="shared" si="17"/>
        <v>0</v>
      </c>
      <c r="BC10" s="531"/>
    </row>
    <row r="11" spans="1:55" s="65" customFormat="1">
      <c r="A11" s="184" t="str">
        <f>"Enterprise Value - "&amp;SP.ValuationToggle</f>
        <v>Enterprise Value - Avg</v>
      </c>
      <c r="B11" s="185"/>
      <c r="C11" s="568">
        <f t="shared" ref="C11:AH11" ca="1" si="18">INDEX(SP_CS_MarketCap,0,COLUMN())-INDEX(SP_CS_Cash,0,COLUMN())+INDEX(SP_CS_Debt,0,COLUMN())+INDEX(SP_CS_OL,0,COLUMN())+INDEX(SP_CS_EVCalc_Other,0,COLUMN())</f>
        <v>139.61960814217633</v>
      </c>
      <c r="D11" s="568">
        <f t="shared" ca="1" si="18"/>
        <v>217.46897193166896</v>
      </c>
      <c r="E11" s="568">
        <f t="shared" ca="1" si="18"/>
        <v>486.34612545715748</v>
      </c>
      <c r="F11" s="568">
        <f t="shared" ca="1" si="18"/>
        <v>509.3844494711546</v>
      </c>
      <c r="G11" s="569">
        <f t="shared" ca="1" si="18"/>
        <v>431.47719626972867</v>
      </c>
      <c r="H11" s="569">
        <f t="shared" ca="1" si="18"/>
        <v>540.97688809729902</v>
      </c>
      <c r="I11" s="569">
        <f t="shared" ca="1" si="18"/>
        <v>972.29924059277141</v>
      </c>
      <c r="J11" s="569">
        <f t="shared" ca="1" si="18"/>
        <v>1193.8948553546452</v>
      </c>
      <c r="K11" s="568">
        <f t="shared" ca="1" si="18"/>
        <v>989.65368088818968</v>
      </c>
      <c r="L11" s="569">
        <f t="shared" ca="1" si="18"/>
        <v>1263.7057613194706</v>
      </c>
      <c r="M11" s="569">
        <f t="shared" ca="1" si="18"/>
        <v>1194.3268196865954</v>
      </c>
      <c r="N11" s="569">
        <f t="shared" ca="1" si="18"/>
        <v>1313.8448218781391</v>
      </c>
      <c r="O11" s="569">
        <f t="shared" ca="1" si="18"/>
        <v>1272.0444531178223</v>
      </c>
      <c r="P11" s="568">
        <f t="shared" ca="1" si="18"/>
        <v>1283.2600767919498</v>
      </c>
      <c r="Q11" s="569">
        <f t="shared" ca="1" si="18"/>
        <v>1845.3702794093997</v>
      </c>
      <c r="R11" s="569">
        <f t="shared" ca="1" si="18"/>
        <v>2093.5269519003996</v>
      </c>
      <c r="S11" s="569">
        <f t="shared" ca="1" si="18"/>
        <v>1623.9440914232</v>
      </c>
      <c r="T11" s="569">
        <f t="shared" ca="1" si="18"/>
        <v>1314.8324573166001</v>
      </c>
      <c r="U11" s="568">
        <f t="shared" ca="1" si="18"/>
        <v>1686.0202342337998</v>
      </c>
      <c r="V11" s="569">
        <f t="shared" ca="1" si="18"/>
        <v>1009.6233450000008</v>
      </c>
      <c r="W11" s="569">
        <f t="shared" ca="1" si="18"/>
        <v>1081.6214649999999</v>
      </c>
      <c r="X11" s="569">
        <f t="shared" ca="1" si="18"/>
        <v>1152.5598799999987</v>
      </c>
      <c r="Y11" s="569">
        <f t="shared" ca="1" si="18"/>
        <v>1192.9006599999998</v>
      </c>
      <c r="Z11" s="568">
        <f t="shared" ca="1" si="18"/>
        <v>1094.4714399999998</v>
      </c>
      <c r="AA11" s="569">
        <f t="shared" ca="1" si="18"/>
        <v>1089.9169600000016</v>
      </c>
      <c r="AB11" s="569">
        <f t="shared" ca="1" si="18"/>
        <v>1102.8023899999998</v>
      </c>
      <c r="AC11" s="569">
        <f t="shared" ca="1" si="18"/>
        <v>982.23499999999842</v>
      </c>
      <c r="AD11" s="569">
        <f t="shared" ca="1" si="18"/>
        <v>1290.6881500000009</v>
      </c>
      <c r="AE11" s="568">
        <f t="shared" ca="1" si="18"/>
        <v>1196.3810499999993</v>
      </c>
      <c r="AF11" s="569">
        <f t="shared" ca="1" si="18"/>
        <v>1411.0994823009848</v>
      </c>
      <c r="AG11" s="569">
        <f t="shared" ca="1" si="18"/>
        <v>1278.97396125625</v>
      </c>
      <c r="AH11" s="569">
        <f t="shared" ca="1" si="18"/>
        <v>1425.9518617238098</v>
      </c>
      <c r="AI11" s="569">
        <f t="shared" ref="AI11:BB11" ca="1" si="19">INDEX(SP_CS_MarketCap,0,COLUMN())-INDEX(SP_CS_Cash,0,COLUMN())+INDEX(SP_CS_Debt,0,COLUMN())+INDEX(SP_CS_OL,0,COLUMN())+INDEX(SP_CS_EVCalc_Other,0,COLUMN())</f>
        <v>1267.1962634158731</v>
      </c>
      <c r="AJ11" s="568">
        <f t="shared" ca="1" si="19"/>
        <v>1317.2217558055775</v>
      </c>
      <c r="AK11" s="569">
        <f t="shared" ca="1" si="19"/>
        <v>1161.6053937704937</v>
      </c>
      <c r="AL11" s="569">
        <f t="shared" ca="1" si="19"/>
        <v>1356.4879742063501</v>
      </c>
      <c r="AM11" s="569">
        <f t="shared" ca="1" si="19"/>
        <v>1207.0130686718751</v>
      </c>
      <c r="AN11" s="569">
        <f t="shared" ca="1" si="19"/>
        <v>1092.91682828125</v>
      </c>
      <c r="AO11" s="568">
        <f t="shared" ca="1" si="19"/>
        <v>1247.6820097222233</v>
      </c>
      <c r="AP11" s="569">
        <f ca="1">INDEX(SP_CS_MarketCap,0,COLUMN())-INDEX(SP_CS_Cash,0,COLUMN())+INDEX(SP_CS_Debt,0,COLUMN())+INDEX(SP_CS_OL,0,COLUMN())+INDEX(SP_CS_EVCalc_Other,0,COLUMN())</f>
        <v>834.67309999999873</v>
      </c>
      <c r="AQ11" s="570">
        <f ca="1">INDEX(SP_CS_MarketCap,0,COLUMN())-INDEX(SP_CS_Cash,0,COLUMN())+INDEX(SP_CS_Debt,0,COLUMN())+INDEX(SP_CS_OL,0,COLUMN())+INDEX(SP_CS_EVCalc_Other,0,COLUMN())</f>
        <v>439.65548476190457</v>
      </c>
      <c r="AR11" s="569">
        <f t="shared" ca="1" si="19"/>
        <v>434.32900823007071</v>
      </c>
      <c r="AS11" s="569">
        <f t="shared" ca="1" si="19"/>
        <v>408.36055051172519</v>
      </c>
      <c r="AT11" s="568">
        <f t="shared" ca="1" si="19"/>
        <v>408.50729051172516</v>
      </c>
      <c r="AU11" s="569">
        <f t="shared" ca="1" si="19"/>
        <v>405.51826993923606</v>
      </c>
      <c r="AV11" s="569">
        <f t="shared" ca="1" si="19"/>
        <v>422.12911361318373</v>
      </c>
      <c r="AW11" s="569">
        <f t="shared" ca="1" si="19"/>
        <v>436.6392633454418</v>
      </c>
      <c r="AX11" s="569">
        <f t="shared" ca="1" si="19"/>
        <v>429.46895354919491</v>
      </c>
      <c r="AY11" s="568">
        <f t="shared" ca="1" si="19"/>
        <v>429.46895354919491</v>
      </c>
      <c r="AZ11" s="568">
        <f t="shared" ca="1" si="19"/>
        <v>369.24154973438766</v>
      </c>
      <c r="BA11" s="568">
        <f t="shared" ca="1" si="19"/>
        <v>385.53779498383858</v>
      </c>
      <c r="BB11" s="568">
        <f t="shared" ca="1" si="19"/>
        <v>188.53797745420877</v>
      </c>
      <c r="BC11" s="532"/>
    </row>
    <row r="12" spans="1:55" s="65" customFormat="1">
      <c r="A12" s="181"/>
      <c r="B12" s="186"/>
      <c r="C12" s="571"/>
      <c r="D12" s="571"/>
      <c r="E12" s="571"/>
      <c r="F12" s="571"/>
      <c r="G12" s="572"/>
      <c r="H12" s="572"/>
      <c r="I12" s="572"/>
      <c r="J12" s="572"/>
      <c r="K12" s="571"/>
      <c r="L12" s="572"/>
      <c r="M12" s="572"/>
      <c r="N12" s="572"/>
      <c r="O12" s="572"/>
      <c r="P12" s="571"/>
      <c r="Q12" s="572"/>
      <c r="R12" s="572"/>
      <c r="S12" s="572"/>
      <c r="T12" s="572"/>
      <c r="U12" s="571"/>
      <c r="V12" s="572"/>
      <c r="W12" s="572"/>
      <c r="X12" s="572"/>
      <c r="Y12" s="572"/>
      <c r="Z12" s="571"/>
      <c r="AA12" s="572"/>
      <c r="AB12" s="572"/>
      <c r="AC12" s="572"/>
      <c r="AD12" s="572"/>
      <c r="AE12" s="571"/>
      <c r="AF12" s="572"/>
      <c r="AG12" s="572"/>
      <c r="AH12" s="572"/>
      <c r="AI12" s="572"/>
      <c r="AJ12" s="571"/>
      <c r="AK12" s="572"/>
      <c r="AL12" s="572"/>
      <c r="AM12" s="572"/>
      <c r="AN12" s="572"/>
      <c r="AO12" s="571"/>
      <c r="AP12" s="572"/>
      <c r="AQ12" s="573"/>
      <c r="AR12" s="574"/>
      <c r="AS12" s="574"/>
      <c r="AT12" s="575"/>
      <c r="AU12" s="574"/>
      <c r="AV12" s="574"/>
      <c r="AW12" s="574"/>
      <c r="AX12" s="574"/>
      <c r="AY12" s="575"/>
      <c r="AZ12" s="575"/>
      <c r="BA12" s="575"/>
      <c r="BB12" s="575"/>
      <c r="BC12" s="532"/>
    </row>
    <row r="13" spans="1:55">
      <c r="A13" s="94" t="s">
        <v>219</v>
      </c>
      <c r="B13" s="533"/>
      <c r="C13" s="576"/>
      <c r="D13" s="576"/>
      <c r="E13" s="576"/>
      <c r="F13" s="576"/>
      <c r="G13" s="576"/>
      <c r="H13" s="576"/>
      <c r="I13" s="576"/>
      <c r="J13" s="576"/>
      <c r="K13" s="576"/>
      <c r="L13" s="576"/>
      <c r="M13" s="576"/>
      <c r="N13" s="576"/>
      <c r="O13" s="576"/>
      <c r="P13" s="576"/>
      <c r="Q13" s="576"/>
      <c r="R13" s="576"/>
      <c r="S13" s="576"/>
      <c r="T13" s="576"/>
      <c r="U13" s="576"/>
      <c r="V13" s="576"/>
      <c r="W13" s="576"/>
      <c r="X13" s="576"/>
      <c r="Y13" s="576"/>
      <c r="Z13" s="576"/>
      <c r="AA13" s="576"/>
      <c r="AB13" s="576"/>
      <c r="AC13" s="576"/>
      <c r="AD13" s="576"/>
      <c r="AE13" s="576"/>
      <c r="AF13" s="576"/>
      <c r="AG13" s="576"/>
      <c r="AH13" s="576"/>
      <c r="AI13" s="576"/>
      <c r="AJ13" s="576"/>
      <c r="AK13" s="576"/>
      <c r="AL13" s="576"/>
      <c r="AM13" s="576"/>
      <c r="AN13" s="576"/>
      <c r="AO13" s="576"/>
      <c r="AP13" s="576"/>
      <c r="AQ13" s="577"/>
      <c r="AR13" s="578"/>
      <c r="AS13" s="578"/>
      <c r="AT13" s="578"/>
      <c r="AU13" s="578"/>
      <c r="AV13" s="578"/>
      <c r="AW13" s="578"/>
      <c r="AX13" s="578"/>
      <c r="AY13" s="578"/>
      <c r="AZ13" s="578"/>
      <c r="BA13" s="578"/>
      <c r="BB13" s="578"/>
      <c r="BC13" s="531"/>
    </row>
    <row r="14" spans="1:55" s="66" customFormat="1">
      <c r="A14" s="187" t="str">
        <f>Model!A11</f>
        <v>Total Aerospace revenue growth, %</v>
      </c>
      <c r="B14" s="188"/>
      <c r="C14" s="285">
        <f>Model!C11</f>
        <v>0</v>
      </c>
      <c r="D14" s="285">
        <f>Model!D11</f>
        <v>0.15411458500690878</v>
      </c>
      <c r="E14" s="285">
        <f>Model!E11</f>
        <v>0.19092802334257675</v>
      </c>
      <c r="F14" s="285">
        <f>Model!F11</f>
        <v>0.19208038377736436</v>
      </c>
      <c r="G14" s="293">
        <f>Model!G11</f>
        <v>0</v>
      </c>
      <c r="H14" s="293">
        <f>Model!H11</f>
        <v>0</v>
      </c>
      <c r="I14" s="293">
        <f>Model!I11</f>
        <v>0</v>
      </c>
      <c r="J14" s="293">
        <f>Model!J11</f>
        <v>0</v>
      </c>
      <c r="K14" s="285">
        <f>Model!K11</f>
        <v>0.29642485928889384</v>
      </c>
      <c r="L14" s="293">
        <f>Model!L11</f>
        <v>0.70746068732645928</v>
      </c>
      <c r="M14" s="293">
        <f>Model!M11</f>
        <v>0.76951191100238803</v>
      </c>
      <c r="N14" s="293">
        <f>Model!N11</f>
        <v>0.39654955726935182</v>
      </c>
      <c r="O14" s="293">
        <f>Model!O11</f>
        <v>0.25286382232612481</v>
      </c>
      <c r="P14" s="285">
        <f>Model!P11</f>
        <v>0.49682933470486801</v>
      </c>
      <c r="Q14" s="293">
        <f>Model!Q11</f>
        <v>0.16327264406890474</v>
      </c>
      <c r="R14" s="293">
        <f>Model!R11</f>
        <v>8.7613044444261545E-2</v>
      </c>
      <c r="S14" s="293">
        <f>Model!S11</f>
        <v>0.13494719102042829</v>
      </c>
      <c r="T14" s="293">
        <f>Model!T11</f>
        <v>6.1180696475637619E-2</v>
      </c>
      <c r="U14" s="285">
        <f>Model!U11</f>
        <v>0.11114973915961102</v>
      </c>
      <c r="V14" s="293">
        <f>Model!V11</f>
        <v>-2.8401427447454219E-2</v>
      </c>
      <c r="W14" s="293">
        <f>Model!W11</f>
        <v>7.8164485132783401E-2</v>
      </c>
      <c r="X14" s="293">
        <f>Model!X11</f>
        <v>-9.766593622051789E-2</v>
      </c>
      <c r="Y14" s="293">
        <f>Model!Y11</f>
        <v>-6.1807631440126798E-2</v>
      </c>
      <c r="Z14" s="285">
        <f>Model!Z11</f>
        <v>-2.8553601897631453E-2</v>
      </c>
      <c r="AA14" s="293">
        <f>Model!AA11</f>
        <v>-1.0715137843524292E-2</v>
      </c>
      <c r="AB14" s="293">
        <f>Model!AB11</f>
        <v>-9.0904625230700198E-2</v>
      </c>
      <c r="AC14" s="293">
        <f>Model!AC11</f>
        <v>2.7832144369263068E-2</v>
      </c>
      <c r="AD14" s="293">
        <f>Model!AD11</f>
        <v>8.991659638271976E-2</v>
      </c>
      <c r="AE14" s="285">
        <f>Model!AE11</f>
        <v>1.0523536582398574E-3</v>
      </c>
      <c r="AF14" s="293">
        <f>Model!AF11</f>
        <v>0.20297894421422669</v>
      </c>
      <c r="AG14" s="293">
        <f>Model!AG11</f>
        <v>0.28296294009124101</v>
      </c>
      <c r="AH14" s="293">
        <f>Model!AH11</f>
        <v>0.31800906243442184</v>
      </c>
      <c r="AI14" s="293">
        <f>Model!AI11</f>
        <v>0.25562099651777648</v>
      </c>
      <c r="AJ14" s="285">
        <f>Model!AJ11</f>
        <v>0.26378826905198816</v>
      </c>
      <c r="AK14" s="293">
        <f>Model!AK11</f>
        <v>0.14520656136087484</v>
      </c>
      <c r="AL14" s="293">
        <f>Model!AL11</f>
        <v>4.8633005222497694E-2</v>
      </c>
      <c r="AM14" s="293">
        <f>Model!AM11</f>
        <v>-7.0038153309077256E-2</v>
      </c>
      <c r="AN14" s="293">
        <f>Model!AN11</f>
        <v>-1.7821070291368479E-2</v>
      </c>
      <c r="AO14" s="285">
        <f>Model!AO11</f>
        <v>2.5138205365402566E-2</v>
      </c>
      <c r="AP14" s="293">
        <f>Model!AP11</f>
        <v>-0.25162200731030604</v>
      </c>
      <c r="AQ14" s="352">
        <f>Model!AQ11</f>
        <v>-0.41147073505195464</v>
      </c>
      <c r="AR14" s="102">
        <f>Model!AR11</f>
        <v>-0.35397141443989288</v>
      </c>
      <c r="AS14" s="102">
        <f>Model!AS11</f>
        <v>-0.1907691771390726</v>
      </c>
      <c r="AT14" s="101">
        <f>Model!AT11</f>
        <v>-0.30002786565002781</v>
      </c>
      <c r="AU14" s="102">
        <f>Model!AU11</f>
        <v>0.20591195860211275</v>
      </c>
      <c r="AV14" s="102">
        <f>Model!AV11</f>
        <v>0.95777543798075571</v>
      </c>
      <c r="AW14" s="102">
        <f>Model!AW11</f>
        <v>0.93970067726737305</v>
      </c>
      <c r="AX14" s="102">
        <f>Model!AX11</f>
        <v>0.28042845911949676</v>
      </c>
      <c r="AY14" s="101">
        <f>Model!AY11</f>
        <v>0.54059822259167056</v>
      </c>
      <c r="AZ14" s="101">
        <f>Model!AZ11</f>
        <v>-2.0460890035153723E-2</v>
      </c>
      <c r="BA14" s="101">
        <f>Model!BA11</f>
        <v>0.36773189587706945</v>
      </c>
      <c r="BB14" s="101">
        <f>Model!BB11</f>
        <v>-0.48511005649190542</v>
      </c>
      <c r="BC14" s="152"/>
    </row>
    <row r="15" spans="1:55" s="66" customFormat="1">
      <c r="A15" s="187" t="str">
        <f>Model!A14</f>
        <v>Total Test Systems revenue growth, %</v>
      </c>
      <c r="B15" s="188"/>
      <c r="C15" s="285">
        <f>Model!C14</f>
        <v>0</v>
      </c>
      <c r="D15" s="285">
        <f>Model!D14</f>
        <v>-0.54579166198449269</v>
      </c>
      <c r="E15" s="285">
        <f>Model!E14</f>
        <v>-0.11621721919841665</v>
      </c>
      <c r="F15" s="285">
        <f>Model!F14</f>
        <v>-0.19581496255861153</v>
      </c>
      <c r="G15" s="293">
        <f>Model!G14</f>
        <v>0</v>
      </c>
      <c r="H15" s="293">
        <f>Model!H14</f>
        <v>0</v>
      </c>
      <c r="I15" s="293">
        <f>Model!I14</f>
        <v>0</v>
      </c>
      <c r="J15" s="293">
        <f>Model!J14</f>
        <v>0</v>
      </c>
      <c r="K15" s="285">
        <f>Model!K14</f>
        <v>-0.18135932468888694</v>
      </c>
      <c r="L15" s="293">
        <f>Model!L14</f>
        <v>7.0848563968668401</v>
      </c>
      <c r="M15" s="293">
        <f>Model!M14</f>
        <v>23.589707927677328</v>
      </c>
      <c r="N15" s="293">
        <f>Model!N14</f>
        <v>25.5347866419295</v>
      </c>
      <c r="O15" s="293">
        <f>Model!O14</f>
        <v>12.399141630901299</v>
      </c>
      <c r="P15" s="285">
        <f>Model!P14</f>
        <v>16.677474221324545</v>
      </c>
      <c r="Q15" s="293">
        <f>Model!Q14</f>
        <v>3.8053716561709416E-2</v>
      </c>
      <c r="R15" s="293">
        <f>Model!R14</f>
        <v>-0.22726244343891389</v>
      </c>
      <c r="S15" s="293">
        <f>Model!S14</f>
        <v>7.35548602492615E-2</v>
      </c>
      <c r="T15" s="293">
        <f>Model!T14</f>
        <v>-0.44341234251548178</v>
      </c>
      <c r="U15" s="285">
        <f>Model!U14</f>
        <v>-0.14282707526519622</v>
      </c>
      <c r="V15" s="293">
        <f>Model!V14</f>
        <v>0.10033184693560093</v>
      </c>
      <c r="W15" s="293">
        <f>Model!W14</f>
        <v>-0.46506124042355934</v>
      </c>
      <c r="X15" s="293">
        <f>Model!X14</f>
        <v>-0.51283846492013607</v>
      </c>
      <c r="Y15" s="293">
        <f>Model!Y14</f>
        <v>0.24765010550546673</v>
      </c>
      <c r="Z15" s="285">
        <f>Model!Z14</f>
        <v>-0.30488771651665136</v>
      </c>
      <c r="AA15" s="293">
        <f>Model!AA14</f>
        <v>-0.26633994627962865</v>
      </c>
      <c r="AB15" s="293">
        <f>Model!AB14</f>
        <v>-1.6328392246294232E-2</v>
      </c>
      <c r="AC15" s="293">
        <f>Model!AC14</f>
        <v>-0.29903074866310164</v>
      </c>
      <c r="AD15" s="293">
        <f>Model!AD14</f>
        <v>0.22047970479704815</v>
      </c>
      <c r="AE15" s="285">
        <f>Model!AE14</f>
        <v>-9.3064330554490149E-2</v>
      </c>
      <c r="AF15" s="293">
        <f>Model!AF14</f>
        <v>-7.129552315498755E-2</v>
      </c>
      <c r="AG15" s="293">
        <f>Model!AG14</f>
        <v>0.96605925719849783</v>
      </c>
      <c r="AH15" s="293">
        <f>Model!AH14</f>
        <v>1.0547847232155627</v>
      </c>
      <c r="AI15" s="293">
        <f>Model!AI14</f>
        <v>-0.1284013605442178</v>
      </c>
      <c r="AJ15" s="285">
        <f>Model!AJ14</f>
        <v>0.4203158211014788</v>
      </c>
      <c r="AK15" s="293">
        <f>Model!AK14</f>
        <v>0.36060585102704179</v>
      </c>
      <c r="AL15" s="293">
        <f>Model!AL14</f>
        <v>-0.65070043865855387</v>
      </c>
      <c r="AM15" s="293">
        <f>Model!AM14</f>
        <v>-0.55178094906601682</v>
      </c>
      <c r="AN15" s="293">
        <f>Model!AN14</f>
        <v>-4.9936766034326951E-2</v>
      </c>
      <c r="AO15" s="285">
        <f>Model!AO14</f>
        <v>-0.37246436994147203</v>
      </c>
      <c r="AP15" s="293">
        <f>Model!AP14</f>
        <v>-0.16057540791948355</v>
      </c>
      <c r="AQ15" s="352">
        <f>Model!AQ14</f>
        <v>0.42603470393626353</v>
      </c>
      <c r="AR15" s="102">
        <f>Model!AR14</f>
        <v>-0.58169393249119905</v>
      </c>
      <c r="AS15" s="102">
        <f>Model!AS14</f>
        <v>-0.55090708553607426</v>
      </c>
      <c r="AT15" s="101">
        <f>Model!AT14</f>
        <v>-0.28179741051028173</v>
      </c>
      <c r="AU15" s="102">
        <f>Model!AU14</f>
        <v>-0.55848371079084402</v>
      </c>
      <c r="AV15" s="102">
        <f>Model!AV14</f>
        <v>-0.3312740874011646</v>
      </c>
      <c r="AW15" s="102">
        <f>Model!AW14</f>
        <v>0.52219405940594066</v>
      </c>
      <c r="AX15" s="102">
        <f>Model!AX14</f>
        <v>-8.20238482384823E-2</v>
      </c>
      <c r="AY15" s="101">
        <f>Model!AY14</f>
        <v>-0.22545502842341314</v>
      </c>
      <c r="AZ15" s="101">
        <f>Model!AZ14</f>
        <v>4.213779591836734</v>
      </c>
      <c r="BA15" s="101">
        <f>Model!BA14</f>
        <v>4.9666919570438166</v>
      </c>
      <c r="BB15" s="101">
        <f>Model!BB14</f>
        <v>5.5739284597012126</v>
      </c>
      <c r="BC15" s="152"/>
    </row>
    <row r="16" spans="1:55" s="68" customFormat="1">
      <c r="A16" s="189" t="str">
        <f>Model!A15</f>
        <v>Total Revenue Growth, %</v>
      </c>
      <c r="B16" s="89"/>
      <c r="C16" s="103">
        <f>Model!C15</f>
        <v>0</v>
      </c>
      <c r="D16" s="103">
        <f>Model!D15</f>
        <v>2.3812636963195688E-2</v>
      </c>
      <c r="E16" s="103">
        <f>Model!E15</f>
        <v>0.16555983530349327</v>
      </c>
      <c r="F16" s="103">
        <f>Model!F15</f>
        <v>0.16778794107721251</v>
      </c>
      <c r="G16" s="104">
        <f>Model!G15</f>
        <v>0</v>
      </c>
      <c r="H16" s="104">
        <f>Model!H15</f>
        <v>0</v>
      </c>
      <c r="I16" s="104">
        <f>Model!I15</f>
        <v>0</v>
      </c>
      <c r="J16" s="104">
        <f>Model!J15</f>
        <v>0</v>
      </c>
      <c r="K16" s="103">
        <f>Model!K15</f>
        <v>0.27581949062849498</v>
      </c>
      <c r="L16" s="104">
        <f>Model!L15</f>
        <v>0.90559303473170472</v>
      </c>
      <c r="M16" s="104">
        <f>Model!M15</f>
        <v>1.4644304208490393</v>
      </c>
      <c r="N16" s="104">
        <f>Model!N15</f>
        <v>1.000892050713083</v>
      </c>
      <c r="O16" s="104">
        <f>Model!O15</f>
        <v>0.57490327719617595</v>
      </c>
      <c r="P16" s="103">
        <f>Model!P15</f>
        <v>0.9445926745249853</v>
      </c>
      <c r="Q16" s="104">
        <f>Model!Q15</f>
        <v>0.14676731630140982</v>
      </c>
      <c r="R16" s="104">
        <f>Model!R15</f>
        <v>-8.060127289287955E-3</v>
      </c>
      <c r="S16" s="104">
        <f>Model!S15</f>
        <v>0.11537432708061668</v>
      </c>
      <c r="T16" s="104">
        <f>Model!T15</f>
        <v>-5.2642353522033836E-2</v>
      </c>
      <c r="U16" s="103">
        <f>Model!U15</f>
        <v>4.7258936310868194E-2</v>
      </c>
      <c r="V16" s="104">
        <f>Model!V15</f>
        <v>-1.3041487768965299E-2</v>
      </c>
      <c r="W16" s="104">
        <f>Model!W15</f>
        <v>-5.0416965048857731E-2</v>
      </c>
      <c r="X16" s="104">
        <f>Model!X15</f>
        <v>-0.22506682655075083</v>
      </c>
      <c r="Y16" s="104">
        <f>Model!Y15</f>
        <v>-2.079572899453408E-2</v>
      </c>
      <c r="Z16" s="103">
        <f>Model!Z15</f>
        <v>-8.545109702879905E-2</v>
      </c>
      <c r="AA16" s="104">
        <f>Model!AA15</f>
        <v>-4.4718861656114939E-2</v>
      </c>
      <c r="AB16" s="104">
        <f>Model!AB15</f>
        <v>-8.0960432048459374E-2</v>
      </c>
      <c r="AC16" s="104">
        <f>Model!AC15</f>
        <v>-3.5222664233811929E-2</v>
      </c>
      <c r="AD16" s="104">
        <f>Model!AD15</f>
        <v>0.11196354856297264</v>
      </c>
      <c r="AE16" s="103">
        <f>Model!AE15</f>
        <v>-1.3676647349725068E-2</v>
      </c>
      <c r="AF16" s="104">
        <f>Model!AF15</f>
        <v>0.17495866033229235</v>
      </c>
      <c r="AG16" s="104">
        <f>Model!AG15</f>
        <v>0.38045449131119535</v>
      </c>
      <c r="AH16" s="104">
        <f>Model!AH15</f>
        <v>0.42127562885936554</v>
      </c>
      <c r="AI16" s="104">
        <f>Model!AI15</f>
        <v>0.18444646797184139</v>
      </c>
      <c r="AJ16" s="103">
        <f>Model!AJ15</f>
        <v>0.28631274180737387</v>
      </c>
      <c r="AK16" s="104">
        <f>Model!AK15</f>
        <v>0.1626000368593592</v>
      </c>
      <c r="AL16" s="104">
        <f>Model!AL15</f>
        <v>-9.3516006251018635E-2</v>
      </c>
      <c r="AM16" s="104">
        <f>Model!AM15</f>
        <v>-0.16765566077658767</v>
      </c>
      <c r="AN16" s="104">
        <f>Model!AN15</f>
        <v>-2.2201195562718268E-2</v>
      </c>
      <c r="AO16" s="103">
        <f>Model!AO15</f>
        <v>-3.8037686615475019E-2</v>
      </c>
      <c r="AP16" s="104">
        <f>Model!AP15</f>
        <v>-0.24301786005937343</v>
      </c>
      <c r="AQ16" s="353">
        <f>Model!AQ15</f>
        <v>-0.34587356820273085</v>
      </c>
      <c r="AR16" s="104">
        <f>Model!AR15</f>
        <v>-0.37882023297065825</v>
      </c>
      <c r="AS16" s="104">
        <f>Model!AS15</f>
        <v>-0.23849363949761082</v>
      </c>
      <c r="AT16" s="103">
        <f>Model!AT15</f>
        <v>-0.29813822146183133</v>
      </c>
      <c r="AU16" s="104">
        <f>Model!AU15</f>
        <v>0.12580718854706086</v>
      </c>
      <c r="AV16" s="104">
        <f>Model!AV15</f>
        <v>0.73766763141300329</v>
      </c>
      <c r="AW16" s="104">
        <f>Model!AW15</f>
        <v>0.90902176245907595</v>
      </c>
      <c r="AX16" s="104">
        <f>Model!AX15</f>
        <v>0.25210242699812024</v>
      </c>
      <c r="AY16" s="103">
        <f>Model!AY15</f>
        <v>0.45934569892869659</v>
      </c>
      <c r="AZ16" s="103">
        <f>Model!AZ15</f>
        <v>-2.7571692657407443E-2</v>
      </c>
      <c r="BA16" s="103">
        <f>Model!BA15</f>
        <v>0.40967513209302231</v>
      </c>
      <c r="BB16" s="103">
        <f>Model!BB15</f>
        <v>-0.4505796385928803</v>
      </c>
      <c r="BC16" s="232"/>
    </row>
    <row r="17" spans="1:55">
      <c r="A17" s="182"/>
      <c r="B17" s="190"/>
      <c r="C17" s="563"/>
      <c r="D17" s="563"/>
      <c r="E17" s="563"/>
      <c r="F17" s="563"/>
      <c r="G17" s="564"/>
      <c r="H17" s="564"/>
      <c r="I17" s="564"/>
      <c r="J17" s="564"/>
      <c r="K17" s="563"/>
      <c r="L17" s="564"/>
      <c r="M17" s="564"/>
      <c r="N17" s="564"/>
      <c r="O17" s="564"/>
      <c r="P17" s="563"/>
      <c r="Q17" s="564"/>
      <c r="R17" s="564"/>
      <c r="S17" s="564"/>
      <c r="T17" s="564"/>
      <c r="U17" s="563"/>
      <c r="V17" s="564"/>
      <c r="W17" s="564"/>
      <c r="X17" s="564"/>
      <c r="Y17" s="564"/>
      <c r="Z17" s="563"/>
      <c r="AA17" s="564"/>
      <c r="AB17" s="564"/>
      <c r="AC17" s="564"/>
      <c r="AD17" s="564"/>
      <c r="AE17" s="563"/>
      <c r="AF17" s="564"/>
      <c r="AG17" s="564"/>
      <c r="AH17" s="564"/>
      <c r="AI17" s="564"/>
      <c r="AJ17" s="563"/>
      <c r="AK17" s="564"/>
      <c r="AL17" s="564"/>
      <c r="AM17" s="564"/>
      <c r="AN17" s="564"/>
      <c r="AO17" s="563"/>
      <c r="AP17" s="564"/>
      <c r="AQ17" s="565"/>
      <c r="AR17" s="566"/>
      <c r="AS17" s="566"/>
      <c r="AT17" s="567"/>
      <c r="AU17" s="566"/>
      <c r="AV17" s="566"/>
      <c r="AW17" s="566"/>
      <c r="AX17" s="566"/>
      <c r="AY17" s="567"/>
      <c r="AZ17" s="567"/>
      <c r="BA17" s="567"/>
      <c r="BB17" s="567"/>
      <c r="BC17" s="531"/>
    </row>
    <row r="18" spans="1:55" s="63" customFormat="1">
      <c r="A18" s="182" t="str">
        <f>Model!A32</f>
        <v>EoP Aerospace backlog, mm</v>
      </c>
      <c r="B18" s="183"/>
      <c r="C18" s="563">
        <f>Model!C32</f>
        <v>0</v>
      </c>
      <c r="D18" s="563">
        <f>Model!D32</f>
        <v>0</v>
      </c>
      <c r="E18" s="563">
        <f>Model!E32</f>
        <v>0</v>
      </c>
      <c r="F18" s="563">
        <f>Model!F32</f>
        <v>110.9</v>
      </c>
      <c r="G18" s="564">
        <f>Model!G32</f>
        <v>114.636</v>
      </c>
      <c r="H18" s="564">
        <f>Model!H32</f>
        <v>111.67400000000001</v>
      </c>
      <c r="I18" s="564">
        <f>Model!I32</f>
        <v>159.46799999999999</v>
      </c>
      <c r="J18" s="564">
        <f>Model!J32</f>
        <v>207.101</v>
      </c>
      <c r="K18" s="563">
        <f>Model!K32</f>
        <v>207.101</v>
      </c>
      <c r="L18" s="564">
        <f>Model!L32</f>
        <v>208.30699999999999</v>
      </c>
      <c r="M18" s="564">
        <f>Model!M32</f>
        <v>204.54499999999999</v>
      </c>
      <c r="N18" s="564">
        <f>Model!N32</f>
        <v>221.797</v>
      </c>
      <c r="O18" s="564">
        <f>Model!O32</f>
        <v>223.76900000000001</v>
      </c>
      <c r="P18" s="563">
        <f>Model!P32</f>
        <v>223.76900000000001</v>
      </c>
      <c r="Q18" s="564">
        <f>Model!Q32</f>
        <v>233.95500000000001</v>
      </c>
      <c r="R18" s="564">
        <f>Model!R32</f>
        <v>236.26400000000001</v>
      </c>
      <c r="S18" s="564">
        <f>Model!S32</f>
        <v>227.345</v>
      </c>
      <c r="T18" s="564">
        <f>Model!T32</f>
        <v>212.65100000000001</v>
      </c>
      <c r="U18" s="563">
        <f>Model!U32</f>
        <v>212.65099999999995</v>
      </c>
      <c r="V18" s="564">
        <f>Model!V32</f>
        <v>214.76900000000001</v>
      </c>
      <c r="W18" s="564">
        <f>Model!W32</f>
        <v>235.8</v>
      </c>
      <c r="X18" s="564">
        <f>Model!X32</f>
        <v>233.44300000000001</v>
      </c>
      <c r="Y18" s="564">
        <f>Model!Y32</f>
        <v>219.14599999999999</v>
      </c>
      <c r="Z18" s="563">
        <f>Model!Z32</f>
        <v>219.14599999999996</v>
      </c>
      <c r="AA18" s="564">
        <f>Model!AA32</f>
        <v>205.155</v>
      </c>
      <c r="AB18" s="564">
        <f>Model!AB32</f>
        <v>215.648</v>
      </c>
      <c r="AC18" s="564">
        <f>Model!AC32</f>
        <v>233.16200000000001</v>
      </c>
      <c r="AD18" s="564">
        <f>Model!AD32</f>
        <v>298.60399999999998</v>
      </c>
      <c r="AE18" s="563">
        <f>Model!AE32</f>
        <v>298.60399999999993</v>
      </c>
      <c r="AF18" s="564">
        <f>Model!AF32</f>
        <v>305.97699999999998</v>
      </c>
      <c r="AG18" s="564">
        <f>Model!AG32</f>
        <v>298.64299999999997</v>
      </c>
      <c r="AH18" s="564">
        <f>Model!AH32</f>
        <v>325.73500000000001</v>
      </c>
      <c r="AI18" s="564">
        <f>Model!AI32</f>
        <v>326.04700000000003</v>
      </c>
      <c r="AJ18" s="563">
        <f>Model!AJ32</f>
        <v>326.04700000000014</v>
      </c>
      <c r="AK18" s="564">
        <f>Model!AK32</f>
        <v>329.24700000000001</v>
      </c>
      <c r="AL18" s="564">
        <f>Model!AL32</f>
        <v>310.58999999999997</v>
      </c>
      <c r="AM18" s="564">
        <f>Model!AM32</f>
        <v>308.22300000000001</v>
      </c>
      <c r="AN18" s="564">
        <f>Model!AN32</f>
        <v>275.70399999999995</v>
      </c>
      <c r="AO18" s="563">
        <f>Model!AO32</f>
        <v>275.70399999999995</v>
      </c>
      <c r="AP18" s="564">
        <f>Model!AP32</f>
        <v>285.673</v>
      </c>
      <c r="AQ18" s="565">
        <f>Model!AQ32</f>
        <v>226.4</v>
      </c>
      <c r="AR18" s="566">
        <f>Model!AR32</f>
        <v>309.52</v>
      </c>
      <c r="AS18" s="566">
        <f>Model!AS32</f>
        <v>340.23599999999999</v>
      </c>
      <c r="AT18" s="567">
        <f>Model!AT32</f>
        <v>340.23600000000005</v>
      </c>
      <c r="AU18" s="566">
        <f>Model!AU32</f>
        <v>365.11800000000005</v>
      </c>
      <c r="AV18" s="566">
        <f>Model!AV32</f>
        <v>359.30309999999997</v>
      </c>
      <c r="AW18" s="566">
        <f>Model!AW32</f>
        <v>356.68639499999995</v>
      </c>
      <c r="AX18" s="566">
        <f>Model!AX32</f>
        <v>373.34319749999997</v>
      </c>
      <c r="AY18" s="567">
        <f>Model!AY32</f>
        <v>406.45039499999984</v>
      </c>
      <c r="AZ18" s="567">
        <f>Model!AZ32</f>
        <v>454.83968400000015</v>
      </c>
      <c r="BA18" s="567">
        <f>Model!BA32</f>
        <v>234.19237919999966</v>
      </c>
      <c r="BB18" s="567">
        <f>Model!BB32</f>
        <v>498.96914496000034</v>
      </c>
      <c r="BC18" s="531"/>
    </row>
    <row r="19" spans="1:55" s="63" customFormat="1">
      <c r="A19" s="182" t="str">
        <f>Model!A39</f>
        <v>EoP Test Systems backlog, mm</v>
      </c>
      <c r="B19" s="190"/>
      <c r="C19" s="563">
        <f>Model!C39</f>
        <v>0</v>
      </c>
      <c r="D19" s="563">
        <f>Model!D39</f>
        <v>0</v>
      </c>
      <c r="E19" s="563">
        <f>Model!E39</f>
        <v>0</v>
      </c>
      <c r="F19" s="563">
        <f>Model!F39</f>
        <v>3.6</v>
      </c>
      <c r="G19" s="564">
        <f>Model!G39</f>
        <v>4.359</v>
      </c>
      <c r="H19" s="564">
        <f>Model!H39</f>
        <v>2.8220000000000001</v>
      </c>
      <c r="I19" s="564">
        <f>Model!I39</f>
        <v>8.7309999999999999</v>
      </c>
      <c r="J19" s="564">
        <f>Model!J39</f>
        <v>7.0620000000000003</v>
      </c>
      <c r="K19" s="563">
        <f>Model!K39</f>
        <v>7.0620000000000012</v>
      </c>
      <c r="L19" s="564">
        <f>Model!L39</f>
        <v>154.095</v>
      </c>
      <c r="M19" s="564">
        <f>Model!M39</f>
        <v>122.29600000000001</v>
      </c>
      <c r="N19" s="564">
        <f>Model!N39</f>
        <v>79.647999999999996</v>
      </c>
      <c r="O19" s="564">
        <f>Model!O39</f>
        <v>146.964</v>
      </c>
      <c r="P19" s="563">
        <f>Model!P39</f>
        <v>146.96399999999997</v>
      </c>
      <c r="Q19" s="564">
        <f>Model!Q39</f>
        <v>144.51400000000001</v>
      </c>
      <c r="R19" s="564">
        <f>Model!R39</f>
        <v>115.77</v>
      </c>
      <c r="S19" s="564">
        <f>Model!S39</f>
        <v>69.704999999999998</v>
      </c>
      <c r="T19" s="564">
        <f>Model!T39</f>
        <v>61.713000000000001</v>
      </c>
      <c r="U19" s="563">
        <f>Model!U39</f>
        <v>61.713000000000022</v>
      </c>
      <c r="V19" s="564">
        <f>Model!V39</f>
        <v>61.93</v>
      </c>
      <c r="W19" s="564">
        <f>Model!W39</f>
        <v>58.011000000000003</v>
      </c>
      <c r="X19" s="564">
        <f>Model!X39</f>
        <v>41.783999999999999</v>
      </c>
      <c r="Y19" s="564">
        <f>Model!Y39</f>
        <v>38.887</v>
      </c>
      <c r="Z19" s="563">
        <f>Model!Z39</f>
        <v>38.887</v>
      </c>
      <c r="AA19" s="564">
        <f>Model!AA39</f>
        <v>47.554000000000002</v>
      </c>
      <c r="AB19" s="564">
        <f>Model!AB39</f>
        <v>49.93</v>
      </c>
      <c r="AC19" s="564">
        <f>Model!AC39</f>
        <v>69.119</v>
      </c>
      <c r="AD19" s="564">
        <f>Model!AD39</f>
        <v>95.085999999999999</v>
      </c>
      <c r="AE19" s="563">
        <f>Model!AE39</f>
        <v>95.085999999999999</v>
      </c>
      <c r="AF19" s="564">
        <f>Model!AF39</f>
        <v>92.635000000000005</v>
      </c>
      <c r="AG19" s="564">
        <f>Model!AG39</f>
        <v>78.293000000000006</v>
      </c>
      <c r="AH19" s="564">
        <f>Model!AH39</f>
        <v>72.334999999999994</v>
      </c>
      <c r="AI19" s="564">
        <f>Model!AI39</f>
        <v>89.47</v>
      </c>
      <c r="AJ19" s="563">
        <f>Model!AJ39</f>
        <v>89.47</v>
      </c>
      <c r="AK19" s="564">
        <f>Model!AK39</f>
        <v>70.903999999999996</v>
      </c>
      <c r="AL19" s="564">
        <f>Model!AL39</f>
        <v>69.122</v>
      </c>
      <c r="AM19" s="564">
        <f>Model!AM39</f>
        <v>71.137</v>
      </c>
      <c r="AN19" s="564">
        <f>Model!AN39</f>
        <v>83.837000000000003</v>
      </c>
      <c r="AO19" s="563">
        <f>Model!AO39</f>
        <v>83.837000000000018</v>
      </c>
      <c r="AP19" s="564">
        <f>Model!AP39</f>
        <v>83.713000000000008</v>
      </c>
      <c r="AQ19" s="565">
        <f>Model!AQ39</f>
        <v>80.8</v>
      </c>
      <c r="AR19" s="566">
        <f>Model!AR39</f>
        <v>78.72</v>
      </c>
      <c r="AS19" s="566">
        <f>Model!AS39</f>
        <v>72.912000000000006</v>
      </c>
      <c r="AT19" s="567">
        <f>Model!AT39</f>
        <v>72.912000000000006</v>
      </c>
      <c r="AU19" s="566">
        <f>Model!AU39</f>
        <v>70.620800000000003</v>
      </c>
      <c r="AV19" s="566">
        <f>Model!AV39</f>
        <v>61.496639999999999</v>
      </c>
      <c r="AW19" s="566">
        <f>Model!AW39</f>
        <v>54.197311999999997</v>
      </c>
      <c r="AX19" s="566">
        <f>Model!AX39</f>
        <v>63.357849599999994</v>
      </c>
      <c r="AY19" s="567">
        <f>Model!AY39</f>
        <v>63.357849600000002</v>
      </c>
      <c r="AZ19" s="567">
        <f>Model!AZ39</f>
        <v>105.34313984000001</v>
      </c>
      <c r="BA19" s="567">
        <f>Model!BA39</f>
        <v>101.06862796799999</v>
      </c>
      <c r="BB19" s="567">
        <f>Model!BB39</f>
        <v>100.21372559359999</v>
      </c>
      <c r="BC19" s="531"/>
    </row>
    <row r="20" spans="1:55" s="65" customFormat="1">
      <c r="A20" s="184" t="s">
        <v>282</v>
      </c>
      <c r="B20" s="191"/>
      <c r="C20" s="568">
        <f t="shared" ref="C20:AH20" si="20">SUM(C18:C19)</f>
        <v>0</v>
      </c>
      <c r="D20" s="568">
        <f t="shared" si="20"/>
        <v>0</v>
      </c>
      <c r="E20" s="568">
        <f t="shared" si="20"/>
        <v>0</v>
      </c>
      <c r="F20" s="568">
        <f t="shared" si="20"/>
        <v>114.5</v>
      </c>
      <c r="G20" s="569">
        <f t="shared" si="20"/>
        <v>118.99499999999999</v>
      </c>
      <c r="H20" s="569">
        <f t="shared" si="20"/>
        <v>114.49600000000001</v>
      </c>
      <c r="I20" s="569">
        <f t="shared" si="20"/>
        <v>168.19899999999998</v>
      </c>
      <c r="J20" s="569">
        <f t="shared" si="20"/>
        <v>214.16300000000001</v>
      </c>
      <c r="K20" s="568">
        <f t="shared" si="20"/>
        <v>214.16300000000001</v>
      </c>
      <c r="L20" s="569">
        <f t="shared" si="20"/>
        <v>362.40199999999999</v>
      </c>
      <c r="M20" s="569">
        <f t="shared" si="20"/>
        <v>326.84100000000001</v>
      </c>
      <c r="N20" s="569">
        <f t="shared" si="20"/>
        <v>301.44499999999999</v>
      </c>
      <c r="O20" s="569">
        <f t="shared" si="20"/>
        <v>370.733</v>
      </c>
      <c r="P20" s="568">
        <f t="shared" si="20"/>
        <v>370.73299999999995</v>
      </c>
      <c r="Q20" s="569">
        <f t="shared" si="20"/>
        <v>378.46900000000005</v>
      </c>
      <c r="R20" s="569">
        <f t="shared" si="20"/>
        <v>352.03399999999999</v>
      </c>
      <c r="S20" s="569">
        <f t="shared" si="20"/>
        <v>297.05</v>
      </c>
      <c r="T20" s="569">
        <f t="shared" si="20"/>
        <v>274.36400000000003</v>
      </c>
      <c r="U20" s="568">
        <f t="shared" si="20"/>
        <v>274.36399999999998</v>
      </c>
      <c r="V20" s="569">
        <f t="shared" si="20"/>
        <v>276.69900000000001</v>
      </c>
      <c r="W20" s="569">
        <f t="shared" si="20"/>
        <v>293.81100000000004</v>
      </c>
      <c r="X20" s="569">
        <f t="shared" si="20"/>
        <v>275.22700000000003</v>
      </c>
      <c r="Y20" s="569">
        <f t="shared" si="20"/>
        <v>258.03300000000002</v>
      </c>
      <c r="Z20" s="568">
        <f t="shared" si="20"/>
        <v>258.03299999999996</v>
      </c>
      <c r="AA20" s="569">
        <f t="shared" si="20"/>
        <v>252.709</v>
      </c>
      <c r="AB20" s="569">
        <f t="shared" si="20"/>
        <v>265.57799999999997</v>
      </c>
      <c r="AC20" s="569">
        <f t="shared" si="20"/>
        <v>302.28100000000001</v>
      </c>
      <c r="AD20" s="569">
        <f t="shared" si="20"/>
        <v>393.69</v>
      </c>
      <c r="AE20" s="568">
        <f t="shared" si="20"/>
        <v>393.68999999999994</v>
      </c>
      <c r="AF20" s="569">
        <f t="shared" si="20"/>
        <v>398.61199999999997</v>
      </c>
      <c r="AG20" s="569">
        <f t="shared" si="20"/>
        <v>376.93599999999998</v>
      </c>
      <c r="AH20" s="569">
        <f t="shared" si="20"/>
        <v>398.07</v>
      </c>
      <c r="AI20" s="569">
        <f t="shared" ref="AI20:BB20" si="21">SUM(AI18:AI19)</f>
        <v>415.51700000000005</v>
      </c>
      <c r="AJ20" s="568">
        <f t="shared" si="21"/>
        <v>415.51700000000017</v>
      </c>
      <c r="AK20" s="569">
        <f t="shared" si="21"/>
        <v>400.15100000000001</v>
      </c>
      <c r="AL20" s="569">
        <f t="shared" si="21"/>
        <v>379.71199999999999</v>
      </c>
      <c r="AM20" s="569">
        <f t="shared" si="21"/>
        <v>379.36</v>
      </c>
      <c r="AN20" s="569">
        <f t="shared" si="21"/>
        <v>359.54099999999994</v>
      </c>
      <c r="AO20" s="568">
        <f t="shared" si="21"/>
        <v>359.54099999999994</v>
      </c>
      <c r="AP20" s="569">
        <f>SUM(AP18:AP19)</f>
        <v>369.38600000000002</v>
      </c>
      <c r="AQ20" s="570">
        <f>SUM(AQ18:AQ19)</f>
        <v>307.2</v>
      </c>
      <c r="AR20" s="569">
        <f t="shared" si="21"/>
        <v>388.24</v>
      </c>
      <c r="AS20" s="569">
        <f t="shared" si="21"/>
        <v>413.14800000000002</v>
      </c>
      <c r="AT20" s="568">
        <f t="shared" si="21"/>
        <v>413.14800000000002</v>
      </c>
      <c r="AU20" s="569">
        <f t="shared" si="21"/>
        <v>435.73880000000008</v>
      </c>
      <c r="AV20" s="569">
        <f t="shared" si="21"/>
        <v>420.79973999999999</v>
      </c>
      <c r="AW20" s="569">
        <f t="shared" si="21"/>
        <v>410.88370699999996</v>
      </c>
      <c r="AX20" s="569">
        <f t="shared" si="21"/>
        <v>436.70104709999998</v>
      </c>
      <c r="AY20" s="568">
        <f t="shared" si="21"/>
        <v>469.80824459999985</v>
      </c>
      <c r="AZ20" s="568">
        <f t="shared" si="21"/>
        <v>560.1828238400002</v>
      </c>
      <c r="BA20" s="568">
        <f t="shared" si="21"/>
        <v>335.26100716799965</v>
      </c>
      <c r="BB20" s="568">
        <f t="shared" si="21"/>
        <v>599.18287055360031</v>
      </c>
      <c r="BC20" s="532"/>
    </row>
    <row r="21" spans="1:55" s="65" customFormat="1">
      <c r="A21" s="181"/>
      <c r="B21" s="192"/>
      <c r="C21" s="571"/>
      <c r="D21" s="571"/>
      <c r="E21" s="571"/>
      <c r="F21" s="571"/>
      <c r="G21" s="572"/>
      <c r="H21" s="572"/>
      <c r="I21" s="572"/>
      <c r="J21" s="572"/>
      <c r="K21" s="571"/>
      <c r="L21" s="572"/>
      <c r="M21" s="572"/>
      <c r="N21" s="572"/>
      <c r="O21" s="572"/>
      <c r="P21" s="571"/>
      <c r="Q21" s="572"/>
      <c r="R21" s="572"/>
      <c r="S21" s="572"/>
      <c r="T21" s="572"/>
      <c r="U21" s="571"/>
      <c r="V21" s="572"/>
      <c r="W21" s="572"/>
      <c r="X21" s="572"/>
      <c r="Y21" s="572"/>
      <c r="Z21" s="571"/>
      <c r="AA21" s="572"/>
      <c r="AB21" s="572"/>
      <c r="AC21" s="572"/>
      <c r="AD21" s="572"/>
      <c r="AE21" s="571"/>
      <c r="AF21" s="572"/>
      <c r="AG21" s="572"/>
      <c r="AH21" s="572"/>
      <c r="AI21" s="572"/>
      <c r="AJ21" s="571"/>
      <c r="AK21" s="572"/>
      <c r="AL21" s="572"/>
      <c r="AM21" s="572"/>
      <c r="AN21" s="572"/>
      <c r="AO21" s="571"/>
      <c r="AP21" s="572"/>
      <c r="AQ21" s="573"/>
      <c r="AR21" s="574"/>
      <c r="AS21" s="574"/>
      <c r="AT21" s="575"/>
      <c r="AU21" s="574"/>
      <c r="AV21" s="574"/>
      <c r="AW21" s="574"/>
      <c r="AX21" s="574"/>
      <c r="AY21" s="575"/>
      <c r="AZ21" s="575"/>
      <c r="BA21" s="575"/>
      <c r="BB21" s="575"/>
      <c r="BC21" s="532"/>
    </row>
    <row r="22" spans="1:55" s="65" customFormat="1">
      <c r="A22" s="193" t="str">
        <f>Model!A43</f>
        <v>Aerospace Book / Bill Ratio, x</v>
      </c>
      <c r="B22" s="194"/>
      <c r="C22" s="286">
        <f>Model!C43</f>
        <v>0</v>
      </c>
      <c r="D22" s="286">
        <f>Model!D43</f>
        <v>0</v>
      </c>
      <c r="E22" s="286">
        <f>Model!E43</f>
        <v>0</v>
      </c>
      <c r="F22" s="286">
        <f>Model!F43</f>
        <v>0</v>
      </c>
      <c r="G22" s="296">
        <f>Model!G43</f>
        <v>0</v>
      </c>
      <c r="H22" s="296">
        <f>Model!H43</f>
        <v>0</v>
      </c>
      <c r="I22" s="296">
        <f>Model!I43</f>
        <v>0</v>
      </c>
      <c r="J22" s="296">
        <f>Model!J43</f>
        <v>0</v>
      </c>
      <c r="K22" s="286">
        <f>Model!K43</f>
        <v>1.2910507366956101</v>
      </c>
      <c r="L22" s="296">
        <f>Model!L43</f>
        <v>1.0098551956329878</v>
      </c>
      <c r="M22" s="296">
        <f>Model!M43</f>
        <v>0.92907239819004528</v>
      </c>
      <c r="N22" s="296">
        <f>Model!N43</f>
        <v>1.3015609432082367</v>
      </c>
      <c r="O22" s="296">
        <f>Model!O43</f>
        <v>1.052637198377109</v>
      </c>
      <c r="P22" s="286">
        <f>Model!P43</f>
        <v>1.0617139048817965</v>
      </c>
      <c r="Q22" s="296">
        <f>Model!Q43</f>
        <v>1.0715550185455771</v>
      </c>
      <c r="R22" s="296">
        <f>Model!R43</f>
        <v>1.0174699250964667</v>
      </c>
      <c r="S22" s="296">
        <f>Model!S43</f>
        <v>0.93570872498702484</v>
      </c>
      <c r="T22" s="296">
        <f>Model!T43</f>
        <v>0.89234218392825748</v>
      </c>
      <c r="U22" s="286">
        <f>Model!U43</f>
        <v>0.97977582048175671</v>
      </c>
      <c r="V22" s="296">
        <f>Model!V43</f>
        <v>1.0153135370800168</v>
      </c>
      <c r="W22" s="296">
        <f>Model!W43</f>
        <v>1.1475849292285669</v>
      </c>
      <c r="X22" s="296">
        <f>Model!X43</f>
        <v>0.98117096318072516</v>
      </c>
      <c r="Y22" s="296">
        <f>Model!Y43</f>
        <v>0.88835004529409911</v>
      </c>
      <c r="Z22" s="286">
        <f>Model!Z43</f>
        <v>1.0121619875627528</v>
      </c>
      <c r="AA22" s="296">
        <f>Model!AA43</f>
        <v>0.89774678974179101</v>
      </c>
      <c r="AB22" s="296">
        <f>Model!AB43</f>
        <v>1.0809976302037099</v>
      </c>
      <c r="AC22" s="296">
        <f>Model!AC43</f>
        <v>1.1361230501387347</v>
      </c>
      <c r="AD22" s="296">
        <f>Model!AD43</f>
        <v>1.4688964360947505</v>
      </c>
      <c r="AE22" s="286">
        <f>Model!AE43</f>
        <v>1.1486299179016952</v>
      </c>
      <c r="AF22" s="296">
        <f>Model!AF43</f>
        <v>1.0447934386391255</v>
      </c>
      <c r="AG22" s="296">
        <f>Model!AG43</f>
        <v>0.9558735048494621</v>
      </c>
      <c r="AH22" s="296">
        <f>Model!AH43</f>
        <v>1.1597603476845602</v>
      </c>
      <c r="AI22" s="296">
        <f>Model!AI43</f>
        <v>1.0017803951107611</v>
      </c>
      <c r="AJ22" s="286">
        <f>Model!AJ43</f>
        <v>1.0406186864014804</v>
      </c>
      <c r="AK22" s="296">
        <f>Model!AK43</f>
        <v>1.016976037262401</v>
      </c>
      <c r="AL22" s="296">
        <f>Model!AL43</f>
        <v>0.89295242903945771</v>
      </c>
      <c r="AM22" s="296">
        <f>Model!AM43</f>
        <v>0.98499067862170442</v>
      </c>
      <c r="AN22" s="296">
        <f>Model!AN43</f>
        <v>0.81106676194958127</v>
      </c>
      <c r="AO22" s="286">
        <f>Model!AO43</f>
        <v>0.92731396790974385</v>
      </c>
      <c r="AP22" s="296">
        <f>Model!AP43</f>
        <v>1.0706670447295672</v>
      </c>
      <c r="AQ22" s="354">
        <f>Model!AQ43</f>
        <v>0.42213837949557875</v>
      </c>
      <c r="AR22" s="106">
        <f>Model!AR43</f>
        <v>1.8158617981939535</v>
      </c>
      <c r="AS22" s="106">
        <f>Model!AS43</f>
        <v>1.2205278423939578</v>
      </c>
      <c r="AT22" s="105">
        <f>Model!AT43</f>
        <v>1.1331086391079339</v>
      </c>
      <c r="AU22" s="106">
        <f>Model!AU43</f>
        <v>1.1462631820265932</v>
      </c>
      <c r="AV22" s="106">
        <f>Model!AV43</f>
        <v>0.97104348332718315</v>
      </c>
      <c r="AW22" s="106">
        <f>Model!AW43</f>
        <v>0.98675868520325749</v>
      </c>
      <c r="AX22" s="106">
        <f>Model!AX43</f>
        <v>1.0933974647392988</v>
      </c>
      <c r="AY22" s="105">
        <f>Model!AY43</f>
        <v>1.0443265718844572</v>
      </c>
      <c r="AZ22" s="105">
        <f>Model!AZ43</f>
        <v>1.0661407607522033</v>
      </c>
      <c r="BA22" s="105">
        <f>Model!BA43</f>
        <v>0.77949542886731582</v>
      </c>
      <c r="BB22" s="105">
        <f>Model!BB43</f>
        <v>1.5139068818403933</v>
      </c>
      <c r="BC22" s="532"/>
    </row>
    <row r="23" spans="1:55" s="65" customFormat="1">
      <c r="A23" s="193" t="str">
        <f>Model!A44</f>
        <v>Test Systems Book / Bill Ratio, x</v>
      </c>
      <c r="B23" s="194"/>
      <c r="C23" s="286">
        <f>Model!C44</f>
        <v>0</v>
      </c>
      <c r="D23" s="286">
        <f>Model!D44</f>
        <v>0</v>
      </c>
      <c r="E23" s="286">
        <f>Model!E44</f>
        <v>0</v>
      </c>
      <c r="F23" s="286">
        <f>Model!F44</f>
        <v>0</v>
      </c>
      <c r="G23" s="296">
        <f>Model!G44</f>
        <v>0</v>
      </c>
      <c r="H23" s="296">
        <f>Model!H44</f>
        <v>0</v>
      </c>
      <c r="I23" s="296">
        <f>Model!I44</f>
        <v>0</v>
      </c>
      <c r="J23" s="296">
        <f>Model!J44</f>
        <v>0</v>
      </c>
      <c r="K23" s="286">
        <f>Model!K44</f>
        <v>1.3680238120548527</v>
      </c>
      <c r="L23" s="296">
        <f>Model!L44</f>
        <v>8.9139350880025834</v>
      </c>
      <c r="M23" s="296">
        <f>Model!M44</f>
        <v>0.40047134238310722</v>
      </c>
      <c r="N23" s="296">
        <f>Model!N44</f>
        <v>0.25452288975510834</v>
      </c>
      <c r="O23" s="296">
        <f>Model!O44</f>
        <v>2.7968182788810592</v>
      </c>
      <c r="P23" s="286">
        <f>Model!P44</f>
        <v>1.8413032497053374</v>
      </c>
      <c r="Q23" s="296">
        <f>Model!Q44</f>
        <v>0.87296484496526183</v>
      </c>
      <c r="R23" s="296">
        <f>Model!R44</f>
        <v>0.29868735665837076</v>
      </c>
      <c r="S23" s="296">
        <f>Model!S44</f>
        <v>0.24996336519204787</v>
      </c>
      <c r="T23" s="296">
        <f>Model!T44</f>
        <v>0.61672741223863436</v>
      </c>
      <c r="U23" s="286">
        <f>Model!U44</f>
        <v>0.4019194477378441</v>
      </c>
      <c r="V23" s="296">
        <f>Model!V44</f>
        <v>1.0102257198058515</v>
      </c>
      <c r="W23" s="296">
        <f>Model!W44</f>
        <v>0.8212542759407071</v>
      </c>
      <c r="X23" s="296">
        <f>Model!X44</f>
        <v>0.4576537433155079</v>
      </c>
      <c r="Y23" s="296">
        <f>Model!Y44</f>
        <v>0.8886454489544896</v>
      </c>
      <c r="Z23" s="286">
        <f>Model!Z44</f>
        <v>0.76962515895924566</v>
      </c>
      <c r="AA23" s="296">
        <f>Model!AA44</f>
        <v>1.5566831524182672</v>
      </c>
      <c r="AB23" s="296">
        <f>Model!AB44</f>
        <v>1.1101683126999582</v>
      </c>
      <c r="AC23" s="296">
        <f>Model!AC44</f>
        <v>1.9149382539455491</v>
      </c>
      <c r="AD23" s="296">
        <f>Model!AD44</f>
        <v>1.8178067523305617</v>
      </c>
      <c r="AE23" s="286">
        <f>Model!AE44</f>
        <v>1.6253992276961085</v>
      </c>
      <c r="AF23" s="296">
        <f>Model!AF44</f>
        <v>0.83048620236530923</v>
      </c>
      <c r="AG23" s="296">
        <f>Model!AG44</f>
        <v>0.66176123767746808</v>
      </c>
      <c r="AH23" s="296">
        <f>Model!AH44</f>
        <v>0.86174730247128406</v>
      </c>
      <c r="AI23" s="296">
        <f>Model!AI44</f>
        <v>1.6191508581752487</v>
      </c>
      <c r="AJ23" s="286">
        <f>Model!AJ44</f>
        <v>0.95599815091944751</v>
      </c>
      <c r="AK23" s="296">
        <f>Model!AK44</f>
        <v>5.6270014741015395E-2</v>
      </c>
      <c r="AL23" s="296">
        <f>Model!AL44</f>
        <v>0.87968401863479873</v>
      </c>
      <c r="AM23" s="296">
        <f>Model!AM44</f>
        <v>1.1043176641126526</v>
      </c>
      <c r="AN23" s="296">
        <f>Model!AN44</f>
        <v>1.4830182938424676</v>
      </c>
      <c r="AO23" s="286">
        <f>Model!AO44</f>
        <v>0.92966925948584789</v>
      </c>
      <c r="AP23" s="296">
        <f>Model!AP44</f>
        <v>0.99249121957127229</v>
      </c>
      <c r="AQ23" s="354">
        <f>Model!AQ44</f>
        <v>0.86208039392074187</v>
      </c>
      <c r="AR23" s="106">
        <f>Model!AR44</f>
        <v>0.74257425742574257</v>
      </c>
      <c r="AS23" s="106">
        <f>Model!AS44</f>
        <v>0.50813008130081305</v>
      </c>
      <c r="AT23" s="105">
        <f>Model!AT44</f>
        <v>0.81007596961215478</v>
      </c>
      <c r="AU23" s="106">
        <f>Model!AU44</f>
        <v>0.68575817423743679</v>
      </c>
      <c r="AV23" s="106">
        <f>Model!AV44</f>
        <v>0.35400335311976072</v>
      </c>
      <c r="AW23" s="106">
        <f>Model!AW44</f>
        <v>0.4065262752566644</v>
      </c>
      <c r="AX23" s="106">
        <f>Model!AX44</f>
        <v>1.8451099567447182</v>
      </c>
      <c r="AY23" s="105">
        <f>Model!AY44</f>
        <v>0.78556093395958904</v>
      </c>
      <c r="AZ23" s="105">
        <f>Model!AZ44</f>
        <v>2.104448528084724</v>
      </c>
      <c r="BA23" s="105">
        <f>Model!BA44</f>
        <v>0.94927871099992456</v>
      </c>
      <c r="BB23" s="105">
        <f>Model!BB44</f>
        <v>0.98942670945985001</v>
      </c>
      <c r="BC23" s="532"/>
    </row>
    <row r="24" spans="1:55" s="65" customFormat="1">
      <c r="A24" s="195" t="str">
        <f>Model!A45</f>
        <v>Total Company Book / Bill Ratio, x</v>
      </c>
      <c r="B24" s="196"/>
      <c r="C24" s="107">
        <f>Model!C45</f>
        <v>0</v>
      </c>
      <c r="D24" s="107">
        <f>Model!D45</f>
        <v>0</v>
      </c>
      <c r="E24" s="107">
        <f>Model!E45</f>
        <v>0</v>
      </c>
      <c r="F24" s="107">
        <f>Model!F45</f>
        <v>0</v>
      </c>
      <c r="G24" s="108">
        <f>Model!G45</f>
        <v>0</v>
      </c>
      <c r="H24" s="108">
        <f>Model!H45</f>
        <v>0</v>
      </c>
      <c r="I24" s="108">
        <f>Model!I45</f>
        <v>0</v>
      </c>
      <c r="J24" s="108">
        <f>Model!J45</f>
        <v>0</v>
      </c>
      <c r="K24" s="107">
        <f>Model!K45</f>
        <v>1.2931807952650052</v>
      </c>
      <c r="L24" s="108">
        <f>Model!L45</f>
        <v>2.0517059119835972</v>
      </c>
      <c r="M24" s="108">
        <f>Model!M45</f>
        <v>0.66477187028657625</v>
      </c>
      <c r="N24" s="108">
        <f>Model!N45</f>
        <v>0.77804191648167242</v>
      </c>
      <c r="O24" s="108">
        <f>Model!O45</f>
        <v>1.9247277386290842</v>
      </c>
      <c r="P24" s="107">
        <f>Model!P45</f>
        <v>1.3587952618951042</v>
      </c>
      <c r="Q24" s="108">
        <f>Model!Q45</f>
        <v>1.047860032913053</v>
      </c>
      <c r="R24" s="108">
        <f>Model!R45</f>
        <v>0.84733419575411761</v>
      </c>
      <c r="S24" s="108">
        <f>Model!S45</f>
        <v>0.72527917259986507</v>
      </c>
      <c r="T24" s="108">
        <f>Model!T45</f>
        <v>0.85581543154951079</v>
      </c>
      <c r="U24" s="107">
        <f>Model!U45</f>
        <v>0.86079456404137655</v>
      </c>
      <c r="V24" s="108">
        <f>Model!V45</f>
        <v>1.0146367454397294</v>
      </c>
      <c r="W24" s="108">
        <f>Model!W45</f>
        <v>1.1040711323026771</v>
      </c>
      <c r="X24" s="108">
        <f>Model!X45</f>
        <v>0.88017975615574562</v>
      </c>
      <c r="Y24" s="108">
        <f>Model!Y45</f>
        <v>0.88839992730482631</v>
      </c>
      <c r="Z24" s="107">
        <f>Model!Z45</f>
        <v>0.97420564408495658</v>
      </c>
      <c r="AA24" s="108">
        <f>Model!AA45</f>
        <v>0.96506469986088916</v>
      </c>
      <c r="AB24" s="108">
        <f>Model!AB45</f>
        <v>1.0851608719245074</v>
      </c>
      <c r="AC24" s="108">
        <f>Model!AC45</f>
        <v>1.2452818840386006</v>
      </c>
      <c r="AD24" s="108">
        <f>Model!AD45</f>
        <v>1.5335633150048447</v>
      </c>
      <c r="AE24" s="107">
        <f>Model!AE45</f>
        <v>1.217237502882472</v>
      </c>
      <c r="AF24" s="108">
        <f>Model!AF45</f>
        <v>1.0274881463651648</v>
      </c>
      <c r="AG24" s="108">
        <f>Model!AG45</f>
        <v>0.89609119584288088</v>
      </c>
      <c r="AH24" s="108">
        <f>Model!AH45</f>
        <v>1.0993727489020757</v>
      </c>
      <c r="AI24" s="108">
        <f>Model!AI45</f>
        <v>1.085980967587733</v>
      </c>
      <c r="AJ24" s="107">
        <f>Model!AJ45</f>
        <v>1.0271731552580998</v>
      </c>
      <c r="AK24" s="108">
        <f>Model!AK45</f>
        <v>0.92618674762458264</v>
      </c>
      <c r="AL24" s="108">
        <f>Model!AL45</f>
        <v>0.89191318787083917</v>
      </c>
      <c r="AM24" s="108">
        <f>Model!AM45</f>
        <v>0.99801150165519925</v>
      </c>
      <c r="AN24" s="108">
        <f>Model!AN45</f>
        <v>0.90011188839384693</v>
      </c>
      <c r="AO24" s="107">
        <f>Model!AO45</f>
        <v>0.92755810131201921</v>
      </c>
      <c r="AP24" s="108">
        <f>Model!AP45</f>
        <v>1.0624746167123567</v>
      </c>
      <c r="AQ24" s="355">
        <f>Model!AQ45</f>
        <v>0.49725936585444719</v>
      </c>
      <c r="AR24" s="108">
        <f>Model!AR45</f>
        <v>1.7369952710076391</v>
      </c>
      <c r="AS24" s="108">
        <f>Model!AS45</f>
        <v>1.1648532020226088</v>
      </c>
      <c r="AT24" s="107">
        <f>Model!AT45</f>
        <v>1.0988457212398357</v>
      </c>
      <c r="AU24" s="108">
        <f>Model!AU45</f>
        <v>1.127337251957621</v>
      </c>
      <c r="AV24" s="108">
        <f>Model!AV45</f>
        <v>0.93049629974188941</v>
      </c>
      <c r="AW24" s="108">
        <f>Model!AW45</f>
        <v>0.95276190742419375</v>
      </c>
      <c r="AX24" s="108">
        <f>Model!AX45</f>
        <v>1.1364677931563432</v>
      </c>
      <c r="AY24" s="107">
        <f>Model!AY45</f>
        <v>1.0297594766316269</v>
      </c>
      <c r="AZ24" s="107">
        <f>Model!AZ45</f>
        <v>1.117426707593359</v>
      </c>
      <c r="BA24" s="107">
        <f>Model!BA45</f>
        <v>0.79268384761406263</v>
      </c>
      <c r="BB24" s="107">
        <f>Model!BB45</f>
        <v>1.4427638713350943</v>
      </c>
      <c r="BC24" s="532"/>
    </row>
    <row r="25" spans="1:55" s="67" customFormat="1">
      <c r="A25" s="197"/>
      <c r="B25" s="198"/>
      <c r="C25" s="287"/>
      <c r="D25" s="287"/>
      <c r="E25" s="287"/>
      <c r="F25" s="287"/>
      <c r="G25" s="297"/>
      <c r="H25" s="297"/>
      <c r="I25" s="297"/>
      <c r="J25" s="297"/>
      <c r="K25" s="287"/>
      <c r="L25" s="297"/>
      <c r="M25" s="297"/>
      <c r="N25" s="297"/>
      <c r="O25" s="297"/>
      <c r="P25" s="287"/>
      <c r="Q25" s="297"/>
      <c r="R25" s="297"/>
      <c r="S25" s="297"/>
      <c r="T25" s="297"/>
      <c r="U25" s="287"/>
      <c r="V25" s="297"/>
      <c r="W25" s="297"/>
      <c r="X25" s="297"/>
      <c r="Y25" s="297"/>
      <c r="Z25" s="287"/>
      <c r="AA25" s="297"/>
      <c r="AB25" s="297"/>
      <c r="AC25" s="297"/>
      <c r="AD25" s="297"/>
      <c r="AE25" s="287"/>
      <c r="AF25" s="297"/>
      <c r="AG25" s="297"/>
      <c r="AH25" s="297"/>
      <c r="AI25" s="297"/>
      <c r="AJ25" s="287"/>
      <c r="AK25" s="297"/>
      <c r="AL25" s="297"/>
      <c r="AM25" s="297"/>
      <c r="AN25" s="297"/>
      <c r="AO25" s="287"/>
      <c r="AP25" s="297"/>
      <c r="AQ25" s="356"/>
      <c r="AR25" s="110"/>
      <c r="AS25" s="110"/>
      <c r="AT25" s="109"/>
      <c r="AU25" s="110"/>
      <c r="AV25" s="110"/>
      <c r="AW25" s="110"/>
      <c r="AX25" s="110"/>
      <c r="AY25" s="109"/>
      <c r="AZ25" s="109"/>
      <c r="BA25" s="109"/>
      <c r="BB25" s="109"/>
      <c r="BC25" s="110"/>
    </row>
    <row r="26" spans="1:55" s="63" customFormat="1">
      <c r="A26" s="199" t="str">
        <f>Model!A48</f>
        <v>Aerospace Operating Profit, mm</v>
      </c>
      <c r="B26" s="183"/>
      <c r="C26" s="563">
        <f>Model!C48</f>
        <v>16.274000000000001</v>
      </c>
      <c r="D26" s="563">
        <f>Model!D48</f>
        <v>30.111999999999998</v>
      </c>
      <c r="E26" s="563">
        <f>Model!E48</f>
        <v>40.4</v>
      </c>
      <c r="F26" s="563">
        <f>Model!F48</f>
        <v>44.137</v>
      </c>
      <c r="G26" s="564">
        <f>Model!G48</f>
        <v>14.288</v>
      </c>
      <c r="H26" s="564">
        <f>Model!H48</f>
        <v>11.446999999999999</v>
      </c>
      <c r="I26" s="564">
        <f>Model!I48</f>
        <v>15.377000000000001</v>
      </c>
      <c r="J26" s="564">
        <f>Model!J48</f>
        <v>14.088000000000001</v>
      </c>
      <c r="K26" s="563">
        <f>Model!K48</f>
        <v>55.2</v>
      </c>
      <c r="L26" s="564">
        <f>Model!L48</f>
        <v>17.489999999999998</v>
      </c>
      <c r="M26" s="564">
        <f>Model!M48</f>
        <v>20.760999999999999</v>
      </c>
      <c r="N26" s="564">
        <f>Model!N48</f>
        <v>22.056999999999999</v>
      </c>
      <c r="O26" s="564">
        <f>Model!O48</f>
        <v>19.445000000000007</v>
      </c>
      <c r="P26" s="563">
        <f>Model!P48</f>
        <v>79.753</v>
      </c>
      <c r="Q26" s="564">
        <f>Model!Q48</f>
        <v>23.402000000000001</v>
      </c>
      <c r="R26" s="564">
        <f>Model!R48</f>
        <v>20.271000000000001</v>
      </c>
      <c r="S26" s="564">
        <f>Model!S48</f>
        <v>23.055</v>
      </c>
      <c r="T26" s="564">
        <f>Model!T48</f>
        <v>18.374999999999986</v>
      </c>
      <c r="U26" s="563">
        <f>Model!U48</f>
        <v>85.102999999999994</v>
      </c>
      <c r="V26" s="564">
        <f>Model!V48</f>
        <v>18.690999999999999</v>
      </c>
      <c r="W26" s="564">
        <f>Model!W48</f>
        <v>24.850999999999999</v>
      </c>
      <c r="X26" s="564">
        <f>Model!X48</f>
        <v>17.556999999999999</v>
      </c>
      <c r="Y26" s="564">
        <f>Model!Y48</f>
        <v>16.86699999999999</v>
      </c>
      <c r="Z26" s="563">
        <f>Model!Z48</f>
        <v>77.965999999999994</v>
      </c>
      <c r="AA26" s="564">
        <f>Model!AA48</f>
        <v>19.754000000000001</v>
      </c>
      <c r="AB26" s="564">
        <f>Model!AB48</f>
        <v>13.984</v>
      </c>
      <c r="AC26" s="564">
        <f>Model!AC48</f>
        <v>13.015000000000001</v>
      </c>
      <c r="AD26" s="564">
        <f>Model!AD48</f>
        <v>-7.865000000000002</v>
      </c>
      <c r="AE26" s="563">
        <f>Model!AE48</f>
        <v>38.887999999999998</v>
      </c>
      <c r="AF26" s="564">
        <f>Model!AF48</f>
        <v>13.115</v>
      </c>
      <c r="AG26" s="564">
        <f>Model!AG48</f>
        <v>18.2</v>
      </c>
      <c r="AH26" s="564">
        <f>Model!AH48</f>
        <v>16.21</v>
      </c>
      <c r="AI26" s="564">
        <f>Model!AI48</f>
        <v>22.235999999999997</v>
      </c>
      <c r="AJ26" s="563">
        <f>Model!AJ48</f>
        <v>69.760999999999996</v>
      </c>
      <c r="AK26" s="564">
        <f>Model!AK48</f>
        <v>25.768000000000001</v>
      </c>
      <c r="AL26" s="564">
        <f>Model!AL48</f>
        <v>14.391999999999999</v>
      </c>
      <c r="AM26" s="564">
        <f>Model!AM48</f>
        <v>8.7889999999999997</v>
      </c>
      <c r="AN26" s="564">
        <f>Model!AN48</f>
        <v>-32.292000000000002</v>
      </c>
      <c r="AO26" s="563">
        <f>Model!AO48</f>
        <v>16.657</v>
      </c>
      <c r="AP26" s="564">
        <f>Model!AP48</f>
        <v>-63.145000000000003</v>
      </c>
      <c r="AQ26" s="565">
        <f>Model!AQ48</f>
        <v>-17.09</v>
      </c>
      <c r="AR26" s="566">
        <f>Model!AR48</f>
        <v>0</v>
      </c>
      <c r="AS26" s="566">
        <f>Model!AS48</f>
        <v>0</v>
      </c>
      <c r="AT26" s="567">
        <f>Model!AT48</f>
        <v>0</v>
      </c>
      <c r="AU26" s="566">
        <f>Model!AU48</f>
        <v>0</v>
      </c>
      <c r="AV26" s="566">
        <f>Model!AV48</f>
        <v>0</v>
      </c>
      <c r="AW26" s="566">
        <f>Model!AW48</f>
        <v>0</v>
      </c>
      <c r="AX26" s="566">
        <f>Model!AX48</f>
        <v>0</v>
      </c>
      <c r="AY26" s="567">
        <f>Model!AY48</f>
        <v>0</v>
      </c>
      <c r="AZ26" s="567">
        <f>Model!AZ48</f>
        <v>0</v>
      </c>
      <c r="BA26" s="567">
        <f>Model!BA48</f>
        <v>0</v>
      </c>
      <c r="BB26" s="567">
        <f>Model!BB48</f>
        <v>0</v>
      </c>
      <c r="BC26" s="531"/>
    </row>
    <row r="27" spans="1:55" s="63" customFormat="1">
      <c r="A27" s="199" t="str">
        <f>Model!A49</f>
        <v>Test Systems Operating Profit, mm</v>
      </c>
      <c r="B27" s="183"/>
      <c r="C27" s="563">
        <f>Model!C49</f>
        <v>-18.219000000000001</v>
      </c>
      <c r="D27" s="563">
        <f>Model!D49</f>
        <v>-1.806</v>
      </c>
      <c r="E27" s="563">
        <f>Model!E49</f>
        <v>-4.76</v>
      </c>
      <c r="F27" s="563">
        <f>Model!F49</f>
        <v>-4.9850000000000003</v>
      </c>
      <c r="G27" s="564">
        <f>Model!G49</f>
        <v>-1.5249999999999999</v>
      </c>
      <c r="H27" s="564">
        <f>Model!H49</f>
        <v>-0.61</v>
      </c>
      <c r="I27" s="564">
        <f>Model!I49</f>
        <v>-0.745</v>
      </c>
      <c r="J27" s="564">
        <f>Model!J49</f>
        <v>-0.87599999999999989</v>
      </c>
      <c r="K27" s="563">
        <f>Model!K49</f>
        <v>-3.7559999999999998</v>
      </c>
      <c r="L27" s="564">
        <f>Model!L49</f>
        <v>-1.6950000000000001</v>
      </c>
      <c r="M27" s="564">
        <f>Model!M49</f>
        <v>4.03</v>
      </c>
      <c r="N27" s="564">
        <f>Model!N49</f>
        <v>5.6989999999999998</v>
      </c>
      <c r="O27" s="564">
        <f>Model!O49</f>
        <v>4.3670000000000009</v>
      </c>
      <c r="P27" s="563">
        <f>Model!P49</f>
        <v>12.401</v>
      </c>
      <c r="Q27" s="564">
        <f>Model!Q49</f>
        <v>-2.2250000000000001</v>
      </c>
      <c r="R27" s="564">
        <f>Model!R49</f>
        <v>9.8629999999999995</v>
      </c>
      <c r="S27" s="564">
        <f>Model!S49</f>
        <v>16.98</v>
      </c>
      <c r="T27" s="564">
        <f>Model!T49</f>
        <v>0.91099999999999781</v>
      </c>
      <c r="U27" s="563">
        <f>Model!U49</f>
        <v>25.529</v>
      </c>
      <c r="V27" s="564">
        <f>Model!V49</f>
        <v>2.21</v>
      </c>
      <c r="W27" s="564">
        <f>Model!W49</f>
        <v>1.0740000000000001</v>
      </c>
      <c r="X27" s="564">
        <f>Model!X49</f>
        <v>3.24</v>
      </c>
      <c r="Y27" s="564">
        <f>Model!Y49</f>
        <v>1.9829999999999997</v>
      </c>
      <c r="Z27" s="563">
        <f>Model!Z49</f>
        <v>8.5069999999999997</v>
      </c>
      <c r="AA27" s="564">
        <f>Model!AA49</f>
        <v>0.318</v>
      </c>
      <c r="AB27" s="564">
        <f>Model!AB49</f>
        <v>1.4319999999999999</v>
      </c>
      <c r="AC27" s="564">
        <f>Model!AC49</f>
        <v>1.093</v>
      </c>
      <c r="AD27" s="564">
        <f>Model!AD49</f>
        <v>4.516</v>
      </c>
      <c r="AE27" s="563">
        <f>Model!AE49</f>
        <v>7.359</v>
      </c>
      <c r="AF27" s="564">
        <f>Model!AF49</f>
        <v>-1.929</v>
      </c>
      <c r="AG27" s="564">
        <f>Model!AG49</f>
        <v>6.2469999999999999</v>
      </c>
      <c r="AH27" s="564">
        <f>Model!AH49</f>
        <v>5.8330000000000002</v>
      </c>
      <c r="AI27" s="564">
        <f>Model!AI49</f>
        <v>0.56700000000000017</v>
      </c>
      <c r="AJ27" s="563">
        <f>Model!AJ49</f>
        <v>10.718</v>
      </c>
      <c r="AK27" s="564">
        <f>Model!AK49</f>
        <v>2.1850000000000001</v>
      </c>
      <c r="AL27" s="564">
        <f>Model!AL49</f>
        <v>-9.4E-2</v>
      </c>
      <c r="AM27" s="564">
        <f>Model!AM49</f>
        <v>2.0750000000000002</v>
      </c>
      <c r="AN27" s="564">
        <f>Model!AN49</f>
        <v>0.3279999999999994</v>
      </c>
      <c r="AO27" s="563">
        <f>Model!AO49</f>
        <v>4.4939999999999998</v>
      </c>
      <c r="AP27" s="564">
        <f>Model!AP49</f>
        <v>0.72199999999999998</v>
      </c>
      <c r="AQ27" s="565">
        <f>Model!AQ49</f>
        <v>2.6120000000000001</v>
      </c>
      <c r="AR27" s="566">
        <f>Model!AR49</f>
        <v>0</v>
      </c>
      <c r="AS27" s="566">
        <f>Model!AS49</f>
        <v>0</v>
      </c>
      <c r="AT27" s="567">
        <f>Model!AT49</f>
        <v>0</v>
      </c>
      <c r="AU27" s="566">
        <f>Model!AU49</f>
        <v>0</v>
      </c>
      <c r="AV27" s="566">
        <f>Model!AV49</f>
        <v>0</v>
      </c>
      <c r="AW27" s="566">
        <f>Model!AW49</f>
        <v>0</v>
      </c>
      <c r="AX27" s="566">
        <f>Model!AX49</f>
        <v>0</v>
      </c>
      <c r="AY27" s="567">
        <f>Model!AY49</f>
        <v>0</v>
      </c>
      <c r="AZ27" s="567">
        <f>Model!AZ49</f>
        <v>0</v>
      </c>
      <c r="BA27" s="567">
        <f>Model!BA49</f>
        <v>0</v>
      </c>
      <c r="BB27" s="567">
        <f>Model!BB49</f>
        <v>0</v>
      </c>
      <c r="BC27" s="531"/>
    </row>
    <row r="28" spans="1:55" s="63" customFormat="1">
      <c r="A28" s="200" t="str">
        <f>Model!A50</f>
        <v>Total (Segment) Operating Profit, mm</v>
      </c>
      <c r="B28" s="185"/>
      <c r="C28" s="568">
        <f>Model!C50</f>
        <v>-1.9450000000000003</v>
      </c>
      <c r="D28" s="568">
        <f>Model!D50</f>
        <v>28.305999999999997</v>
      </c>
      <c r="E28" s="568">
        <f>Model!E50</f>
        <v>35.64</v>
      </c>
      <c r="F28" s="568">
        <f>Model!F50</f>
        <v>39.152000000000001</v>
      </c>
      <c r="G28" s="569">
        <f>Model!G50</f>
        <v>12.763</v>
      </c>
      <c r="H28" s="569">
        <f>Model!H50</f>
        <v>10.837</v>
      </c>
      <c r="I28" s="569">
        <f>Model!I50</f>
        <v>14.632000000000001</v>
      </c>
      <c r="J28" s="569">
        <f>Model!J50</f>
        <v>13.212000000000002</v>
      </c>
      <c r="K28" s="568">
        <f>Model!K50</f>
        <v>51.444000000000003</v>
      </c>
      <c r="L28" s="569">
        <f>Model!L50</f>
        <v>15.794999999999998</v>
      </c>
      <c r="M28" s="569">
        <f>Model!M50</f>
        <v>24.791</v>
      </c>
      <c r="N28" s="569">
        <f>Model!N50</f>
        <v>27.756</v>
      </c>
      <c r="O28" s="569">
        <f>Model!O50</f>
        <v>23.812000000000008</v>
      </c>
      <c r="P28" s="568">
        <f>Model!P50</f>
        <v>92.153999999999996</v>
      </c>
      <c r="Q28" s="569">
        <f>Model!Q50</f>
        <v>21.177</v>
      </c>
      <c r="R28" s="569">
        <f>Model!R50</f>
        <v>30.134</v>
      </c>
      <c r="S28" s="569">
        <f>Model!S50</f>
        <v>40.034999999999997</v>
      </c>
      <c r="T28" s="569">
        <f>Model!T50</f>
        <v>19.285999999999984</v>
      </c>
      <c r="U28" s="568">
        <f>Model!U50</f>
        <v>110.63199999999999</v>
      </c>
      <c r="V28" s="569">
        <f>Model!V50</f>
        <v>20.901</v>
      </c>
      <c r="W28" s="569">
        <f>Model!W50</f>
        <v>25.925000000000001</v>
      </c>
      <c r="X28" s="569">
        <f>Model!X50</f>
        <v>20.796999999999997</v>
      </c>
      <c r="Y28" s="569">
        <f>Model!Y50</f>
        <v>18.849999999999991</v>
      </c>
      <c r="Z28" s="568">
        <f>Model!Z50</f>
        <v>86.472999999999999</v>
      </c>
      <c r="AA28" s="569">
        <f>Model!AA50</f>
        <v>20.072000000000003</v>
      </c>
      <c r="AB28" s="569">
        <f>Model!AB50</f>
        <v>15.416</v>
      </c>
      <c r="AC28" s="569">
        <f>Model!AC50</f>
        <v>14.108000000000001</v>
      </c>
      <c r="AD28" s="569">
        <f>Model!AD50</f>
        <v>-3.349000000000002</v>
      </c>
      <c r="AE28" s="568">
        <f>Model!AE50</f>
        <v>46.247</v>
      </c>
      <c r="AF28" s="569">
        <f>Model!AF50</f>
        <v>11.186</v>
      </c>
      <c r="AG28" s="569">
        <f>Model!AG50</f>
        <v>24.446999999999999</v>
      </c>
      <c r="AH28" s="569">
        <f>Model!AH50</f>
        <v>22.042999999999999</v>
      </c>
      <c r="AI28" s="569">
        <f>Model!AI50</f>
        <v>22.802999999999997</v>
      </c>
      <c r="AJ28" s="568">
        <f>Model!AJ50</f>
        <v>80.478999999999999</v>
      </c>
      <c r="AK28" s="569">
        <f>Model!AK50</f>
        <v>27.952999999999999</v>
      </c>
      <c r="AL28" s="569">
        <f>Model!AL50</f>
        <v>14.298</v>
      </c>
      <c r="AM28" s="569">
        <f>Model!AM50</f>
        <v>10.864000000000001</v>
      </c>
      <c r="AN28" s="569">
        <f>Model!AN50</f>
        <v>-31.964000000000002</v>
      </c>
      <c r="AO28" s="568">
        <f>Model!AO50</f>
        <v>21.151</v>
      </c>
      <c r="AP28" s="569">
        <f>Model!AP50</f>
        <v>-62.423000000000002</v>
      </c>
      <c r="AQ28" s="570">
        <f>Model!AQ50</f>
        <v>-14.478</v>
      </c>
      <c r="AR28" s="569">
        <f>Model!AR50</f>
        <v>0</v>
      </c>
      <c r="AS28" s="569">
        <f>Model!AS50</f>
        <v>0</v>
      </c>
      <c r="AT28" s="568">
        <f>Model!AT50</f>
        <v>0</v>
      </c>
      <c r="AU28" s="569">
        <f>Model!AU50</f>
        <v>0</v>
      </c>
      <c r="AV28" s="569">
        <f>Model!AV50</f>
        <v>0</v>
      </c>
      <c r="AW28" s="569">
        <f>Model!AW50</f>
        <v>0</v>
      </c>
      <c r="AX28" s="569">
        <f>Model!AX50</f>
        <v>0</v>
      </c>
      <c r="AY28" s="568">
        <f>Model!AY50</f>
        <v>0</v>
      </c>
      <c r="AZ28" s="568">
        <f>Model!AZ50</f>
        <v>0</v>
      </c>
      <c r="BA28" s="568">
        <f>Model!BA50</f>
        <v>0</v>
      </c>
      <c r="BB28" s="568">
        <f>Model!BB50</f>
        <v>0</v>
      </c>
      <c r="BC28" s="531"/>
    </row>
    <row r="29" spans="1:55" s="63" customFormat="1">
      <c r="A29" s="182"/>
      <c r="B29" s="190"/>
      <c r="C29" s="563"/>
      <c r="D29" s="563"/>
      <c r="E29" s="563"/>
      <c r="F29" s="563"/>
      <c r="G29" s="564"/>
      <c r="H29" s="564"/>
      <c r="I29" s="564"/>
      <c r="J29" s="564"/>
      <c r="K29" s="563"/>
      <c r="L29" s="564"/>
      <c r="M29" s="564"/>
      <c r="N29" s="564"/>
      <c r="O29" s="564"/>
      <c r="P29" s="563"/>
      <c r="Q29" s="564"/>
      <c r="R29" s="564"/>
      <c r="S29" s="564"/>
      <c r="T29" s="564"/>
      <c r="U29" s="563"/>
      <c r="V29" s="564"/>
      <c r="W29" s="564"/>
      <c r="X29" s="564"/>
      <c r="Y29" s="564"/>
      <c r="Z29" s="563"/>
      <c r="AA29" s="564"/>
      <c r="AB29" s="564"/>
      <c r="AC29" s="564"/>
      <c r="AD29" s="564"/>
      <c r="AE29" s="563"/>
      <c r="AF29" s="564"/>
      <c r="AG29" s="564"/>
      <c r="AH29" s="564"/>
      <c r="AI29" s="564"/>
      <c r="AJ29" s="563"/>
      <c r="AK29" s="564"/>
      <c r="AL29" s="564"/>
      <c r="AM29" s="564"/>
      <c r="AN29" s="564"/>
      <c r="AO29" s="563"/>
      <c r="AP29" s="564"/>
      <c r="AQ29" s="565"/>
      <c r="AR29" s="566"/>
      <c r="AS29" s="566"/>
      <c r="AT29" s="567"/>
      <c r="AU29" s="566"/>
      <c r="AV29" s="566"/>
      <c r="AW29" s="566"/>
      <c r="AX29" s="566"/>
      <c r="AY29" s="567"/>
      <c r="AZ29" s="567"/>
      <c r="BA29" s="567"/>
      <c r="BB29" s="567"/>
      <c r="BC29" s="531"/>
    </row>
    <row r="30" spans="1:55">
      <c r="A30" s="94" t="s">
        <v>220</v>
      </c>
      <c r="B30" s="533"/>
      <c r="C30" s="576"/>
      <c r="D30" s="576"/>
      <c r="E30" s="576"/>
      <c r="F30" s="576"/>
      <c r="G30" s="576"/>
      <c r="H30" s="576"/>
      <c r="I30" s="576"/>
      <c r="J30" s="576"/>
      <c r="K30" s="576"/>
      <c r="L30" s="576"/>
      <c r="M30" s="576"/>
      <c r="N30" s="576"/>
      <c r="O30" s="576"/>
      <c r="P30" s="576"/>
      <c r="Q30" s="576"/>
      <c r="R30" s="576"/>
      <c r="S30" s="576"/>
      <c r="T30" s="576"/>
      <c r="U30" s="576"/>
      <c r="V30" s="576"/>
      <c r="W30" s="576"/>
      <c r="X30" s="576"/>
      <c r="Y30" s="576"/>
      <c r="Z30" s="576"/>
      <c r="AA30" s="576"/>
      <c r="AB30" s="576"/>
      <c r="AC30" s="576"/>
      <c r="AD30" s="576"/>
      <c r="AE30" s="576"/>
      <c r="AF30" s="576"/>
      <c r="AG30" s="576"/>
      <c r="AH30" s="576"/>
      <c r="AI30" s="576"/>
      <c r="AJ30" s="576"/>
      <c r="AK30" s="576"/>
      <c r="AL30" s="576"/>
      <c r="AM30" s="576"/>
      <c r="AN30" s="576"/>
      <c r="AO30" s="576"/>
      <c r="AP30" s="576"/>
      <c r="AQ30" s="577"/>
      <c r="AR30" s="578"/>
      <c r="AS30" s="578"/>
      <c r="AT30" s="578"/>
      <c r="AU30" s="578"/>
      <c r="AV30" s="578"/>
      <c r="AW30" s="578"/>
      <c r="AX30" s="578"/>
      <c r="AY30" s="578"/>
      <c r="AZ30" s="578"/>
      <c r="BA30" s="578"/>
      <c r="BB30" s="578"/>
      <c r="BC30" s="532"/>
    </row>
    <row r="31" spans="1:55" s="65" customFormat="1">
      <c r="A31" s="181" t="str">
        <f>INDEX(MO_RIS_REV,0,COLUMN())</f>
        <v>Net Revenue</v>
      </c>
      <c r="B31" s="186"/>
      <c r="C31" s="571">
        <f t="shared" ref="C31:AH31" si="22">INDEX(MO_RIS_REV,0,COLUMN())</f>
        <v>191.20099999999999</v>
      </c>
      <c r="D31" s="571">
        <f t="shared" si="22"/>
        <v>195.75399999999999</v>
      </c>
      <c r="E31" s="571">
        <f t="shared" si="22"/>
        <v>228.16300000000001</v>
      </c>
      <c r="F31" s="571">
        <f t="shared" si="22"/>
        <v>266.44600000000003</v>
      </c>
      <c r="G31" s="572">
        <f t="shared" si="22"/>
        <v>73.966999999999999</v>
      </c>
      <c r="H31" s="572">
        <f t="shared" si="22"/>
        <v>70.832999999999998</v>
      </c>
      <c r="I31" s="572">
        <f t="shared" si="22"/>
        <v>89.680999999999997</v>
      </c>
      <c r="J31" s="572">
        <f t="shared" si="22"/>
        <v>105.45600000000002</v>
      </c>
      <c r="K31" s="571">
        <f t="shared" si="22"/>
        <v>339.93700000000001</v>
      </c>
      <c r="L31" s="572">
        <f t="shared" si="22"/>
        <v>140.95099999999999</v>
      </c>
      <c r="M31" s="572">
        <f t="shared" si="22"/>
        <v>174.56299999999999</v>
      </c>
      <c r="N31" s="572">
        <f t="shared" si="22"/>
        <v>179.44200000000001</v>
      </c>
      <c r="O31" s="572">
        <f t="shared" si="22"/>
        <v>166.08299999999997</v>
      </c>
      <c r="P31" s="571">
        <f t="shared" si="22"/>
        <v>661.03899999999999</v>
      </c>
      <c r="Q31" s="572">
        <f t="shared" si="22"/>
        <v>161.63800000000001</v>
      </c>
      <c r="R31" s="572">
        <f t="shared" si="22"/>
        <v>173.15600000000001</v>
      </c>
      <c r="S31" s="572">
        <f t="shared" si="22"/>
        <v>200.14500000000001</v>
      </c>
      <c r="T31" s="572">
        <f t="shared" si="22"/>
        <v>157.34000000000003</v>
      </c>
      <c r="U31" s="571">
        <f t="shared" si="22"/>
        <v>692.279</v>
      </c>
      <c r="V31" s="572">
        <f t="shared" si="22"/>
        <v>159.53</v>
      </c>
      <c r="W31" s="572">
        <f t="shared" si="22"/>
        <v>164.42599999999999</v>
      </c>
      <c r="X31" s="572">
        <f t="shared" si="22"/>
        <v>155.09899999999999</v>
      </c>
      <c r="Y31" s="572">
        <f t="shared" si="22"/>
        <v>154.06800000000004</v>
      </c>
      <c r="Z31" s="571">
        <f t="shared" si="22"/>
        <v>633.12300000000005</v>
      </c>
      <c r="AA31" s="572">
        <f t="shared" si="22"/>
        <v>152.39599999999999</v>
      </c>
      <c r="AB31" s="572">
        <f t="shared" si="22"/>
        <v>151.114</v>
      </c>
      <c r="AC31" s="572">
        <f t="shared" si="22"/>
        <v>149.636</v>
      </c>
      <c r="AD31" s="572">
        <f t="shared" si="22"/>
        <v>171.3180000000001</v>
      </c>
      <c r="AE31" s="571">
        <f t="shared" si="22"/>
        <v>624.46400000000006</v>
      </c>
      <c r="AF31" s="572">
        <f t="shared" si="22"/>
        <v>179.059</v>
      </c>
      <c r="AG31" s="572">
        <f t="shared" si="22"/>
        <v>208.60599999999999</v>
      </c>
      <c r="AH31" s="572">
        <f t="shared" si="22"/>
        <v>212.67400000000001</v>
      </c>
      <c r="AI31" s="572">
        <f t="shared" ref="AI31:BB31" si="23">INDEX(MO_RIS_REV,0,COLUMN())</f>
        <v>202.91700000000003</v>
      </c>
      <c r="AJ31" s="571">
        <f t="shared" si="23"/>
        <v>803.25599999999997</v>
      </c>
      <c r="AK31" s="572">
        <f t="shared" si="23"/>
        <v>208.17400000000001</v>
      </c>
      <c r="AL31" s="572">
        <f t="shared" si="23"/>
        <v>189.09800000000001</v>
      </c>
      <c r="AM31" s="572">
        <f t="shared" si="23"/>
        <v>177.018</v>
      </c>
      <c r="AN31" s="572">
        <f t="shared" si="23"/>
        <v>198.41199999999992</v>
      </c>
      <c r="AO31" s="571">
        <f t="shared" si="23"/>
        <v>772.702</v>
      </c>
      <c r="AP31" s="572">
        <f>INDEX(MO_RIS_REV,0,COLUMN())</f>
        <v>157.584</v>
      </c>
      <c r="AQ31" s="573">
        <f>INDEX(MO_RIS_REV,0,COLUMN())</f>
        <v>123.694</v>
      </c>
      <c r="AR31" s="574">
        <f t="shared" si="23"/>
        <v>109.96000000000001</v>
      </c>
      <c r="AS31" s="574">
        <f t="shared" si="23"/>
        <v>151.09199999999998</v>
      </c>
      <c r="AT31" s="575">
        <f t="shared" si="23"/>
        <v>542.33000000000004</v>
      </c>
      <c r="AU31" s="574">
        <f t="shared" si="23"/>
        <v>177.40920000000003</v>
      </c>
      <c r="AV31" s="574">
        <f t="shared" si="23"/>
        <v>214.93906000000004</v>
      </c>
      <c r="AW31" s="574">
        <f t="shared" si="23"/>
        <v>209.916033</v>
      </c>
      <c r="AX31" s="574">
        <f t="shared" si="23"/>
        <v>189.18265989999998</v>
      </c>
      <c r="AY31" s="575">
        <f t="shared" si="23"/>
        <v>791.44695290000004</v>
      </c>
      <c r="AZ31" s="575">
        <f t="shared" si="23"/>
        <v>769.62542075999966</v>
      </c>
      <c r="BA31" s="575">
        <f t="shared" si="23"/>
        <v>1084.9218166720004</v>
      </c>
      <c r="BB31" s="575">
        <f t="shared" si="23"/>
        <v>596.07813661439934</v>
      </c>
      <c r="BC31" s="532"/>
    </row>
    <row r="32" spans="1:55" s="63" customFormat="1">
      <c r="A32" s="182" t="str">
        <f>INDEX(MO_RIS_COGS,0,COLUMN())</f>
        <v>COGS (adj. for D&amp;A)</v>
      </c>
      <c r="B32" s="183"/>
      <c r="C32" s="563">
        <f t="shared" ref="C32:AH32" si="24">INDEX(MO_RIS_COGS,0,COLUMN())</f>
        <v>146.58599999999998</v>
      </c>
      <c r="D32" s="563">
        <f t="shared" si="24"/>
        <v>143.30600000000001</v>
      </c>
      <c r="E32" s="563">
        <f t="shared" si="24"/>
        <v>162.72399999999999</v>
      </c>
      <c r="F32" s="563">
        <f t="shared" si="24"/>
        <v>190.09899999999999</v>
      </c>
      <c r="G32" s="564">
        <f t="shared" si="24"/>
        <v>51.998999999999995</v>
      </c>
      <c r="H32" s="564">
        <f t="shared" si="24"/>
        <v>50.430999999999997</v>
      </c>
      <c r="I32" s="564">
        <f t="shared" si="24"/>
        <v>62.819000000000003</v>
      </c>
      <c r="J32" s="564">
        <f t="shared" si="24"/>
        <v>75.771000000000015</v>
      </c>
      <c r="K32" s="563">
        <f t="shared" si="24"/>
        <v>241.02</v>
      </c>
      <c r="L32" s="564">
        <f t="shared" si="24"/>
        <v>106.108</v>
      </c>
      <c r="M32" s="564">
        <f t="shared" si="24"/>
        <v>125.88999999999999</v>
      </c>
      <c r="N32" s="564">
        <f t="shared" si="24"/>
        <v>117.27300000000001</v>
      </c>
      <c r="O32" s="564">
        <f t="shared" si="24"/>
        <v>117.47200000000005</v>
      </c>
      <c r="P32" s="563">
        <f t="shared" si="24"/>
        <v>466.74299999999999</v>
      </c>
      <c r="Q32" s="564">
        <f t="shared" si="24"/>
        <v>115.349</v>
      </c>
      <c r="R32" s="564">
        <f t="shared" si="24"/>
        <v>117.28599999999999</v>
      </c>
      <c r="S32" s="564">
        <f t="shared" si="24"/>
        <v>134.43199999999999</v>
      </c>
      <c r="T32" s="564">
        <f t="shared" si="24"/>
        <v>111.96099999999996</v>
      </c>
      <c r="U32" s="563">
        <f t="shared" si="24"/>
        <v>479.02799999999996</v>
      </c>
      <c r="V32" s="564">
        <f t="shared" si="24"/>
        <v>113.50099999999999</v>
      </c>
      <c r="W32" s="564">
        <f t="shared" si="24"/>
        <v>112.991</v>
      </c>
      <c r="X32" s="564">
        <f t="shared" si="24"/>
        <v>110.125</v>
      </c>
      <c r="Y32" s="564">
        <f t="shared" si="24"/>
        <v>111.24900000000005</v>
      </c>
      <c r="Z32" s="563">
        <f t="shared" si="24"/>
        <v>447.86599999999999</v>
      </c>
      <c r="AA32" s="564">
        <f t="shared" si="24"/>
        <v>107.78099999999999</v>
      </c>
      <c r="AB32" s="564">
        <f t="shared" si="24"/>
        <v>110.675</v>
      </c>
      <c r="AC32" s="564">
        <f t="shared" si="24"/>
        <v>110.461</v>
      </c>
      <c r="AD32" s="564">
        <f t="shared" si="24"/>
        <v>131.37099999999995</v>
      </c>
      <c r="AE32" s="563">
        <f t="shared" si="24"/>
        <v>460.28800000000001</v>
      </c>
      <c r="AF32" s="564">
        <f t="shared" si="24"/>
        <v>132.08599999999998</v>
      </c>
      <c r="AG32" s="564">
        <f t="shared" si="24"/>
        <v>150.291</v>
      </c>
      <c r="AH32" s="564">
        <f t="shared" si="24"/>
        <v>158.18200000000002</v>
      </c>
      <c r="AI32" s="564">
        <f t="shared" ref="AI32:BB32" si="25">INDEX(MO_RIS_COGS,0,COLUMN())</f>
        <v>146.96899999999988</v>
      </c>
      <c r="AJ32" s="563">
        <f t="shared" si="25"/>
        <v>587.52799999999991</v>
      </c>
      <c r="AK32" s="564">
        <f t="shared" si="25"/>
        <v>148.02100000000002</v>
      </c>
      <c r="AL32" s="564">
        <f t="shared" si="25"/>
        <v>140.83100000000002</v>
      </c>
      <c r="AM32" s="564">
        <f t="shared" si="25"/>
        <v>132.02099999999999</v>
      </c>
      <c r="AN32" s="564">
        <f t="shared" si="25"/>
        <v>162.63799999999998</v>
      </c>
      <c r="AO32" s="563">
        <f t="shared" si="25"/>
        <v>583.51099999999997</v>
      </c>
      <c r="AP32" s="564">
        <f>INDEX(MO_RIS_COGS,0,COLUMN())</f>
        <v>113.89399999999999</v>
      </c>
      <c r="AQ32" s="565">
        <f>INDEX(MO_RIS_COGS,0,COLUMN())</f>
        <v>88.78</v>
      </c>
      <c r="AR32" s="566">
        <f t="shared" si="25"/>
        <v>81.370400000000004</v>
      </c>
      <c r="AS32" s="566">
        <f t="shared" si="25"/>
        <v>111.80807999999999</v>
      </c>
      <c r="AT32" s="567">
        <f t="shared" si="25"/>
        <v>395.85248000000001</v>
      </c>
      <c r="AU32" s="566">
        <f t="shared" si="25"/>
        <v>133.05690000000001</v>
      </c>
      <c r="AV32" s="566">
        <f t="shared" si="25"/>
        <v>161.20429500000003</v>
      </c>
      <c r="AW32" s="566">
        <f t="shared" si="25"/>
        <v>157.43702475000001</v>
      </c>
      <c r="AX32" s="566">
        <f t="shared" si="25"/>
        <v>141.88699492499998</v>
      </c>
      <c r="AY32" s="567">
        <f t="shared" si="25"/>
        <v>593.58521467499997</v>
      </c>
      <c r="AZ32" s="567">
        <f t="shared" si="25"/>
        <v>577.21906556999988</v>
      </c>
      <c r="BA32" s="567">
        <f t="shared" si="25"/>
        <v>813.69136250400049</v>
      </c>
      <c r="BB32" s="567">
        <f t="shared" si="25"/>
        <v>447.05860246079959</v>
      </c>
      <c r="BC32" s="531"/>
    </row>
    <row r="33" spans="1:55" s="63" customFormat="1">
      <c r="A33" s="182" t="str">
        <f>INDEX(MO_RIS_SGA,0,COLUMN())</f>
        <v>SG&amp;A (adj. for SBC)</v>
      </c>
      <c r="B33" s="183"/>
      <c r="C33" s="563">
        <f t="shared" ref="C33:AH33" si="26">INDEX(MO_RIS_SGA,0,COLUMN())</f>
        <v>23.332000000000001</v>
      </c>
      <c r="D33" s="563">
        <f t="shared" si="26"/>
        <v>22.303000000000001</v>
      </c>
      <c r="E33" s="563">
        <f t="shared" si="26"/>
        <v>26.114000000000001</v>
      </c>
      <c r="F33" s="563">
        <f t="shared" si="26"/>
        <v>35.466000000000001</v>
      </c>
      <c r="G33" s="564">
        <f t="shared" si="26"/>
        <v>8.8309999999999995</v>
      </c>
      <c r="H33" s="564">
        <f t="shared" si="26"/>
        <v>10.318000000000001</v>
      </c>
      <c r="I33" s="564">
        <f t="shared" si="26"/>
        <v>11.093999999999999</v>
      </c>
      <c r="J33" s="564">
        <f t="shared" si="26"/>
        <v>13.925999999999997</v>
      </c>
      <c r="K33" s="563">
        <f t="shared" si="26"/>
        <v>44.168999999999997</v>
      </c>
      <c r="L33" s="564">
        <f t="shared" si="26"/>
        <v>15.984</v>
      </c>
      <c r="M33" s="564">
        <f t="shared" si="26"/>
        <v>20.248999999999999</v>
      </c>
      <c r="N33" s="564">
        <f t="shared" si="26"/>
        <v>25.101000000000003</v>
      </c>
      <c r="O33" s="564">
        <f t="shared" si="26"/>
        <v>16.616000000000003</v>
      </c>
      <c r="P33" s="563">
        <f t="shared" si="26"/>
        <v>77.95</v>
      </c>
      <c r="Q33" s="564">
        <f t="shared" si="26"/>
        <v>22.113</v>
      </c>
      <c r="R33" s="564">
        <f t="shared" si="26"/>
        <v>20.66</v>
      </c>
      <c r="S33" s="564">
        <f t="shared" si="26"/>
        <v>21.7</v>
      </c>
      <c r="T33" s="564">
        <f t="shared" si="26"/>
        <v>22.394000000000013</v>
      </c>
      <c r="U33" s="563">
        <f t="shared" si="26"/>
        <v>86.867000000000004</v>
      </c>
      <c r="V33" s="564">
        <f t="shared" si="26"/>
        <v>21.286999999999999</v>
      </c>
      <c r="W33" s="564">
        <f t="shared" si="26"/>
        <v>21.565000000000001</v>
      </c>
      <c r="X33" s="564">
        <f t="shared" si="26"/>
        <v>20.518000000000001</v>
      </c>
      <c r="Y33" s="564">
        <f t="shared" si="26"/>
        <v>20.676999999999992</v>
      </c>
      <c r="Z33" s="563">
        <f t="shared" si="26"/>
        <v>84.046999999999997</v>
      </c>
      <c r="AA33" s="564">
        <f t="shared" si="26"/>
        <v>20.727</v>
      </c>
      <c r="AB33" s="564">
        <f t="shared" si="26"/>
        <v>21.291</v>
      </c>
      <c r="AC33" s="564">
        <f t="shared" si="26"/>
        <v>21.352</v>
      </c>
      <c r="AD33" s="564">
        <f t="shared" si="26"/>
        <v>22.806999999999999</v>
      </c>
      <c r="AE33" s="563">
        <f t="shared" si="26"/>
        <v>86.177000000000007</v>
      </c>
      <c r="AF33" s="564">
        <f t="shared" si="26"/>
        <v>29.568999999999999</v>
      </c>
      <c r="AG33" s="564">
        <f t="shared" si="26"/>
        <v>28.737000000000002</v>
      </c>
      <c r="AH33" s="564">
        <f t="shared" si="26"/>
        <v>27.263999999999999</v>
      </c>
      <c r="AI33" s="564">
        <f t="shared" ref="AI33:BB33" si="27">INDEX(MO_RIS_SGA,0,COLUMN())</f>
        <v>28.365000000000006</v>
      </c>
      <c r="AJ33" s="563">
        <f t="shared" si="27"/>
        <v>113.935</v>
      </c>
      <c r="AK33" s="564">
        <f t="shared" si="27"/>
        <v>28.003</v>
      </c>
      <c r="AL33" s="564">
        <f t="shared" si="27"/>
        <v>28.838000000000001</v>
      </c>
      <c r="AM33" s="564">
        <f t="shared" si="27"/>
        <v>30.893000000000001</v>
      </c>
      <c r="AN33" s="564">
        <f t="shared" si="27"/>
        <v>51.780999999999999</v>
      </c>
      <c r="AO33" s="563">
        <f t="shared" si="27"/>
        <v>139.51500000000001</v>
      </c>
      <c r="AP33" s="564">
        <f>INDEX(MO_RIS_SGA,0,COLUMN())</f>
        <v>27.164000000000001</v>
      </c>
      <c r="AQ33" s="565">
        <f>INDEX(MO_RIS_SGA,0,COLUMN())</f>
        <v>31.801000000000002</v>
      </c>
      <c r="AR33" s="566">
        <f t="shared" si="27"/>
        <v>20.892400000000002</v>
      </c>
      <c r="AS33" s="566">
        <f t="shared" si="27"/>
        <v>28.707479999999997</v>
      </c>
      <c r="AT33" s="567">
        <f t="shared" si="27"/>
        <v>108.56488000000002</v>
      </c>
      <c r="AU33" s="566">
        <f t="shared" si="27"/>
        <v>23.063196000000005</v>
      </c>
      <c r="AV33" s="566">
        <f t="shared" si="27"/>
        <v>26.867382500000005</v>
      </c>
      <c r="AW33" s="566">
        <f t="shared" si="27"/>
        <v>24.140343795</v>
      </c>
      <c r="AX33" s="566">
        <f t="shared" si="27"/>
        <v>20.810092588999996</v>
      </c>
      <c r="AY33" s="567">
        <f t="shared" si="27"/>
        <v>94.881014883999995</v>
      </c>
      <c r="AZ33" s="567">
        <f t="shared" si="27"/>
        <v>96.203177594999957</v>
      </c>
      <c r="BA33" s="567">
        <f t="shared" si="27"/>
        <v>135.61522708400005</v>
      </c>
      <c r="BB33" s="567">
        <f t="shared" si="27"/>
        <v>74.509767076799918</v>
      </c>
      <c r="BC33" s="531"/>
    </row>
    <row r="34" spans="1:55" s="65" customFormat="1">
      <c r="A34" s="184" t="str">
        <f>INDEX(MO_RIS_EBITDA,0,COLUMN())</f>
        <v>EBITDA</v>
      </c>
      <c r="B34" s="185"/>
      <c r="C34" s="568">
        <f t="shared" ref="C34:AH34" si="28">INDEX(SP_GF_Rev,0,COLUMN())-INDEX(SP_GF_COGS,0,COLUMN())-INDEX(SP_GF_SGA,0,COLUMN())</f>
        <v>21.283000000000008</v>
      </c>
      <c r="D34" s="568">
        <f t="shared" si="28"/>
        <v>30.144999999999978</v>
      </c>
      <c r="E34" s="568">
        <f t="shared" si="28"/>
        <v>39.325000000000017</v>
      </c>
      <c r="F34" s="568">
        <f t="shared" si="28"/>
        <v>40.881000000000036</v>
      </c>
      <c r="G34" s="569">
        <f t="shared" si="28"/>
        <v>13.137000000000004</v>
      </c>
      <c r="H34" s="569">
        <f t="shared" si="28"/>
        <v>10.084</v>
      </c>
      <c r="I34" s="569">
        <f t="shared" si="28"/>
        <v>15.767999999999995</v>
      </c>
      <c r="J34" s="569">
        <f t="shared" si="28"/>
        <v>15.759000000000006</v>
      </c>
      <c r="K34" s="568">
        <f t="shared" si="28"/>
        <v>54.748000000000005</v>
      </c>
      <c r="L34" s="569">
        <f t="shared" si="28"/>
        <v>18.858999999999988</v>
      </c>
      <c r="M34" s="569">
        <f t="shared" si="28"/>
        <v>28.424000000000003</v>
      </c>
      <c r="N34" s="569">
        <f t="shared" si="28"/>
        <v>37.067999999999998</v>
      </c>
      <c r="O34" s="569">
        <f t="shared" si="28"/>
        <v>31.994999999999916</v>
      </c>
      <c r="P34" s="568">
        <f t="shared" si="28"/>
        <v>116.34599999999999</v>
      </c>
      <c r="Q34" s="569">
        <f t="shared" si="28"/>
        <v>24.176000000000002</v>
      </c>
      <c r="R34" s="569">
        <f t="shared" si="28"/>
        <v>35.210000000000022</v>
      </c>
      <c r="S34" s="569">
        <f t="shared" si="28"/>
        <v>44.013000000000019</v>
      </c>
      <c r="T34" s="569">
        <f t="shared" si="28"/>
        <v>22.985000000000063</v>
      </c>
      <c r="U34" s="568">
        <f t="shared" si="28"/>
        <v>126.38400000000003</v>
      </c>
      <c r="V34" s="569">
        <f t="shared" si="28"/>
        <v>24.742000000000012</v>
      </c>
      <c r="W34" s="569">
        <f t="shared" si="28"/>
        <v>29.869999999999987</v>
      </c>
      <c r="X34" s="569">
        <f t="shared" si="28"/>
        <v>24.455999999999989</v>
      </c>
      <c r="Y34" s="569">
        <f t="shared" si="28"/>
        <v>22.141999999999996</v>
      </c>
      <c r="Z34" s="568">
        <f t="shared" si="28"/>
        <v>101.21000000000006</v>
      </c>
      <c r="AA34" s="569">
        <f t="shared" si="28"/>
        <v>23.887999999999995</v>
      </c>
      <c r="AB34" s="569">
        <f t="shared" si="28"/>
        <v>19.148000000000007</v>
      </c>
      <c r="AC34" s="569">
        <f t="shared" si="28"/>
        <v>17.822999999999997</v>
      </c>
      <c r="AD34" s="569">
        <f t="shared" si="28"/>
        <v>17.140000000000146</v>
      </c>
      <c r="AE34" s="568">
        <f t="shared" si="28"/>
        <v>77.999000000000038</v>
      </c>
      <c r="AF34" s="569">
        <f t="shared" si="28"/>
        <v>17.404000000000014</v>
      </c>
      <c r="AG34" s="569">
        <f t="shared" si="28"/>
        <v>29.577999999999996</v>
      </c>
      <c r="AH34" s="569">
        <f t="shared" si="28"/>
        <v>27.227999999999991</v>
      </c>
      <c r="AI34" s="569">
        <f t="shared" ref="AI34:BB34" si="29">INDEX(SP_GF_Rev,0,COLUMN())-INDEX(SP_GF_COGS,0,COLUMN())-INDEX(SP_GF_SGA,0,COLUMN())</f>
        <v>27.583000000000144</v>
      </c>
      <c r="AJ34" s="568">
        <f t="shared" si="29"/>
        <v>101.79300000000006</v>
      </c>
      <c r="AK34" s="569">
        <f t="shared" si="29"/>
        <v>32.149999999999991</v>
      </c>
      <c r="AL34" s="569">
        <f t="shared" si="29"/>
        <v>19.428999999999995</v>
      </c>
      <c r="AM34" s="569">
        <f t="shared" si="29"/>
        <v>14.104000000000013</v>
      </c>
      <c r="AN34" s="569">
        <f t="shared" si="29"/>
        <v>-16.007000000000055</v>
      </c>
      <c r="AO34" s="568">
        <f t="shared" si="29"/>
        <v>49.676000000000016</v>
      </c>
      <c r="AP34" s="569">
        <f>INDEX(SP_GF_Rev,0,COLUMN())-INDEX(SP_GF_COGS,0,COLUMN())-INDEX(SP_GF_SGA,0,COLUMN())</f>
        <v>16.52600000000001</v>
      </c>
      <c r="AQ34" s="570">
        <f>INDEX(SP_GF_Rev,0,COLUMN())-INDEX(SP_GF_COGS,0,COLUMN())-INDEX(SP_GF_SGA,0,COLUMN())</f>
        <v>3.1129999999999995</v>
      </c>
      <c r="AR34" s="569">
        <f t="shared" si="29"/>
        <v>7.6972000000000023</v>
      </c>
      <c r="AS34" s="569">
        <f t="shared" si="29"/>
        <v>10.576439999999998</v>
      </c>
      <c r="AT34" s="568">
        <f t="shared" si="29"/>
        <v>37.91264000000001</v>
      </c>
      <c r="AU34" s="569">
        <f t="shared" si="29"/>
        <v>21.289104000000009</v>
      </c>
      <c r="AV34" s="569">
        <f t="shared" si="29"/>
        <v>26.867382500000005</v>
      </c>
      <c r="AW34" s="569">
        <f t="shared" si="29"/>
        <v>28.338664454999993</v>
      </c>
      <c r="AX34" s="569">
        <f t="shared" si="29"/>
        <v>26.485572385999998</v>
      </c>
      <c r="AY34" s="568">
        <f t="shared" si="29"/>
        <v>102.98072334100007</v>
      </c>
      <c r="AZ34" s="568">
        <f t="shared" si="29"/>
        <v>96.203177594999815</v>
      </c>
      <c r="BA34" s="568">
        <f t="shared" si="29"/>
        <v>135.61522708399988</v>
      </c>
      <c r="BB34" s="568">
        <f t="shared" si="29"/>
        <v>74.509767076799832</v>
      </c>
      <c r="BC34" s="532"/>
    </row>
    <row r="35" spans="1:55" s="63" customFormat="1">
      <c r="A35" s="182" t="str">
        <f>INDEX(MO_RIS_SBC,0,COLUMN())</f>
        <v>SBC</v>
      </c>
      <c r="B35" s="183"/>
      <c r="C35" s="563">
        <f t="shared" ref="C35:AH35" si="30">INDEX(MO_RIS_SBC,0,COLUMN())</f>
        <v>0.77300000000000002</v>
      </c>
      <c r="D35" s="563">
        <f t="shared" si="30"/>
        <v>0.88400000000000001</v>
      </c>
      <c r="E35" s="563">
        <f t="shared" si="30"/>
        <v>1.0609999999999999</v>
      </c>
      <c r="F35" s="563">
        <f t="shared" si="30"/>
        <v>1.351</v>
      </c>
      <c r="G35" s="564">
        <f t="shared" si="30"/>
        <v>0.32600000000000001</v>
      </c>
      <c r="H35" s="564">
        <f t="shared" si="30"/>
        <v>0.38299999999999995</v>
      </c>
      <c r="I35" s="564">
        <f t="shared" si="30"/>
        <v>0.33900000000000008</v>
      </c>
      <c r="J35" s="564">
        <f t="shared" si="30"/>
        <v>0.33599999999999985</v>
      </c>
      <c r="K35" s="563">
        <f t="shared" si="30"/>
        <v>1.3839999999999999</v>
      </c>
      <c r="L35" s="564">
        <f t="shared" si="30"/>
        <v>0.39400000000000002</v>
      </c>
      <c r="M35" s="564">
        <f t="shared" si="30"/>
        <v>0.47199999999999998</v>
      </c>
      <c r="N35" s="564">
        <f t="shared" si="30"/>
        <v>0.43800000000000006</v>
      </c>
      <c r="O35" s="564">
        <f t="shared" si="30"/>
        <v>0.42599999999999993</v>
      </c>
      <c r="P35" s="563">
        <f t="shared" si="30"/>
        <v>1.73</v>
      </c>
      <c r="Q35" s="564">
        <f t="shared" si="30"/>
        <v>0.50600000000000001</v>
      </c>
      <c r="R35" s="564">
        <f t="shared" si="30"/>
        <v>0.63700000000000001</v>
      </c>
      <c r="S35" s="564">
        <f t="shared" si="30"/>
        <v>0.59699999999999998</v>
      </c>
      <c r="T35" s="564">
        <f t="shared" si="30"/>
        <v>0.53400000000000003</v>
      </c>
      <c r="U35" s="563">
        <f t="shared" si="30"/>
        <v>2.274</v>
      </c>
      <c r="V35" s="564">
        <f t="shared" si="30"/>
        <v>0.59699999999999998</v>
      </c>
      <c r="W35" s="564">
        <f t="shared" si="30"/>
        <v>0.65900000000000003</v>
      </c>
      <c r="X35" s="564">
        <f t="shared" si="30"/>
        <v>0.61999999999999988</v>
      </c>
      <c r="Y35" s="564">
        <f t="shared" si="30"/>
        <v>0.40500000000000025</v>
      </c>
      <c r="Z35" s="563">
        <f t="shared" si="30"/>
        <v>2.2810000000000001</v>
      </c>
      <c r="AA35" s="564">
        <f t="shared" si="30"/>
        <v>0.65600000000000003</v>
      </c>
      <c r="AB35" s="564">
        <f t="shared" si="30"/>
        <v>0.79999999999999993</v>
      </c>
      <c r="AC35" s="564">
        <f t="shared" si="30"/>
        <v>0.74699999999999989</v>
      </c>
      <c r="AD35" s="564">
        <f t="shared" si="30"/>
        <v>0.39500000000000002</v>
      </c>
      <c r="AE35" s="563">
        <f t="shared" si="30"/>
        <v>2.5979999999999999</v>
      </c>
      <c r="AF35" s="564">
        <f t="shared" si="30"/>
        <v>0.93100000000000005</v>
      </c>
      <c r="AG35" s="564">
        <f t="shared" si="30"/>
        <v>0.70599999999999996</v>
      </c>
      <c r="AH35" s="564">
        <f t="shared" si="30"/>
        <v>0.71200000000000019</v>
      </c>
      <c r="AI35" s="564">
        <f t="shared" ref="AI35:BB35" si="31">INDEX(MO_RIS_SBC,0,COLUMN())</f>
        <v>0.74899999999999967</v>
      </c>
      <c r="AJ35" s="563">
        <f t="shared" si="31"/>
        <v>3.0979999999999999</v>
      </c>
      <c r="AK35" s="564">
        <f t="shared" si="31"/>
        <v>1.1930000000000001</v>
      </c>
      <c r="AL35" s="564">
        <f t="shared" si="31"/>
        <v>0.95199999999999996</v>
      </c>
      <c r="AM35" s="564">
        <f t="shared" si="31"/>
        <v>0.79800000000000004</v>
      </c>
      <c r="AN35" s="564">
        <f t="shared" si="31"/>
        <v>0.89999999999999991</v>
      </c>
      <c r="AO35" s="563">
        <f t="shared" si="31"/>
        <v>3.843</v>
      </c>
      <c r="AP35" s="564">
        <f>INDEX(MO_RIS_SBC,0,COLUMN())</f>
        <v>1.7030000000000001</v>
      </c>
      <c r="AQ35" s="565">
        <f>INDEX(MO_RIS_SBC,0,COLUMN())</f>
        <v>1.103</v>
      </c>
      <c r="AR35" s="566">
        <f t="shared" si="31"/>
        <v>1.2</v>
      </c>
      <c r="AS35" s="566">
        <f t="shared" si="31"/>
        <v>1.2</v>
      </c>
      <c r="AT35" s="567">
        <f t="shared" si="31"/>
        <v>5.2060000000000004</v>
      </c>
      <c r="AU35" s="566">
        <f t="shared" si="31"/>
        <v>1.2</v>
      </c>
      <c r="AV35" s="566">
        <f t="shared" si="31"/>
        <v>1.2</v>
      </c>
      <c r="AW35" s="566">
        <f t="shared" si="31"/>
        <v>1.2</v>
      </c>
      <c r="AX35" s="566">
        <f t="shared" si="31"/>
        <v>1.2</v>
      </c>
      <c r="AY35" s="567">
        <f t="shared" si="31"/>
        <v>4.8</v>
      </c>
      <c r="AZ35" s="567">
        <f t="shared" si="31"/>
        <v>4.8</v>
      </c>
      <c r="BA35" s="567">
        <f t="shared" si="31"/>
        <v>4.8</v>
      </c>
      <c r="BB35" s="567">
        <f t="shared" si="31"/>
        <v>4.8</v>
      </c>
      <c r="BC35" s="531"/>
    </row>
    <row r="36" spans="1:55" s="63" customFormat="1">
      <c r="A36" s="182" t="str">
        <f>INDEX(MO_RIS_DA,0,COLUMN())</f>
        <v>D&amp;A</v>
      </c>
      <c r="B36" s="183"/>
      <c r="C36" s="563">
        <f t="shared" ref="C36:AH36" si="32">INDEX(MO_RIS_DA,0,COLUMN())</f>
        <v>7.3419999999999996</v>
      </c>
      <c r="D36" s="563">
        <f t="shared" si="32"/>
        <v>4.8810000000000002</v>
      </c>
      <c r="E36" s="563">
        <f t="shared" si="32"/>
        <v>4.9429999999999996</v>
      </c>
      <c r="F36" s="563">
        <f t="shared" si="32"/>
        <v>6.9050000000000002</v>
      </c>
      <c r="G36" s="564">
        <f t="shared" si="32"/>
        <v>1.7490000000000001</v>
      </c>
      <c r="H36" s="564">
        <f t="shared" si="32"/>
        <v>1.7210000000000001</v>
      </c>
      <c r="I36" s="564">
        <f t="shared" si="32"/>
        <v>3.0769999999999995</v>
      </c>
      <c r="J36" s="564">
        <f t="shared" si="32"/>
        <v>4.5119999999999996</v>
      </c>
      <c r="K36" s="563">
        <f t="shared" si="32"/>
        <v>11.058999999999999</v>
      </c>
      <c r="L36" s="564">
        <f t="shared" si="32"/>
        <v>4.8380000000000001</v>
      </c>
      <c r="M36" s="564">
        <f t="shared" si="32"/>
        <v>5.4709999999999992</v>
      </c>
      <c r="N36" s="564">
        <f t="shared" si="32"/>
        <v>10.859</v>
      </c>
      <c r="O36" s="564">
        <f t="shared" si="32"/>
        <v>6.0860000000000021</v>
      </c>
      <c r="P36" s="563">
        <f t="shared" si="32"/>
        <v>27.254000000000001</v>
      </c>
      <c r="Q36" s="564">
        <f t="shared" si="32"/>
        <v>6.1269999999999998</v>
      </c>
      <c r="R36" s="564">
        <f t="shared" si="32"/>
        <v>6.4180000000000001</v>
      </c>
      <c r="S36" s="564">
        <f t="shared" si="32"/>
        <v>6.2859999999999996</v>
      </c>
      <c r="T36" s="564">
        <f t="shared" si="32"/>
        <v>6.4780000000000015</v>
      </c>
      <c r="U36" s="563">
        <f t="shared" si="32"/>
        <v>25.309000000000001</v>
      </c>
      <c r="V36" s="564">
        <f t="shared" si="32"/>
        <v>6.5460000000000003</v>
      </c>
      <c r="W36" s="564">
        <f t="shared" si="32"/>
        <v>6.6000000000000005</v>
      </c>
      <c r="X36" s="564">
        <f t="shared" si="32"/>
        <v>6.3109999999999999</v>
      </c>
      <c r="Y36" s="564">
        <f t="shared" si="32"/>
        <v>6.3329999999999984</v>
      </c>
      <c r="Z36" s="563">
        <f t="shared" si="32"/>
        <v>25.79</v>
      </c>
      <c r="AA36" s="564">
        <f t="shared" si="32"/>
        <v>6.298</v>
      </c>
      <c r="AB36" s="564">
        <f t="shared" si="32"/>
        <v>6.2889999999999997</v>
      </c>
      <c r="AC36" s="564">
        <f t="shared" si="32"/>
        <v>6.6819999999999986</v>
      </c>
      <c r="AD36" s="564">
        <f t="shared" si="32"/>
        <v>7.7940000000000005</v>
      </c>
      <c r="AE36" s="563">
        <f t="shared" si="32"/>
        <v>27.062999999999999</v>
      </c>
      <c r="AF36" s="564">
        <f t="shared" si="32"/>
        <v>9.8409999999999993</v>
      </c>
      <c r="AG36" s="564">
        <f t="shared" si="32"/>
        <v>8.7430000000000003</v>
      </c>
      <c r="AH36" s="564">
        <f t="shared" si="32"/>
        <v>8.1720000000000006</v>
      </c>
      <c r="AI36" s="564">
        <f t="shared" ref="AI36:BB36" si="33">INDEX(MO_RIS_DA,0,COLUMN())</f>
        <v>8.2759999999999962</v>
      </c>
      <c r="AJ36" s="563">
        <f t="shared" si="33"/>
        <v>35.031999999999996</v>
      </c>
      <c r="AK36" s="564">
        <f t="shared" si="33"/>
        <v>8.0760000000000005</v>
      </c>
      <c r="AL36" s="564">
        <f t="shared" si="33"/>
        <v>7.9039999999999999</v>
      </c>
      <c r="AM36" s="564">
        <f t="shared" si="33"/>
        <v>8.2029999999999994</v>
      </c>
      <c r="AN36" s="564">
        <f t="shared" si="33"/>
        <v>8.8659999999999997</v>
      </c>
      <c r="AO36" s="563">
        <f t="shared" si="33"/>
        <v>33.048999999999999</v>
      </c>
      <c r="AP36" s="564">
        <f>INDEX(MO_RIS_DA,0,COLUMN())</f>
        <v>7.9710000000000001</v>
      </c>
      <c r="AQ36" s="565">
        <f>INDEX(MO_RIS_DA,0,COLUMN())</f>
        <v>8.0809999999999995</v>
      </c>
      <c r="AR36" s="566">
        <f t="shared" si="33"/>
        <v>8.5</v>
      </c>
      <c r="AS36" s="566">
        <f t="shared" si="33"/>
        <v>8.5</v>
      </c>
      <c r="AT36" s="567">
        <f t="shared" si="33"/>
        <v>33.052</v>
      </c>
      <c r="AU36" s="566">
        <f t="shared" si="33"/>
        <v>8.5</v>
      </c>
      <c r="AV36" s="566">
        <f t="shared" si="33"/>
        <v>8.5</v>
      </c>
      <c r="AW36" s="566">
        <f t="shared" si="33"/>
        <v>8.5</v>
      </c>
      <c r="AX36" s="566">
        <f t="shared" si="33"/>
        <v>8.5</v>
      </c>
      <c r="AY36" s="567">
        <f t="shared" si="33"/>
        <v>34</v>
      </c>
      <c r="AZ36" s="567">
        <f t="shared" si="33"/>
        <v>34</v>
      </c>
      <c r="BA36" s="567">
        <f t="shared" si="33"/>
        <v>34</v>
      </c>
      <c r="BB36" s="567">
        <f t="shared" si="33"/>
        <v>34</v>
      </c>
      <c r="BC36" s="531"/>
    </row>
    <row r="37" spans="1:55" s="63" customFormat="1">
      <c r="A37" s="182" t="str">
        <f>INDEX(MO_RIS_IE,0,COLUMN())</f>
        <v>Interest expense, net</v>
      </c>
      <c r="B37" s="183"/>
      <c r="C37" s="563">
        <f>IFERROR(INDEX(MO_RIS_IE_Net,0,COLUMN()),INDEX(MO_RIS_IE,0,COLUMN())+INDEX(MO_RIS_II,0,COLUMN()))</f>
        <v>2.5329999999999999</v>
      </c>
      <c r="D37" s="563">
        <f>IFERROR(INDEX(MO_RIS_IE_Net,0,COLUMN()),INDEX(MO_RIS_IE,0,COLUMN())+INDEX(MO_RIS_II,0,COLUMN()))</f>
        <v>2.5510000000000002</v>
      </c>
      <c r="E37" s="563">
        <f>IFERROR(INDEX(MO_RIS_IE_Net,0,COLUMN()),INDEX(MO_RIS_IE,0,COLUMN())+INDEX(MO_RIS_II,0,COLUMN()))</f>
        <v>1.806</v>
      </c>
      <c r="F37" s="563">
        <f>IFERROR(INDEX(MO_RIS_IE_Net,0,COLUMN()),INDEX(MO_RIS_IE,0,COLUMN())+INDEX(MO_RIS_II,0,COLUMN()))</f>
        <v>1.042</v>
      </c>
      <c r="G37" s="564">
        <f>IFERROR(INDEX(MO_RIS_IE_Net,0,COLUMN()),INDEX(MO_RIS_IE,0,COLUMN())+INDEX(MO_RIS_II,0,COLUMN()))</f>
        <v>0.218</v>
      </c>
      <c r="H37" s="564">
        <f>IFERROR(INDEX(MO_RIS_IE_Net,0,COLUMN()),INDEX(MO_RIS_IE,0,COLUMN())+INDEX(MO_RIS_II,0,COLUMN()))</f>
        <v>0.26200000000000001</v>
      </c>
      <c r="I37" s="564">
        <f>IFERROR(INDEX(MO_RIS_IE_Net,0,COLUMN()),INDEX(MO_RIS_IE,0,COLUMN())+INDEX(MO_RIS_II,0,COLUMN()))</f>
        <v>1.605</v>
      </c>
      <c r="J37" s="564">
        <f>IFERROR(INDEX(MO_RIS_IE_Net,0,COLUMN()),INDEX(MO_RIS_IE,0,COLUMN())+INDEX(MO_RIS_II,0,COLUMN()))</f>
        <v>2.0090000000000003</v>
      </c>
      <c r="K37" s="563">
        <f>IFERROR(INDEX(MO_RIS_IE_Net,0,COLUMN()),INDEX(MO_RIS_IE,0,COLUMN())+INDEX(MO_RIS_II,0,COLUMN()))</f>
        <v>4.0940000000000003</v>
      </c>
      <c r="L37" s="564">
        <f>IFERROR(INDEX(MO_RIS_IE_Net,0,COLUMN()),INDEX(MO_RIS_IE,0,COLUMN())+INDEX(MO_RIS_II,0,COLUMN()))</f>
        <v>2.323</v>
      </c>
      <c r="M37" s="564">
        <f>IFERROR(INDEX(MO_RIS_IE_Net,0,COLUMN()),INDEX(MO_RIS_IE,0,COLUMN())+INDEX(MO_RIS_II,0,COLUMN()))</f>
        <v>2.5590000000000002</v>
      </c>
      <c r="N37" s="564">
        <f>IFERROR(INDEX(MO_RIS_IE_Net,0,COLUMN()),INDEX(MO_RIS_IE,0,COLUMN())+INDEX(MO_RIS_II,0,COLUMN()))</f>
        <v>2.3010000000000002</v>
      </c>
      <c r="O37" s="564">
        <f>IFERROR(INDEX(MO_RIS_IE_Net,0,COLUMN()),INDEX(MO_RIS_IE,0,COLUMN())+INDEX(MO_RIS_II,0,COLUMN()))</f>
        <v>1.072000000000001</v>
      </c>
      <c r="P37" s="563">
        <f>IFERROR(INDEX(MO_RIS_IE_Net,0,COLUMN()),INDEX(MO_RIS_IE,0,COLUMN())+INDEX(MO_RIS_II,0,COLUMN()))</f>
        <v>8.2550000000000008</v>
      </c>
      <c r="Q37" s="564">
        <f>IFERROR(INDEX(MO_RIS_IE_Net,0,COLUMN()),INDEX(MO_RIS_IE,0,COLUMN())+INDEX(MO_RIS_II,0,COLUMN()))</f>
        <v>1.246</v>
      </c>
      <c r="R37" s="564">
        <f>IFERROR(INDEX(MO_RIS_IE_Net,0,COLUMN()),INDEX(MO_RIS_IE,0,COLUMN())+INDEX(MO_RIS_II,0,COLUMN()))</f>
        <v>1.111</v>
      </c>
      <c r="S37" s="564">
        <f>IFERROR(INDEX(MO_RIS_IE_Net,0,COLUMN()),INDEX(MO_RIS_IE,0,COLUMN())+INDEX(MO_RIS_II,0,COLUMN()))</f>
        <v>1.2430000000000001</v>
      </c>
      <c r="T37" s="564">
        <f>IFERROR(INDEX(MO_RIS_IE_Net,0,COLUMN()),INDEX(MO_RIS_IE,0,COLUMN())+INDEX(MO_RIS_II,0,COLUMN()))</f>
        <v>1.1509999999999998</v>
      </c>
      <c r="U37" s="563">
        <f>IFERROR(INDEX(MO_RIS_IE_Net,0,COLUMN()),INDEX(MO_RIS_IE,0,COLUMN())+INDEX(MO_RIS_II,0,COLUMN()))</f>
        <v>4.7510000000000003</v>
      </c>
      <c r="V37" s="564">
        <f>IFERROR(INDEX(MO_RIS_IE_Net,0,COLUMN()),INDEX(MO_RIS_IE,0,COLUMN())+INDEX(MO_RIS_II,0,COLUMN()))</f>
        <v>1.087</v>
      </c>
      <c r="W37" s="564">
        <f>IFERROR(INDEX(MO_RIS_IE_Net,0,COLUMN()),INDEX(MO_RIS_IE,0,COLUMN())+INDEX(MO_RIS_II,0,COLUMN()))</f>
        <v>1.056</v>
      </c>
      <c r="X37" s="564">
        <f>IFERROR(INDEX(MO_RIS_IE_Net,0,COLUMN()),INDEX(MO_RIS_IE,0,COLUMN())+INDEX(MO_RIS_II,0,COLUMN()))</f>
        <v>1.103</v>
      </c>
      <c r="Y37" s="564">
        <f>IFERROR(INDEX(MO_RIS_IE_Net,0,COLUMN()),INDEX(MO_RIS_IE,0,COLUMN())+INDEX(MO_RIS_II,0,COLUMN()))</f>
        <v>1.1080000000000005</v>
      </c>
      <c r="Z37" s="563">
        <f>IFERROR(INDEX(MO_RIS_IE_Net,0,COLUMN()),INDEX(MO_RIS_IE,0,COLUMN())+INDEX(MO_RIS_II,0,COLUMN()))</f>
        <v>4.3540000000000001</v>
      </c>
      <c r="AA37" s="564">
        <f>IFERROR(INDEX(MO_RIS_IE_Net,0,COLUMN()),INDEX(MO_RIS_IE,0,COLUMN())+INDEX(MO_RIS_II,0,COLUMN()))</f>
        <v>1.133</v>
      </c>
      <c r="AB37" s="564">
        <f>IFERROR(INDEX(MO_RIS_IE_Net,0,COLUMN()),INDEX(MO_RIS_IE,0,COLUMN())+INDEX(MO_RIS_II,0,COLUMN()))</f>
        <v>1.18</v>
      </c>
      <c r="AC37" s="564">
        <f>IFERROR(INDEX(MO_RIS_IE_Net,0,COLUMN()),INDEX(MO_RIS_IE,0,COLUMN())+INDEX(MO_RIS_II,0,COLUMN()))</f>
        <v>1.4370000000000001</v>
      </c>
      <c r="AD37" s="564">
        <f>IFERROR(INDEX(MO_RIS_IE_Net,0,COLUMN()),INDEX(MO_RIS_IE,0,COLUMN())+INDEX(MO_RIS_II,0,COLUMN()))</f>
        <v>1.6189999999999998</v>
      </c>
      <c r="AE37" s="563">
        <f>IFERROR(INDEX(MO_RIS_IE_Net,0,COLUMN()),INDEX(MO_RIS_IE,0,COLUMN())+INDEX(MO_RIS_II,0,COLUMN()))</f>
        <v>5.3689999999999998</v>
      </c>
      <c r="AF37" s="564">
        <f>IFERROR(INDEX(MO_RIS_IE_Net,0,COLUMN()),INDEX(MO_RIS_IE,0,COLUMN())+INDEX(MO_RIS_II,0,COLUMN()))</f>
        <v>2.331</v>
      </c>
      <c r="AG37" s="564">
        <f>IFERROR(INDEX(MO_RIS_IE_Net,0,COLUMN()),INDEX(MO_RIS_IE,0,COLUMN())+INDEX(MO_RIS_II,0,COLUMN()))</f>
        <v>2.484</v>
      </c>
      <c r="AH37" s="564">
        <f>IFERROR(INDEX(MO_RIS_IE_Net,0,COLUMN()),INDEX(MO_RIS_IE,0,COLUMN())+INDEX(MO_RIS_II,0,COLUMN()))</f>
        <v>2.5110000000000001</v>
      </c>
      <c r="AI37" s="564">
        <f>IFERROR(INDEX(MO_RIS_IE_Net,0,COLUMN()),INDEX(MO_RIS_IE,0,COLUMN())+INDEX(MO_RIS_II,0,COLUMN()))</f>
        <v>2.3840000000000012</v>
      </c>
      <c r="AJ37" s="563">
        <f>IFERROR(INDEX(MO_RIS_IE_Net,0,COLUMN()),INDEX(MO_RIS_IE,0,COLUMN())+INDEX(MO_RIS_II,0,COLUMN()))</f>
        <v>9.7100000000000009</v>
      </c>
      <c r="AK37" s="564">
        <f>IFERROR(INDEX(MO_RIS_IE_Net,0,COLUMN()),INDEX(MO_RIS_IE,0,COLUMN())+INDEX(MO_RIS_II,0,COLUMN()))</f>
        <v>1.804</v>
      </c>
      <c r="AL37" s="564">
        <f>IFERROR(INDEX(MO_RIS_IE_Net,0,COLUMN()),INDEX(MO_RIS_IE,0,COLUMN())+INDEX(MO_RIS_II,0,COLUMN()))</f>
        <v>1.2250000000000001</v>
      </c>
      <c r="AM37" s="564">
        <f>IFERROR(INDEX(MO_RIS_IE_Net,0,COLUMN()),INDEX(MO_RIS_IE,0,COLUMN())+INDEX(MO_RIS_II,0,COLUMN()))</f>
        <v>1.5469999999999999</v>
      </c>
      <c r="AN37" s="564">
        <f>IFERROR(INDEX(MO_RIS_IE_Net,0,COLUMN()),INDEX(MO_RIS_IE,0,COLUMN())+INDEX(MO_RIS_II,0,COLUMN()))</f>
        <v>1.5650000000000004</v>
      </c>
      <c r="AO37" s="563">
        <f>IFERROR(INDEX(MO_RIS_IE_Net,0,COLUMN()),INDEX(MO_RIS_IE,0,COLUMN())+INDEX(MO_RIS_II,0,COLUMN()))</f>
        <v>6.141</v>
      </c>
      <c r="AP37" s="564">
        <f>IFERROR(INDEX(MO_RIS_IE_Net,0,COLUMN()),INDEX(MO_RIS_IE,0,COLUMN())+INDEX(MO_RIS_II,0,COLUMN()))</f>
        <v>1.333</v>
      </c>
      <c r="AQ37" s="565">
        <f>IFERROR(INDEX(MO_RIS_IE_Net,0,COLUMN()),INDEX(MO_RIS_IE,0,COLUMN())+INDEX(MO_RIS_II,0,COLUMN()))</f>
        <v>1.9830000000000001</v>
      </c>
      <c r="AR37" s="566">
        <f>IFERROR(INDEX(MO_RIS_IE_Net,0,COLUMN()),INDEX(MO_RIS_IE,0,COLUMN())+INDEX(MO_RIS_II,0,COLUMN()))</f>
        <v>1.6244711475409839</v>
      </c>
      <c r="AS37" s="566">
        <f ca="1">IFERROR(INDEX(MO_RIS_IE_Net,0,COLUMN()),INDEX(MO_RIS_IE,0,COLUMN())+INDEX(MO_RIS_II,0,COLUMN()))</f>
        <v>1.553903347463566</v>
      </c>
      <c r="AT37" s="567">
        <f ca="1">IFERROR(INDEX(MO_RIS_IE_Net,0,COLUMN()),INDEX(MO_RIS_IE,0,COLUMN())+INDEX(MO_RIS_II,0,COLUMN()))</f>
        <v>6.4943744950045499</v>
      </c>
      <c r="AU37" s="566">
        <f ca="1">IFERROR(INDEX(MO_RIS_IE_Net,0,COLUMN()),INDEX(MO_RIS_IE,0,COLUMN())+INDEX(MO_RIS_II,0,COLUMN()))</f>
        <v>1.4602557464672676</v>
      </c>
      <c r="AV37" s="566">
        <f ca="1">IFERROR(INDEX(MO_RIS_IE_Net,0,COLUMN()),INDEX(MO_RIS_IE,0,COLUMN())+INDEX(MO_RIS_II,0,COLUMN()))</f>
        <v>1.4693945765608349</v>
      </c>
      <c r="AW37" s="566">
        <f ca="1">IFERROR(INDEX(MO_RIS_IE_Net,0,COLUMN()),INDEX(MO_RIS_IE,0,COLUMN())+INDEX(MO_RIS_II,0,COLUMN()))</f>
        <v>1.5274101976003536</v>
      </c>
      <c r="AX37" s="566">
        <f ca="1">IFERROR(INDEX(MO_RIS_IE_Net,0,COLUMN()),INDEX(MO_RIS_IE,0,COLUMN())+INDEX(MO_RIS_II,0,COLUMN()))</f>
        <v>1.5639837256926206</v>
      </c>
      <c r="AY37" s="567">
        <f ca="1">IFERROR(INDEX(MO_RIS_IE_Net,0,COLUMN()),INDEX(MO_RIS_IE,0,COLUMN())+INDEX(MO_RIS_II,0,COLUMN()))</f>
        <v>6.0210442463210772</v>
      </c>
      <c r="AZ37" s="567">
        <f ca="1">IFERROR(INDEX(MO_RIS_IE_Net,0,COLUMN()),INDEX(MO_RIS_IE,0,COLUMN())+INDEX(MO_RIS_II,0,COLUMN()))</f>
        <v>6.1332323354919485</v>
      </c>
      <c r="BA37" s="567">
        <f ca="1">IFERROR(INDEX(MO_RIS_IE_Net,0,COLUMN()),INDEX(MO_RIS_IE,0,COLUMN())+INDEX(MO_RIS_II,0,COLUMN()))</f>
        <v>5.5309582973438767</v>
      </c>
      <c r="BB37" s="567">
        <f ca="1">IFERROR(INDEX(MO_RIS_IE_Net,0,COLUMN()),INDEX(MO_RIS_IE,0,COLUMN())+INDEX(MO_RIS_II,0,COLUMN()))</f>
        <v>5.6939207498383855</v>
      </c>
      <c r="BC37" s="531"/>
    </row>
    <row r="38" spans="1:55" s="63" customFormat="1">
      <c r="A38" s="182" t="s">
        <v>221</v>
      </c>
      <c r="B38" s="183"/>
      <c r="C38" s="563">
        <f t="shared" ref="C38:AH38" si="34">INDEX(MO_RIS_OI,0,COLUMN())+INDEX(MO_RIS_OTI,0,COLUMN())</f>
        <v>18.381</v>
      </c>
      <c r="D38" s="563">
        <f t="shared" si="34"/>
        <v>0</v>
      </c>
      <c r="E38" s="563">
        <f t="shared" si="34"/>
        <v>2.5</v>
      </c>
      <c r="F38" s="563">
        <f t="shared" si="34"/>
        <v>0</v>
      </c>
      <c r="G38" s="564">
        <f t="shared" si="34"/>
        <v>0</v>
      </c>
      <c r="H38" s="564">
        <f t="shared" si="34"/>
        <v>0</v>
      </c>
      <c r="I38" s="564">
        <f t="shared" si="34"/>
        <v>0</v>
      </c>
      <c r="J38" s="564">
        <f t="shared" si="34"/>
        <v>0</v>
      </c>
      <c r="K38" s="563">
        <f t="shared" si="34"/>
        <v>0</v>
      </c>
      <c r="L38" s="564">
        <f t="shared" si="34"/>
        <v>0</v>
      </c>
      <c r="M38" s="564">
        <f t="shared" si="34"/>
        <v>0</v>
      </c>
      <c r="N38" s="564">
        <f t="shared" si="34"/>
        <v>0</v>
      </c>
      <c r="O38" s="564">
        <f t="shared" si="34"/>
        <v>0</v>
      </c>
      <c r="P38" s="563">
        <f t="shared" si="34"/>
        <v>0</v>
      </c>
      <c r="Q38" s="564">
        <f t="shared" si="34"/>
        <v>0</v>
      </c>
      <c r="R38" s="564">
        <f t="shared" si="34"/>
        <v>0</v>
      </c>
      <c r="S38" s="564">
        <f t="shared" si="34"/>
        <v>0</v>
      </c>
      <c r="T38" s="564">
        <f t="shared" si="34"/>
        <v>0</v>
      </c>
      <c r="U38" s="563">
        <f t="shared" si="34"/>
        <v>0</v>
      </c>
      <c r="V38" s="564">
        <f t="shared" si="34"/>
        <v>0</v>
      </c>
      <c r="W38" s="564">
        <f t="shared" si="34"/>
        <v>0</v>
      </c>
      <c r="X38" s="564">
        <f t="shared" si="34"/>
        <v>0</v>
      </c>
      <c r="Y38" s="564">
        <f t="shared" si="34"/>
        <v>0</v>
      </c>
      <c r="Z38" s="563">
        <f t="shared" si="34"/>
        <v>0</v>
      </c>
      <c r="AA38" s="564">
        <f t="shared" si="34"/>
        <v>0.31</v>
      </c>
      <c r="AB38" s="564">
        <f t="shared" si="34"/>
        <v>0.31</v>
      </c>
      <c r="AC38" s="564">
        <f t="shared" si="34"/>
        <v>0.311</v>
      </c>
      <c r="AD38" s="564">
        <f t="shared" si="34"/>
        <v>17.046999999999997</v>
      </c>
      <c r="AE38" s="563">
        <f t="shared" si="34"/>
        <v>17.977999999999998</v>
      </c>
      <c r="AF38" s="564">
        <f t="shared" si="34"/>
        <v>0.375</v>
      </c>
      <c r="AG38" s="564">
        <f t="shared" si="34"/>
        <v>0.46300000000000002</v>
      </c>
      <c r="AH38" s="564">
        <f t="shared" si="34"/>
        <v>0.253</v>
      </c>
      <c r="AI38" s="564">
        <f t="shared" ref="AI38:BB38" si="35">INDEX(MO_RIS_OI,0,COLUMN())+INDEX(MO_RIS_OTI,0,COLUMN())</f>
        <v>0.57999999999999985</v>
      </c>
      <c r="AJ38" s="563">
        <f t="shared" si="35"/>
        <v>1.671</v>
      </c>
      <c r="AK38" s="564">
        <f t="shared" si="35"/>
        <v>-79.917999999999992</v>
      </c>
      <c r="AL38" s="564">
        <f t="shared" si="35"/>
        <v>0.51800000000000002</v>
      </c>
      <c r="AM38" s="564">
        <f t="shared" si="35"/>
        <v>1.796</v>
      </c>
      <c r="AN38" s="564">
        <f t="shared" si="35"/>
        <v>15.943999999999999</v>
      </c>
      <c r="AO38" s="563">
        <f t="shared" si="35"/>
        <v>-61.660000000000004</v>
      </c>
      <c r="AP38" s="564">
        <f>INDEX(MO_RIS_OI,0,COLUMN())+INDEX(MO_RIS_OTI,0,COLUMN())</f>
        <v>74.796000000000006</v>
      </c>
      <c r="AQ38" s="565">
        <f>INDEX(MO_RIS_OI,0,COLUMN())+INDEX(MO_RIS_OTI,0,COLUMN())</f>
        <v>16.397000000000002</v>
      </c>
      <c r="AR38" s="566">
        <f t="shared" si="35"/>
        <v>0</v>
      </c>
      <c r="AS38" s="566">
        <f t="shared" si="35"/>
        <v>0</v>
      </c>
      <c r="AT38" s="567">
        <f t="shared" si="35"/>
        <v>91.193000000000012</v>
      </c>
      <c r="AU38" s="566">
        <f t="shared" si="35"/>
        <v>0</v>
      </c>
      <c r="AV38" s="566">
        <f t="shared" si="35"/>
        <v>0</v>
      </c>
      <c r="AW38" s="566">
        <f t="shared" si="35"/>
        <v>0</v>
      </c>
      <c r="AX38" s="566">
        <f t="shared" si="35"/>
        <v>0</v>
      </c>
      <c r="AY38" s="567">
        <f t="shared" si="35"/>
        <v>0</v>
      </c>
      <c r="AZ38" s="567">
        <f t="shared" si="35"/>
        <v>0</v>
      </c>
      <c r="BA38" s="567">
        <f t="shared" si="35"/>
        <v>0</v>
      </c>
      <c r="BB38" s="567">
        <f t="shared" si="35"/>
        <v>0</v>
      </c>
      <c r="BC38" s="531"/>
    </row>
    <row r="39" spans="1:55" s="65" customFormat="1">
      <c r="A39" s="184" t="str">
        <f>INDEX(MO_RIS_EBT,0,COLUMN())</f>
        <v>EBT</v>
      </c>
      <c r="B39" s="185"/>
      <c r="C39" s="568">
        <f t="shared" ref="C39:AH39" si="36">INDEX(SP_GF_EBITDA,0,COLUMN())-INDEX(SP_GF_SBC,0,COLUMN())-INDEX(SP_GF_DA,0,COLUMN())-INDEX(SP_GF_IE,0,COLUMN())-INDEX(SP_GF_OI,0,COLUMN())</f>
        <v>-7.7459999999999898</v>
      </c>
      <c r="D39" s="568">
        <f t="shared" si="36"/>
        <v>21.828999999999979</v>
      </c>
      <c r="E39" s="568">
        <f t="shared" si="36"/>
        <v>29.015000000000018</v>
      </c>
      <c r="F39" s="568">
        <f t="shared" si="36"/>
        <v>31.583000000000034</v>
      </c>
      <c r="G39" s="569">
        <f t="shared" si="36"/>
        <v>10.844000000000003</v>
      </c>
      <c r="H39" s="569">
        <f t="shared" si="36"/>
        <v>7.718</v>
      </c>
      <c r="I39" s="569">
        <f t="shared" si="36"/>
        <v>10.746999999999995</v>
      </c>
      <c r="J39" s="569">
        <f t="shared" si="36"/>
        <v>8.9020000000000046</v>
      </c>
      <c r="K39" s="568">
        <f t="shared" si="36"/>
        <v>38.211000000000006</v>
      </c>
      <c r="L39" s="569">
        <f t="shared" si="36"/>
        <v>11.303999999999988</v>
      </c>
      <c r="M39" s="569">
        <f t="shared" si="36"/>
        <v>19.922000000000001</v>
      </c>
      <c r="N39" s="569">
        <f t="shared" si="36"/>
        <v>23.469999999999992</v>
      </c>
      <c r="O39" s="569">
        <f t="shared" si="36"/>
        <v>24.410999999999916</v>
      </c>
      <c r="P39" s="568">
        <f t="shared" si="36"/>
        <v>79.106999999999985</v>
      </c>
      <c r="Q39" s="569">
        <f t="shared" si="36"/>
        <v>16.297000000000004</v>
      </c>
      <c r="R39" s="569">
        <f t="shared" si="36"/>
        <v>27.044000000000022</v>
      </c>
      <c r="S39" s="569">
        <f t="shared" si="36"/>
        <v>35.887000000000015</v>
      </c>
      <c r="T39" s="569">
        <f t="shared" si="36"/>
        <v>14.822000000000063</v>
      </c>
      <c r="U39" s="568">
        <f t="shared" si="36"/>
        <v>94.050000000000026</v>
      </c>
      <c r="V39" s="569">
        <f t="shared" si="36"/>
        <v>16.512000000000011</v>
      </c>
      <c r="W39" s="569">
        <f t="shared" si="36"/>
        <v>21.554999999999986</v>
      </c>
      <c r="X39" s="569">
        <f t="shared" si="36"/>
        <v>16.421999999999986</v>
      </c>
      <c r="Y39" s="569">
        <f t="shared" si="36"/>
        <v>14.295999999999996</v>
      </c>
      <c r="Z39" s="568">
        <f t="shared" si="36"/>
        <v>68.785000000000068</v>
      </c>
      <c r="AA39" s="569">
        <f t="shared" si="36"/>
        <v>15.490999999999998</v>
      </c>
      <c r="AB39" s="569">
        <f t="shared" si="36"/>
        <v>10.569000000000006</v>
      </c>
      <c r="AC39" s="569">
        <f t="shared" si="36"/>
        <v>8.645999999999999</v>
      </c>
      <c r="AD39" s="569">
        <f t="shared" si="36"/>
        <v>-9.7149999999998506</v>
      </c>
      <c r="AE39" s="568">
        <f t="shared" si="36"/>
        <v>24.991000000000039</v>
      </c>
      <c r="AF39" s="569">
        <f t="shared" si="36"/>
        <v>3.9260000000000144</v>
      </c>
      <c r="AG39" s="569">
        <f t="shared" si="36"/>
        <v>17.181999999999995</v>
      </c>
      <c r="AH39" s="569">
        <f t="shared" si="36"/>
        <v>15.579999999999991</v>
      </c>
      <c r="AI39" s="569">
        <f t="shared" ref="AI39:BB39" si="37">INDEX(SP_GF_EBITDA,0,COLUMN())-INDEX(SP_GF_SBC,0,COLUMN())-INDEX(SP_GF_DA,0,COLUMN())-INDEX(SP_GF_IE,0,COLUMN())-INDEX(SP_GF_OI,0,COLUMN())</f>
        <v>15.594000000000149</v>
      </c>
      <c r="AJ39" s="568">
        <f t="shared" si="37"/>
        <v>52.282000000000068</v>
      </c>
      <c r="AK39" s="569">
        <f t="shared" si="37"/>
        <v>100.99499999999998</v>
      </c>
      <c r="AL39" s="569">
        <f t="shared" si="37"/>
        <v>8.8299999999999965</v>
      </c>
      <c r="AM39" s="569">
        <f t="shared" si="37"/>
        <v>1.7600000000000142</v>
      </c>
      <c r="AN39" s="569">
        <f t="shared" si="37"/>
        <v>-43.282000000000053</v>
      </c>
      <c r="AO39" s="568">
        <f t="shared" si="37"/>
        <v>68.303000000000011</v>
      </c>
      <c r="AP39" s="569">
        <f>INDEX(SP_GF_EBITDA,0,COLUMN())-INDEX(SP_GF_SBC,0,COLUMN())-INDEX(SP_GF_DA,0,COLUMN())-INDEX(SP_GF_IE,0,COLUMN())-INDEX(SP_GF_OI,0,COLUMN())</f>
        <v>-69.277000000000001</v>
      </c>
      <c r="AQ39" s="570">
        <f>INDEX(SP_GF_EBITDA,0,COLUMN())-INDEX(SP_GF_SBC,0,COLUMN())-INDEX(SP_GF_DA,0,COLUMN())-INDEX(SP_GF_IE,0,COLUMN())-INDEX(SP_GF_OI,0,COLUMN())</f>
        <v>-24.451000000000001</v>
      </c>
      <c r="AR39" s="569">
        <f t="shared" si="37"/>
        <v>-3.6272711475409816</v>
      </c>
      <c r="AS39" s="569">
        <f t="shared" ca="1" si="37"/>
        <v>-0.67746334746356718</v>
      </c>
      <c r="AT39" s="568">
        <f t="shared" ca="1" si="37"/>
        <v>-98.032734495004547</v>
      </c>
      <c r="AU39" s="569">
        <f t="shared" ca="1" si="37"/>
        <v>10.128848253532741</v>
      </c>
      <c r="AV39" s="569">
        <f t="shared" ca="1" si="37"/>
        <v>15.697987923439172</v>
      </c>
      <c r="AW39" s="569">
        <f t="shared" ca="1" si="37"/>
        <v>17.11125425739964</v>
      </c>
      <c r="AX39" s="569">
        <f t="shared" ca="1" si="37"/>
        <v>15.221588660307377</v>
      </c>
      <c r="AY39" s="568">
        <f t="shared" ca="1" si="37"/>
        <v>58.159679094678999</v>
      </c>
      <c r="AZ39" s="568">
        <f t="shared" ca="1" si="37"/>
        <v>51.269945259507871</v>
      </c>
      <c r="BA39" s="568">
        <f t="shared" ca="1" si="37"/>
        <v>91.284268786656</v>
      </c>
      <c r="BB39" s="568">
        <f t="shared" ca="1" si="37"/>
        <v>30.015846326961451</v>
      </c>
      <c r="BC39" s="532"/>
    </row>
    <row r="40" spans="1:55" s="63" customFormat="1">
      <c r="A40" s="182" t="s">
        <v>222</v>
      </c>
      <c r="B40" s="183"/>
      <c r="C40" s="563">
        <f t="shared" ref="C40:AH40" si="38">INDEX(MO_RIS_Tax_Current,0,COLUMN())+INDEX(MO_RIS_Tax_Deferred,0,COLUMN())</f>
        <v>-3.944</v>
      </c>
      <c r="D40" s="563">
        <f t="shared" si="38"/>
        <v>6.8810000000000002</v>
      </c>
      <c r="E40" s="563">
        <f t="shared" si="38"/>
        <v>7.4240000000000004</v>
      </c>
      <c r="F40" s="563">
        <f t="shared" si="38"/>
        <v>9.7089999999999996</v>
      </c>
      <c r="G40" s="564">
        <f t="shared" si="38"/>
        <v>2.2799999999999998</v>
      </c>
      <c r="H40" s="564">
        <f t="shared" si="38"/>
        <v>2.56</v>
      </c>
      <c r="I40" s="564">
        <f t="shared" si="38"/>
        <v>3.5920000000000005</v>
      </c>
      <c r="J40" s="564">
        <f t="shared" si="38"/>
        <v>2.5129999999999995</v>
      </c>
      <c r="K40" s="563">
        <f t="shared" si="38"/>
        <v>10.945</v>
      </c>
      <c r="L40" s="564">
        <f t="shared" si="38"/>
        <v>3.7970000000000006</v>
      </c>
      <c r="M40" s="564">
        <f t="shared" si="38"/>
        <v>6.7780000000000005</v>
      </c>
      <c r="N40" s="564">
        <f t="shared" si="38"/>
        <v>6.3899999999999988</v>
      </c>
      <c r="O40" s="564">
        <f t="shared" si="38"/>
        <v>5.9720000000000013</v>
      </c>
      <c r="P40" s="563">
        <f t="shared" si="38"/>
        <v>22.937000000000001</v>
      </c>
      <c r="Q40" s="564">
        <f t="shared" si="38"/>
        <v>5.6139999999999999</v>
      </c>
      <c r="R40" s="564">
        <f t="shared" si="38"/>
        <v>9.3539999999999992</v>
      </c>
      <c r="S40" s="564">
        <f t="shared" si="38"/>
        <v>11.193</v>
      </c>
      <c r="T40" s="564">
        <f t="shared" si="38"/>
        <v>0.91499999999999915</v>
      </c>
      <c r="U40" s="563">
        <f t="shared" si="38"/>
        <v>27.076000000000001</v>
      </c>
      <c r="V40" s="564">
        <f t="shared" si="38"/>
        <v>5.0270000000000001</v>
      </c>
      <c r="W40" s="564">
        <f t="shared" si="38"/>
        <v>6.5749999999999993</v>
      </c>
      <c r="X40" s="564">
        <f t="shared" si="38"/>
        <v>4.347999999999999</v>
      </c>
      <c r="Y40" s="564">
        <f t="shared" si="38"/>
        <v>4.4110000000000014</v>
      </c>
      <c r="Z40" s="563">
        <f t="shared" si="38"/>
        <v>20.361000000000001</v>
      </c>
      <c r="AA40" s="564">
        <f t="shared" si="38"/>
        <v>3.9039999999999999</v>
      </c>
      <c r="AB40" s="564">
        <f t="shared" si="38"/>
        <v>2.8839999999999999</v>
      </c>
      <c r="AC40" s="564">
        <f t="shared" si="38"/>
        <v>2.5859999999999999</v>
      </c>
      <c r="AD40" s="564">
        <f t="shared" si="38"/>
        <v>-4.0620000000000003</v>
      </c>
      <c r="AE40" s="563">
        <f t="shared" si="38"/>
        <v>5.3120000000000012</v>
      </c>
      <c r="AF40" s="564">
        <f t="shared" si="38"/>
        <v>0.6319999999999999</v>
      </c>
      <c r="AG40" s="564">
        <f t="shared" si="38"/>
        <v>3.157</v>
      </c>
      <c r="AH40" s="564">
        <f t="shared" si="38"/>
        <v>-1.419</v>
      </c>
      <c r="AI40" s="564">
        <f t="shared" ref="AI40:BB40" si="39">INDEX(MO_RIS_Tax_Current,0,COLUMN())+INDEX(MO_RIS_Tax_Deferred,0,COLUMN())</f>
        <v>3.109</v>
      </c>
      <c r="AJ40" s="563">
        <f t="shared" si="39"/>
        <v>5.479000000000001</v>
      </c>
      <c r="AK40" s="564">
        <f t="shared" si="39"/>
        <v>22.849</v>
      </c>
      <c r="AL40" s="564">
        <f t="shared" si="39"/>
        <v>2.1040000000000001</v>
      </c>
      <c r="AM40" s="564">
        <f t="shared" si="39"/>
        <v>0.55000000000000004</v>
      </c>
      <c r="AN40" s="564">
        <f t="shared" si="39"/>
        <v>-9.2169999999999987</v>
      </c>
      <c r="AO40" s="563">
        <f t="shared" si="39"/>
        <v>16.286000000000001</v>
      </c>
      <c r="AP40" s="564">
        <f>INDEX(MO_RIS_Tax_Current,0,COLUMN())+INDEX(MO_RIS_Tax_Deferred,0,COLUMN())</f>
        <v>-2.3140000000000001</v>
      </c>
      <c r="AQ40" s="565">
        <f>INDEX(MO_RIS_Tax_Current,0,COLUMN())+INDEX(MO_RIS_Tax_Deferred,0,COLUMN())</f>
        <v>-0.872</v>
      </c>
      <c r="AR40" s="566">
        <f t="shared" si="39"/>
        <v>-0.18136355737704904</v>
      </c>
      <c r="AS40" s="566">
        <f t="shared" ca="1" si="39"/>
        <v>-6.7746334746356718E-2</v>
      </c>
      <c r="AT40" s="567">
        <f t="shared" ca="1" si="39"/>
        <v>-3.4351098921234056</v>
      </c>
      <c r="AU40" s="566">
        <f t="shared" ca="1" si="39"/>
        <v>0.50644241267663703</v>
      </c>
      <c r="AV40" s="566">
        <f t="shared" ca="1" si="39"/>
        <v>0.78489939617195859</v>
      </c>
      <c r="AW40" s="566">
        <f t="shared" ca="1" si="39"/>
        <v>0.85556271286998209</v>
      </c>
      <c r="AX40" s="566">
        <f t="shared" ca="1" si="39"/>
        <v>0.76107943301536896</v>
      </c>
      <c r="AY40" s="567">
        <f t="shared" ca="1" si="39"/>
        <v>2.9079839547339468</v>
      </c>
      <c r="AZ40" s="567">
        <f t="shared" ca="1" si="39"/>
        <v>5.1269945259507876</v>
      </c>
      <c r="BA40" s="567">
        <f t="shared" ca="1" si="39"/>
        <v>9.1284268786656018</v>
      </c>
      <c r="BB40" s="567">
        <f t="shared" ca="1" si="39"/>
        <v>3.0015846326961455</v>
      </c>
      <c r="BC40" s="531"/>
    </row>
    <row r="41" spans="1:55" s="63" customFormat="1">
      <c r="A41" s="182" t="str">
        <f>INDEX(MO_RIS_DisCont,0,COLUMN())</f>
        <v>Discontinued Operations</v>
      </c>
      <c r="B41" s="183"/>
      <c r="C41" s="563">
        <f t="shared" ref="C41:AH41" si="40">INDEX(MO_RIS_DisCont,0,COLUMN())</f>
        <v>0</v>
      </c>
      <c r="D41" s="563">
        <f t="shared" si="40"/>
        <v>0</v>
      </c>
      <c r="E41" s="563">
        <f t="shared" si="40"/>
        <v>0</v>
      </c>
      <c r="F41" s="563">
        <f t="shared" si="40"/>
        <v>0</v>
      </c>
      <c r="G41" s="564">
        <f t="shared" si="40"/>
        <v>0</v>
      </c>
      <c r="H41" s="564">
        <f t="shared" si="40"/>
        <v>0</v>
      </c>
      <c r="I41" s="564">
        <f t="shared" si="40"/>
        <v>0</v>
      </c>
      <c r="J41" s="564">
        <f t="shared" si="40"/>
        <v>0</v>
      </c>
      <c r="K41" s="563">
        <f t="shared" si="40"/>
        <v>0</v>
      </c>
      <c r="L41" s="564">
        <f t="shared" si="40"/>
        <v>0</v>
      </c>
      <c r="M41" s="564">
        <f t="shared" si="40"/>
        <v>0</v>
      </c>
      <c r="N41" s="564">
        <f t="shared" si="40"/>
        <v>0</v>
      </c>
      <c r="O41" s="564">
        <f t="shared" si="40"/>
        <v>0</v>
      </c>
      <c r="P41" s="563">
        <f t="shared" si="40"/>
        <v>0</v>
      </c>
      <c r="Q41" s="564">
        <f t="shared" si="40"/>
        <v>0</v>
      </c>
      <c r="R41" s="564">
        <f t="shared" si="40"/>
        <v>0</v>
      </c>
      <c r="S41" s="564">
        <f t="shared" si="40"/>
        <v>0</v>
      </c>
      <c r="T41" s="564">
        <f t="shared" si="40"/>
        <v>0</v>
      </c>
      <c r="U41" s="563">
        <f t="shared" si="40"/>
        <v>0</v>
      </c>
      <c r="V41" s="564">
        <f t="shared" si="40"/>
        <v>0</v>
      </c>
      <c r="W41" s="564">
        <f t="shared" si="40"/>
        <v>0</v>
      </c>
      <c r="X41" s="564">
        <f t="shared" si="40"/>
        <v>0</v>
      </c>
      <c r="Y41" s="564">
        <f t="shared" si="40"/>
        <v>0</v>
      </c>
      <c r="Z41" s="563">
        <f t="shared" si="40"/>
        <v>0</v>
      </c>
      <c r="AA41" s="564">
        <f t="shared" si="40"/>
        <v>0</v>
      </c>
      <c r="AB41" s="564">
        <f t="shared" si="40"/>
        <v>0</v>
      </c>
      <c r="AC41" s="564">
        <f t="shared" si="40"/>
        <v>0</v>
      </c>
      <c r="AD41" s="564">
        <f t="shared" si="40"/>
        <v>0</v>
      </c>
      <c r="AE41" s="563">
        <f t="shared" si="40"/>
        <v>0</v>
      </c>
      <c r="AF41" s="564">
        <f t="shared" si="40"/>
        <v>0</v>
      </c>
      <c r="AG41" s="564">
        <f t="shared" si="40"/>
        <v>0</v>
      </c>
      <c r="AH41" s="564">
        <f t="shared" si="40"/>
        <v>0</v>
      </c>
      <c r="AI41" s="564">
        <f t="shared" ref="AI41:BB41" si="41">INDEX(MO_RIS_DisCont,0,COLUMN())</f>
        <v>0</v>
      </c>
      <c r="AJ41" s="563">
        <f t="shared" si="41"/>
        <v>0</v>
      </c>
      <c r="AK41" s="564">
        <f t="shared" si="41"/>
        <v>0</v>
      </c>
      <c r="AL41" s="564">
        <f t="shared" si="41"/>
        <v>0</v>
      </c>
      <c r="AM41" s="564">
        <f t="shared" si="41"/>
        <v>0</v>
      </c>
      <c r="AN41" s="564">
        <f t="shared" si="41"/>
        <v>0</v>
      </c>
      <c r="AO41" s="563">
        <f t="shared" si="41"/>
        <v>0</v>
      </c>
      <c r="AP41" s="564">
        <f>INDEX(MO_RIS_DisCont,0,COLUMN())</f>
        <v>0</v>
      </c>
      <c r="AQ41" s="565">
        <f>INDEX(MO_RIS_DisCont,0,COLUMN())</f>
        <v>0</v>
      </c>
      <c r="AR41" s="566">
        <f t="shared" si="41"/>
        <v>0</v>
      </c>
      <c r="AS41" s="566">
        <f t="shared" si="41"/>
        <v>0</v>
      </c>
      <c r="AT41" s="567">
        <f t="shared" si="41"/>
        <v>0</v>
      </c>
      <c r="AU41" s="566">
        <f t="shared" si="41"/>
        <v>0</v>
      </c>
      <c r="AV41" s="566">
        <f t="shared" si="41"/>
        <v>0</v>
      </c>
      <c r="AW41" s="566">
        <f t="shared" si="41"/>
        <v>0</v>
      </c>
      <c r="AX41" s="566">
        <f t="shared" si="41"/>
        <v>0</v>
      </c>
      <c r="AY41" s="567">
        <f t="shared" si="41"/>
        <v>0</v>
      </c>
      <c r="AZ41" s="567">
        <f t="shared" si="41"/>
        <v>0</v>
      </c>
      <c r="BA41" s="567">
        <f t="shared" si="41"/>
        <v>0</v>
      </c>
      <c r="BB41" s="567">
        <f t="shared" si="41"/>
        <v>0</v>
      </c>
      <c r="BC41" s="531"/>
    </row>
    <row r="42" spans="1:55" s="63" customFormat="1">
      <c r="A42" s="182" t="str">
        <f>INDEX(MO_RIS_NCI,0,COLUMN())</f>
        <v>Net Income to NCI</v>
      </c>
      <c r="B42" s="183"/>
      <c r="C42" s="563">
        <f t="shared" ref="C42:AH42" si="42">INDEX(MO_RIS_NCI,0,COLUMN())</f>
        <v>0</v>
      </c>
      <c r="D42" s="563">
        <f t="shared" si="42"/>
        <v>0</v>
      </c>
      <c r="E42" s="563">
        <f t="shared" si="42"/>
        <v>0</v>
      </c>
      <c r="F42" s="563">
        <f t="shared" si="42"/>
        <v>0</v>
      </c>
      <c r="G42" s="564">
        <f t="shared" si="42"/>
        <v>0</v>
      </c>
      <c r="H42" s="564">
        <f t="shared" si="42"/>
        <v>0</v>
      </c>
      <c r="I42" s="564">
        <f t="shared" si="42"/>
        <v>0</v>
      </c>
      <c r="J42" s="564">
        <f t="shared" si="42"/>
        <v>0</v>
      </c>
      <c r="K42" s="563">
        <f t="shared" si="42"/>
        <v>0</v>
      </c>
      <c r="L42" s="564">
        <f t="shared" si="42"/>
        <v>0</v>
      </c>
      <c r="M42" s="564">
        <f t="shared" si="42"/>
        <v>0</v>
      </c>
      <c r="N42" s="564">
        <f t="shared" si="42"/>
        <v>0</v>
      </c>
      <c r="O42" s="564">
        <f t="shared" si="42"/>
        <v>0</v>
      </c>
      <c r="P42" s="563">
        <f t="shared" si="42"/>
        <v>0</v>
      </c>
      <c r="Q42" s="564">
        <f t="shared" si="42"/>
        <v>0</v>
      </c>
      <c r="R42" s="564">
        <f t="shared" si="42"/>
        <v>0</v>
      </c>
      <c r="S42" s="564">
        <f t="shared" si="42"/>
        <v>0</v>
      </c>
      <c r="T42" s="564">
        <f t="shared" si="42"/>
        <v>0</v>
      </c>
      <c r="U42" s="563">
        <f t="shared" si="42"/>
        <v>0</v>
      </c>
      <c r="V42" s="564">
        <f t="shared" si="42"/>
        <v>0</v>
      </c>
      <c r="W42" s="564">
        <f t="shared" si="42"/>
        <v>0</v>
      </c>
      <c r="X42" s="564">
        <f t="shared" si="42"/>
        <v>0</v>
      </c>
      <c r="Y42" s="564">
        <f t="shared" si="42"/>
        <v>0</v>
      </c>
      <c r="Z42" s="563">
        <f t="shared" si="42"/>
        <v>0</v>
      </c>
      <c r="AA42" s="564">
        <f t="shared" si="42"/>
        <v>0</v>
      </c>
      <c r="AB42" s="564">
        <f t="shared" si="42"/>
        <v>0</v>
      </c>
      <c r="AC42" s="564">
        <f t="shared" si="42"/>
        <v>0</v>
      </c>
      <c r="AD42" s="564">
        <f t="shared" si="42"/>
        <v>0</v>
      </c>
      <c r="AE42" s="563">
        <f t="shared" si="42"/>
        <v>0</v>
      </c>
      <c r="AF42" s="564">
        <f t="shared" si="42"/>
        <v>0</v>
      </c>
      <c r="AG42" s="564">
        <f t="shared" si="42"/>
        <v>0</v>
      </c>
      <c r="AH42" s="564">
        <f t="shared" si="42"/>
        <v>0</v>
      </c>
      <c r="AI42" s="564">
        <f t="shared" ref="AI42:BB42" si="43">INDEX(MO_RIS_NCI,0,COLUMN())</f>
        <v>0</v>
      </c>
      <c r="AJ42" s="563">
        <f t="shared" si="43"/>
        <v>0</v>
      </c>
      <c r="AK42" s="564">
        <f t="shared" si="43"/>
        <v>0</v>
      </c>
      <c r="AL42" s="564">
        <f t="shared" si="43"/>
        <v>0</v>
      </c>
      <c r="AM42" s="564">
        <f t="shared" si="43"/>
        <v>0</v>
      </c>
      <c r="AN42" s="564">
        <f t="shared" si="43"/>
        <v>0</v>
      </c>
      <c r="AO42" s="563">
        <f t="shared" si="43"/>
        <v>0</v>
      </c>
      <c r="AP42" s="564">
        <f>INDEX(MO_RIS_NCI,0,COLUMN())</f>
        <v>0</v>
      </c>
      <c r="AQ42" s="565">
        <f>INDEX(MO_RIS_NCI,0,COLUMN())</f>
        <v>0</v>
      </c>
      <c r="AR42" s="566">
        <f t="shared" si="43"/>
        <v>0</v>
      </c>
      <c r="AS42" s="566">
        <f t="shared" si="43"/>
        <v>0</v>
      </c>
      <c r="AT42" s="567">
        <f t="shared" si="43"/>
        <v>0</v>
      </c>
      <c r="AU42" s="566">
        <f t="shared" si="43"/>
        <v>0</v>
      </c>
      <c r="AV42" s="566">
        <f t="shared" si="43"/>
        <v>0</v>
      </c>
      <c r="AW42" s="566">
        <f t="shared" si="43"/>
        <v>0</v>
      </c>
      <c r="AX42" s="566">
        <f t="shared" si="43"/>
        <v>0</v>
      </c>
      <c r="AY42" s="567">
        <f t="shared" si="43"/>
        <v>0</v>
      </c>
      <c r="AZ42" s="567">
        <f t="shared" si="43"/>
        <v>0</v>
      </c>
      <c r="BA42" s="567">
        <f t="shared" si="43"/>
        <v>0</v>
      </c>
      <c r="BB42" s="567">
        <f t="shared" si="43"/>
        <v>0</v>
      </c>
      <c r="BC42" s="531"/>
    </row>
    <row r="43" spans="1:55" s="63" customFormat="1">
      <c r="A43" s="182" t="str">
        <f>INDEX(MO_RIS_Dividend_Prefs,0,COLUMN())</f>
        <v>Preferred stock dividends</v>
      </c>
      <c r="B43" s="183"/>
      <c r="C43" s="563">
        <f t="shared" ref="C43:AH43" si="44">INDEX(MO_RIS_Dividend_Prefs,0,COLUMN())</f>
        <v>0</v>
      </c>
      <c r="D43" s="563">
        <f t="shared" si="44"/>
        <v>0</v>
      </c>
      <c r="E43" s="563">
        <f t="shared" si="44"/>
        <v>0</v>
      </c>
      <c r="F43" s="563">
        <f t="shared" si="44"/>
        <v>0</v>
      </c>
      <c r="G43" s="564">
        <f t="shared" si="44"/>
        <v>0</v>
      </c>
      <c r="H43" s="564">
        <f t="shared" si="44"/>
        <v>0</v>
      </c>
      <c r="I43" s="564">
        <f t="shared" si="44"/>
        <v>0</v>
      </c>
      <c r="J43" s="564">
        <f t="shared" si="44"/>
        <v>0</v>
      </c>
      <c r="K43" s="563">
        <f t="shared" si="44"/>
        <v>0</v>
      </c>
      <c r="L43" s="564">
        <f t="shared" si="44"/>
        <v>0</v>
      </c>
      <c r="M43" s="564">
        <f t="shared" si="44"/>
        <v>0</v>
      </c>
      <c r="N43" s="564">
        <f t="shared" si="44"/>
        <v>0</v>
      </c>
      <c r="O43" s="564">
        <f t="shared" si="44"/>
        <v>0</v>
      </c>
      <c r="P43" s="563">
        <f t="shared" si="44"/>
        <v>0</v>
      </c>
      <c r="Q43" s="564">
        <f t="shared" si="44"/>
        <v>0</v>
      </c>
      <c r="R43" s="564">
        <f t="shared" si="44"/>
        <v>0</v>
      </c>
      <c r="S43" s="564">
        <f t="shared" si="44"/>
        <v>0</v>
      </c>
      <c r="T43" s="564">
        <f t="shared" si="44"/>
        <v>0</v>
      </c>
      <c r="U43" s="563">
        <f t="shared" si="44"/>
        <v>0</v>
      </c>
      <c r="V43" s="564">
        <f t="shared" si="44"/>
        <v>0</v>
      </c>
      <c r="W43" s="564">
        <f t="shared" si="44"/>
        <v>0</v>
      </c>
      <c r="X43" s="564">
        <f t="shared" si="44"/>
        <v>0</v>
      </c>
      <c r="Y43" s="564">
        <f t="shared" si="44"/>
        <v>0</v>
      </c>
      <c r="Z43" s="563">
        <f t="shared" si="44"/>
        <v>0</v>
      </c>
      <c r="AA43" s="564">
        <f t="shared" si="44"/>
        <v>0</v>
      </c>
      <c r="AB43" s="564">
        <f t="shared" si="44"/>
        <v>0</v>
      </c>
      <c r="AC43" s="564">
        <f t="shared" si="44"/>
        <v>0</v>
      </c>
      <c r="AD43" s="564">
        <f t="shared" si="44"/>
        <v>0</v>
      </c>
      <c r="AE43" s="563">
        <f t="shared" si="44"/>
        <v>0</v>
      </c>
      <c r="AF43" s="564">
        <f t="shared" si="44"/>
        <v>0</v>
      </c>
      <c r="AG43" s="564">
        <f t="shared" si="44"/>
        <v>0</v>
      </c>
      <c r="AH43" s="564">
        <f t="shared" si="44"/>
        <v>0</v>
      </c>
      <c r="AI43" s="564">
        <f t="shared" ref="AI43:BB43" si="45">INDEX(MO_RIS_Dividend_Prefs,0,COLUMN())</f>
        <v>0</v>
      </c>
      <c r="AJ43" s="563">
        <f t="shared" si="45"/>
        <v>0</v>
      </c>
      <c r="AK43" s="564">
        <f t="shared" si="45"/>
        <v>0</v>
      </c>
      <c r="AL43" s="564">
        <f t="shared" si="45"/>
        <v>0</v>
      </c>
      <c r="AM43" s="564">
        <f t="shared" si="45"/>
        <v>0</v>
      </c>
      <c r="AN43" s="564">
        <f t="shared" si="45"/>
        <v>0</v>
      </c>
      <c r="AO43" s="563">
        <f t="shared" si="45"/>
        <v>0</v>
      </c>
      <c r="AP43" s="564">
        <f>INDEX(MO_RIS_Dividend_Prefs,0,COLUMN())</f>
        <v>0</v>
      </c>
      <c r="AQ43" s="565">
        <f>INDEX(MO_RIS_Dividend_Prefs,0,COLUMN())</f>
        <v>0</v>
      </c>
      <c r="AR43" s="566">
        <f t="shared" si="45"/>
        <v>0</v>
      </c>
      <c r="AS43" s="566">
        <f t="shared" si="45"/>
        <v>0</v>
      </c>
      <c r="AT43" s="567">
        <f t="shared" si="45"/>
        <v>0</v>
      </c>
      <c r="AU43" s="566">
        <f t="shared" si="45"/>
        <v>0</v>
      </c>
      <c r="AV43" s="566">
        <f t="shared" si="45"/>
        <v>0</v>
      </c>
      <c r="AW43" s="566">
        <f t="shared" si="45"/>
        <v>0</v>
      </c>
      <c r="AX43" s="566">
        <f t="shared" si="45"/>
        <v>0</v>
      </c>
      <c r="AY43" s="567">
        <f t="shared" si="45"/>
        <v>0</v>
      </c>
      <c r="AZ43" s="567">
        <f t="shared" si="45"/>
        <v>0</v>
      </c>
      <c r="BA43" s="567">
        <f t="shared" si="45"/>
        <v>0</v>
      </c>
      <c r="BB43" s="567">
        <f t="shared" si="45"/>
        <v>0</v>
      </c>
      <c r="BC43" s="531"/>
    </row>
    <row r="44" spans="1:55" s="65" customFormat="1">
      <c r="A44" s="184" t="str">
        <f>INDEX(MO_RIS_NI_ContinOp,0,COLUMN())</f>
        <v>Net Income from Continued Operation</v>
      </c>
      <c r="B44" s="185"/>
      <c r="C44" s="568">
        <f t="shared" ref="C44:AH44" si="46">INDEX(SP_GF_EBT,0,COLUMN())-INDEX(SP_GF_Tax,0,COLUMN())-INDEX(SP_GF_DisCont,0,COLUMN())-INDEX(SP_GF_NCI,0,COLUMN())-INDEX(SP_GF_Div_Prefs,0,COLUMN())</f>
        <v>-3.8019999999999898</v>
      </c>
      <c r="D44" s="568">
        <f t="shared" si="46"/>
        <v>14.947999999999979</v>
      </c>
      <c r="E44" s="568">
        <f t="shared" si="46"/>
        <v>21.591000000000019</v>
      </c>
      <c r="F44" s="568">
        <f t="shared" si="46"/>
        <v>21.874000000000034</v>
      </c>
      <c r="G44" s="569">
        <f t="shared" si="46"/>
        <v>8.5640000000000036</v>
      </c>
      <c r="H44" s="569">
        <f t="shared" si="46"/>
        <v>5.1579999999999995</v>
      </c>
      <c r="I44" s="569">
        <f t="shared" si="46"/>
        <v>7.154999999999994</v>
      </c>
      <c r="J44" s="569">
        <f t="shared" si="46"/>
        <v>6.3890000000000047</v>
      </c>
      <c r="K44" s="568">
        <f t="shared" si="46"/>
        <v>27.266000000000005</v>
      </c>
      <c r="L44" s="569">
        <f t="shared" si="46"/>
        <v>7.5069999999999872</v>
      </c>
      <c r="M44" s="569">
        <f t="shared" si="46"/>
        <v>13.144</v>
      </c>
      <c r="N44" s="569">
        <f t="shared" si="46"/>
        <v>17.079999999999991</v>
      </c>
      <c r="O44" s="569">
        <f t="shared" si="46"/>
        <v>18.438999999999915</v>
      </c>
      <c r="P44" s="568">
        <f t="shared" si="46"/>
        <v>56.169999999999987</v>
      </c>
      <c r="Q44" s="569">
        <f t="shared" si="46"/>
        <v>10.683000000000003</v>
      </c>
      <c r="R44" s="569">
        <f t="shared" si="46"/>
        <v>17.690000000000023</v>
      </c>
      <c r="S44" s="569">
        <f t="shared" si="46"/>
        <v>24.694000000000017</v>
      </c>
      <c r="T44" s="569">
        <f t="shared" si="46"/>
        <v>13.907000000000064</v>
      </c>
      <c r="U44" s="568">
        <f t="shared" si="46"/>
        <v>66.974000000000018</v>
      </c>
      <c r="V44" s="569">
        <f t="shared" si="46"/>
        <v>11.48500000000001</v>
      </c>
      <c r="W44" s="569">
        <f t="shared" si="46"/>
        <v>14.979999999999986</v>
      </c>
      <c r="X44" s="569">
        <f t="shared" si="46"/>
        <v>12.073999999999987</v>
      </c>
      <c r="Y44" s="569">
        <f t="shared" si="46"/>
        <v>9.8849999999999945</v>
      </c>
      <c r="Z44" s="568">
        <f t="shared" si="46"/>
        <v>48.424000000000063</v>
      </c>
      <c r="AA44" s="569">
        <f t="shared" si="46"/>
        <v>11.586999999999998</v>
      </c>
      <c r="AB44" s="569">
        <f t="shared" si="46"/>
        <v>7.6850000000000058</v>
      </c>
      <c r="AC44" s="569">
        <f t="shared" si="46"/>
        <v>6.0599999999999987</v>
      </c>
      <c r="AD44" s="569">
        <f t="shared" si="46"/>
        <v>-5.6529999999998504</v>
      </c>
      <c r="AE44" s="568">
        <f t="shared" si="46"/>
        <v>19.679000000000038</v>
      </c>
      <c r="AF44" s="569">
        <f t="shared" si="46"/>
        <v>3.2940000000000147</v>
      </c>
      <c r="AG44" s="569">
        <f t="shared" si="46"/>
        <v>14.024999999999995</v>
      </c>
      <c r="AH44" s="569">
        <f t="shared" si="46"/>
        <v>16.998999999999992</v>
      </c>
      <c r="AI44" s="569">
        <f t="shared" ref="AI44:BB44" si="47">INDEX(SP_GF_EBT,0,COLUMN())-INDEX(SP_GF_Tax,0,COLUMN())-INDEX(SP_GF_DisCont,0,COLUMN())-INDEX(SP_GF_NCI,0,COLUMN())-INDEX(SP_GF_Div_Prefs,0,COLUMN())</f>
        <v>12.485000000000149</v>
      </c>
      <c r="AJ44" s="568">
        <f t="shared" si="47"/>
        <v>46.803000000000068</v>
      </c>
      <c r="AK44" s="569">
        <f t="shared" si="47"/>
        <v>78.145999999999972</v>
      </c>
      <c r="AL44" s="569">
        <f t="shared" si="47"/>
        <v>6.7259999999999964</v>
      </c>
      <c r="AM44" s="569">
        <f t="shared" si="47"/>
        <v>1.2100000000000142</v>
      </c>
      <c r="AN44" s="569">
        <f t="shared" si="47"/>
        <v>-34.065000000000055</v>
      </c>
      <c r="AO44" s="568">
        <f t="shared" si="47"/>
        <v>52.01700000000001</v>
      </c>
      <c r="AP44" s="569">
        <f>INDEX(SP_GF_EBT,0,COLUMN())-INDEX(SP_GF_Tax,0,COLUMN())-INDEX(SP_GF_DisCont,0,COLUMN())-INDEX(SP_GF_NCI,0,COLUMN())-INDEX(SP_GF_Div_Prefs,0,COLUMN())</f>
        <v>-66.962999999999994</v>
      </c>
      <c r="AQ44" s="570">
        <f>INDEX(SP_GF_EBT,0,COLUMN())-INDEX(SP_GF_Tax,0,COLUMN())-INDEX(SP_GF_DisCont,0,COLUMN())-INDEX(SP_GF_NCI,0,COLUMN())-INDEX(SP_GF_Div_Prefs,0,COLUMN())</f>
        <v>-23.579000000000001</v>
      </c>
      <c r="AR44" s="569">
        <f t="shared" si="47"/>
        <v>-3.4459075901639324</v>
      </c>
      <c r="AS44" s="569">
        <f t="shared" ca="1" si="47"/>
        <v>-0.60971701271721046</v>
      </c>
      <c r="AT44" s="568">
        <f t="shared" ca="1" si="47"/>
        <v>-94.59762460288114</v>
      </c>
      <c r="AU44" s="569">
        <f t="shared" ca="1" si="47"/>
        <v>9.6224058408561035</v>
      </c>
      <c r="AV44" s="569">
        <f t="shared" ca="1" si="47"/>
        <v>14.913088527267213</v>
      </c>
      <c r="AW44" s="569">
        <f t="shared" ca="1" si="47"/>
        <v>16.255691544529657</v>
      </c>
      <c r="AX44" s="569">
        <f t="shared" ca="1" si="47"/>
        <v>14.460509227292007</v>
      </c>
      <c r="AY44" s="568">
        <f t="shared" ca="1" si="47"/>
        <v>55.251695139945056</v>
      </c>
      <c r="AZ44" s="568">
        <f t="shared" ca="1" si="47"/>
        <v>46.142950733557086</v>
      </c>
      <c r="BA44" s="568">
        <f t="shared" ca="1" si="47"/>
        <v>82.155841907990393</v>
      </c>
      <c r="BB44" s="568">
        <f t="shared" ca="1" si="47"/>
        <v>27.014261694265308</v>
      </c>
      <c r="BC44" s="532"/>
    </row>
    <row r="45" spans="1:55" s="64" customFormat="1">
      <c r="A45" s="201" t="s">
        <v>223</v>
      </c>
      <c r="B45" s="202"/>
      <c r="C45" s="284">
        <f t="shared" ref="C45:AH45" si="48">INDEX(SP_GF_NI,0,COLUMN())/INDEX(SP_CS_ShareCount,0,COLUMN())</f>
        <v>-0.13829527970056599</v>
      </c>
      <c r="D45" s="284">
        <f t="shared" si="48"/>
        <v>0.49284374268465919</v>
      </c>
      <c r="E45" s="284">
        <f t="shared" si="48"/>
        <v>0.69670411936676824</v>
      </c>
      <c r="F45" s="284">
        <f t="shared" si="48"/>
        <v>0.65614093501733139</v>
      </c>
      <c r="G45" s="298">
        <f t="shared" si="48"/>
        <v>0.33679872107725267</v>
      </c>
      <c r="H45" s="298">
        <f t="shared" si="48"/>
        <v>0.20289592831377667</v>
      </c>
      <c r="I45" s="298">
        <f t="shared" si="48"/>
        <v>0.23965714457974571</v>
      </c>
      <c r="J45" s="298">
        <f t="shared" si="48"/>
        <v>0.21160358689442196</v>
      </c>
      <c r="K45" s="284">
        <f t="shared" si="48"/>
        <v>0.81099932332448466</v>
      </c>
      <c r="L45" s="298">
        <f t="shared" si="48"/>
        <v>0.24585063599565046</v>
      </c>
      <c r="M45" s="298">
        <f t="shared" si="48"/>
        <v>0.4306867592656306</v>
      </c>
      <c r="N45" s="298">
        <f t="shared" si="48"/>
        <v>0.49541925724818953</v>
      </c>
      <c r="O45" s="298">
        <f t="shared" si="48"/>
        <v>0.53496306697845286</v>
      </c>
      <c r="P45" s="284">
        <f t="shared" si="48"/>
        <v>1.6302352478511919</v>
      </c>
      <c r="Q45" s="298">
        <f t="shared" si="48"/>
        <v>0.30834683896144016</v>
      </c>
      <c r="R45" s="298">
        <f t="shared" si="48"/>
        <v>0.51032109264679015</v>
      </c>
      <c r="S45" s="298">
        <f t="shared" si="48"/>
        <v>0.71298746482919562</v>
      </c>
      <c r="T45" s="298">
        <f t="shared" si="48"/>
        <v>0.40060434883429707</v>
      </c>
      <c r="U45" s="284">
        <f t="shared" si="48"/>
        <v>1.9320658484412714</v>
      </c>
      <c r="V45" s="298">
        <f t="shared" si="48"/>
        <v>0.32961340380009702</v>
      </c>
      <c r="W45" s="298">
        <f t="shared" si="48"/>
        <v>0.43077108887601201</v>
      </c>
      <c r="X45" s="298">
        <f t="shared" si="48"/>
        <v>0.35222525613199807</v>
      </c>
      <c r="Y45" s="298">
        <f t="shared" si="48"/>
        <v>0.28900720105954675</v>
      </c>
      <c r="Z45" s="284">
        <f t="shared" si="48"/>
        <v>1.4020986310254588</v>
      </c>
      <c r="AA45" s="298">
        <f t="shared" si="48"/>
        <v>0.3338298381125519</v>
      </c>
      <c r="AB45" s="298">
        <f t="shared" si="48"/>
        <v>0.22209474212011632</v>
      </c>
      <c r="AC45" s="298">
        <f t="shared" si="48"/>
        <v>0.18170914542728636</v>
      </c>
      <c r="AD45" s="298">
        <f t="shared" si="48"/>
        <v>-0.17546500710022891</v>
      </c>
      <c r="AE45" s="284">
        <f t="shared" si="48"/>
        <v>0.58363485378729585</v>
      </c>
      <c r="AF45" s="298">
        <f t="shared" si="48"/>
        <v>9.9775248226521174E-2</v>
      </c>
      <c r="AG45" s="298">
        <f t="shared" si="48"/>
        <v>0.42412283686013003</v>
      </c>
      <c r="AH45" s="298">
        <f t="shared" si="48"/>
        <v>0.51560556886772391</v>
      </c>
      <c r="AI45" s="298">
        <f t="shared" ref="AI45:BB45" si="49">INDEX(SP_GF_NI,0,COLUMN())/INDEX(SP_CS_ShareCount,0,COLUMN())</f>
        <v>0.37443018234165509</v>
      </c>
      <c r="AJ45" s="284">
        <f t="shared" si="49"/>
        <v>1.4124517141477566</v>
      </c>
      <c r="AK45" s="298">
        <f t="shared" si="49"/>
        <v>2.3528030348648152</v>
      </c>
      <c r="AL45" s="298">
        <f t="shared" si="49"/>
        <v>0.20274302938960051</v>
      </c>
      <c r="AM45" s="298">
        <f t="shared" si="49"/>
        <v>3.7135929779333221E-2</v>
      </c>
      <c r="AN45" s="298">
        <f t="shared" si="49"/>
        <v>-1.1017497331737784</v>
      </c>
      <c r="AO45" s="284">
        <f t="shared" si="49"/>
        <v>1.6025447487599742</v>
      </c>
      <c r="AP45" s="298">
        <f>INDEX(SP_GF_NI,0,COLUMN())/INDEX(SP_CS_ShareCount,0,COLUMN())</f>
        <v>-2.1731355877198673</v>
      </c>
      <c r="AQ45" s="357">
        <f>INDEX(SP_GF_NI,0,COLUMN())/INDEX(SP_CS_ShareCount,0,COLUMN())</f>
        <v>-0.76664715827805963</v>
      </c>
      <c r="AR45" s="111">
        <f t="shared" ca="1" si="49"/>
        <v>-0.11204017395512851</v>
      </c>
      <c r="AS45" s="111">
        <f t="shared" ca="1" si="49"/>
        <v>-1.9824327374080193E-2</v>
      </c>
      <c r="AT45" s="100">
        <f t="shared" ca="1" si="49"/>
        <v>-3.0742959848842606</v>
      </c>
      <c r="AU45" s="111">
        <f t="shared" ca="1" si="49"/>
        <v>0.31286272079776639</v>
      </c>
      <c r="AV45" s="111">
        <f t="shared" ca="1" si="49"/>
        <v>0.48488387720338189</v>
      </c>
      <c r="AW45" s="111">
        <f t="shared" ca="1" si="49"/>
        <v>0.52853724621308551</v>
      </c>
      <c r="AX45" s="111">
        <f t="shared" ca="1" si="49"/>
        <v>0.47016872243763841</v>
      </c>
      <c r="AY45" s="100">
        <f t="shared" ca="1" si="49"/>
        <v>1.7964525666518747</v>
      </c>
      <c r="AZ45" s="100">
        <f t="shared" ca="1" si="49"/>
        <v>1.5002910239809171</v>
      </c>
      <c r="BA45" s="100">
        <f t="shared" ca="1" si="49"/>
        <v>2.6712134838077253</v>
      </c>
      <c r="BB45" s="100">
        <f t="shared" ca="1" si="49"/>
        <v>0.87834119177608616</v>
      </c>
      <c r="BC45" s="111"/>
    </row>
    <row r="46" spans="1:55" s="63" customFormat="1">
      <c r="A46" s="182"/>
      <c r="B46" s="183"/>
      <c r="C46" s="563"/>
      <c r="D46" s="563"/>
      <c r="E46" s="563"/>
      <c r="F46" s="563"/>
      <c r="G46" s="564"/>
      <c r="H46" s="564"/>
      <c r="I46" s="564"/>
      <c r="J46" s="564"/>
      <c r="K46" s="563"/>
      <c r="L46" s="564"/>
      <c r="M46" s="564"/>
      <c r="N46" s="564"/>
      <c r="O46" s="564"/>
      <c r="P46" s="563"/>
      <c r="Q46" s="564"/>
      <c r="R46" s="564"/>
      <c r="S46" s="564"/>
      <c r="T46" s="564"/>
      <c r="U46" s="563"/>
      <c r="V46" s="564"/>
      <c r="W46" s="564"/>
      <c r="X46" s="564"/>
      <c r="Y46" s="564"/>
      <c r="Z46" s="563"/>
      <c r="AA46" s="564"/>
      <c r="AB46" s="564"/>
      <c r="AC46" s="564"/>
      <c r="AD46" s="564"/>
      <c r="AE46" s="563"/>
      <c r="AF46" s="564"/>
      <c r="AG46" s="564"/>
      <c r="AH46" s="564"/>
      <c r="AI46" s="564"/>
      <c r="AJ46" s="563"/>
      <c r="AK46" s="564"/>
      <c r="AL46" s="564"/>
      <c r="AM46" s="564"/>
      <c r="AN46" s="564"/>
      <c r="AO46" s="563"/>
      <c r="AP46" s="564"/>
      <c r="AQ46" s="565"/>
      <c r="AR46" s="566"/>
      <c r="AS46" s="566"/>
      <c r="AT46" s="567"/>
      <c r="AU46" s="566"/>
      <c r="AV46" s="566"/>
      <c r="AW46" s="566"/>
      <c r="AX46" s="566"/>
      <c r="AY46" s="567"/>
      <c r="AZ46" s="567"/>
      <c r="BA46" s="567"/>
      <c r="BB46" s="567"/>
      <c r="BC46" s="531"/>
    </row>
    <row r="47" spans="1:55">
      <c r="A47" s="95" t="s">
        <v>224</v>
      </c>
      <c r="B47" s="96"/>
      <c r="C47" s="288"/>
      <c r="D47" s="288"/>
      <c r="E47" s="288"/>
      <c r="F47" s="288"/>
      <c r="G47" s="288"/>
      <c r="H47" s="288"/>
      <c r="I47" s="288"/>
      <c r="J47" s="288"/>
      <c r="K47" s="288"/>
      <c r="L47" s="288"/>
      <c r="M47" s="288"/>
      <c r="N47" s="288"/>
      <c r="O47" s="288"/>
      <c r="P47" s="288"/>
      <c r="Q47" s="288"/>
      <c r="R47" s="288"/>
      <c r="S47" s="288"/>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320"/>
      <c r="AR47" s="96"/>
      <c r="AS47" s="96"/>
      <c r="AT47" s="96"/>
      <c r="AU47" s="96"/>
      <c r="AV47" s="96"/>
      <c r="AW47" s="96"/>
      <c r="AX47" s="96"/>
      <c r="AY47" s="96"/>
      <c r="AZ47" s="96"/>
      <c r="BA47" s="96"/>
      <c r="BB47" s="96"/>
      <c r="BC47" s="152"/>
    </row>
    <row r="48" spans="1:55" s="65" customFormat="1">
      <c r="A48" s="181" t="str">
        <f>INDEX(MO_RIS_EBITDA_Adj,0,COLUMN())</f>
        <v>Adjusted EBITDA</v>
      </c>
      <c r="B48" s="186"/>
      <c r="C48" s="571">
        <f t="shared" ref="C48:AH48" si="50">INDEX(MO_RIS_EBITDA_Adj,0,COLUMN())</f>
        <v>21.283000000000008</v>
      </c>
      <c r="D48" s="571">
        <f t="shared" si="50"/>
        <v>30.144999999999978</v>
      </c>
      <c r="E48" s="571">
        <f t="shared" si="50"/>
        <v>39.325000000000017</v>
      </c>
      <c r="F48" s="571">
        <f t="shared" si="50"/>
        <v>40.881000000000036</v>
      </c>
      <c r="G48" s="572">
        <f t="shared" si="50"/>
        <v>13.137000000000004</v>
      </c>
      <c r="H48" s="572">
        <f t="shared" si="50"/>
        <v>10.084</v>
      </c>
      <c r="I48" s="572">
        <f t="shared" si="50"/>
        <v>15.767999999999995</v>
      </c>
      <c r="J48" s="572">
        <f t="shared" si="50"/>
        <v>15.759000000000006</v>
      </c>
      <c r="K48" s="571">
        <f t="shared" si="50"/>
        <v>54.748000000000005</v>
      </c>
      <c r="L48" s="572">
        <f t="shared" si="50"/>
        <v>18.858999999999988</v>
      </c>
      <c r="M48" s="572">
        <f t="shared" si="50"/>
        <v>28.424000000000003</v>
      </c>
      <c r="N48" s="572">
        <f t="shared" si="50"/>
        <v>37.067999999999998</v>
      </c>
      <c r="O48" s="572">
        <f t="shared" si="50"/>
        <v>31.994999999999916</v>
      </c>
      <c r="P48" s="571">
        <f t="shared" si="50"/>
        <v>116.34599999999999</v>
      </c>
      <c r="Q48" s="572">
        <f t="shared" si="50"/>
        <v>24.176000000000002</v>
      </c>
      <c r="R48" s="572">
        <f t="shared" si="50"/>
        <v>35.210000000000022</v>
      </c>
      <c r="S48" s="572">
        <f t="shared" si="50"/>
        <v>44.013000000000019</v>
      </c>
      <c r="T48" s="572">
        <f t="shared" si="50"/>
        <v>22.985000000000063</v>
      </c>
      <c r="U48" s="571">
        <f t="shared" si="50"/>
        <v>126.38400000000003</v>
      </c>
      <c r="V48" s="572">
        <f t="shared" si="50"/>
        <v>24.742000000000012</v>
      </c>
      <c r="W48" s="572">
        <f t="shared" si="50"/>
        <v>29.869999999999987</v>
      </c>
      <c r="X48" s="572">
        <f t="shared" si="50"/>
        <v>24.455999999999989</v>
      </c>
      <c r="Y48" s="572">
        <f t="shared" si="50"/>
        <v>22.141999999999996</v>
      </c>
      <c r="Z48" s="571">
        <f t="shared" si="50"/>
        <v>101.21000000000006</v>
      </c>
      <c r="AA48" s="572">
        <f t="shared" si="50"/>
        <v>23.887999999999995</v>
      </c>
      <c r="AB48" s="572">
        <f t="shared" si="50"/>
        <v>19.148000000000007</v>
      </c>
      <c r="AC48" s="572">
        <f t="shared" si="50"/>
        <v>17.822999999999997</v>
      </c>
      <c r="AD48" s="572">
        <f t="shared" si="50"/>
        <v>17.140000000000146</v>
      </c>
      <c r="AE48" s="571">
        <f t="shared" si="50"/>
        <v>77.999000000000038</v>
      </c>
      <c r="AF48" s="572">
        <f t="shared" si="50"/>
        <v>17.404000000000014</v>
      </c>
      <c r="AG48" s="572">
        <f t="shared" si="50"/>
        <v>29.577999999999996</v>
      </c>
      <c r="AH48" s="572">
        <f t="shared" si="50"/>
        <v>27.227999999999991</v>
      </c>
      <c r="AI48" s="572">
        <f t="shared" ref="AI48:BB48" si="51">INDEX(MO_RIS_EBITDA_Adj,0,COLUMN())</f>
        <v>27.583000000000144</v>
      </c>
      <c r="AJ48" s="571">
        <f t="shared" si="51"/>
        <v>101.79300000000006</v>
      </c>
      <c r="AK48" s="572">
        <f t="shared" si="51"/>
        <v>32.149999999999991</v>
      </c>
      <c r="AL48" s="572">
        <f t="shared" si="51"/>
        <v>19.428999999999995</v>
      </c>
      <c r="AM48" s="572">
        <f t="shared" si="51"/>
        <v>14.104000000000013</v>
      </c>
      <c r="AN48" s="572">
        <f t="shared" si="51"/>
        <v>-16.007000000000055</v>
      </c>
      <c r="AO48" s="571">
        <f t="shared" si="51"/>
        <v>49.676000000000016</v>
      </c>
      <c r="AP48" s="572">
        <f>INDEX(MO_RIS_EBITDA_Adj,0,COLUMN())</f>
        <v>16.245000000000019</v>
      </c>
      <c r="AQ48" s="573">
        <f>INDEX(MO_RIS_EBITDA_Adj,0,COLUMN())</f>
        <v>3.1129999999999995</v>
      </c>
      <c r="AR48" s="574">
        <f t="shared" si="51"/>
        <v>7.6972000000000023</v>
      </c>
      <c r="AS48" s="574">
        <f t="shared" si="51"/>
        <v>10.576439999999998</v>
      </c>
      <c r="AT48" s="575">
        <f t="shared" si="51"/>
        <v>37.631640000000019</v>
      </c>
      <c r="AU48" s="574">
        <f t="shared" si="51"/>
        <v>21.289104000000009</v>
      </c>
      <c r="AV48" s="574">
        <f t="shared" si="51"/>
        <v>26.867382500000005</v>
      </c>
      <c r="AW48" s="574">
        <f t="shared" si="51"/>
        <v>28.338664454999993</v>
      </c>
      <c r="AX48" s="574">
        <f t="shared" si="51"/>
        <v>26.485572385999998</v>
      </c>
      <c r="AY48" s="575">
        <f t="shared" si="51"/>
        <v>102.98072334100002</v>
      </c>
      <c r="AZ48" s="575">
        <f t="shared" si="51"/>
        <v>96.203177594999815</v>
      </c>
      <c r="BA48" s="575">
        <f t="shared" si="51"/>
        <v>135.61522708399988</v>
      </c>
      <c r="BB48" s="575">
        <f t="shared" si="51"/>
        <v>74.509767076799832</v>
      </c>
      <c r="BC48" s="532"/>
    </row>
    <row r="49" spans="1:55" s="65" customFormat="1">
      <c r="A49" s="181" t="str">
        <f>INDEX(MO_RIS_NI_NONGAAP_Diluted,0,COLUMN())</f>
        <v>Adjusted Net Income</v>
      </c>
      <c r="B49" s="186"/>
      <c r="C49" s="571">
        <f t="shared" ref="C49:AH49" si="52">INDEX(MO_RIS_NI_NONGAAP_Diluted,0,COLUMN())</f>
        <v>-3.8019999999999934</v>
      </c>
      <c r="D49" s="571">
        <f t="shared" si="52"/>
        <v>14.947999999999979</v>
      </c>
      <c r="E49" s="571">
        <f t="shared" si="52"/>
        <v>21.591000000000019</v>
      </c>
      <c r="F49" s="571">
        <f t="shared" si="52"/>
        <v>21.874000000000034</v>
      </c>
      <c r="G49" s="572">
        <f t="shared" si="52"/>
        <v>8.5640000000000054</v>
      </c>
      <c r="H49" s="572">
        <f t="shared" si="52"/>
        <v>5.1579999999999995</v>
      </c>
      <c r="I49" s="572">
        <f t="shared" si="52"/>
        <v>7.1549999999999958</v>
      </c>
      <c r="J49" s="572">
        <f t="shared" si="52"/>
        <v>6.3890000000000065</v>
      </c>
      <c r="K49" s="571">
        <f t="shared" si="52"/>
        <v>27.266000000000005</v>
      </c>
      <c r="L49" s="572">
        <f t="shared" si="52"/>
        <v>7.5069999999999872</v>
      </c>
      <c r="M49" s="572">
        <f t="shared" si="52"/>
        <v>13.144</v>
      </c>
      <c r="N49" s="572">
        <f t="shared" si="52"/>
        <v>17.079999999999998</v>
      </c>
      <c r="O49" s="572">
        <f t="shared" si="52"/>
        <v>18.438999999999908</v>
      </c>
      <c r="P49" s="571">
        <f t="shared" si="52"/>
        <v>56.17</v>
      </c>
      <c r="Q49" s="572">
        <f t="shared" si="52"/>
        <v>10.683000000000003</v>
      </c>
      <c r="R49" s="572">
        <f t="shared" si="52"/>
        <v>17.690000000000023</v>
      </c>
      <c r="S49" s="572">
        <f t="shared" si="52"/>
        <v>24.694000000000024</v>
      </c>
      <c r="T49" s="572">
        <f t="shared" si="52"/>
        <v>13.907000000000064</v>
      </c>
      <c r="U49" s="571">
        <f t="shared" si="52"/>
        <v>66.974000000000018</v>
      </c>
      <c r="V49" s="572">
        <f t="shared" si="52"/>
        <v>11.48500000000001</v>
      </c>
      <c r="W49" s="572">
        <f t="shared" si="52"/>
        <v>14.979999999999986</v>
      </c>
      <c r="X49" s="572">
        <f t="shared" si="52"/>
        <v>12.073999999999987</v>
      </c>
      <c r="Y49" s="572">
        <f t="shared" si="52"/>
        <v>9.8849999999999945</v>
      </c>
      <c r="Z49" s="571">
        <f t="shared" si="52"/>
        <v>48.424000000000063</v>
      </c>
      <c r="AA49" s="572">
        <f t="shared" si="52"/>
        <v>11.586999999999994</v>
      </c>
      <c r="AB49" s="572">
        <f t="shared" si="52"/>
        <v>7.6850000000000076</v>
      </c>
      <c r="AC49" s="572">
        <f t="shared" si="52"/>
        <v>6.0599999999999987</v>
      </c>
      <c r="AD49" s="572">
        <f t="shared" si="52"/>
        <v>-5.6529999999998504</v>
      </c>
      <c r="AE49" s="571">
        <f t="shared" si="52"/>
        <v>19.679000000000038</v>
      </c>
      <c r="AF49" s="572">
        <f t="shared" si="52"/>
        <v>3.2940000000000156</v>
      </c>
      <c r="AG49" s="572">
        <f t="shared" si="52"/>
        <v>14.024999999999999</v>
      </c>
      <c r="AH49" s="572">
        <f t="shared" si="52"/>
        <v>16.998999999999992</v>
      </c>
      <c r="AI49" s="572">
        <f t="shared" ref="AI49:BB49" si="53">INDEX(MO_RIS_NI_NONGAAP_Diluted,0,COLUMN())</f>
        <v>12.485000000000147</v>
      </c>
      <c r="AJ49" s="571">
        <f t="shared" si="53"/>
        <v>46.803000000000068</v>
      </c>
      <c r="AK49" s="572">
        <f t="shared" si="53"/>
        <v>16.106999999999971</v>
      </c>
      <c r="AL49" s="572">
        <f t="shared" si="53"/>
        <v>6.3389999999999951</v>
      </c>
      <c r="AM49" s="572">
        <f t="shared" si="53"/>
        <v>4.9000000000013921E-2</v>
      </c>
      <c r="AN49" s="572">
        <f t="shared" si="53"/>
        <v>5.777999999999949</v>
      </c>
      <c r="AO49" s="571">
        <f t="shared" si="53"/>
        <v>29.616000000000028</v>
      </c>
      <c r="AP49" s="572">
        <f>INDEX(MO_RIS_NI_NONGAAP_Diluted,0,COLUMN())</f>
        <v>-66.962999999999994</v>
      </c>
      <c r="AQ49" s="573">
        <f>INDEX(MO_RIS_NI_NONGAAP_Diluted,0,COLUMN())</f>
        <v>-23.579000000000001</v>
      </c>
      <c r="AR49" s="574">
        <f t="shared" si="53"/>
        <v>-3.4459075901639316</v>
      </c>
      <c r="AS49" s="574">
        <f t="shared" ca="1" si="53"/>
        <v>-0.60971701271721046</v>
      </c>
      <c r="AT49" s="575">
        <f t="shared" ca="1" si="53"/>
        <v>-94.59762460288114</v>
      </c>
      <c r="AU49" s="574">
        <f t="shared" ca="1" si="53"/>
        <v>9.6224058408561035</v>
      </c>
      <c r="AV49" s="574">
        <f t="shared" ca="1" si="53"/>
        <v>14.913088527267213</v>
      </c>
      <c r="AW49" s="574">
        <f t="shared" ca="1" si="53"/>
        <v>16.255691544529657</v>
      </c>
      <c r="AX49" s="574">
        <f t="shared" ca="1" si="53"/>
        <v>14.460509227292007</v>
      </c>
      <c r="AY49" s="575">
        <f t="shared" ca="1" si="53"/>
        <v>55.251695139945056</v>
      </c>
      <c r="AZ49" s="575">
        <f t="shared" ca="1" si="53"/>
        <v>46.142950733557086</v>
      </c>
      <c r="BA49" s="575">
        <f t="shared" ca="1" si="53"/>
        <v>82.155841907990407</v>
      </c>
      <c r="BB49" s="575">
        <f t="shared" ca="1" si="53"/>
        <v>27.014261694265308</v>
      </c>
      <c r="BC49" s="532"/>
    </row>
    <row r="50" spans="1:55" s="64" customFormat="1">
      <c r="A50" s="201" t="str">
        <f>INDEX(MO_RIS_EPS_WAD_Adj,0,COLUMN())</f>
        <v>Adjusted Earnings Per Share - WAD</v>
      </c>
      <c r="B50" s="202"/>
      <c r="C50" s="284">
        <f t="shared" ref="C50:AH50" si="54">INDEX(MO_RIS_EPS_WAD_Adj,0,COLUMN())</f>
        <v>-0.13829527970056613</v>
      </c>
      <c r="D50" s="284">
        <f t="shared" si="54"/>
        <v>0.49284374268465919</v>
      </c>
      <c r="E50" s="284">
        <f t="shared" si="54"/>
        <v>0.69670411936676824</v>
      </c>
      <c r="F50" s="284">
        <f t="shared" si="54"/>
        <v>0.65614093501733139</v>
      </c>
      <c r="G50" s="298">
        <f t="shared" si="54"/>
        <v>0.33679872107725273</v>
      </c>
      <c r="H50" s="298">
        <f t="shared" si="54"/>
        <v>0.20289592831377667</v>
      </c>
      <c r="I50" s="298">
        <f t="shared" si="54"/>
        <v>0.23965714457974577</v>
      </c>
      <c r="J50" s="298">
        <f t="shared" si="54"/>
        <v>0.21160358689442202</v>
      </c>
      <c r="K50" s="284">
        <f t="shared" si="54"/>
        <v>0.81099932332448466</v>
      </c>
      <c r="L50" s="298">
        <f t="shared" si="54"/>
        <v>0.24585063599565046</v>
      </c>
      <c r="M50" s="298">
        <f t="shared" si="54"/>
        <v>0.4306867592656306</v>
      </c>
      <c r="N50" s="298">
        <f t="shared" si="54"/>
        <v>0.49541925724818969</v>
      </c>
      <c r="O50" s="298">
        <f t="shared" si="54"/>
        <v>0.53496306697845264</v>
      </c>
      <c r="P50" s="284">
        <f t="shared" si="54"/>
        <v>1.6302352478511923</v>
      </c>
      <c r="Q50" s="298">
        <f t="shared" si="54"/>
        <v>0.30834683896144016</v>
      </c>
      <c r="R50" s="298">
        <f t="shared" si="54"/>
        <v>0.51032109264679015</v>
      </c>
      <c r="S50" s="298">
        <f t="shared" si="54"/>
        <v>0.71298746482919584</v>
      </c>
      <c r="T50" s="298">
        <f t="shared" si="54"/>
        <v>0.40060434883429707</v>
      </c>
      <c r="U50" s="284">
        <f t="shared" si="54"/>
        <v>1.9320658484412714</v>
      </c>
      <c r="V50" s="298">
        <f t="shared" si="54"/>
        <v>0.32961340380009702</v>
      </c>
      <c r="W50" s="298">
        <f t="shared" si="54"/>
        <v>0.43077108887601201</v>
      </c>
      <c r="X50" s="298">
        <f t="shared" si="54"/>
        <v>0.35222525613199807</v>
      </c>
      <c r="Y50" s="298">
        <f t="shared" si="54"/>
        <v>0.28900720105954675</v>
      </c>
      <c r="Z50" s="284">
        <f t="shared" si="54"/>
        <v>1.4020986310254588</v>
      </c>
      <c r="AA50" s="298">
        <f t="shared" si="54"/>
        <v>0.33382983811255179</v>
      </c>
      <c r="AB50" s="298">
        <f t="shared" si="54"/>
        <v>0.22209474212011637</v>
      </c>
      <c r="AC50" s="298">
        <f t="shared" si="54"/>
        <v>0.18170914542728636</v>
      </c>
      <c r="AD50" s="298">
        <f t="shared" si="54"/>
        <v>-0.17546500710022891</v>
      </c>
      <c r="AE50" s="284">
        <f t="shared" si="54"/>
        <v>0.58363485378729585</v>
      </c>
      <c r="AF50" s="298">
        <f t="shared" si="54"/>
        <v>9.9775248226521202E-2</v>
      </c>
      <c r="AG50" s="298">
        <f t="shared" si="54"/>
        <v>0.42412283686013014</v>
      </c>
      <c r="AH50" s="298">
        <f t="shared" si="54"/>
        <v>0.51560556886772391</v>
      </c>
      <c r="AI50" s="298">
        <f t="shared" ref="AI50:BB50" si="55">INDEX(MO_RIS_EPS_WAD_Adj,0,COLUMN())</f>
        <v>0.37443018234165504</v>
      </c>
      <c r="AJ50" s="284">
        <f t="shared" si="55"/>
        <v>1.4124517141477566</v>
      </c>
      <c r="AK50" s="298">
        <f t="shared" si="55"/>
        <v>0.48494610706328573</v>
      </c>
      <c r="AL50" s="298">
        <f t="shared" si="55"/>
        <v>0.19107761868877154</v>
      </c>
      <c r="AM50" s="298">
        <f t="shared" si="55"/>
        <v>1.5038517018081184E-3</v>
      </c>
      <c r="AN50" s="298">
        <f t="shared" si="55"/>
        <v>0.18687538406804713</v>
      </c>
      <c r="AO50" s="284">
        <f t="shared" si="55"/>
        <v>0.91241258202655739</v>
      </c>
      <c r="AP50" s="298">
        <f>INDEX(MO_RIS_EPS_WAD_Adj,0,COLUMN())</f>
        <v>-2.1731355877198673</v>
      </c>
      <c r="AQ50" s="357">
        <f>INDEX(MO_RIS_EPS_WAD_Adj,0,COLUMN())</f>
        <v>-0.76664715827805963</v>
      </c>
      <c r="AR50" s="111">
        <f t="shared" ca="1" si="55"/>
        <v>-0.11204017395512848</v>
      </c>
      <c r="AS50" s="111">
        <f t="shared" ca="1" si="55"/>
        <v>-1.9824327374080193E-2</v>
      </c>
      <c r="AT50" s="100">
        <f t="shared" ca="1" si="55"/>
        <v>-3.0742959848842606</v>
      </c>
      <c r="AU50" s="111">
        <f t="shared" ca="1" si="55"/>
        <v>0.31286272079776639</v>
      </c>
      <c r="AV50" s="111">
        <f t="shared" ca="1" si="55"/>
        <v>0.48488387720338189</v>
      </c>
      <c r="AW50" s="111">
        <f t="shared" ca="1" si="55"/>
        <v>0.52853724621308551</v>
      </c>
      <c r="AX50" s="111">
        <f t="shared" ca="1" si="55"/>
        <v>0.47016872243763841</v>
      </c>
      <c r="AY50" s="100">
        <f t="shared" ca="1" si="55"/>
        <v>1.7964525666518747</v>
      </c>
      <c r="AZ50" s="100">
        <f t="shared" ca="1" si="55"/>
        <v>1.5002910239809171</v>
      </c>
      <c r="BA50" s="100">
        <f t="shared" ca="1" si="55"/>
        <v>2.6712134838077257</v>
      </c>
      <c r="BB50" s="100">
        <f t="shared" ca="1" si="55"/>
        <v>0.87834119177608616</v>
      </c>
      <c r="BC50" s="111"/>
    </row>
    <row r="51" spans="1:55">
      <c r="A51" s="152"/>
      <c r="B51" s="188"/>
      <c r="C51" s="312"/>
      <c r="D51" s="312"/>
      <c r="E51" s="312"/>
      <c r="F51" s="312"/>
      <c r="G51" s="299"/>
      <c r="H51" s="299"/>
      <c r="I51" s="299"/>
      <c r="J51" s="299"/>
      <c r="K51" s="312"/>
      <c r="L51" s="299"/>
      <c r="M51" s="299"/>
      <c r="N51" s="299"/>
      <c r="O51" s="299"/>
      <c r="P51" s="312"/>
      <c r="Q51" s="299"/>
      <c r="R51" s="299"/>
      <c r="S51" s="299"/>
      <c r="T51" s="299"/>
      <c r="U51" s="312"/>
      <c r="V51" s="299"/>
      <c r="W51" s="299"/>
      <c r="X51" s="299"/>
      <c r="Y51" s="313"/>
      <c r="Z51" s="289"/>
      <c r="AA51" s="299"/>
      <c r="AB51" s="299"/>
      <c r="AC51" s="299"/>
      <c r="AD51" s="313"/>
      <c r="AE51" s="289"/>
      <c r="AF51" s="299"/>
      <c r="AG51" s="299"/>
      <c r="AH51" s="299"/>
      <c r="AI51" s="313"/>
      <c r="AJ51" s="289"/>
      <c r="AK51" s="299"/>
      <c r="AL51" s="299"/>
      <c r="AM51" s="299"/>
      <c r="AN51" s="313"/>
      <c r="AO51" s="289"/>
      <c r="AP51" s="299"/>
      <c r="AQ51" s="358"/>
      <c r="AR51" s="112"/>
      <c r="AS51" s="113"/>
      <c r="AT51" s="114"/>
      <c r="AU51" s="112"/>
      <c r="AV51" s="112"/>
      <c r="AW51" s="112"/>
      <c r="AX51" s="113"/>
      <c r="AY51" s="114"/>
      <c r="AZ51" s="114"/>
      <c r="BA51" s="114"/>
      <c r="BB51" s="114"/>
      <c r="BC51" s="152"/>
    </row>
    <row r="52" spans="1:55">
      <c r="A52" s="97" t="s">
        <v>19</v>
      </c>
      <c r="B52" s="533"/>
      <c r="C52" s="576"/>
      <c r="D52" s="576"/>
      <c r="E52" s="576"/>
      <c r="F52" s="576"/>
      <c r="G52" s="576"/>
      <c r="H52" s="576"/>
      <c r="I52" s="576"/>
      <c r="J52" s="576"/>
      <c r="K52" s="576"/>
      <c r="L52" s="576"/>
      <c r="M52" s="576"/>
      <c r="N52" s="576"/>
      <c r="O52" s="576"/>
      <c r="P52" s="576"/>
      <c r="Q52" s="576"/>
      <c r="R52" s="576"/>
      <c r="S52" s="576"/>
      <c r="T52" s="576"/>
      <c r="U52" s="576"/>
      <c r="V52" s="576"/>
      <c r="W52" s="576"/>
      <c r="X52" s="576"/>
      <c r="Y52" s="576"/>
      <c r="Z52" s="576"/>
      <c r="AA52" s="576"/>
      <c r="AB52" s="576"/>
      <c r="AC52" s="576"/>
      <c r="AD52" s="576"/>
      <c r="AE52" s="576"/>
      <c r="AF52" s="576"/>
      <c r="AG52" s="576"/>
      <c r="AH52" s="576"/>
      <c r="AI52" s="576"/>
      <c r="AJ52" s="576"/>
      <c r="AK52" s="576"/>
      <c r="AL52" s="576"/>
      <c r="AM52" s="576"/>
      <c r="AN52" s="576"/>
      <c r="AO52" s="576"/>
      <c r="AP52" s="576"/>
      <c r="AQ52" s="577"/>
      <c r="AR52" s="578"/>
      <c r="AS52" s="578"/>
      <c r="AT52" s="578"/>
      <c r="AU52" s="578"/>
      <c r="AV52" s="578"/>
      <c r="AW52" s="578"/>
      <c r="AX52" s="578"/>
      <c r="AY52" s="578"/>
      <c r="AZ52" s="578"/>
      <c r="BA52" s="578"/>
      <c r="BB52" s="578"/>
      <c r="BC52" s="531"/>
    </row>
    <row r="53" spans="1:55" s="66" customFormat="1">
      <c r="A53" s="187" t="str">
        <f>INDEX(MO_MA_COGS,0,COLUMN())</f>
        <v>COGS Margin (Excluding D&amp;A), %</v>
      </c>
      <c r="B53" s="188"/>
      <c r="C53" s="285">
        <f t="shared" ref="C53:AH53" si="56">INDEX(SP_GF_COGS,0,COLUMN())/INDEX(SP_GF_Rev,0,COLUMN())</f>
        <v>0.76665917019262442</v>
      </c>
      <c r="D53" s="285">
        <f t="shared" si="56"/>
        <v>0.73207188614281204</v>
      </c>
      <c r="E53" s="285">
        <f t="shared" si="56"/>
        <v>0.71319188474906092</v>
      </c>
      <c r="F53" s="285">
        <f t="shared" si="56"/>
        <v>0.71346163950669172</v>
      </c>
      <c r="G53" s="293">
        <f t="shared" si="56"/>
        <v>0.70300269038895713</v>
      </c>
      <c r="H53" s="293">
        <f t="shared" si="56"/>
        <v>0.7119704092725142</v>
      </c>
      <c r="I53" s="293">
        <f t="shared" si="56"/>
        <v>0.70047167181454273</v>
      </c>
      <c r="J53" s="293">
        <f t="shared" si="56"/>
        <v>0.71850819299044155</v>
      </c>
      <c r="K53" s="285">
        <f t="shared" si="56"/>
        <v>0.70901372901449389</v>
      </c>
      <c r="L53" s="293">
        <f t="shared" si="56"/>
        <v>0.75280061865470982</v>
      </c>
      <c r="M53" s="293">
        <f t="shared" si="56"/>
        <v>0.7211722988262117</v>
      </c>
      <c r="N53" s="293">
        <f t="shared" si="56"/>
        <v>0.65354264887818914</v>
      </c>
      <c r="O53" s="293">
        <f t="shared" si="56"/>
        <v>0.70730899610435793</v>
      </c>
      <c r="P53" s="285">
        <f t="shared" si="56"/>
        <v>0.70607483068321231</v>
      </c>
      <c r="Q53" s="293">
        <f t="shared" si="56"/>
        <v>0.71362550885311626</v>
      </c>
      <c r="R53" s="293">
        <f t="shared" si="56"/>
        <v>0.67734297396567245</v>
      </c>
      <c r="S53" s="293">
        <f t="shared" si="56"/>
        <v>0.67167303704813996</v>
      </c>
      <c r="T53" s="293">
        <f t="shared" si="56"/>
        <v>0.71158637345875131</v>
      </c>
      <c r="U53" s="285">
        <f t="shared" si="56"/>
        <v>0.69195801114868427</v>
      </c>
      <c r="V53" s="293">
        <f t="shared" si="56"/>
        <v>0.71147119664013037</v>
      </c>
      <c r="W53" s="293">
        <f t="shared" si="56"/>
        <v>0.68718450853271384</v>
      </c>
      <c r="X53" s="293">
        <f t="shared" si="56"/>
        <v>0.71003036770062999</v>
      </c>
      <c r="Y53" s="293">
        <f t="shared" si="56"/>
        <v>0.7220772645844693</v>
      </c>
      <c r="Z53" s="285">
        <f t="shared" si="56"/>
        <v>0.7073917706354057</v>
      </c>
      <c r="AA53" s="293">
        <f t="shared" si="56"/>
        <v>0.70724297225648969</v>
      </c>
      <c r="AB53" s="293">
        <f t="shared" si="56"/>
        <v>0.7323940865836388</v>
      </c>
      <c r="AC53" s="293">
        <f t="shared" si="56"/>
        <v>0.73819802721270289</v>
      </c>
      <c r="AD53" s="293">
        <f t="shared" si="56"/>
        <v>0.76682543573938455</v>
      </c>
      <c r="AE53" s="285">
        <f t="shared" si="56"/>
        <v>0.73709293089753769</v>
      </c>
      <c r="AF53" s="293">
        <f t="shared" si="56"/>
        <v>0.73766747273245126</v>
      </c>
      <c r="AG53" s="293">
        <f t="shared" si="56"/>
        <v>0.72045386997497673</v>
      </c>
      <c r="AH53" s="293">
        <f t="shared" si="56"/>
        <v>0.74377686035904722</v>
      </c>
      <c r="AI53" s="293">
        <f t="shared" ref="AI53:BB53" si="57">INDEX(SP_GF_COGS,0,COLUMN())/INDEX(SP_GF_Rev,0,COLUMN())</f>
        <v>0.72428135641666225</v>
      </c>
      <c r="AJ53" s="285">
        <f t="shared" si="57"/>
        <v>0.73143306741561831</v>
      </c>
      <c r="AK53" s="293">
        <f t="shared" si="57"/>
        <v>0.71104460691536897</v>
      </c>
      <c r="AL53" s="293">
        <f t="shared" si="57"/>
        <v>0.74475139874562402</v>
      </c>
      <c r="AM53" s="293">
        <f t="shared" si="57"/>
        <v>0.74580551130393513</v>
      </c>
      <c r="AN53" s="293">
        <f t="shared" si="57"/>
        <v>0.819698405338387</v>
      </c>
      <c r="AO53" s="285">
        <f t="shared" si="57"/>
        <v>0.75515658041521827</v>
      </c>
      <c r="AP53" s="293">
        <f>INDEX(SP_GF_COGS,0,COLUMN())/INDEX(SP_GF_Rev,0,COLUMN())</f>
        <v>0.72275104071479335</v>
      </c>
      <c r="AQ53" s="352">
        <f>INDEX(SP_GF_COGS,0,COLUMN())/INDEX(SP_GF_Rev,0,COLUMN())</f>
        <v>0.71773893640758646</v>
      </c>
      <c r="AR53" s="102">
        <f t="shared" si="57"/>
        <v>0.74</v>
      </c>
      <c r="AS53" s="102">
        <f t="shared" si="57"/>
        <v>0.74</v>
      </c>
      <c r="AT53" s="101">
        <f t="shared" si="57"/>
        <v>0.72991071856618661</v>
      </c>
      <c r="AU53" s="102">
        <f t="shared" si="57"/>
        <v>0.75</v>
      </c>
      <c r="AV53" s="102">
        <f t="shared" si="57"/>
        <v>0.75</v>
      </c>
      <c r="AW53" s="102">
        <f t="shared" si="57"/>
        <v>0.75</v>
      </c>
      <c r="AX53" s="102">
        <f t="shared" si="57"/>
        <v>0.75</v>
      </c>
      <c r="AY53" s="101">
        <f t="shared" si="57"/>
        <v>0.74999999999999989</v>
      </c>
      <c r="AZ53" s="114">
        <f t="shared" si="57"/>
        <v>0.75000000000000022</v>
      </c>
      <c r="BA53" s="114">
        <f t="shared" si="57"/>
        <v>0.75000000000000011</v>
      </c>
      <c r="BB53" s="114">
        <f t="shared" si="57"/>
        <v>0.75000000000000011</v>
      </c>
      <c r="BC53" s="152"/>
    </row>
    <row r="54" spans="1:55" s="66" customFormat="1">
      <c r="A54" s="187" t="str">
        <f>INDEX(MO_MA_SGA,0,COLUMN())</f>
        <v>SG&amp;A Margin (adj. for SBC), %</v>
      </c>
      <c r="B54" s="188"/>
      <c r="C54" s="285">
        <f t="shared" ref="C54:AH54" si="58">INDEX(SP_GF_SGA,0,COLUMN())/INDEX(SP_GF_Rev,0,COLUMN())</f>
        <v>0.12202865047776948</v>
      </c>
      <c r="D54" s="285">
        <f t="shared" si="58"/>
        <v>0.1139338148901172</v>
      </c>
      <c r="E54" s="285">
        <f t="shared" si="58"/>
        <v>0.11445326367553021</v>
      </c>
      <c r="F54" s="285">
        <f t="shared" si="58"/>
        <v>0.1331076465775429</v>
      </c>
      <c r="G54" s="293">
        <f t="shared" si="58"/>
        <v>0.11939107980585936</v>
      </c>
      <c r="H54" s="293">
        <f t="shared" si="58"/>
        <v>0.14566656784267223</v>
      </c>
      <c r="I54" s="293">
        <f t="shared" si="58"/>
        <v>0.12370513263679039</v>
      </c>
      <c r="J54" s="293">
        <f t="shared" si="58"/>
        <v>0.13205507510241232</v>
      </c>
      <c r="K54" s="285">
        <f t="shared" si="58"/>
        <v>0.12993289933134669</v>
      </c>
      <c r="L54" s="293">
        <f t="shared" si="58"/>
        <v>0.11340111102439855</v>
      </c>
      <c r="M54" s="293">
        <f t="shared" si="58"/>
        <v>0.11599823559402622</v>
      </c>
      <c r="N54" s="293">
        <f t="shared" si="58"/>
        <v>0.1398836392817735</v>
      </c>
      <c r="O54" s="293">
        <f t="shared" si="58"/>
        <v>0.10004636236098821</v>
      </c>
      <c r="P54" s="285">
        <f t="shared" si="58"/>
        <v>0.117920425269916</v>
      </c>
      <c r="Q54" s="293">
        <f t="shared" si="58"/>
        <v>0.13680570162956729</v>
      </c>
      <c r="R54" s="293">
        <f t="shared" si="58"/>
        <v>0.11931437547644898</v>
      </c>
      <c r="S54" s="293">
        <f t="shared" si="58"/>
        <v>0.10842139448899547</v>
      </c>
      <c r="T54" s="293">
        <f t="shared" si="58"/>
        <v>0.14232871488496254</v>
      </c>
      <c r="U54" s="285">
        <f t="shared" si="58"/>
        <v>0.12547975599433178</v>
      </c>
      <c r="V54" s="293">
        <f t="shared" si="58"/>
        <v>0.13343571741992102</v>
      </c>
      <c r="W54" s="293">
        <f t="shared" si="58"/>
        <v>0.13115322394268547</v>
      </c>
      <c r="X54" s="293">
        <f t="shared" si="58"/>
        <v>0.13228969883751671</v>
      </c>
      <c r="Y54" s="293">
        <f t="shared" si="58"/>
        <v>0.13420697354414926</v>
      </c>
      <c r="Z54" s="285">
        <f t="shared" si="58"/>
        <v>0.1327498764063223</v>
      </c>
      <c r="AA54" s="293">
        <f t="shared" si="58"/>
        <v>0.1360075067587076</v>
      </c>
      <c r="AB54" s="293">
        <f t="shared" si="58"/>
        <v>0.14089362997472107</v>
      </c>
      <c r="AC54" s="293">
        <f t="shared" si="58"/>
        <v>0.14269293485524875</v>
      </c>
      <c r="AD54" s="293">
        <f t="shared" si="58"/>
        <v>0.13312670005486865</v>
      </c>
      <c r="AE54" s="285">
        <f t="shared" si="58"/>
        <v>0.13800155012939097</v>
      </c>
      <c r="AF54" s="293">
        <f t="shared" si="58"/>
        <v>0.16513551399259463</v>
      </c>
      <c r="AG54" s="293">
        <f t="shared" si="58"/>
        <v>0.13775730324151753</v>
      </c>
      <c r="AH54" s="293">
        <f t="shared" si="58"/>
        <v>0.12819620640040624</v>
      </c>
      <c r="AI54" s="293">
        <f t="shared" ref="AI54:BB54" si="59">INDEX(SP_GF_SGA,0,COLUMN())/INDEX(SP_GF_Rev,0,COLUMN())</f>
        <v>0.13978621801031949</v>
      </c>
      <c r="AJ54" s="285">
        <f t="shared" si="59"/>
        <v>0.14184145527702252</v>
      </c>
      <c r="AK54" s="293">
        <f t="shared" si="59"/>
        <v>0.13451727881483758</v>
      </c>
      <c r="AL54" s="293">
        <f t="shared" si="59"/>
        <v>0.15250293498609185</v>
      </c>
      <c r="AM54" s="293">
        <f t="shared" si="59"/>
        <v>0.17451897547142098</v>
      </c>
      <c r="AN54" s="293">
        <f t="shared" si="59"/>
        <v>0.26097715863959853</v>
      </c>
      <c r="AO54" s="285">
        <f t="shared" si="59"/>
        <v>0.18055472873112793</v>
      </c>
      <c r="AP54" s="293">
        <f>INDEX(SP_GF_SGA,0,COLUMN())/INDEX(SP_GF_Rev,0,COLUMN())</f>
        <v>0.17237790638643519</v>
      </c>
      <c r="AQ54" s="352">
        <f>INDEX(SP_GF_SGA,0,COLUMN())/INDEX(SP_GF_Rev,0,COLUMN())</f>
        <v>0.25709411935906351</v>
      </c>
      <c r="AR54" s="102">
        <f t="shared" si="59"/>
        <v>0.19</v>
      </c>
      <c r="AS54" s="102">
        <f t="shared" si="59"/>
        <v>0.19</v>
      </c>
      <c r="AT54" s="101">
        <f t="shared" si="59"/>
        <v>0.20018232441502407</v>
      </c>
      <c r="AU54" s="102">
        <f t="shared" si="59"/>
        <v>0.13</v>
      </c>
      <c r="AV54" s="102">
        <f t="shared" si="59"/>
        <v>0.125</v>
      </c>
      <c r="AW54" s="102">
        <f t="shared" si="59"/>
        <v>0.115</v>
      </c>
      <c r="AX54" s="102">
        <f t="shared" si="59"/>
        <v>0.11</v>
      </c>
      <c r="AY54" s="101">
        <f t="shared" si="59"/>
        <v>0.11988297451438705</v>
      </c>
      <c r="AZ54" s="114">
        <f t="shared" si="59"/>
        <v>0.125</v>
      </c>
      <c r="BA54" s="114">
        <f t="shared" si="59"/>
        <v>0.125</v>
      </c>
      <c r="BB54" s="114">
        <f t="shared" si="59"/>
        <v>0.125</v>
      </c>
      <c r="BC54" s="152"/>
    </row>
    <row r="55" spans="1:55" s="68" customFormat="1">
      <c r="A55" s="189" t="str">
        <f>INDEX(MO_MA_EBITDA,0,COLUMN())</f>
        <v>EBITDA Margin, %</v>
      </c>
      <c r="B55" s="89"/>
      <c r="C55" s="103">
        <f t="shared" ref="C55:AH55" si="60">INDEX(SP_GF_EBITDA,0,COLUMN())/INDEX(SP_GF_Rev,0,COLUMN())</f>
        <v>0.11131217932960606</v>
      </c>
      <c r="D55" s="103">
        <f t="shared" si="60"/>
        <v>0.15399429896707081</v>
      </c>
      <c r="E55" s="103">
        <f t="shared" si="60"/>
        <v>0.17235485157540886</v>
      </c>
      <c r="F55" s="103">
        <f t="shared" si="60"/>
        <v>0.1534307139157654</v>
      </c>
      <c r="G55" s="104">
        <f t="shared" si="60"/>
        <v>0.17760622980518345</v>
      </c>
      <c r="H55" s="104">
        <f t="shared" si="60"/>
        <v>0.14236302288481356</v>
      </c>
      <c r="I55" s="104">
        <f t="shared" si="60"/>
        <v>0.17582319554866691</v>
      </c>
      <c r="J55" s="104">
        <f t="shared" si="60"/>
        <v>0.14943673190714613</v>
      </c>
      <c r="K55" s="103">
        <f t="shared" si="60"/>
        <v>0.16105337165415945</v>
      </c>
      <c r="L55" s="104">
        <f t="shared" si="60"/>
        <v>0.13379827032089159</v>
      </c>
      <c r="M55" s="104">
        <f t="shared" si="60"/>
        <v>0.16282946557976205</v>
      </c>
      <c r="N55" s="104">
        <f t="shared" si="60"/>
        <v>0.20657371184003742</v>
      </c>
      <c r="O55" s="104">
        <f t="shared" si="60"/>
        <v>0.19264464153465388</v>
      </c>
      <c r="P55" s="103">
        <f t="shared" si="60"/>
        <v>0.17600474404687166</v>
      </c>
      <c r="Q55" s="104">
        <f t="shared" si="60"/>
        <v>0.14956878951731647</v>
      </c>
      <c r="R55" s="104">
        <f t="shared" si="60"/>
        <v>0.20334265055787856</v>
      </c>
      <c r="S55" s="104">
        <f t="shared" si="60"/>
        <v>0.21990556846286452</v>
      </c>
      <c r="T55" s="104">
        <f t="shared" si="60"/>
        <v>0.14608491165628612</v>
      </c>
      <c r="U55" s="103">
        <f t="shared" si="60"/>
        <v>0.182562232856984</v>
      </c>
      <c r="V55" s="104">
        <f t="shared" si="60"/>
        <v>0.15509308593994867</v>
      </c>
      <c r="W55" s="104">
        <f t="shared" si="60"/>
        <v>0.18166226752460066</v>
      </c>
      <c r="X55" s="104">
        <f t="shared" si="60"/>
        <v>0.15767993346185333</v>
      </c>
      <c r="Y55" s="104">
        <f t="shared" si="60"/>
        <v>0.14371576187138141</v>
      </c>
      <c r="Z55" s="103">
        <f t="shared" si="60"/>
        <v>0.15985835295827203</v>
      </c>
      <c r="AA55" s="104">
        <f t="shared" si="60"/>
        <v>0.15674952098480274</v>
      </c>
      <c r="AB55" s="104">
        <f t="shared" si="60"/>
        <v>0.12671228344164012</v>
      </c>
      <c r="AC55" s="104">
        <f t="shared" si="60"/>
        <v>0.11910903793204843</v>
      </c>
      <c r="AD55" s="104">
        <f t="shared" si="60"/>
        <v>0.10004786420574684</v>
      </c>
      <c r="AE55" s="103">
        <f t="shared" si="60"/>
        <v>0.12490551897307135</v>
      </c>
      <c r="AF55" s="104">
        <f t="shared" si="60"/>
        <v>9.7197013274954142E-2</v>
      </c>
      <c r="AG55" s="104">
        <f t="shared" si="60"/>
        <v>0.14178882678350574</v>
      </c>
      <c r="AH55" s="104">
        <f t="shared" si="60"/>
        <v>0.12802693324054651</v>
      </c>
      <c r="AI55" s="104">
        <f t="shared" ref="AI55:BB55" si="61">INDEX(SP_GF_EBITDA,0,COLUMN())/INDEX(SP_GF_Rev,0,COLUMN())</f>
        <v>0.13593242557301824</v>
      </c>
      <c r="AJ55" s="103">
        <f t="shared" si="61"/>
        <v>0.12672547730735914</v>
      </c>
      <c r="AK55" s="104">
        <f t="shared" si="61"/>
        <v>0.15443811426979348</v>
      </c>
      <c r="AL55" s="104">
        <f t="shared" si="61"/>
        <v>0.10274566626828413</v>
      </c>
      <c r="AM55" s="104">
        <f t="shared" si="61"/>
        <v>7.967551322464389E-2</v>
      </c>
      <c r="AN55" s="104">
        <f t="shared" si="61"/>
        <v>-8.0675563977985504E-2</v>
      </c>
      <c r="AO55" s="103">
        <f t="shared" si="61"/>
        <v>6.4288690853653824E-2</v>
      </c>
      <c r="AP55" s="104">
        <f>INDEX(SP_GF_EBITDA,0,COLUMN())/INDEX(SP_GF_Rev,0,COLUMN())</f>
        <v>0.10487105289877151</v>
      </c>
      <c r="AQ55" s="353">
        <f>INDEX(SP_GF_EBITDA,0,COLUMN())/INDEX(SP_GF_Rev,0,COLUMN())</f>
        <v>2.5166944233350037E-2</v>
      </c>
      <c r="AR55" s="104">
        <f t="shared" si="61"/>
        <v>7.0000000000000021E-2</v>
      </c>
      <c r="AS55" s="104">
        <f t="shared" si="61"/>
        <v>6.9999999999999993E-2</v>
      </c>
      <c r="AT55" s="103">
        <f t="shared" si="61"/>
        <v>6.9906957018789309E-2</v>
      </c>
      <c r="AU55" s="104">
        <f t="shared" si="61"/>
        <v>0.12000000000000004</v>
      </c>
      <c r="AV55" s="104">
        <f t="shared" si="61"/>
        <v>0.125</v>
      </c>
      <c r="AW55" s="104">
        <f t="shared" si="61"/>
        <v>0.13499999999999995</v>
      </c>
      <c r="AX55" s="104">
        <f t="shared" si="61"/>
        <v>0.14000000000000001</v>
      </c>
      <c r="AY55" s="103">
        <f t="shared" si="61"/>
        <v>0.13011702548561302</v>
      </c>
      <c r="AZ55" s="103">
        <f t="shared" si="61"/>
        <v>0.12499999999999982</v>
      </c>
      <c r="BA55" s="103">
        <f t="shared" si="61"/>
        <v>0.12499999999999985</v>
      </c>
      <c r="BB55" s="103">
        <f t="shared" si="61"/>
        <v>0.12499999999999986</v>
      </c>
      <c r="BC55" s="232"/>
    </row>
    <row r="56" spans="1:55" s="68" customFormat="1">
      <c r="A56" s="203" t="str">
        <f>INDEX(MO_MA_EBITDA_Adj,0,COLUMN())</f>
        <v>Adjusted EBITDA Margin, %</v>
      </c>
      <c r="B56" s="86"/>
      <c r="C56" s="290">
        <f t="shared" ref="C56:AH56" si="62">INDEX(SP_NGF_EBITDA,0,COLUMN())/INDEX(SP_GF_Rev,0,COLUMN())</f>
        <v>0.11131217932960606</v>
      </c>
      <c r="D56" s="290">
        <f t="shared" si="62"/>
        <v>0.15399429896707081</v>
      </c>
      <c r="E56" s="290">
        <f t="shared" si="62"/>
        <v>0.17235485157540886</v>
      </c>
      <c r="F56" s="290">
        <f t="shared" si="62"/>
        <v>0.1534307139157654</v>
      </c>
      <c r="G56" s="300">
        <f t="shared" si="62"/>
        <v>0.17760622980518345</v>
      </c>
      <c r="H56" s="300">
        <f t="shared" si="62"/>
        <v>0.14236302288481356</v>
      </c>
      <c r="I56" s="300">
        <f t="shared" si="62"/>
        <v>0.17582319554866691</v>
      </c>
      <c r="J56" s="300">
        <f t="shared" si="62"/>
        <v>0.14943673190714613</v>
      </c>
      <c r="K56" s="290">
        <f t="shared" si="62"/>
        <v>0.16105337165415945</v>
      </c>
      <c r="L56" s="300">
        <f t="shared" si="62"/>
        <v>0.13379827032089159</v>
      </c>
      <c r="M56" s="300">
        <f t="shared" si="62"/>
        <v>0.16282946557976205</v>
      </c>
      <c r="N56" s="300">
        <f t="shared" si="62"/>
        <v>0.20657371184003742</v>
      </c>
      <c r="O56" s="300">
        <f t="shared" si="62"/>
        <v>0.19264464153465388</v>
      </c>
      <c r="P56" s="290">
        <f t="shared" si="62"/>
        <v>0.17600474404687166</v>
      </c>
      <c r="Q56" s="300">
        <f t="shared" si="62"/>
        <v>0.14956878951731647</v>
      </c>
      <c r="R56" s="300">
        <f t="shared" si="62"/>
        <v>0.20334265055787856</v>
      </c>
      <c r="S56" s="300">
        <f t="shared" si="62"/>
        <v>0.21990556846286452</v>
      </c>
      <c r="T56" s="300">
        <f t="shared" si="62"/>
        <v>0.14608491165628612</v>
      </c>
      <c r="U56" s="290">
        <f t="shared" si="62"/>
        <v>0.182562232856984</v>
      </c>
      <c r="V56" s="300">
        <f t="shared" si="62"/>
        <v>0.15509308593994867</v>
      </c>
      <c r="W56" s="300">
        <f t="shared" si="62"/>
        <v>0.18166226752460066</v>
      </c>
      <c r="X56" s="300">
        <f t="shared" si="62"/>
        <v>0.15767993346185333</v>
      </c>
      <c r="Y56" s="300">
        <f t="shared" si="62"/>
        <v>0.14371576187138141</v>
      </c>
      <c r="Z56" s="290">
        <f t="shared" si="62"/>
        <v>0.15985835295827203</v>
      </c>
      <c r="AA56" s="300">
        <f t="shared" si="62"/>
        <v>0.15674952098480274</v>
      </c>
      <c r="AB56" s="300">
        <f t="shared" si="62"/>
        <v>0.12671228344164012</v>
      </c>
      <c r="AC56" s="300">
        <f t="shared" si="62"/>
        <v>0.11910903793204843</v>
      </c>
      <c r="AD56" s="300">
        <f t="shared" si="62"/>
        <v>0.10004786420574684</v>
      </c>
      <c r="AE56" s="290">
        <f t="shared" si="62"/>
        <v>0.12490551897307135</v>
      </c>
      <c r="AF56" s="300">
        <f t="shared" si="62"/>
        <v>9.7197013274954142E-2</v>
      </c>
      <c r="AG56" s="300">
        <f t="shared" si="62"/>
        <v>0.14178882678350574</v>
      </c>
      <c r="AH56" s="300">
        <f t="shared" si="62"/>
        <v>0.12802693324054651</v>
      </c>
      <c r="AI56" s="300">
        <f t="shared" ref="AI56:BB56" si="63">INDEX(SP_NGF_EBITDA,0,COLUMN())/INDEX(SP_GF_Rev,0,COLUMN())</f>
        <v>0.13593242557301824</v>
      </c>
      <c r="AJ56" s="290">
        <f t="shared" si="63"/>
        <v>0.12672547730735914</v>
      </c>
      <c r="AK56" s="300">
        <f t="shared" si="63"/>
        <v>0.15443811426979348</v>
      </c>
      <c r="AL56" s="300">
        <f t="shared" si="63"/>
        <v>0.10274566626828413</v>
      </c>
      <c r="AM56" s="300">
        <f t="shared" si="63"/>
        <v>7.967551322464389E-2</v>
      </c>
      <c r="AN56" s="300">
        <f t="shared" si="63"/>
        <v>-8.0675563977985504E-2</v>
      </c>
      <c r="AO56" s="290">
        <f t="shared" si="63"/>
        <v>6.4288690853653824E-2</v>
      </c>
      <c r="AP56" s="300">
        <f>INDEX(SP_NGF_EBITDA,0,COLUMN())/INDEX(SP_GF_Rev,0,COLUMN())</f>
        <v>0.10308787694182162</v>
      </c>
      <c r="AQ56" s="359">
        <f>INDEX(SP_NGF_EBITDA,0,COLUMN())/INDEX(SP_GF_Rev,0,COLUMN())</f>
        <v>2.5166944233350037E-2</v>
      </c>
      <c r="AR56" s="116">
        <f t="shared" si="63"/>
        <v>7.0000000000000021E-2</v>
      </c>
      <c r="AS56" s="116">
        <f t="shared" si="63"/>
        <v>6.9999999999999993E-2</v>
      </c>
      <c r="AT56" s="115">
        <f t="shared" si="63"/>
        <v>6.938882230376342E-2</v>
      </c>
      <c r="AU56" s="116">
        <f t="shared" si="63"/>
        <v>0.12000000000000004</v>
      </c>
      <c r="AV56" s="116">
        <f t="shared" si="63"/>
        <v>0.125</v>
      </c>
      <c r="AW56" s="116">
        <f t="shared" si="63"/>
        <v>0.13499999999999995</v>
      </c>
      <c r="AX56" s="116">
        <f t="shared" si="63"/>
        <v>0.14000000000000001</v>
      </c>
      <c r="AY56" s="115">
        <f t="shared" si="63"/>
        <v>0.13011702548561294</v>
      </c>
      <c r="AZ56" s="115">
        <f t="shared" si="63"/>
        <v>0.12499999999999982</v>
      </c>
      <c r="BA56" s="115">
        <f t="shared" si="63"/>
        <v>0.12499999999999985</v>
      </c>
      <c r="BB56" s="115">
        <f t="shared" si="63"/>
        <v>0.12499999999999986</v>
      </c>
      <c r="BC56" s="232"/>
    </row>
    <row r="57" spans="1:55">
      <c r="A57" s="201"/>
      <c r="B57" s="186"/>
      <c r="C57" s="571"/>
      <c r="D57" s="571"/>
      <c r="E57" s="571"/>
      <c r="F57" s="571"/>
      <c r="G57" s="572"/>
      <c r="H57" s="572"/>
      <c r="I57" s="572"/>
      <c r="J57" s="572"/>
      <c r="K57" s="571"/>
      <c r="L57" s="572"/>
      <c r="M57" s="572"/>
      <c r="N57" s="572"/>
      <c r="O57" s="572"/>
      <c r="P57" s="571"/>
      <c r="Q57" s="572"/>
      <c r="R57" s="572"/>
      <c r="S57" s="572"/>
      <c r="T57" s="572"/>
      <c r="U57" s="571"/>
      <c r="V57" s="572"/>
      <c r="W57" s="572"/>
      <c r="X57" s="572"/>
      <c r="Y57" s="572"/>
      <c r="Z57" s="571"/>
      <c r="AA57" s="572"/>
      <c r="AB57" s="572"/>
      <c r="AC57" s="572"/>
      <c r="AD57" s="572"/>
      <c r="AE57" s="571"/>
      <c r="AF57" s="572"/>
      <c r="AG57" s="572"/>
      <c r="AH57" s="572"/>
      <c r="AI57" s="572"/>
      <c r="AJ57" s="571"/>
      <c r="AK57" s="572"/>
      <c r="AL57" s="572"/>
      <c r="AM57" s="572"/>
      <c r="AN57" s="572"/>
      <c r="AO57" s="571"/>
      <c r="AP57" s="572"/>
      <c r="AQ57" s="573"/>
      <c r="AR57" s="574"/>
      <c r="AS57" s="574"/>
      <c r="AT57" s="575"/>
      <c r="AU57" s="574"/>
      <c r="AV57" s="574"/>
      <c r="AW57" s="574"/>
      <c r="AX57" s="574"/>
      <c r="AY57" s="575"/>
      <c r="AZ57" s="575"/>
      <c r="BA57" s="575"/>
      <c r="BB57" s="575"/>
      <c r="BC57" s="532"/>
    </row>
    <row r="58" spans="1:55">
      <c r="A58" s="97" t="s">
        <v>225</v>
      </c>
      <c r="B58" s="533"/>
      <c r="C58" s="576"/>
      <c r="D58" s="576"/>
      <c r="E58" s="576"/>
      <c r="F58" s="576"/>
      <c r="G58" s="576"/>
      <c r="H58" s="576"/>
      <c r="I58" s="576"/>
      <c r="J58" s="576"/>
      <c r="K58" s="576"/>
      <c r="L58" s="576"/>
      <c r="M58" s="576"/>
      <c r="N58" s="576"/>
      <c r="O58" s="576"/>
      <c r="P58" s="576"/>
      <c r="Q58" s="576"/>
      <c r="R58" s="576"/>
      <c r="S58" s="576"/>
      <c r="T58" s="576"/>
      <c r="U58" s="576"/>
      <c r="V58" s="576"/>
      <c r="W58" s="576"/>
      <c r="X58" s="576"/>
      <c r="Y58" s="576"/>
      <c r="Z58" s="576"/>
      <c r="AA58" s="576"/>
      <c r="AB58" s="576"/>
      <c r="AC58" s="576"/>
      <c r="AD58" s="576"/>
      <c r="AE58" s="576"/>
      <c r="AF58" s="576"/>
      <c r="AG58" s="576"/>
      <c r="AH58" s="576"/>
      <c r="AI58" s="576"/>
      <c r="AJ58" s="576"/>
      <c r="AK58" s="576"/>
      <c r="AL58" s="576"/>
      <c r="AM58" s="576"/>
      <c r="AN58" s="576"/>
      <c r="AO58" s="576"/>
      <c r="AP58" s="576"/>
      <c r="AQ58" s="577"/>
      <c r="AR58" s="578"/>
      <c r="AS58" s="578"/>
      <c r="AT58" s="578"/>
      <c r="AU58" s="578"/>
      <c r="AV58" s="578"/>
      <c r="AW58" s="578"/>
      <c r="AX58" s="578"/>
      <c r="AY58" s="578"/>
      <c r="AZ58" s="578"/>
      <c r="BA58" s="578"/>
      <c r="BB58" s="578"/>
      <c r="BC58" s="531"/>
    </row>
    <row r="59" spans="1:55" s="65" customFormat="1">
      <c r="A59" s="181" t="str">
        <f>INDEX(MO_CFSum_CFO_BeforeWC,0,COLUMN())</f>
        <v>Operating Cash Flow before WC</v>
      </c>
      <c r="B59" s="186"/>
      <c r="C59" s="571">
        <f t="shared" ref="C59:AH59" si="64">INDEX(MO_CFSum_CFO_BeforeWC,0,COLUMN())</f>
        <v>15.685</v>
      </c>
      <c r="D59" s="571">
        <f t="shared" si="64"/>
        <v>23.299000000000003</v>
      </c>
      <c r="E59" s="571">
        <f t="shared" si="64"/>
        <v>31.099999999999998</v>
      </c>
      <c r="F59" s="571">
        <f t="shared" si="64"/>
        <v>30.372</v>
      </c>
      <c r="G59" s="572">
        <f t="shared" si="64"/>
        <v>11.493000000000002</v>
      </c>
      <c r="H59" s="572">
        <f t="shared" si="64"/>
        <v>7.6339999999999995</v>
      </c>
      <c r="I59" s="572">
        <f t="shared" si="64"/>
        <v>9.9719999999999995</v>
      </c>
      <c r="J59" s="572">
        <f t="shared" si="64"/>
        <v>9.4870000000000019</v>
      </c>
      <c r="K59" s="571">
        <f t="shared" si="64"/>
        <v>38.585999999999991</v>
      </c>
      <c r="L59" s="572">
        <f t="shared" si="64"/>
        <v>11.355999999999998</v>
      </c>
      <c r="M59" s="572">
        <f t="shared" si="64"/>
        <v>17.567</v>
      </c>
      <c r="N59" s="572">
        <f t="shared" si="64"/>
        <v>26.32</v>
      </c>
      <c r="O59" s="572">
        <f t="shared" si="64"/>
        <v>22.49</v>
      </c>
      <c r="P59" s="571">
        <f t="shared" si="64"/>
        <v>77.733000000000004</v>
      </c>
      <c r="Q59" s="572">
        <f t="shared" si="64"/>
        <v>17.311999999999998</v>
      </c>
      <c r="R59" s="572">
        <f t="shared" si="64"/>
        <v>24.019999999999996</v>
      </c>
      <c r="S59" s="572">
        <f t="shared" si="64"/>
        <v>32.020999999999994</v>
      </c>
      <c r="T59" s="572">
        <f t="shared" si="64"/>
        <v>22.094000000000001</v>
      </c>
      <c r="U59" s="571">
        <f t="shared" si="64"/>
        <v>95.447000000000003</v>
      </c>
      <c r="V59" s="572">
        <f t="shared" si="64"/>
        <v>18.841999999999999</v>
      </c>
      <c r="W59" s="572">
        <f t="shared" si="64"/>
        <v>22.292999999999999</v>
      </c>
      <c r="X59" s="572">
        <f t="shared" si="64"/>
        <v>17.165000000000003</v>
      </c>
      <c r="Y59" s="572">
        <f t="shared" si="64"/>
        <v>16.007999999999999</v>
      </c>
      <c r="Z59" s="571">
        <f t="shared" si="64"/>
        <v>74.308000000000007</v>
      </c>
      <c r="AA59" s="572">
        <f t="shared" si="64"/>
        <v>18.268999999999995</v>
      </c>
      <c r="AB59" s="572">
        <f t="shared" si="64"/>
        <v>14.624000000000001</v>
      </c>
      <c r="AC59" s="572">
        <f t="shared" si="64"/>
        <v>13.277000000000001</v>
      </c>
      <c r="AD59" s="572">
        <f t="shared" si="64"/>
        <v>15.948999999999996</v>
      </c>
      <c r="AE59" s="571">
        <f t="shared" si="64"/>
        <v>62.119</v>
      </c>
      <c r="AF59" s="572">
        <f t="shared" si="64"/>
        <v>13.034999999999998</v>
      </c>
      <c r="AG59" s="572">
        <f t="shared" si="64"/>
        <v>25.376999999999999</v>
      </c>
      <c r="AH59" s="572">
        <f t="shared" si="64"/>
        <v>25.4</v>
      </c>
      <c r="AI59" s="572">
        <f t="shared" ref="AI59:BB59" si="65">INDEX(MO_CFSum_CFO_BeforeWC,0,COLUMN())</f>
        <v>21.04399999999999</v>
      </c>
      <c r="AJ59" s="571">
        <f t="shared" si="65"/>
        <v>84.85599999999998</v>
      </c>
      <c r="AK59" s="572">
        <f t="shared" si="65"/>
        <v>6.634000000000019</v>
      </c>
      <c r="AL59" s="572">
        <f t="shared" si="65"/>
        <v>17.550999999999998</v>
      </c>
      <c r="AM59" s="572">
        <f t="shared" si="65"/>
        <v>10.222999999999988</v>
      </c>
      <c r="AN59" s="572">
        <f t="shared" si="65"/>
        <v>26.321000000000009</v>
      </c>
      <c r="AO59" s="571">
        <f t="shared" si="65"/>
        <v>60.728999999999999</v>
      </c>
      <c r="AP59" s="572">
        <f>INDEX(MO_CFSum_CFO_BeforeWC,0,COLUMN())</f>
        <v>22.219000000000012</v>
      </c>
      <c r="AQ59" s="573">
        <f>INDEX(MO_CFSum_CFO_BeforeWC,0,COLUMN())</f>
        <v>13.906999999999996</v>
      </c>
      <c r="AR59" s="574">
        <f t="shared" si="65"/>
        <v>6.2540924098360682</v>
      </c>
      <c r="AS59" s="574">
        <f t="shared" ca="1" si="65"/>
        <v>9.0564098199096108</v>
      </c>
      <c r="AT59" s="575">
        <f t="shared" ca="1" si="65"/>
        <v>51.436502229745685</v>
      </c>
      <c r="AU59" s="574">
        <f t="shared" ca="1" si="65"/>
        <v>19.322405840856103</v>
      </c>
      <c r="AV59" s="574">
        <f t="shared" ca="1" si="65"/>
        <v>24.613088527267212</v>
      </c>
      <c r="AW59" s="574">
        <f t="shared" ca="1" si="65"/>
        <v>25.955691544529657</v>
      </c>
      <c r="AX59" s="574">
        <f t="shared" ca="1" si="65"/>
        <v>24.160509227292007</v>
      </c>
      <c r="AY59" s="575">
        <f t="shared" ca="1" si="65"/>
        <v>94.051695139944982</v>
      </c>
      <c r="AZ59" s="575">
        <f t="shared" ca="1" si="65"/>
        <v>84.942950733557083</v>
      </c>
      <c r="BA59" s="575">
        <f t="shared" ca="1" si="65"/>
        <v>120.9558419079904</v>
      </c>
      <c r="BB59" s="575">
        <f t="shared" ca="1" si="65"/>
        <v>65.814261694265312</v>
      </c>
      <c r="BC59" s="532"/>
    </row>
    <row r="60" spans="1:55" s="63" customFormat="1">
      <c r="A60" s="182" t="str">
        <f>INDEX(MO_CFSum_Capex,0,COLUMN())</f>
        <v>Capex</v>
      </c>
      <c r="B60" s="183"/>
      <c r="C60" s="563">
        <f t="shared" ref="C60:AH60" si="66">INDEX(MO_CFSum_Capex,0,COLUMN())</f>
        <v>-2.4660000000000002</v>
      </c>
      <c r="D60" s="563">
        <f t="shared" si="66"/>
        <v>-3.5680000000000001</v>
      </c>
      <c r="E60" s="563">
        <f t="shared" si="66"/>
        <v>-14.281000000000001</v>
      </c>
      <c r="F60" s="563">
        <f t="shared" si="66"/>
        <v>-16.72</v>
      </c>
      <c r="G60" s="564">
        <f t="shared" si="66"/>
        <v>-1.8280000000000001</v>
      </c>
      <c r="H60" s="564">
        <f t="shared" si="66"/>
        <v>-1.8429999999999997</v>
      </c>
      <c r="I60" s="564">
        <f t="shared" si="66"/>
        <v>-1.1620000000000004</v>
      </c>
      <c r="J60" s="564">
        <f t="shared" si="66"/>
        <v>-2.0350000000000001</v>
      </c>
      <c r="K60" s="563">
        <f t="shared" si="66"/>
        <v>-6.8680000000000003</v>
      </c>
      <c r="L60" s="564">
        <f t="shared" si="66"/>
        <v>-16.905999999999999</v>
      </c>
      <c r="M60" s="564">
        <f t="shared" si="66"/>
        <v>-6.1850000000000023</v>
      </c>
      <c r="N60" s="564">
        <f t="shared" si="66"/>
        <v>-6.879999999999999</v>
      </c>
      <c r="O60" s="564">
        <f t="shared" si="66"/>
        <v>-10.910999999999998</v>
      </c>
      <c r="P60" s="563">
        <f t="shared" si="66"/>
        <v>-40.881999999999998</v>
      </c>
      <c r="Q60" s="564">
        <f t="shared" si="66"/>
        <v>-7.0590000000000002</v>
      </c>
      <c r="R60" s="564">
        <f t="shared" si="66"/>
        <v>-5.2179999999999991</v>
      </c>
      <c r="S60" s="564">
        <f t="shared" si="66"/>
        <v>-3.58</v>
      </c>
      <c r="T60" s="564">
        <f t="shared" si="66"/>
        <v>-2.7839999999999989</v>
      </c>
      <c r="U60" s="563">
        <f t="shared" si="66"/>
        <v>-18.640999999999998</v>
      </c>
      <c r="V60" s="564">
        <f t="shared" si="66"/>
        <v>-2.4500000000000002</v>
      </c>
      <c r="W60" s="564">
        <f t="shared" si="66"/>
        <v>-3.726</v>
      </c>
      <c r="X60" s="564">
        <f t="shared" si="66"/>
        <v>-3.6929999999999996</v>
      </c>
      <c r="Y60" s="564">
        <f t="shared" si="66"/>
        <v>-3.168000000000001</v>
      </c>
      <c r="Z60" s="563">
        <f t="shared" si="66"/>
        <v>-13.037000000000001</v>
      </c>
      <c r="AA60" s="564">
        <f t="shared" si="66"/>
        <v>-2.7669999999999999</v>
      </c>
      <c r="AB60" s="564">
        <f t="shared" si="66"/>
        <v>-2.9830000000000001</v>
      </c>
      <c r="AC60" s="564">
        <f t="shared" si="66"/>
        <v>-3.9649999999999999</v>
      </c>
      <c r="AD60" s="564">
        <f t="shared" si="66"/>
        <v>-3.7629999999999999</v>
      </c>
      <c r="AE60" s="563">
        <f t="shared" si="66"/>
        <v>-13.478</v>
      </c>
      <c r="AF60" s="564">
        <f t="shared" si="66"/>
        <v>-4.3460000000000001</v>
      </c>
      <c r="AG60" s="564">
        <f t="shared" si="66"/>
        <v>-4.1489999999999991</v>
      </c>
      <c r="AH60" s="564">
        <f t="shared" si="66"/>
        <v>-3.9210000000000012</v>
      </c>
      <c r="AI60" s="564">
        <f t="shared" ref="AI60:BB60" si="67">INDEX(MO_CFSum_Capex,0,COLUMN())</f>
        <v>-3.9009999999999998</v>
      </c>
      <c r="AJ60" s="563">
        <f t="shared" si="67"/>
        <v>-16.317</v>
      </c>
      <c r="AK60" s="564">
        <f t="shared" si="67"/>
        <v>-3.4740000000000002</v>
      </c>
      <c r="AL60" s="564">
        <f t="shared" si="67"/>
        <v>-3.4429999999999996</v>
      </c>
      <c r="AM60" s="564">
        <f t="shared" si="67"/>
        <v>-1.9329999999999998</v>
      </c>
      <c r="AN60" s="564">
        <f t="shared" si="67"/>
        <v>-3.2330000000000005</v>
      </c>
      <c r="AO60" s="563">
        <f t="shared" si="67"/>
        <v>-12.083</v>
      </c>
      <c r="AP60" s="564">
        <f>INDEX(MO_CFSum_Capex,0,COLUMN())</f>
        <v>-2.7930000000000001</v>
      </c>
      <c r="AQ60" s="565">
        <f>INDEX(MO_CFSum_Capex,0,COLUMN())</f>
        <v>-1.1119999999999997</v>
      </c>
      <c r="AR60" s="566">
        <f t="shared" si="67"/>
        <v>-2.2999999999999998</v>
      </c>
      <c r="AS60" s="566">
        <f t="shared" si="67"/>
        <v>-1.8</v>
      </c>
      <c r="AT60" s="567">
        <f t="shared" si="67"/>
        <v>-8.0050000000000008</v>
      </c>
      <c r="AU60" s="566">
        <f t="shared" si="67"/>
        <v>-8</v>
      </c>
      <c r="AV60" s="566">
        <f t="shared" si="67"/>
        <v>-8</v>
      </c>
      <c r="AW60" s="566">
        <f t="shared" si="67"/>
        <v>-8</v>
      </c>
      <c r="AX60" s="566">
        <f t="shared" si="67"/>
        <v>-8</v>
      </c>
      <c r="AY60" s="567">
        <f t="shared" si="67"/>
        <v>-32</v>
      </c>
      <c r="AZ60" s="567">
        <f t="shared" si="67"/>
        <v>-32</v>
      </c>
      <c r="BA60" s="567">
        <f t="shared" si="67"/>
        <v>-32</v>
      </c>
      <c r="BB60" s="567">
        <f t="shared" si="67"/>
        <v>-32</v>
      </c>
      <c r="BC60" s="531"/>
    </row>
    <row r="61" spans="1:55" s="65" customFormat="1">
      <c r="A61" s="184" t="s">
        <v>226</v>
      </c>
      <c r="B61" s="185"/>
      <c r="C61" s="568">
        <f t="shared" ref="C61:AH61" si="68">SUM(C59:C60)</f>
        <v>13.219000000000001</v>
      </c>
      <c r="D61" s="568">
        <f t="shared" si="68"/>
        <v>19.731000000000002</v>
      </c>
      <c r="E61" s="568">
        <f>SUM(E59:E60)</f>
        <v>16.818999999999996</v>
      </c>
      <c r="F61" s="568">
        <f t="shared" si="68"/>
        <v>13.652000000000001</v>
      </c>
      <c r="G61" s="569">
        <f t="shared" si="68"/>
        <v>9.6650000000000027</v>
      </c>
      <c r="H61" s="569">
        <f t="shared" si="68"/>
        <v>5.7909999999999995</v>
      </c>
      <c r="I61" s="569">
        <f t="shared" si="68"/>
        <v>8.8099999999999987</v>
      </c>
      <c r="J61" s="569">
        <f t="shared" si="68"/>
        <v>7.4520000000000017</v>
      </c>
      <c r="K61" s="568">
        <f t="shared" si="68"/>
        <v>31.717999999999989</v>
      </c>
      <c r="L61" s="569">
        <f t="shared" si="68"/>
        <v>-5.5500000000000007</v>
      </c>
      <c r="M61" s="569">
        <f t="shared" si="68"/>
        <v>11.381999999999998</v>
      </c>
      <c r="N61" s="569">
        <f t="shared" si="68"/>
        <v>19.440000000000001</v>
      </c>
      <c r="O61" s="569">
        <f t="shared" si="68"/>
        <v>11.579000000000001</v>
      </c>
      <c r="P61" s="568">
        <f t="shared" si="68"/>
        <v>36.851000000000006</v>
      </c>
      <c r="Q61" s="569">
        <f t="shared" si="68"/>
        <v>10.252999999999997</v>
      </c>
      <c r="R61" s="569">
        <f t="shared" si="68"/>
        <v>18.801999999999996</v>
      </c>
      <c r="S61" s="569">
        <f t="shared" si="68"/>
        <v>28.440999999999995</v>
      </c>
      <c r="T61" s="569">
        <f t="shared" si="68"/>
        <v>19.310000000000002</v>
      </c>
      <c r="U61" s="568">
        <f t="shared" si="68"/>
        <v>76.806000000000012</v>
      </c>
      <c r="V61" s="569">
        <f t="shared" si="68"/>
        <v>16.391999999999999</v>
      </c>
      <c r="W61" s="569">
        <f t="shared" si="68"/>
        <v>18.567</v>
      </c>
      <c r="X61" s="569">
        <f t="shared" si="68"/>
        <v>13.472000000000003</v>
      </c>
      <c r="Y61" s="569">
        <f t="shared" si="68"/>
        <v>12.839999999999998</v>
      </c>
      <c r="Z61" s="568">
        <f t="shared" si="68"/>
        <v>61.271000000000008</v>
      </c>
      <c r="AA61" s="569">
        <f t="shared" si="68"/>
        <v>15.501999999999995</v>
      </c>
      <c r="AB61" s="569">
        <f t="shared" si="68"/>
        <v>11.641</v>
      </c>
      <c r="AC61" s="569">
        <f t="shared" si="68"/>
        <v>9.3120000000000012</v>
      </c>
      <c r="AD61" s="569">
        <f t="shared" si="68"/>
        <v>12.185999999999996</v>
      </c>
      <c r="AE61" s="568">
        <f t="shared" si="68"/>
        <v>48.640999999999998</v>
      </c>
      <c r="AF61" s="569">
        <f t="shared" si="68"/>
        <v>8.6889999999999983</v>
      </c>
      <c r="AG61" s="569">
        <f t="shared" si="68"/>
        <v>21.228000000000002</v>
      </c>
      <c r="AH61" s="569">
        <f t="shared" si="68"/>
        <v>21.478999999999999</v>
      </c>
      <c r="AI61" s="569">
        <f t="shared" ref="AI61:BB61" si="69">SUM(AI59:AI60)</f>
        <v>17.14299999999999</v>
      </c>
      <c r="AJ61" s="568">
        <f t="shared" si="69"/>
        <v>68.538999999999987</v>
      </c>
      <c r="AK61" s="569">
        <f t="shared" si="69"/>
        <v>3.1600000000000188</v>
      </c>
      <c r="AL61" s="569">
        <f t="shared" si="69"/>
        <v>14.107999999999999</v>
      </c>
      <c r="AM61" s="569">
        <f t="shared" si="69"/>
        <v>8.2899999999999885</v>
      </c>
      <c r="AN61" s="569">
        <f t="shared" si="69"/>
        <v>23.088000000000008</v>
      </c>
      <c r="AO61" s="568">
        <f t="shared" si="69"/>
        <v>48.646000000000001</v>
      </c>
      <c r="AP61" s="569">
        <f>SUM(AP59:AP60)</f>
        <v>19.426000000000013</v>
      </c>
      <c r="AQ61" s="570">
        <f>SUM(AQ59:AQ60)</f>
        <v>12.794999999999996</v>
      </c>
      <c r="AR61" s="569">
        <f t="shared" si="69"/>
        <v>3.9540924098360684</v>
      </c>
      <c r="AS61" s="569">
        <f t="shared" ca="1" si="69"/>
        <v>7.256409819909611</v>
      </c>
      <c r="AT61" s="568">
        <f t="shared" ca="1" si="69"/>
        <v>43.431502229745682</v>
      </c>
      <c r="AU61" s="569">
        <f t="shared" ca="1" si="69"/>
        <v>11.322405840856103</v>
      </c>
      <c r="AV61" s="569">
        <f t="shared" ca="1" si="69"/>
        <v>16.613088527267212</v>
      </c>
      <c r="AW61" s="569">
        <f t="shared" ca="1" si="69"/>
        <v>17.955691544529657</v>
      </c>
      <c r="AX61" s="569">
        <f t="shared" ca="1" si="69"/>
        <v>16.160509227292007</v>
      </c>
      <c r="AY61" s="568">
        <f t="shared" ca="1" si="69"/>
        <v>62.051695139944982</v>
      </c>
      <c r="AZ61" s="568">
        <f t="shared" ca="1" si="69"/>
        <v>52.942950733557083</v>
      </c>
      <c r="BA61" s="568">
        <f t="shared" ca="1" si="69"/>
        <v>88.955841907990404</v>
      </c>
      <c r="BB61" s="568">
        <f t="shared" ca="1" si="69"/>
        <v>33.814261694265312</v>
      </c>
      <c r="BC61" s="532"/>
    </row>
    <row r="62" spans="1:55" s="63" customFormat="1">
      <c r="A62" s="182" t="str">
        <f>INDEX(MO_CFSum_Dividend,0,COLUMN())</f>
        <v>Dividend Paid</v>
      </c>
      <c r="B62" s="183"/>
      <c r="C62" s="563">
        <f t="shared" ref="C62:AH62" si="70">INDEX(MO_CFSum_Dividend,0,COLUMN())</f>
        <v>0</v>
      </c>
      <c r="D62" s="563">
        <f t="shared" si="70"/>
        <v>0</v>
      </c>
      <c r="E62" s="563">
        <f t="shared" si="70"/>
        <v>0</v>
      </c>
      <c r="F62" s="563">
        <f t="shared" si="70"/>
        <v>0</v>
      </c>
      <c r="G62" s="564">
        <f t="shared" si="70"/>
        <v>0</v>
      </c>
      <c r="H62" s="564">
        <f t="shared" si="70"/>
        <v>0</v>
      </c>
      <c r="I62" s="564">
        <f t="shared" si="70"/>
        <v>0</v>
      </c>
      <c r="J62" s="564">
        <f t="shared" si="70"/>
        <v>0</v>
      </c>
      <c r="K62" s="563">
        <f t="shared" si="70"/>
        <v>0</v>
      </c>
      <c r="L62" s="564">
        <f t="shared" si="70"/>
        <v>0</v>
      </c>
      <c r="M62" s="564">
        <f t="shared" si="70"/>
        <v>0</v>
      </c>
      <c r="N62" s="564">
        <f t="shared" si="70"/>
        <v>0</v>
      </c>
      <c r="O62" s="564">
        <f t="shared" si="70"/>
        <v>0</v>
      </c>
      <c r="P62" s="563">
        <f t="shared" si="70"/>
        <v>0</v>
      </c>
      <c r="Q62" s="564">
        <f t="shared" si="70"/>
        <v>0</v>
      </c>
      <c r="R62" s="564">
        <f t="shared" si="70"/>
        <v>0</v>
      </c>
      <c r="S62" s="564">
        <f t="shared" si="70"/>
        <v>0</v>
      </c>
      <c r="T62" s="564">
        <f t="shared" si="70"/>
        <v>0</v>
      </c>
      <c r="U62" s="563">
        <f t="shared" si="70"/>
        <v>0</v>
      </c>
      <c r="V62" s="564">
        <f t="shared" si="70"/>
        <v>0</v>
      </c>
      <c r="W62" s="564">
        <f t="shared" si="70"/>
        <v>0</v>
      </c>
      <c r="X62" s="564">
        <f t="shared" si="70"/>
        <v>0</v>
      </c>
      <c r="Y62" s="564">
        <f t="shared" si="70"/>
        <v>0</v>
      </c>
      <c r="Z62" s="563">
        <f t="shared" si="70"/>
        <v>0</v>
      </c>
      <c r="AA62" s="564">
        <f t="shared" si="70"/>
        <v>0</v>
      </c>
      <c r="AB62" s="564">
        <f t="shared" si="70"/>
        <v>0</v>
      </c>
      <c r="AC62" s="564">
        <f t="shared" si="70"/>
        <v>0</v>
      </c>
      <c r="AD62" s="564">
        <f t="shared" si="70"/>
        <v>0</v>
      </c>
      <c r="AE62" s="563">
        <f t="shared" si="70"/>
        <v>0</v>
      </c>
      <c r="AF62" s="564">
        <f t="shared" si="70"/>
        <v>0</v>
      </c>
      <c r="AG62" s="564">
        <f t="shared" si="70"/>
        <v>0</v>
      </c>
      <c r="AH62" s="564">
        <f t="shared" si="70"/>
        <v>0</v>
      </c>
      <c r="AI62" s="564">
        <f t="shared" ref="AI62:BB62" si="71">INDEX(MO_CFSum_Dividend,0,COLUMN())</f>
        <v>0</v>
      </c>
      <c r="AJ62" s="563">
        <f t="shared" si="71"/>
        <v>0</v>
      </c>
      <c r="AK62" s="564">
        <f t="shared" si="71"/>
        <v>0</v>
      </c>
      <c r="AL62" s="564">
        <f t="shared" si="71"/>
        <v>0</v>
      </c>
      <c r="AM62" s="564">
        <f t="shared" si="71"/>
        <v>0</v>
      </c>
      <c r="AN62" s="564">
        <f t="shared" si="71"/>
        <v>0</v>
      </c>
      <c r="AO62" s="563">
        <f t="shared" si="71"/>
        <v>0</v>
      </c>
      <c r="AP62" s="564">
        <f>INDEX(MO_CFSum_Dividend,0,COLUMN())</f>
        <v>0</v>
      </c>
      <c r="AQ62" s="565">
        <f>INDEX(MO_CFSum_Dividend,0,COLUMN())</f>
        <v>0</v>
      </c>
      <c r="AR62" s="566">
        <f t="shared" ca="1" si="71"/>
        <v>0</v>
      </c>
      <c r="AS62" s="566">
        <f t="shared" ca="1" si="71"/>
        <v>0</v>
      </c>
      <c r="AT62" s="567">
        <f t="shared" ca="1" si="71"/>
        <v>0</v>
      </c>
      <c r="AU62" s="566">
        <f t="shared" ca="1" si="71"/>
        <v>0</v>
      </c>
      <c r="AV62" s="566">
        <f t="shared" ca="1" si="71"/>
        <v>0</v>
      </c>
      <c r="AW62" s="566">
        <f t="shared" ca="1" si="71"/>
        <v>0</v>
      </c>
      <c r="AX62" s="566">
        <f t="shared" ca="1" si="71"/>
        <v>0</v>
      </c>
      <c r="AY62" s="567">
        <f t="shared" ca="1" si="71"/>
        <v>0</v>
      </c>
      <c r="AZ62" s="567">
        <f t="shared" ca="1" si="71"/>
        <v>0</v>
      </c>
      <c r="BA62" s="567">
        <f t="shared" ca="1" si="71"/>
        <v>0</v>
      </c>
      <c r="BB62" s="567">
        <f t="shared" ca="1" si="71"/>
        <v>0</v>
      </c>
      <c r="BC62" s="531"/>
    </row>
    <row r="63" spans="1:55" s="65" customFormat="1">
      <c r="A63" s="184" t="s">
        <v>227</v>
      </c>
      <c r="B63" s="185"/>
      <c r="C63" s="568">
        <f t="shared" ref="C63:AH63" si="72">SUM(C61:C62)</f>
        <v>13.219000000000001</v>
      </c>
      <c r="D63" s="568">
        <f t="shared" si="72"/>
        <v>19.731000000000002</v>
      </c>
      <c r="E63" s="568">
        <f t="shared" si="72"/>
        <v>16.818999999999996</v>
      </c>
      <c r="F63" s="568">
        <f t="shared" si="72"/>
        <v>13.652000000000001</v>
      </c>
      <c r="G63" s="569">
        <f t="shared" si="72"/>
        <v>9.6650000000000027</v>
      </c>
      <c r="H63" s="569">
        <f t="shared" si="72"/>
        <v>5.7909999999999995</v>
      </c>
      <c r="I63" s="569">
        <f t="shared" si="72"/>
        <v>8.8099999999999987</v>
      </c>
      <c r="J63" s="569">
        <f t="shared" si="72"/>
        <v>7.4520000000000017</v>
      </c>
      <c r="K63" s="568">
        <f t="shared" si="72"/>
        <v>31.717999999999989</v>
      </c>
      <c r="L63" s="569">
        <f t="shared" si="72"/>
        <v>-5.5500000000000007</v>
      </c>
      <c r="M63" s="569">
        <f t="shared" si="72"/>
        <v>11.381999999999998</v>
      </c>
      <c r="N63" s="569">
        <f t="shared" si="72"/>
        <v>19.440000000000001</v>
      </c>
      <c r="O63" s="569">
        <f t="shared" si="72"/>
        <v>11.579000000000001</v>
      </c>
      <c r="P63" s="568">
        <f t="shared" si="72"/>
        <v>36.851000000000006</v>
      </c>
      <c r="Q63" s="569">
        <f t="shared" si="72"/>
        <v>10.252999999999997</v>
      </c>
      <c r="R63" s="569">
        <f t="shared" si="72"/>
        <v>18.801999999999996</v>
      </c>
      <c r="S63" s="569">
        <f t="shared" si="72"/>
        <v>28.440999999999995</v>
      </c>
      <c r="T63" s="569">
        <f t="shared" si="72"/>
        <v>19.310000000000002</v>
      </c>
      <c r="U63" s="568">
        <f t="shared" si="72"/>
        <v>76.806000000000012</v>
      </c>
      <c r="V63" s="569">
        <f t="shared" si="72"/>
        <v>16.391999999999999</v>
      </c>
      <c r="W63" s="569">
        <f t="shared" si="72"/>
        <v>18.567</v>
      </c>
      <c r="X63" s="569">
        <f t="shared" si="72"/>
        <v>13.472000000000003</v>
      </c>
      <c r="Y63" s="569">
        <f t="shared" si="72"/>
        <v>12.839999999999998</v>
      </c>
      <c r="Z63" s="568">
        <f t="shared" si="72"/>
        <v>61.271000000000008</v>
      </c>
      <c r="AA63" s="569">
        <f t="shared" si="72"/>
        <v>15.501999999999995</v>
      </c>
      <c r="AB63" s="569">
        <f t="shared" si="72"/>
        <v>11.641</v>
      </c>
      <c r="AC63" s="569">
        <f t="shared" si="72"/>
        <v>9.3120000000000012</v>
      </c>
      <c r="AD63" s="569">
        <f t="shared" si="72"/>
        <v>12.185999999999996</v>
      </c>
      <c r="AE63" s="568">
        <f t="shared" si="72"/>
        <v>48.640999999999998</v>
      </c>
      <c r="AF63" s="569">
        <f t="shared" si="72"/>
        <v>8.6889999999999983</v>
      </c>
      <c r="AG63" s="569">
        <f t="shared" si="72"/>
        <v>21.228000000000002</v>
      </c>
      <c r="AH63" s="569">
        <f t="shared" si="72"/>
        <v>21.478999999999999</v>
      </c>
      <c r="AI63" s="569">
        <f t="shared" ref="AI63:BB63" si="73">SUM(AI61:AI62)</f>
        <v>17.14299999999999</v>
      </c>
      <c r="AJ63" s="568">
        <f t="shared" si="73"/>
        <v>68.538999999999987</v>
      </c>
      <c r="AK63" s="569">
        <f t="shared" si="73"/>
        <v>3.1600000000000188</v>
      </c>
      <c r="AL63" s="569">
        <f t="shared" si="73"/>
        <v>14.107999999999999</v>
      </c>
      <c r="AM63" s="569">
        <f t="shared" si="73"/>
        <v>8.2899999999999885</v>
      </c>
      <c r="AN63" s="569">
        <f t="shared" si="73"/>
        <v>23.088000000000008</v>
      </c>
      <c r="AO63" s="568">
        <f t="shared" si="73"/>
        <v>48.646000000000001</v>
      </c>
      <c r="AP63" s="569">
        <f>SUM(AP61:AP62)</f>
        <v>19.426000000000013</v>
      </c>
      <c r="AQ63" s="570">
        <f>SUM(AQ61:AQ62)</f>
        <v>12.794999999999996</v>
      </c>
      <c r="AR63" s="569">
        <f t="shared" ca="1" si="73"/>
        <v>3.9540924098360684</v>
      </c>
      <c r="AS63" s="569">
        <f t="shared" ca="1" si="73"/>
        <v>7.256409819909611</v>
      </c>
      <c r="AT63" s="568">
        <f t="shared" ca="1" si="73"/>
        <v>43.431502229745682</v>
      </c>
      <c r="AU63" s="569">
        <f t="shared" ca="1" si="73"/>
        <v>11.322405840856103</v>
      </c>
      <c r="AV63" s="569">
        <f t="shared" ca="1" si="73"/>
        <v>16.613088527267212</v>
      </c>
      <c r="AW63" s="569">
        <f t="shared" ca="1" si="73"/>
        <v>17.955691544529657</v>
      </c>
      <c r="AX63" s="569">
        <f t="shared" ca="1" si="73"/>
        <v>16.160509227292007</v>
      </c>
      <c r="AY63" s="568">
        <f t="shared" ca="1" si="73"/>
        <v>62.051695139944982</v>
      </c>
      <c r="AZ63" s="568">
        <f t="shared" ca="1" si="73"/>
        <v>52.942950733557083</v>
      </c>
      <c r="BA63" s="568">
        <f t="shared" ca="1" si="73"/>
        <v>88.955841907990404</v>
      </c>
      <c r="BB63" s="568">
        <f t="shared" ca="1" si="73"/>
        <v>33.814261694265312</v>
      </c>
      <c r="BC63" s="532"/>
    </row>
    <row r="64" spans="1:55" s="63" customFormat="1">
      <c r="A64" s="182" t="str">
        <f>INDEX(MO_CFSum_Acquisition,0,COLUMN())</f>
        <v>Acquisitions</v>
      </c>
      <c r="B64" s="183"/>
      <c r="C64" s="563">
        <f t="shared" ref="C64:AH64" si="74">INDEX(MO_CFSum_Acquisition,0,COLUMN())</f>
        <v>-40.655000000000001</v>
      </c>
      <c r="D64" s="563">
        <f t="shared" si="74"/>
        <v>0</v>
      </c>
      <c r="E64" s="563">
        <f t="shared" si="74"/>
        <v>-23.925999999999998</v>
      </c>
      <c r="F64" s="563">
        <f t="shared" si="74"/>
        <v>-10.659000000000001</v>
      </c>
      <c r="G64" s="564">
        <f t="shared" si="74"/>
        <v>0</v>
      </c>
      <c r="H64" s="564">
        <f t="shared" si="74"/>
        <v>0</v>
      </c>
      <c r="I64" s="564">
        <f t="shared" si="74"/>
        <v>-135.898</v>
      </c>
      <c r="J64" s="564">
        <f t="shared" si="74"/>
        <v>-23.863</v>
      </c>
      <c r="K64" s="563">
        <f t="shared" si="74"/>
        <v>-159.761</v>
      </c>
      <c r="L64" s="564">
        <f t="shared" si="74"/>
        <v>-70.275000000000006</v>
      </c>
      <c r="M64" s="564">
        <f t="shared" si="74"/>
        <v>2.4240000000000066</v>
      </c>
      <c r="N64" s="564">
        <f t="shared" si="74"/>
        <v>-2.1770000000000067</v>
      </c>
      <c r="O64" s="564">
        <f t="shared" si="74"/>
        <v>1.8270000000000124</v>
      </c>
      <c r="P64" s="563">
        <f t="shared" si="74"/>
        <v>-68.200999999999993</v>
      </c>
      <c r="Q64" s="564">
        <f t="shared" si="74"/>
        <v>-52.615000000000002</v>
      </c>
      <c r="R64" s="564">
        <f t="shared" si="74"/>
        <v>0</v>
      </c>
      <c r="S64" s="564">
        <f t="shared" si="74"/>
        <v>9.0000000000003411E-3</v>
      </c>
      <c r="T64" s="564">
        <f t="shared" si="74"/>
        <v>0.32999999999999829</v>
      </c>
      <c r="U64" s="563">
        <f t="shared" si="74"/>
        <v>-52.276000000000003</v>
      </c>
      <c r="V64" s="564">
        <f t="shared" si="74"/>
        <v>0</v>
      </c>
      <c r="W64" s="564">
        <f t="shared" si="74"/>
        <v>0</v>
      </c>
      <c r="X64" s="564">
        <f t="shared" si="74"/>
        <v>0</v>
      </c>
      <c r="Y64" s="564">
        <f t="shared" si="74"/>
        <v>0</v>
      </c>
      <c r="Z64" s="563">
        <f t="shared" si="74"/>
        <v>0</v>
      </c>
      <c r="AA64" s="564">
        <f t="shared" si="74"/>
        <v>0</v>
      </c>
      <c r="AB64" s="564">
        <f t="shared" si="74"/>
        <v>-10.223000000000001</v>
      </c>
      <c r="AC64" s="564">
        <f t="shared" si="74"/>
        <v>2.4000000000000909E-2</v>
      </c>
      <c r="AD64" s="564">
        <f t="shared" si="74"/>
        <v>-103.84</v>
      </c>
      <c r="AE64" s="563">
        <f t="shared" si="74"/>
        <v>-114.039</v>
      </c>
      <c r="AF64" s="564">
        <f t="shared" si="74"/>
        <v>0</v>
      </c>
      <c r="AG64" s="564">
        <f t="shared" si="74"/>
        <v>0</v>
      </c>
      <c r="AH64" s="564">
        <f t="shared" si="74"/>
        <v>0</v>
      </c>
      <c r="AI64" s="564">
        <f t="shared" ref="AI64:BB64" si="75">INDEX(MO_CFSum_Acquisition,0,COLUMN())</f>
        <v>0</v>
      </c>
      <c r="AJ64" s="563">
        <f t="shared" si="75"/>
        <v>0</v>
      </c>
      <c r="AK64" s="564">
        <f t="shared" si="75"/>
        <v>0</v>
      </c>
      <c r="AL64" s="564">
        <f t="shared" si="75"/>
        <v>0</v>
      </c>
      <c r="AM64" s="564">
        <f t="shared" si="75"/>
        <v>-21.785</v>
      </c>
      <c r="AN64" s="564">
        <f t="shared" si="75"/>
        <v>-7.1219999999999999</v>
      </c>
      <c r="AO64" s="563">
        <f t="shared" si="75"/>
        <v>-28.907</v>
      </c>
      <c r="AP64" s="564">
        <f>INDEX(MO_CFSum_Acquisition,0,COLUMN())</f>
        <v>0</v>
      </c>
      <c r="AQ64" s="565">
        <f>INDEX(MO_CFSum_Acquisition,0,COLUMN())</f>
        <v>0</v>
      </c>
      <c r="AR64" s="566">
        <f t="shared" si="75"/>
        <v>0</v>
      </c>
      <c r="AS64" s="566">
        <f t="shared" si="75"/>
        <v>0</v>
      </c>
      <c r="AT64" s="567">
        <f t="shared" si="75"/>
        <v>0</v>
      </c>
      <c r="AU64" s="566">
        <f t="shared" si="75"/>
        <v>0</v>
      </c>
      <c r="AV64" s="566">
        <f t="shared" si="75"/>
        <v>0</v>
      </c>
      <c r="AW64" s="566">
        <f t="shared" si="75"/>
        <v>0</v>
      </c>
      <c r="AX64" s="566">
        <f t="shared" si="75"/>
        <v>0</v>
      </c>
      <c r="AY64" s="567">
        <f t="shared" si="75"/>
        <v>0</v>
      </c>
      <c r="AZ64" s="567">
        <f t="shared" si="75"/>
        <v>0</v>
      </c>
      <c r="BA64" s="567">
        <f t="shared" si="75"/>
        <v>0</v>
      </c>
      <c r="BB64" s="567">
        <f t="shared" si="75"/>
        <v>0</v>
      </c>
      <c r="BC64" s="531"/>
    </row>
    <row r="65" spans="1:55" s="63" customFormat="1">
      <c r="A65" s="182" t="str">
        <f>INDEX(MO_CFSum_Divestiture,0,COLUMN())</f>
        <v>Divestiture</v>
      </c>
      <c r="B65" s="183"/>
      <c r="C65" s="563">
        <f t="shared" ref="C65:AH65" si="76">INDEX(MO_CFSum_Divestiture,0,COLUMN())</f>
        <v>0.42499999999999999</v>
      </c>
      <c r="D65" s="563">
        <f t="shared" si="76"/>
        <v>0</v>
      </c>
      <c r="E65" s="563">
        <f t="shared" si="76"/>
        <v>0</v>
      </c>
      <c r="F65" s="563">
        <f t="shared" si="76"/>
        <v>0</v>
      </c>
      <c r="G65" s="564">
        <f t="shared" si="76"/>
        <v>0</v>
      </c>
      <c r="H65" s="564">
        <f t="shared" si="76"/>
        <v>0</v>
      </c>
      <c r="I65" s="564">
        <f t="shared" si="76"/>
        <v>0</v>
      </c>
      <c r="J65" s="564">
        <f t="shared" si="76"/>
        <v>0</v>
      </c>
      <c r="K65" s="563">
        <f t="shared" si="76"/>
        <v>0</v>
      </c>
      <c r="L65" s="564">
        <f t="shared" si="76"/>
        <v>0</v>
      </c>
      <c r="M65" s="564">
        <f t="shared" si="76"/>
        <v>0</v>
      </c>
      <c r="N65" s="564">
        <f t="shared" si="76"/>
        <v>0</v>
      </c>
      <c r="O65" s="564">
        <f t="shared" si="76"/>
        <v>0</v>
      </c>
      <c r="P65" s="563">
        <f t="shared" si="76"/>
        <v>0</v>
      </c>
      <c r="Q65" s="564">
        <f t="shared" si="76"/>
        <v>0</v>
      </c>
      <c r="R65" s="564">
        <f t="shared" si="76"/>
        <v>0</v>
      </c>
      <c r="S65" s="564">
        <f t="shared" si="76"/>
        <v>0</v>
      </c>
      <c r="T65" s="564">
        <f t="shared" si="76"/>
        <v>0</v>
      </c>
      <c r="U65" s="563">
        <f t="shared" si="76"/>
        <v>0</v>
      </c>
      <c r="V65" s="564">
        <f t="shared" si="76"/>
        <v>0</v>
      </c>
      <c r="W65" s="564">
        <f t="shared" si="76"/>
        <v>0</v>
      </c>
      <c r="X65" s="564">
        <f t="shared" si="76"/>
        <v>0</v>
      </c>
      <c r="Y65" s="564">
        <f t="shared" si="76"/>
        <v>0</v>
      </c>
      <c r="Z65" s="563">
        <f t="shared" si="76"/>
        <v>0</v>
      </c>
      <c r="AA65" s="564">
        <f t="shared" si="76"/>
        <v>0</v>
      </c>
      <c r="AB65" s="564">
        <f t="shared" si="76"/>
        <v>0</v>
      </c>
      <c r="AC65" s="564">
        <f t="shared" si="76"/>
        <v>0</v>
      </c>
      <c r="AD65" s="564">
        <f t="shared" si="76"/>
        <v>0</v>
      </c>
      <c r="AE65" s="563">
        <f t="shared" si="76"/>
        <v>0</v>
      </c>
      <c r="AF65" s="564">
        <f t="shared" si="76"/>
        <v>0</v>
      </c>
      <c r="AG65" s="564">
        <f t="shared" si="76"/>
        <v>0</v>
      </c>
      <c r="AH65" s="564">
        <f t="shared" si="76"/>
        <v>0</v>
      </c>
      <c r="AI65" s="564">
        <f t="shared" ref="AI65:BB65" si="77">INDEX(MO_CFSum_Divestiture,0,COLUMN())</f>
        <v>0</v>
      </c>
      <c r="AJ65" s="563">
        <f t="shared" si="77"/>
        <v>0</v>
      </c>
      <c r="AK65" s="564">
        <f t="shared" si="77"/>
        <v>103.79300000000001</v>
      </c>
      <c r="AL65" s="564">
        <f t="shared" si="77"/>
        <v>0</v>
      </c>
      <c r="AM65" s="564">
        <f t="shared" si="77"/>
        <v>0.99899999999999523</v>
      </c>
      <c r="AN65" s="564">
        <f t="shared" si="77"/>
        <v>8.4999999999993747E-2</v>
      </c>
      <c r="AO65" s="563">
        <f t="shared" si="77"/>
        <v>104.877</v>
      </c>
      <c r="AP65" s="564">
        <f>INDEX(MO_CFSum_Divestiture,0,COLUMN())</f>
        <v>0</v>
      </c>
      <c r="AQ65" s="565">
        <f>INDEX(MO_CFSum_Divestiture,0,COLUMN())</f>
        <v>1.6</v>
      </c>
      <c r="AR65" s="566">
        <f t="shared" si="77"/>
        <v>0</v>
      </c>
      <c r="AS65" s="566">
        <f t="shared" si="77"/>
        <v>0</v>
      </c>
      <c r="AT65" s="567">
        <f t="shared" si="77"/>
        <v>1.6</v>
      </c>
      <c r="AU65" s="566">
        <f t="shared" si="77"/>
        <v>0</v>
      </c>
      <c r="AV65" s="566">
        <f t="shared" si="77"/>
        <v>0</v>
      </c>
      <c r="AW65" s="566">
        <f t="shared" si="77"/>
        <v>0</v>
      </c>
      <c r="AX65" s="566">
        <f t="shared" si="77"/>
        <v>0</v>
      </c>
      <c r="AY65" s="567">
        <f t="shared" si="77"/>
        <v>0</v>
      </c>
      <c r="AZ65" s="567">
        <f t="shared" si="77"/>
        <v>0</v>
      </c>
      <c r="BA65" s="567">
        <f t="shared" si="77"/>
        <v>0</v>
      </c>
      <c r="BB65" s="567">
        <f t="shared" si="77"/>
        <v>0</v>
      </c>
      <c r="BC65" s="531"/>
    </row>
    <row r="66" spans="1:55" s="63" customFormat="1">
      <c r="A66" s="182" t="s">
        <v>228</v>
      </c>
      <c r="B66" s="183"/>
      <c r="C66" s="563">
        <f t="shared" ref="C66:AH66" ca="1" si="78">SUM(OFFSET(INDEX(MO_CFS_CFO_BeforeWC,0,COLUMN()),1,0,ROW(INDEX(MO_CFS_CFO,0,COLUMN()))-ROW(INDEX(MO_CFS_CFO_BeforeWC,0,COLUMN()))-1,1))</f>
        <v>15.402999999999999</v>
      </c>
      <c r="D66" s="563">
        <f t="shared" ca="1" si="78"/>
        <v>-6.7960000000000012</v>
      </c>
      <c r="E66" s="563">
        <f t="shared" ca="1" si="78"/>
        <v>-3.1920000000000002</v>
      </c>
      <c r="F66" s="563">
        <f t="shared" ca="1" si="78"/>
        <v>-6.1939999999999973</v>
      </c>
      <c r="G66" s="564">
        <f t="shared" ca="1" si="78"/>
        <v>2.8330000000000002</v>
      </c>
      <c r="H66" s="564">
        <f t="shared" ca="1" si="78"/>
        <v>-4.641</v>
      </c>
      <c r="I66" s="564">
        <f t="shared" ca="1" si="78"/>
        <v>6.8570000000000011</v>
      </c>
      <c r="J66" s="564">
        <f t="shared" ca="1" si="78"/>
        <v>5.9140000000000006</v>
      </c>
      <c r="K66" s="563">
        <f t="shared" ca="1" si="78"/>
        <v>10.963000000000001</v>
      </c>
      <c r="L66" s="564">
        <f t="shared" ca="1" si="78"/>
        <v>-8.7830000000000013</v>
      </c>
      <c r="M66" s="564">
        <f t="shared" ca="1" si="78"/>
        <v>3.0900000000000021</v>
      </c>
      <c r="N66" s="564">
        <f t="shared" ca="1" si="78"/>
        <v>18.999000000000002</v>
      </c>
      <c r="O66" s="564">
        <f t="shared" ca="1" si="78"/>
        <v>8.8349999999999902</v>
      </c>
      <c r="P66" s="563">
        <f t="shared" ca="1" si="78"/>
        <v>22.140999999999998</v>
      </c>
      <c r="Q66" s="564">
        <f t="shared" ca="1" si="78"/>
        <v>9.4670000000000005</v>
      </c>
      <c r="R66" s="564">
        <f t="shared" ca="1" si="78"/>
        <v>-29.923999999999996</v>
      </c>
      <c r="S66" s="564">
        <f t="shared" ca="1" si="78"/>
        <v>-9.7220000000000013</v>
      </c>
      <c r="T66" s="564">
        <f t="shared" ca="1" si="78"/>
        <v>13.232999999999999</v>
      </c>
      <c r="U66" s="563">
        <f t="shared" ca="1" si="78"/>
        <v>-16.946000000000002</v>
      </c>
      <c r="V66" s="564">
        <f t="shared" ca="1" si="78"/>
        <v>-18.298999999999999</v>
      </c>
      <c r="W66" s="564">
        <f t="shared" ca="1" si="78"/>
        <v>0.48299999999999949</v>
      </c>
      <c r="X66" s="564">
        <f t="shared" ca="1" si="78"/>
        <v>-15.334000000000001</v>
      </c>
      <c r="Y66" s="564">
        <f t="shared" ca="1" si="78"/>
        <v>7.6960000000000015</v>
      </c>
      <c r="Z66" s="563">
        <f t="shared" ca="1" si="78"/>
        <v>-25.453999999999994</v>
      </c>
      <c r="AA66" s="564">
        <f t="shared" ca="1" si="78"/>
        <v>-11.898999999999999</v>
      </c>
      <c r="AB66" s="564">
        <f t="shared" ca="1" si="78"/>
        <v>-16.468</v>
      </c>
      <c r="AC66" s="564">
        <f t="shared" ca="1" si="78"/>
        <v>4.509999999999998</v>
      </c>
      <c r="AD66" s="564">
        <f t="shared" ca="1" si="78"/>
        <v>-0.4789999999999982</v>
      </c>
      <c r="AE66" s="563">
        <f t="shared" ca="1" si="78"/>
        <v>-24.336000000000002</v>
      </c>
      <c r="AF66" s="564">
        <f t="shared" ca="1" si="78"/>
        <v>-14.089000000000002</v>
      </c>
      <c r="AG66" s="564">
        <f t="shared" ca="1" si="78"/>
        <v>-16.212999999999997</v>
      </c>
      <c r="AH66" s="564">
        <f t="shared" ca="1" si="78"/>
        <v>-18.151000000000003</v>
      </c>
      <c r="AI66" s="564">
        <f t="shared" ref="AI66:BB66" ca="1" si="79">SUM(OFFSET(INDEX(MO_CFS_CFO_BeforeWC,0,COLUMN()),1,0,ROW(INDEX(MO_CFS_CFO,0,COLUMN()))-ROW(INDEX(MO_CFS_CFO_BeforeWC,0,COLUMN()))-1,1))</f>
        <v>18.478000000000002</v>
      </c>
      <c r="AJ66" s="563">
        <f t="shared" ca="1" si="79"/>
        <v>-29.975000000000001</v>
      </c>
      <c r="AK66" s="564">
        <f t="shared" ca="1" si="79"/>
        <v>4.7200000000000051</v>
      </c>
      <c r="AL66" s="564">
        <f t="shared" ca="1" si="79"/>
        <v>-19.849000000000004</v>
      </c>
      <c r="AM66" s="564">
        <f t="shared" ca="1" si="79"/>
        <v>10.961999999999996</v>
      </c>
      <c r="AN66" s="564">
        <f t="shared" ca="1" si="79"/>
        <v>-13.873000000000005</v>
      </c>
      <c r="AO66" s="563">
        <f t="shared" ca="1" si="79"/>
        <v>-18.04</v>
      </c>
      <c r="AP66" s="564">
        <f ca="1">SUM(OFFSET(INDEX(MO_CFS_CFO_BeforeWC,0,COLUMN()),1,0,ROW(INDEX(MO_CFS_CFO,0,COLUMN()))-ROW(INDEX(MO_CFS_CFO_BeforeWC,0,COLUMN()))-1,1))</f>
        <v>1.0309999999999981</v>
      </c>
      <c r="AQ66" s="565">
        <f ca="1">SUM(OFFSET(INDEX(MO_CFS_CFO_BeforeWC,0,COLUMN()),1,0,ROW(INDEX(MO_CFS_CFO,0,COLUMN()))-ROW(INDEX(MO_CFS_CFO_BeforeWC,0,COLUMN()))-1,1))</f>
        <v>4.3920000000000012</v>
      </c>
      <c r="AR66" s="566">
        <f t="shared" ca="1" si="79"/>
        <v>24.119619360093296</v>
      </c>
      <c r="AS66" s="566">
        <f t="shared" ca="1" si="79"/>
        <v>18.712047898435873</v>
      </c>
      <c r="AT66" s="567">
        <f t="shared" ca="1" si="79"/>
        <v>48.254667258529167</v>
      </c>
      <c r="AU66" s="566">
        <f t="shared" ca="1" si="79"/>
        <v>-8.4801252683670292</v>
      </c>
      <c r="AV66" s="566">
        <f t="shared" ca="1" si="79"/>
        <v>-33.223932201214879</v>
      </c>
      <c r="AW66" s="566">
        <f t="shared" ca="1" si="79"/>
        <v>-32.465841276787735</v>
      </c>
      <c r="AX66" s="566">
        <f t="shared" ca="1" si="79"/>
        <v>-8.9901994310450775</v>
      </c>
      <c r="AY66" s="567">
        <f t="shared" ca="1" si="79"/>
        <v>-83.160098177414724</v>
      </c>
      <c r="AZ66" s="567">
        <f t="shared" ca="1" si="79"/>
        <v>7.2844530812501063</v>
      </c>
      <c r="BA66" s="567">
        <f t="shared" ca="1" si="79"/>
        <v>-105.25208715744131</v>
      </c>
      <c r="BB66" s="567">
        <f t="shared" ca="1" si="79"/>
        <v>163.18555583536448</v>
      </c>
      <c r="BC66" s="531"/>
    </row>
    <row r="67" spans="1:55" s="63" customFormat="1">
      <c r="A67" s="182" t="s">
        <v>229</v>
      </c>
      <c r="B67" s="183"/>
      <c r="C67" s="563">
        <f t="shared" ref="C67:AH67" si="80">INDEX(MO_CFSum_NetShares,0,COLUMN())</f>
        <v>3.1E-2</v>
      </c>
      <c r="D67" s="563">
        <f t="shared" si="80"/>
        <v>1.1140000000000001</v>
      </c>
      <c r="E67" s="563">
        <f t="shared" si="80"/>
        <v>3.88</v>
      </c>
      <c r="F67" s="563">
        <f t="shared" si="80"/>
        <v>2.9660000000000002</v>
      </c>
      <c r="G67" s="564">
        <f t="shared" si="80"/>
        <v>0.19400000000000001</v>
      </c>
      <c r="H67" s="564">
        <f t="shared" si="80"/>
        <v>3.7999999999999978E-2</v>
      </c>
      <c r="I67" s="564">
        <f t="shared" si="80"/>
        <v>0.82499999999999996</v>
      </c>
      <c r="J67" s="564">
        <f t="shared" si="80"/>
        <v>2.0629999999999997</v>
      </c>
      <c r="K67" s="563">
        <f t="shared" si="80"/>
        <v>3.12</v>
      </c>
      <c r="L67" s="564">
        <f t="shared" si="80"/>
        <v>1.8489999999999998</v>
      </c>
      <c r="M67" s="564">
        <f t="shared" si="80"/>
        <v>0.21600000000000008</v>
      </c>
      <c r="N67" s="564">
        <f t="shared" si="80"/>
        <v>1.266</v>
      </c>
      <c r="O67" s="564">
        <f t="shared" si="80"/>
        <v>3.7789999999999999</v>
      </c>
      <c r="P67" s="563">
        <f t="shared" si="80"/>
        <v>7.1099999999999994</v>
      </c>
      <c r="Q67" s="564">
        <f t="shared" si="80"/>
        <v>1.1099999999999999</v>
      </c>
      <c r="R67" s="564">
        <f t="shared" si="80"/>
        <v>0.23599999999999999</v>
      </c>
      <c r="S67" s="564">
        <f t="shared" si="80"/>
        <v>2.581</v>
      </c>
      <c r="T67" s="564">
        <f t="shared" si="80"/>
        <v>2.0420000000000003</v>
      </c>
      <c r="U67" s="563">
        <f t="shared" si="80"/>
        <v>5.9689999999999994</v>
      </c>
      <c r="V67" s="564">
        <f t="shared" si="80"/>
        <v>-3.2810000000000001</v>
      </c>
      <c r="W67" s="564">
        <f t="shared" si="80"/>
        <v>-7.7869999999999999</v>
      </c>
      <c r="X67" s="564">
        <f t="shared" si="80"/>
        <v>-1.9470000000000014</v>
      </c>
      <c r="Y67" s="564">
        <f t="shared" si="80"/>
        <v>4.4000000000002926E-2</v>
      </c>
      <c r="Z67" s="563">
        <f t="shared" si="80"/>
        <v>-12.970999999999998</v>
      </c>
      <c r="AA67" s="564">
        <f t="shared" si="80"/>
        <v>-4.1180000000000003</v>
      </c>
      <c r="AB67" s="564">
        <f t="shared" si="80"/>
        <v>-9.0889999999999986</v>
      </c>
      <c r="AC67" s="564">
        <f t="shared" si="80"/>
        <v>-18.825999999999997</v>
      </c>
      <c r="AD67" s="564">
        <f t="shared" si="80"/>
        <v>9.2000000000000026E-2</v>
      </c>
      <c r="AE67" s="563">
        <f t="shared" si="80"/>
        <v>-31.940999999999999</v>
      </c>
      <c r="AF67" s="564">
        <f t="shared" si="80"/>
        <v>0.16</v>
      </c>
      <c r="AG67" s="564">
        <f t="shared" si="80"/>
        <v>0.12100000000000002</v>
      </c>
      <c r="AH67" s="564">
        <f t="shared" si="80"/>
        <v>1.9999999999999463E-3</v>
      </c>
      <c r="AI67" s="564">
        <f t="shared" ref="AI67:BB67" si="81">INDEX(MO_CFSum_NetShares,0,COLUMN())</f>
        <v>1.9180000000000001</v>
      </c>
      <c r="AJ67" s="563">
        <f t="shared" si="81"/>
        <v>2.2010000000000001</v>
      </c>
      <c r="AK67" s="564">
        <f t="shared" si="81"/>
        <v>0.159</v>
      </c>
      <c r="AL67" s="564">
        <f t="shared" si="81"/>
        <v>0.25700000000000001</v>
      </c>
      <c r="AM67" s="564">
        <f t="shared" si="81"/>
        <v>-49.993000000000002</v>
      </c>
      <c r="AN67" s="564">
        <f t="shared" si="81"/>
        <v>-1.7519999999999989</v>
      </c>
      <c r="AO67" s="563">
        <f t="shared" si="81"/>
        <v>-51.329000000000001</v>
      </c>
      <c r="AP67" s="564">
        <f>INDEX(MO_CFSum_NetShares,0,COLUMN())</f>
        <v>-7.6989999999999998</v>
      </c>
      <c r="AQ67" s="565">
        <f>INDEX(MO_CFSum_NetShares,0,COLUMN())</f>
        <v>1.0000000000000009E-3</v>
      </c>
      <c r="AR67" s="566">
        <f t="shared" si="81"/>
        <v>0</v>
      </c>
      <c r="AS67" s="566">
        <f t="shared" si="81"/>
        <v>0</v>
      </c>
      <c r="AT67" s="567">
        <f t="shared" si="81"/>
        <v>-7.6980000000000004</v>
      </c>
      <c r="AU67" s="566">
        <f t="shared" si="81"/>
        <v>0</v>
      </c>
      <c r="AV67" s="566">
        <f t="shared" si="81"/>
        <v>0</v>
      </c>
      <c r="AW67" s="566">
        <f t="shared" si="81"/>
        <v>0</v>
      </c>
      <c r="AX67" s="566">
        <f t="shared" si="81"/>
        <v>0</v>
      </c>
      <c r="AY67" s="567">
        <f t="shared" si="81"/>
        <v>0</v>
      </c>
      <c r="AZ67" s="567">
        <f t="shared" si="81"/>
        <v>0</v>
      </c>
      <c r="BA67" s="567">
        <f t="shared" si="81"/>
        <v>0</v>
      </c>
      <c r="BB67" s="567">
        <f t="shared" si="81"/>
        <v>0</v>
      </c>
      <c r="BC67" s="531"/>
    </row>
    <row r="68" spans="1:55" s="63" customFormat="1">
      <c r="A68" s="182" t="s">
        <v>230</v>
      </c>
      <c r="B68" s="183"/>
      <c r="C68" s="563">
        <f t="shared" ref="C68:AH68" si="82">INDEX(MO_CFSum_NetDebtIssuance,0,COLUMN())</f>
        <v>23.488999999999997</v>
      </c>
      <c r="D68" s="563">
        <f t="shared" si="82"/>
        <v>-6.2450000000000001</v>
      </c>
      <c r="E68" s="563">
        <f t="shared" si="82"/>
        <v>-5.4449999999999994</v>
      </c>
      <c r="F68" s="563">
        <f t="shared" si="82"/>
        <v>-3.3070000000000004</v>
      </c>
      <c r="G68" s="564">
        <f t="shared" si="82"/>
        <v>-2.1950000000000003</v>
      </c>
      <c r="H68" s="564">
        <f t="shared" si="82"/>
        <v>-2.4429999999999996</v>
      </c>
      <c r="I68" s="564">
        <f t="shared" si="82"/>
        <v>171.05600000000001</v>
      </c>
      <c r="J68" s="564">
        <f t="shared" si="82"/>
        <v>-5.2040000000000006</v>
      </c>
      <c r="K68" s="563">
        <f t="shared" si="82"/>
        <v>161.214</v>
      </c>
      <c r="L68" s="564">
        <f t="shared" si="82"/>
        <v>57.314999999999998</v>
      </c>
      <c r="M68" s="564">
        <f t="shared" si="82"/>
        <v>-25.327999999999999</v>
      </c>
      <c r="N68" s="564">
        <f t="shared" si="82"/>
        <v>-32.907000000000004</v>
      </c>
      <c r="O68" s="564">
        <f t="shared" si="82"/>
        <v>-29.302999999999969</v>
      </c>
      <c r="P68" s="563">
        <f t="shared" si="82"/>
        <v>-30.222999999999978</v>
      </c>
      <c r="Q68" s="564">
        <f t="shared" si="82"/>
        <v>34.337000000000003</v>
      </c>
      <c r="R68" s="564">
        <f t="shared" si="82"/>
        <v>14.332000000000001</v>
      </c>
      <c r="S68" s="564">
        <f t="shared" si="82"/>
        <v>-22.677</v>
      </c>
      <c r="T68" s="564">
        <f t="shared" si="82"/>
        <v>-38.686000000000007</v>
      </c>
      <c r="U68" s="563">
        <f t="shared" si="82"/>
        <v>-12.694000000000003</v>
      </c>
      <c r="V68" s="564">
        <f t="shared" si="82"/>
        <v>2.2319999999999998</v>
      </c>
      <c r="W68" s="564">
        <f t="shared" si="82"/>
        <v>-5.6750000000000007</v>
      </c>
      <c r="X68" s="564">
        <f t="shared" si="82"/>
        <v>-2.629999999999999</v>
      </c>
      <c r="Y68" s="564">
        <f t="shared" si="82"/>
        <v>-15.762000000000002</v>
      </c>
      <c r="Z68" s="563">
        <f t="shared" si="82"/>
        <v>-21.835000000000001</v>
      </c>
      <c r="AA68" s="564">
        <f t="shared" si="82"/>
        <v>-6.657</v>
      </c>
      <c r="AB68" s="564">
        <f t="shared" si="82"/>
        <v>21.315999999999999</v>
      </c>
      <c r="AC68" s="564">
        <f t="shared" si="82"/>
        <v>14.309999999999999</v>
      </c>
      <c r="AD68" s="564">
        <f t="shared" si="82"/>
        <v>94.39700000000002</v>
      </c>
      <c r="AE68" s="563">
        <f t="shared" si="82"/>
        <v>123.36600000000001</v>
      </c>
      <c r="AF68" s="564">
        <f t="shared" si="82"/>
        <v>3.7789999999999999</v>
      </c>
      <c r="AG68" s="564">
        <f t="shared" si="82"/>
        <v>-10.695999999999998</v>
      </c>
      <c r="AH68" s="564">
        <f t="shared" si="82"/>
        <v>-5.7000000000000028</v>
      </c>
      <c r="AI68" s="564">
        <f t="shared" ref="AI68:BB68" si="83">INDEX(MO_CFSum_NetDebtIssuance,0,COLUMN())</f>
        <v>-25.718000000000004</v>
      </c>
      <c r="AJ68" s="563">
        <f t="shared" si="83"/>
        <v>-38.335000000000001</v>
      </c>
      <c r="AK68" s="564">
        <f t="shared" si="83"/>
        <v>-112.026</v>
      </c>
      <c r="AL68" s="564">
        <f t="shared" si="83"/>
        <v>6.972999999999999</v>
      </c>
      <c r="AM68" s="564">
        <f t="shared" si="83"/>
        <v>57.972999999999985</v>
      </c>
      <c r="AN68" s="564">
        <f t="shared" si="83"/>
        <v>7.9730000000000132</v>
      </c>
      <c r="AO68" s="563">
        <f t="shared" si="83"/>
        <v>-39.106999999999999</v>
      </c>
      <c r="AP68" s="564">
        <f>INDEX(MO_CFSum_NetDebtIssuance,0,COLUMN())</f>
        <v>145</v>
      </c>
      <c r="AQ68" s="565">
        <f>INDEX(MO_CFSum_NetDebtIssuance,0,COLUMN())</f>
        <v>-160</v>
      </c>
      <c r="AR68" s="566">
        <f t="shared" si="83"/>
        <v>0</v>
      </c>
      <c r="AS68" s="566">
        <f t="shared" si="83"/>
        <v>0</v>
      </c>
      <c r="AT68" s="567">
        <f t="shared" si="83"/>
        <v>-15</v>
      </c>
      <c r="AU68" s="566">
        <f t="shared" si="83"/>
        <v>0</v>
      </c>
      <c r="AV68" s="566">
        <f t="shared" si="83"/>
        <v>0</v>
      </c>
      <c r="AW68" s="566">
        <f t="shared" si="83"/>
        <v>0</v>
      </c>
      <c r="AX68" s="566">
        <f t="shared" si="83"/>
        <v>0</v>
      </c>
      <c r="AY68" s="567">
        <f t="shared" si="83"/>
        <v>0</v>
      </c>
      <c r="AZ68" s="567">
        <f t="shared" si="83"/>
        <v>0</v>
      </c>
      <c r="BA68" s="567">
        <f t="shared" si="83"/>
        <v>0</v>
      </c>
      <c r="BB68" s="567">
        <f t="shared" si="83"/>
        <v>0</v>
      </c>
      <c r="BC68" s="531"/>
    </row>
    <row r="69" spans="1:55" s="63" customFormat="1">
      <c r="A69" s="182" t="s">
        <v>221</v>
      </c>
      <c r="B69" s="183"/>
      <c r="C69" s="563">
        <f>Model!C367+Model!C358+Model!C348+Model!C364+Model!C362</f>
        <v>-1E-3</v>
      </c>
      <c r="D69" s="563">
        <f>Model!D367+Model!D358+Model!D348+Model!D364</f>
        <v>-4.3999999999999997E-2</v>
      </c>
      <c r="E69" s="563">
        <f>Model!E367+Model!E358+Model!E348+Model!E364</f>
        <v>7.3999999999999996E-2</v>
      </c>
      <c r="F69" s="563">
        <f>Model!F367+Model!F358+Model!F348+Model!F364</f>
        <v>3.0000000000000001E-3</v>
      </c>
      <c r="G69" s="564">
        <f>Model!G367+Model!G358+Model!G348+Model!G364</f>
        <v>-7.9000000000000001E-2</v>
      </c>
      <c r="H69" s="564">
        <f>Model!H367+Model!H358+Model!H348+Model!H364</f>
        <v>-8.0000000000000002E-3</v>
      </c>
      <c r="I69" s="564">
        <f>Model!I367+Model!I358+Model!I348+Model!I364</f>
        <v>1E-3</v>
      </c>
      <c r="J69" s="564">
        <f>Model!J367+Model!J358+Model!J348+Model!J364</f>
        <v>8.7000000000000008E-2</v>
      </c>
      <c r="K69" s="563">
        <f>Model!K367+Model!K358+Model!K348+Model!K364</f>
        <v>1.0000000000000009E-3</v>
      </c>
      <c r="L69" s="564">
        <f>Model!L367+Model!L358+Model!L348+Model!L364</f>
        <v>-7.3999999999999996E-2</v>
      </c>
      <c r="M69" s="564">
        <f>Model!M367+Model!M358+Model!M348+Model!M364</f>
        <v>-7.5999999999999998E-2</v>
      </c>
      <c r="N69" s="564">
        <f>Model!N367+Model!N358+Model!N348+Model!N364</f>
        <v>-0.51800000000000002</v>
      </c>
      <c r="O69" s="564">
        <f>Model!O367+Model!O358+Model!O348+Model!O364</f>
        <v>-0.44799999999999995</v>
      </c>
      <c r="P69" s="563">
        <f>Model!P367+Model!P358+Model!P348+Model!P364</f>
        <v>-1.1159999999999999</v>
      </c>
      <c r="Q69" s="564">
        <f>Model!Q367+Model!Q358+Model!Q348+Model!Q364</f>
        <v>-1.1859999999999999</v>
      </c>
      <c r="R69" s="564">
        <f>Model!R367+Model!R358+Model!R348+Model!R364</f>
        <v>-2.242</v>
      </c>
      <c r="S69" s="564">
        <f>Model!S367+Model!S358+Model!S348+Model!S364</f>
        <v>3.3999999999999919E-2</v>
      </c>
      <c r="T69" s="564">
        <f>Model!T367+Model!T358+Model!T348+Model!T364</f>
        <v>-0.10099999999999998</v>
      </c>
      <c r="U69" s="563">
        <f>Model!U367+Model!U358+Model!U348+Model!U364</f>
        <v>-3.4950000000000001</v>
      </c>
      <c r="V69" s="564">
        <f>Model!V367+Model!V358+Model!V348+Model!V364</f>
        <v>0.186</v>
      </c>
      <c r="W69" s="564">
        <f>Model!W367+Model!W358+Model!W348+Model!W364</f>
        <v>-0.96799999999999997</v>
      </c>
      <c r="X69" s="564">
        <f>Model!X367+Model!X358+Model!X348+Model!X364</f>
        <v>-0.69399999999999995</v>
      </c>
      <c r="Y69" s="564">
        <f>Model!Y367+Model!Y358+Model!Y348+Model!Y364</f>
        <v>-0.19500000000000001</v>
      </c>
      <c r="Z69" s="563">
        <f>Model!Z367+Model!Z358+Model!Z348+Model!Z364</f>
        <v>-1.671</v>
      </c>
      <c r="AA69" s="564">
        <f>Model!AA367+Model!AA358+Model!AA348+Model!AA364</f>
        <v>3.4000000000000002E-2</v>
      </c>
      <c r="AB69" s="564">
        <f>Model!AB367+Model!AB358+Model!AB348+Model!AB364</f>
        <v>0.32799999999999996</v>
      </c>
      <c r="AC69" s="564">
        <f>Model!AC367+Model!AC358+Model!AC348+Model!AC364</f>
        <v>-2.2209999999999996</v>
      </c>
      <c r="AD69" s="564">
        <f>Model!AD367+Model!AD358+Model!AD348+Model!AD364</f>
        <v>0.1809999999999998</v>
      </c>
      <c r="AE69" s="563">
        <f>Model!AE367+Model!AE358+Model!AE348+Model!AE364</f>
        <v>-1.6779999999999999</v>
      </c>
      <c r="AF69" s="564">
        <f>Model!AF367+Model!AF358+Model!AF348+Model!AF364</f>
        <v>-6.6000000000000003E-2</v>
      </c>
      <c r="AG69" s="564">
        <f>Model!AG367+Model!AG358+Model!AG348+Model!AG364</f>
        <v>-0.21899999999999997</v>
      </c>
      <c r="AH69" s="564">
        <f>Model!AH367+Model!AH358+Model!AH348+Model!AH364</f>
        <v>-3.3449999999999998</v>
      </c>
      <c r="AI69" s="564">
        <f>Model!AI367+Model!AI358+Model!AI348+Model!AI364</f>
        <v>-9.2000000000000193E-2</v>
      </c>
      <c r="AJ69" s="563">
        <f>Model!AJ367+Model!AJ358+Model!AJ348+Model!AJ364</f>
        <v>-3.722</v>
      </c>
      <c r="AK69" s="564">
        <f>Model!AK367+Model!AK358+Model!AK348+Model!AK364</f>
        <v>-0.46200000000000002</v>
      </c>
      <c r="AL69" s="564">
        <f>Model!AL367+Model!AL358+Model!AL348+Model!AL364</f>
        <v>-0.34899999999999998</v>
      </c>
      <c r="AM69" s="564">
        <f>Model!AM367+Model!AM358+Model!AM348+Model!AM364</f>
        <v>-0.75700000000000012</v>
      </c>
      <c r="AN69" s="564">
        <f>Model!AN367+Model!AN358+Model!AN348+Model!AN364</f>
        <v>0.71199999999999997</v>
      </c>
      <c r="AO69" s="563">
        <f>Model!AO367+Model!AO358+Model!AO348+Model!AO364</f>
        <v>-0.85599999999999998</v>
      </c>
      <c r="AP69" s="564">
        <f>Model!AP367+Model!AP358+Model!AP348+Model!AP364</f>
        <v>-1.3</v>
      </c>
      <c r="AQ69" s="565">
        <f>Model!AQ367+Model!AQ358+Model!AQ348+Model!AQ364+Model!AQ362</f>
        <v>-0.5129999999999999</v>
      </c>
      <c r="AR69" s="566">
        <f>Model!AR367+Model!AR358+Model!AR348+Model!AR364+Model!AR362</f>
        <v>0</v>
      </c>
      <c r="AS69" s="566">
        <f>Model!AS367+Model!AS358+Model!AS348+Model!AS364+Model!AS362</f>
        <v>0</v>
      </c>
      <c r="AT69" s="567">
        <f>Model!AT367+Model!AT358+Model!AT348+Model!AT364+Model!AT362</f>
        <v>-1.8129999999999997</v>
      </c>
      <c r="AU69" s="566">
        <f>Model!AU367+Model!AU358+Model!AU348+Model!AU364+Model!AU362</f>
        <v>0</v>
      </c>
      <c r="AV69" s="566">
        <f>Model!AV367+Model!AV358+Model!AV348+Model!AV364+Model!AV362</f>
        <v>0</v>
      </c>
      <c r="AW69" s="566">
        <f>Model!AW367+Model!AW358+Model!AW348+Model!AW364+Model!AW362</f>
        <v>0</v>
      </c>
      <c r="AX69" s="566">
        <f>Model!AX367+Model!AX358+Model!AX348+Model!AX364+Model!AX362</f>
        <v>0</v>
      </c>
      <c r="AY69" s="567">
        <f>Model!AY367+Model!AY358+Model!AY348+Model!AY364+Model!AY362</f>
        <v>0</v>
      </c>
      <c r="AZ69" s="567">
        <f>Model!AZ367+Model!AZ358+Model!AZ348+Model!AZ364+Model!AZ362</f>
        <v>0</v>
      </c>
      <c r="BA69" s="567">
        <f>Model!BA367+Model!BA358+Model!BA348+Model!BA364+Model!BA362</f>
        <v>0</v>
      </c>
      <c r="BB69" s="567">
        <f>Model!BB367+Model!BB358+Model!BB348+Model!BB364+Model!BB362</f>
        <v>0</v>
      </c>
      <c r="BC69" s="531"/>
    </row>
    <row r="70" spans="1:55" s="65" customFormat="1">
      <c r="A70" s="184" t="s">
        <v>231</v>
      </c>
      <c r="B70" s="185"/>
      <c r="C70" s="568">
        <f t="shared" ref="C70:AH70" ca="1" si="84">SUM(C63:C69)</f>
        <v>11.910999999999998</v>
      </c>
      <c r="D70" s="568">
        <f t="shared" ca="1" si="84"/>
        <v>7.7600000000000016</v>
      </c>
      <c r="E70" s="568">
        <f t="shared" ca="1" si="84"/>
        <v>-11.790000000000003</v>
      </c>
      <c r="F70" s="568">
        <f t="shared" ca="1" si="84"/>
        <v>-3.538999999999997</v>
      </c>
      <c r="G70" s="569">
        <f t="shared" ca="1" si="84"/>
        <v>10.418000000000003</v>
      </c>
      <c r="H70" s="569">
        <f t="shared" ca="1" si="84"/>
        <v>-1.2630000000000001</v>
      </c>
      <c r="I70" s="569">
        <f t="shared" ca="1" si="84"/>
        <v>51.651000000000018</v>
      </c>
      <c r="J70" s="569">
        <f t="shared" ca="1" si="84"/>
        <v>-13.550999999999998</v>
      </c>
      <c r="K70" s="568">
        <f t="shared" ca="1" si="84"/>
        <v>47.254999999999988</v>
      </c>
      <c r="L70" s="569">
        <f t="shared" ca="1" si="84"/>
        <v>-25.518000000000004</v>
      </c>
      <c r="M70" s="569">
        <f t="shared" ca="1" si="84"/>
        <v>-8.2919999999999909</v>
      </c>
      <c r="N70" s="569">
        <f t="shared" ca="1" si="84"/>
        <v>4.1029999999999953</v>
      </c>
      <c r="O70" s="569">
        <f t="shared" ca="1" si="84"/>
        <v>-3.7309999999999657</v>
      </c>
      <c r="P70" s="568">
        <f t="shared" ca="1" si="84"/>
        <v>-33.437999999999967</v>
      </c>
      <c r="Q70" s="569">
        <f t="shared" ca="1" si="84"/>
        <v>1.3659999999999926</v>
      </c>
      <c r="R70" s="569">
        <f t="shared" ca="1" si="84"/>
        <v>1.2040000000000015</v>
      </c>
      <c r="S70" s="569">
        <f t="shared" ca="1" si="84"/>
        <v>-1.3340000000000058</v>
      </c>
      <c r="T70" s="569">
        <f t="shared" ca="1" si="84"/>
        <v>-3.8720000000000079</v>
      </c>
      <c r="U70" s="568">
        <f t="shared" ca="1" si="84"/>
        <v>-2.6359999999999966</v>
      </c>
      <c r="V70" s="569">
        <f t="shared" ca="1" si="84"/>
        <v>-2.7700000000000009</v>
      </c>
      <c r="W70" s="569">
        <f t="shared" ca="1" si="84"/>
        <v>4.620000000000001</v>
      </c>
      <c r="X70" s="569">
        <f t="shared" ca="1" si="84"/>
        <v>-7.1329999999999982</v>
      </c>
      <c r="Y70" s="569">
        <f t="shared" ca="1" si="84"/>
        <v>4.6230000000000029</v>
      </c>
      <c r="Z70" s="568">
        <f t="shared" ca="1" si="84"/>
        <v>-0.65999999999998304</v>
      </c>
      <c r="AA70" s="569">
        <f t="shared" ca="1" si="84"/>
        <v>-7.1380000000000043</v>
      </c>
      <c r="AB70" s="569">
        <f t="shared" ca="1" si="84"/>
        <v>-2.4950000000000006</v>
      </c>
      <c r="AC70" s="569">
        <f t="shared" ca="1" si="84"/>
        <v>7.1090000000000018</v>
      </c>
      <c r="AD70" s="569">
        <f t="shared" ca="1" si="84"/>
        <v>2.5370000000000084</v>
      </c>
      <c r="AE70" s="568">
        <f t="shared" ca="1" si="84"/>
        <v>1.3000000000016776E-2</v>
      </c>
      <c r="AF70" s="569">
        <f t="shared" ca="1" si="84"/>
        <v>-1.5270000000000039</v>
      </c>
      <c r="AG70" s="569">
        <f t="shared" ca="1" si="84"/>
        <v>-5.7789999999999937</v>
      </c>
      <c r="AH70" s="569">
        <f t="shared" ca="1" si="84"/>
        <v>-5.715000000000007</v>
      </c>
      <c r="AI70" s="569">
        <f t="shared" ref="AI70:BB70" ca="1" si="85">SUM(AI63:AI69)</f>
        <v>11.72899999999999</v>
      </c>
      <c r="AJ70" s="568">
        <f t="shared" ca="1" si="85"/>
        <v>-1.2920000000000145</v>
      </c>
      <c r="AK70" s="569">
        <f t="shared" ca="1" si="85"/>
        <v>-0.65599999999995995</v>
      </c>
      <c r="AL70" s="569">
        <f t="shared" ca="1" si="85"/>
        <v>1.1399999999999937</v>
      </c>
      <c r="AM70" s="569">
        <f t="shared" ca="1" si="85"/>
        <v>5.6889999999999628</v>
      </c>
      <c r="AN70" s="569">
        <f t="shared" ca="1" si="85"/>
        <v>9.1110000000000113</v>
      </c>
      <c r="AO70" s="568">
        <f t="shared" ca="1" si="85"/>
        <v>15.283999999999994</v>
      </c>
      <c r="AP70" s="569">
        <f ca="1">SUM(AP63:AP69)</f>
        <v>156.458</v>
      </c>
      <c r="AQ70" s="570">
        <f ca="1">SUM(AQ63:AQ69)</f>
        <v>-141.72499999999999</v>
      </c>
      <c r="AR70" s="569">
        <f t="shared" ca="1" si="85"/>
        <v>28.073711769929364</v>
      </c>
      <c r="AS70" s="569">
        <f t="shared" ca="1" si="85"/>
        <v>25.968457718345483</v>
      </c>
      <c r="AT70" s="568">
        <f ca="1">SUM(AT63:AT69)</f>
        <v>68.775169488274841</v>
      </c>
      <c r="AU70" s="569">
        <f t="shared" ca="1" si="85"/>
        <v>2.8422805724890736</v>
      </c>
      <c r="AV70" s="569">
        <f t="shared" ca="1" si="85"/>
        <v>-16.610843673947667</v>
      </c>
      <c r="AW70" s="569">
        <f t="shared" ca="1" si="85"/>
        <v>-14.510149732258078</v>
      </c>
      <c r="AX70" s="569">
        <f t="shared" ca="1" si="85"/>
        <v>7.1703097962469293</v>
      </c>
      <c r="AY70" s="568">
        <f t="shared" ca="1" si="85"/>
        <v>-21.108403037469742</v>
      </c>
      <c r="AZ70" s="568">
        <f t="shared" ca="1" si="85"/>
        <v>60.22740381480719</v>
      </c>
      <c r="BA70" s="568">
        <f t="shared" ca="1" si="85"/>
        <v>-16.296245249450905</v>
      </c>
      <c r="BB70" s="568">
        <f t="shared" ca="1" si="85"/>
        <v>196.99981752962981</v>
      </c>
      <c r="BC70" s="532"/>
    </row>
    <row r="71" spans="1:55" s="65" customFormat="1">
      <c r="A71" s="181"/>
      <c r="B71" s="186"/>
      <c r="C71" s="571"/>
      <c r="D71" s="571"/>
      <c r="E71" s="571"/>
      <c r="F71" s="571"/>
      <c r="G71" s="572"/>
      <c r="H71" s="572"/>
      <c r="I71" s="572"/>
      <c r="J71" s="572"/>
      <c r="K71" s="571"/>
      <c r="L71" s="572"/>
      <c r="M71" s="572"/>
      <c r="N71" s="572"/>
      <c r="O71" s="572"/>
      <c r="P71" s="571"/>
      <c r="Q71" s="572"/>
      <c r="R71" s="572"/>
      <c r="S71" s="572"/>
      <c r="T71" s="572"/>
      <c r="U71" s="571"/>
      <c r="V71" s="572"/>
      <c r="W71" s="572"/>
      <c r="X71" s="572"/>
      <c r="Y71" s="572"/>
      <c r="Z71" s="571"/>
      <c r="AA71" s="572"/>
      <c r="AB71" s="572"/>
      <c r="AC71" s="572"/>
      <c r="AD71" s="572"/>
      <c r="AE71" s="571"/>
      <c r="AF71" s="572"/>
      <c r="AG71" s="572"/>
      <c r="AH71" s="572"/>
      <c r="AI71" s="572"/>
      <c r="AJ71" s="571"/>
      <c r="AK71" s="572"/>
      <c r="AL71" s="572"/>
      <c r="AM71" s="572"/>
      <c r="AN71" s="572"/>
      <c r="AO71" s="571"/>
      <c r="AP71" s="572"/>
      <c r="AQ71" s="573"/>
      <c r="AR71" s="574"/>
      <c r="AS71" s="574"/>
      <c r="AT71" s="575"/>
      <c r="AU71" s="574"/>
      <c r="AV71" s="574"/>
      <c r="AW71" s="574"/>
      <c r="AX71" s="574"/>
      <c r="AY71" s="575"/>
      <c r="AZ71" s="575"/>
      <c r="BA71" s="575"/>
      <c r="BB71" s="575"/>
      <c r="BC71" s="532"/>
    </row>
    <row r="72" spans="1:55" s="64" customFormat="1">
      <c r="A72" s="201" t="s">
        <v>232</v>
      </c>
      <c r="B72" s="202"/>
      <c r="C72" s="284">
        <f t="shared" ref="C72:AH72" si="86">INDEX(SP_CFA_CFO_BeforeWC,0,COLUMN())/INDEX(SP_CS_ShareCount,0,COLUMN())</f>
        <v>0.57053168387779685</v>
      </c>
      <c r="D72" s="284">
        <f t="shared" si="86"/>
        <v>0.76818078410555879</v>
      </c>
      <c r="E72" s="284">
        <f t="shared" si="86"/>
        <v>1.0035430555465921</v>
      </c>
      <c r="F72" s="284">
        <f t="shared" si="86"/>
        <v>0.91105021844867695</v>
      </c>
      <c r="G72" s="298">
        <f t="shared" si="86"/>
        <v>0.45198828833966181</v>
      </c>
      <c r="H72" s="298">
        <f t="shared" si="86"/>
        <v>0.30029226769045586</v>
      </c>
      <c r="I72" s="298">
        <f t="shared" si="86"/>
        <v>0.33401272477277794</v>
      </c>
      <c r="J72" s="298">
        <f t="shared" si="86"/>
        <v>0.31420930174790734</v>
      </c>
      <c r="K72" s="284">
        <f t="shared" si="86"/>
        <v>1.1477011622459676</v>
      </c>
      <c r="L72" s="298">
        <f t="shared" si="86"/>
        <v>0.37190353301806461</v>
      </c>
      <c r="M72" s="298">
        <f t="shared" si="86"/>
        <v>0.57561429549751464</v>
      </c>
      <c r="N72" s="298">
        <f t="shared" si="86"/>
        <v>0.76343295379229248</v>
      </c>
      <c r="O72" s="298">
        <f t="shared" si="86"/>
        <v>0.65249305148573455</v>
      </c>
      <c r="P72" s="284">
        <f t="shared" si="86"/>
        <v>2.2560633170948323</v>
      </c>
      <c r="Q72" s="298">
        <f t="shared" si="86"/>
        <v>0.49968178190587381</v>
      </c>
      <c r="R72" s="298">
        <f t="shared" si="86"/>
        <v>0.69292892285900975</v>
      </c>
      <c r="S72" s="298">
        <f t="shared" si="86"/>
        <v>0.92453922456044602</v>
      </c>
      <c r="T72" s="298">
        <f t="shared" si="86"/>
        <v>0.63643866277018191</v>
      </c>
      <c r="U72" s="284">
        <f t="shared" si="86"/>
        <v>2.7534549084148172</v>
      </c>
      <c r="V72" s="298">
        <f t="shared" si="86"/>
        <v>0.54075539872890055</v>
      </c>
      <c r="W72" s="298">
        <f t="shared" si="86"/>
        <v>0.6410667479514649</v>
      </c>
      <c r="X72" s="298">
        <f t="shared" si="86"/>
        <v>0.500740974118416</v>
      </c>
      <c r="Y72" s="298">
        <f t="shared" si="86"/>
        <v>0.46802501513011902</v>
      </c>
      <c r="Z72" s="284">
        <f t="shared" si="86"/>
        <v>2.1515600750503814</v>
      </c>
      <c r="AA72" s="298">
        <f t="shared" si="86"/>
        <v>0.5263430838420825</v>
      </c>
      <c r="AB72" s="298">
        <f t="shared" si="86"/>
        <v>0.42263025488153272</v>
      </c>
      <c r="AC72" s="298">
        <f t="shared" si="86"/>
        <v>0.39811094452773621</v>
      </c>
      <c r="AD72" s="298">
        <f t="shared" si="86"/>
        <v>0.49504535613685202</v>
      </c>
      <c r="AE72" s="284">
        <f t="shared" si="86"/>
        <v>1.8423097455365089</v>
      </c>
      <c r="AF72" s="298">
        <f t="shared" si="86"/>
        <v>0.39483010341004782</v>
      </c>
      <c r="AG72" s="298">
        <f t="shared" si="86"/>
        <v>0.76741285069515319</v>
      </c>
      <c r="AH72" s="298">
        <f t="shared" si="86"/>
        <v>0.77042069823167214</v>
      </c>
      <c r="AI72" s="298">
        <f t="shared" ref="AI72:BB72" si="87">INDEX(SP_CFA_CFO_BeforeWC,0,COLUMN())/INDEX(SP_CS_ShareCount,0,COLUMN())</f>
        <v>0.63111804222648715</v>
      </c>
      <c r="AJ72" s="284">
        <f t="shared" si="87"/>
        <v>2.5608401738290674</v>
      </c>
      <c r="AK72" s="298">
        <f t="shared" si="87"/>
        <v>0.19973505148431442</v>
      </c>
      <c r="AL72" s="298">
        <f t="shared" si="87"/>
        <v>0.52904295403165036</v>
      </c>
      <c r="AM72" s="298">
        <f t="shared" si="87"/>
        <v>0.31375257035877568</v>
      </c>
      <c r="AN72" s="298">
        <f t="shared" si="87"/>
        <v>0.8512888515152498</v>
      </c>
      <c r="AO72" s="284">
        <f t="shared" si="87"/>
        <v>1.870944884315598</v>
      </c>
      <c r="AP72" s="298">
        <f>INDEX(SP_CFA_CFO_BeforeWC,0,COLUMN())/INDEX(SP_CS_ShareCount,0,COLUMN())</f>
        <v>0.72106834555721466</v>
      </c>
      <c r="AQ72" s="357">
        <f>INDEX(SP_CFA_CFO_BeforeWC,0,COLUMN())/INDEX(SP_CS_ShareCount,0,COLUMN())</f>
        <v>0.45217193393159044</v>
      </c>
      <c r="AR72" s="111">
        <f t="shared" ca="1" si="87"/>
        <v>0.20334544185967188</v>
      </c>
      <c r="AS72" s="111">
        <f t="shared" ca="1" si="87"/>
        <v>0.29445993691993794</v>
      </c>
      <c r="AT72" s="100">
        <f t="shared" ca="1" si="87"/>
        <v>1.6716173682502946</v>
      </c>
      <c r="AU72" s="111">
        <f t="shared" ca="1" si="87"/>
        <v>0.62824833661256674</v>
      </c>
      <c r="AV72" s="111">
        <f t="shared" ca="1" si="87"/>
        <v>0.80026949301818218</v>
      </c>
      <c r="AW72" s="111">
        <f t="shared" ca="1" si="87"/>
        <v>0.8439228620278858</v>
      </c>
      <c r="AX72" s="111">
        <f t="shared" ca="1" si="87"/>
        <v>0.78555433825243881</v>
      </c>
      <c r="AY72" s="100">
        <f t="shared" ca="1" si="87"/>
        <v>3.0579950299110736</v>
      </c>
      <c r="AZ72" s="100">
        <f t="shared" ca="1" si="87"/>
        <v>2.7618334872401182</v>
      </c>
      <c r="BA72" s="100">
        <f t="shared" ca="1" si="87"/>
        <v>3.9327559470669269</v>
      </c>
      <c r="BB72" s="100">
        <f t="shared" ca="1" si="87"/>
        <v>2.139883655035288</v>
      </c>
      <c r="BC72" s="111"/>
    </row>
    <row r="73" spans="1:55" s="64" customFormat="1">
      <c r="A73" s="201" t="s">
        <v>233</v>
      </c>
      <c r="B73" s="202"/>
      <c r="C73" s="284">
        <f t="shared" ref="C73:AH73" si="88">INDEX(SP_CFA_FCF_PreDiv,0,COLUMN())/INDEX(SP_CS_ShareCount,0,COLUMN())</f>
        <v>0.48083253612882348</v>
      </c>
      <c r="D73" s="284">
        <f>INDEX(SP_CFA_FCF_PreDiv,0,COLUMN())/INDEX(SP_CS_ShareCount,0,COLUMN())</f>
        <v>0.65054187094668348</v>
      </c>
      <c r="E73" s="284">
        <f t="shared" si="88"/>
        <v>0.54271995663145112</v>
      </c>
      <c r="F73" s="284">
        <f t="shared" si="88"/>
        <v>0.40951065396619707</v>
      </c>
      <c r="G73" s="298">
        <f t="shared" si="88"/>
        <v>0.38009804287852017</v>
      </c>
      <c r="H73" s="298">
        <f t="shared" si="88"/>
        <v>0.2277957194387516</v>
      </c>
      <c r="I73" s="298">
        <f t="shared" si="88"/>
        <v>0.29509146663138519</v>
      </c>
      <c r="J73" s="298">
        <f t="shared" si="88"/>
        <v>0.24681013140354227</v>
      </c>
      <c r="K73" s="284">
        <f t="shared" si="88"/>
        <v>0.94341951651162592</v>
      </c>
      <c r="L73" s="298">
        <f t="shared" si="88"/>
        <v>-0.18175982813052652</v>
      </c>
      <c r="M73" s="298">
        <f t="shared" si="88"/>
        <v>0.37295166570004612</v>
      </c>
      <c r="N73" s="298">
        <f t="shared" si="88"/>
        <v>0.56387297194993036</v>
      </c>
      <c r="O73" s="298">
        <f t="shared" si="88"/>
        <v>0.33593672935319346</v>
      </c>
      <c r="P73" s="284">
        <f t="shared" si="88"/>
        <v>1.069535323456726</v>
      </c>
      <c r="Q73" s="298">
        <f t="shared" si="88"/>
        <v>0.29593561170753946</v>
      </c>
      <c r="R73" s="298">
        <f t="shared" si="88"/>
        <v>0.54240006692735643</v>
      </c>
      <c r="S73" s="298">
        <f t="shared" si="88"/>
        <v>0.82117423208905549</v>
      </c>
      <c r="T73" s="298">
        <f t="shared" si="88"/>
        <v>0.55624289753291445</v>
      </c>
      <c r="U73" s="284">
        <f t="shared" si="88"/>
        <v>2.2156993692385143</v>
      </c>
      <c r="V73" s="298">
        <f t="shared" si="88"/>
        <v>0.47044169918077366</v>
      </c>
      <c r="W73" s="298">
        <f t="shared" si="88"/>
        <v>0.53392034760753815</v>
      </c>
      <c r="X73" s="298">
        <f t="shared" si="88"/>
        <v>0.3930080048542558</v>
      </c>
      <c r="Y73" s="298">
        <f t="shared" si="88"/>
        <v>0.37540237345519289</v>
      </c>
      <c r="Z73" s="284">
        <f t="shared" si="88"/>
        <v>1.774078663917908</v>
      </c>
      <c r="AA73" s="298">
        <f t="shared" si="88"/>
        <v>0.44662381551918351</v>
      </c>
      <c r="AB73" s="298">
        <f t="shared" si="88"/>
        <v>0.33642223721799247</v>
      </c>
      <c r="AC73" s="298">
        <f t="shared" si="88"/>
        <v>0.27922038980509756</v>
      </c>
      <c r="AD73" s="298">
        <f t="shared" si="88"/>
        <v>0.37824457394718658</v>
      </c>
      <c r="AE73" s="284">
        <f t="shared" si="88"/>
        <v>1.4425825968325525</v>
      </c>
      <c r="AF73" s="298">
        <f t="shared" si="88"/>
        <v>0.26318977894360607</v>
      </c>
      <c r="AG73" s="298">
        <f t="shared" si="88"/>
        <v>0.6419450681544987</v>
      </c>
      <c r="AH73" s="298">
        <f t="shared" si="88"/>
        <v>0.65149079438260182</v>
      </c>
      <c r="AI73" s="298">
        <f t="shared" ref="AI73:BB73" si="89">INDEX(SP_CFA_FCF_PreDiv,0,COLUMN())/INDEX(SP_CS_ShareCount,0,COLUMN())</f>
        <v>0.51412547984644885</v>
      </c>
      <c r="AJ73" s="284">
        <f t="shared" si="89"/>
        <v>2.0684150169000479</v>
      </c>
      <c r="AK73" s="298">
        <f t="shared" si="89"/>
        <v>9.5140603360029469E-2</v>
      </c>
      <c r="AL73" s="298">
        <f t="shared" si="89"/>
        <v>0.42525998492840994</v>
      </c>
      <c r="AM73" s="298">
        <f t="shared" si="89"/>
        <v>0.25442715526501514</v>
      </c>
      <c r="AN73" s="298">
        <f t="shared" si="89"/>
        <v>0.74672531453151814</v>
      </c>
      <c r="AO73" s="284">
        <f t="shared" si="89"/>
        <v>1.4986906559043716</v>
      </c>
      <c r="AP73" s="298">
        <f>INDEX(SP_CFA_FCF_PreDiv,0,COLUMN())/INDEX(SP_CS_ShareCount,0,COLUMN())</f>
        <v>0.63042772765626054</v>
      </c>
      <c r="AQ73" s="357">
        <f>INDEX(SP_CFA_FCF_PreDiv,0,COLUMN())/INDEX(SP_CS_ShareCount,0,COLUMN())</f>
        <v>0.41601638704642985</v>
      </c>
      <c r="AR73" s="111">
        <f t="shared" ca="1" si="89"/>
        <v>0.12856328553245117</v>
      </c>
      <c r="AS73" s="111">
        <f t="shared" ca="1" si="89"/>
        <v>0.23593477109863475</v>
      </c>
      <c r="AT73" s="100">
        <f t="shared" ca="1" si="89"/>
        <v>1.411465599510755</v>
      </c>
      <c r="AU73" s="111">
        <f t="shared" ca="1" si="89"/>
        <v>0.36813648851788605</v>
      </c>
      <c r="AV73" s="111">
        <f t="shared" ca="1" si="89"/>
        <v>0.54015764492350149</v>
      </c>
      <c r="AW73" s="111">
        <f t="shared" ca="1" si="89"/>
        <v>0.58381101393320511</v>
      </c>
      <c r="AX73" s="111">
        <f t="shared" ca="1" si="89"/>
        <v>0.52544249015775801</v>
      </c>
      <c r="AY73" s="100">
        <f t="shared" ca="1" si="89"/>
        <v>2.0175476375323509</v>
      </c>
      <c r="AZ73" s="100">
        <f t="shared" ca="1" si="89"/>
        <v>1.7213860948613955</v>
      </c>
      <c r="BA73" s="100">
        <f t="shared" ca="1" si="89"/>
        <v>2.8923085546882041</v>
      </c>
      <c r="BB73" s="100">
        <f t="shared" ca="1" si="89"/>
        <v>1.099436262656565</v>
      </c>
      <c r="BC73" s="111"/>
    </row>
    <row r="74" spans="1:55" s="64" customFormat="1">
      <c r="A74" s="201" t="s">
        <v>46</v>
      </c>
      <c r="B74" s="202"/>
      <c r="C74" s="284">
        <f t="shared" ref="C74:AH74" si="90">INDEX(MO_CFSum_DPS,0,COLUMN())</f>
        <v>0</v>
      </c>
      <c r="D74" s="284">
        <f t="shared" si="90"/>
        <v>0</v>
      </c>
      <c r="E74" s="284">
        <f t="shared" si="90"/>
        <v>0</v>
      </c>
      <c r="F74" s="284">
        <f t="shared" si="90"/>
        <v>0</v>
      </c>
      <c r="G74" s="298">
        <f t="shared" si="90"/>
        <v>0</v>
      </c>
      <c r="H74" s="298">
        <f t="shared" si="90"/>
        <v>0</v>
      </c>
      <c r="I74" s="298">
        <f t="shared" si="90"/>
        <v>0</v>
      </c>
      <c r="J74" s="298">
        <f t="shared" si="90"/>
        <v>0</v>
      </c>
      <c r="K74" s="284">
        <f t="shared" si="90"/>
        <v>0</v>
      </c>
      <c r="L74" s="298">
        <f t="shared" si="90"/>
        <v>0</v>
      </c>
      <c r="M74" s="298">
        <f t="shared" si="90"/>
        <v>0</v>
      </c>
      <c r="N74" s="298">
        <f t="shared" si="90"/>
        <v>0</v>
      </c>
      <c r="O74" s="298">
        <f t="shared" si="90"/>
        <v>0</v>
      </c>
      <c r="P74" s="284">
        <f t="shared" si="90"/>
        <v>0</v>
      </c>
      <c r="Q74" s="298">
        <f t="shared" si="90"/>
        <v>0</v>
      </c>
      <c r="R74" s="298">
        <f t="shared" si="90"/>
        <v>0</v>
      </c>
      <c r="S74" s="298">
        <f t="shared" si="90"/>
        <v>0</v>
      </c>
      <c r="T74" s="298">
        <f t="shared" si="90"/>
        <v>0</v>
      </c>
      <c r="U74" s="284">
        <f t="shared" si="90"/>
        <v>0</v>
      </c>
      <c r="V74" s="298">
        <f t="shared" si="90"/>
        <v>0</v>
      </c>
      <c r="W74" s="298">
        <f t="shared" si="90"/>
        <v>0</v>
      </c>
      <c r="X74" s="298">
        <f t="shared" si="90"/>
        <v>0</v>
      </c>
      <c r="Y74" s="298">
        <f t="shared" si="90"/>
        <v>0</v>
      </c>
      <c r="Z74" s="284">
        <f t="shared" si="90"/>
        <v>0</v>
      </c>
      <c r="AA74" s="298">
        <f t="shared" si="90"/>
        <v>0</v>
      </c>
      <c r="AB74" s="298">
        <f t="shared" si="90"/>
        <v>0</v>
      </c>
      <c r="AC74" s="298">
        <f t="shared" si="90"/>
        <v>0</v>
      </c>
      <c r="AD74" s="298">
        <f t="shared" si="90"/>
        <v>0</v>
      </c>
      <c r="AE74" s="284">
        <f t="shared" si="90"/>
        <v>0</v>
      </c>
      <c r="AF74" s="298">
        <f t="shared" si="90"/>
        <v>0</v>
      </c>
      <c r="AG74" s="298">
        <f t="shared" si="90"/>
        <v>0</v>
      </c>
      <c r="AH74" s="298">
        <f t="shared" si="90"/>
        <v>0</v>
      </c>
      <c r="AI74" s="298">
        <f t="shared" ref="AI74:BB74" si="91">INDEX(MO_CFSum_DPS,0,COLUMN())</f>
        <v>0</v>
      </c>
      <c r="AJ74" s="284">
        <f t="shared" si="91"/>
        <v>0</v>
      </c>
      <c r="AK74" s="298">
        <f t="shared" si="91"/>
        <v>0</v>
      </c>
      <c r="AL74" s="298">
        <f t="shared" si="91"/>
        <v>0</v>
      </c>
      <c r="AM74" s="298">
        <f t="shared" si="91"/>
        <v>0</v>
      </c>
      <c r="AN74" s="298">
        <f t="shared" si="91"/>
        <v>0</v>
      </c>
      <c r="AO74" s="284">
        <f t="shared" si="91"/>
        <v>0</v>
      </c>
      <c r="AP74" s="298">
        <f>INDEX(MO_CFSum_DPS,0,COLUMN())</f>
        <v>0</v>
      </c>
      <c r="AQ74" s="357">
        <f>INDEX(MO_CFSum_DPS,0,COLUMN())</f>
        <v>0</v>
      </c>
      <c r="AR74" s="111">
        <f t="shared" si="91"/>
        <v>0</v>
      </c>
      <c r="AS74" s="111">
        <f t="shared" si="91"/>
        <v>0</v>
      </c>
      <c r="AT74" s="100">
        <f t="shared" si="91"/>
        <v>0</v>
      </c>
      <c r="AU74" s="111">
        <f t="shared" si="91"/>
        <v>0</v>
      </c>
      <c r="AV74" s="111">
        <f t="shared" si="91"/>
        <v>0</v>
      </c>
      <c r="AW74" s="111">
        <f t="shared" si="91"/>
        <v>0</v>
      </c>
      <c r="AX74" s="111">
        <f t="shared" si="91"/>
        <v>0</v>
      </c>
      <c r="AY74" s="100">
        <f t="shared" si="91"/>
        <v>0</v>
      </c>
      <c r="AZ74" s="100">
        <f t="shared" si="91"/>
        <v>0</v>
      </c>
      <c r="BA74" s="100">
        <f t="shared" si="91"/>
        <v>0</v>
      </c>
      <c r="BB74" s="100">
        <f t="shared" si="91"/>
        <v>0</v>
      </c>
      <c r="BC74" s="111"/>
    </row>
    <row r="75" spans="1:55" s="69" customFormat="1">
      <c r="A75" s="204" t="s">
        <v>234</v>
      </c>
      <c r="B75" s="205"/>
      <c r="C75" s="291">
        <f t="shared" ref="C75:AH75" si="92">C74/C73</f>
        <v>0</v>
      </c>
      <c r="D75" s="291">
        <f t="shared" si="92"/>
        <v>0</v>
      </c>
      <c r="E75" s="291">
        <f t="shared" si="92"/>
        <v>0</v>
      </c>
      <c r="F75" s="291">
        <f t="shared" si="92"/>
        <v>0</v>
      </c>
      <c r="G75" s="301">
        <f t="shared" si="92"/>
        <v>0</v>
      </c>
      <c r="H75" s="301">
        <f t="shared" si="92"/>
        <v>0</v>
      </c>
      <c r="I75" s="301">
        <f t="shared" si="92"/>
        <v>0</v>
      </c>
      <c r="J75" s="301">
        <f t="shared" si="92"/>
        <v>0</v>
      </c>
      <c r="K75" s="291">
        <f t="shared" si="92"/>
        <v>0</v>
      </c>
      <c r="L75" s="301">
        <f t="shared" si="92"/>
        <v>0</v>
      </c>
      <c r="M75" s="301">
        <f t="shared" si="92"/>
        <v>0</v>
      </c>
      <c r="N75" s="301">
        <f t="shared" si="92"/>
        <v>0</v>
      </c>
      <c r="O75" s="301">
        <f t="shared" si="92"/>
        <v>0</v>
      </c>
      <c r="P75" s="291">
        <f t="shared" si="92"/>
        <v>0</v>
      </c>
      <c r="Q75" s="301">
        <f t="shared" si="92"/>
        <v>0</v>
      </c>
      <c r="R75" s="301">
        <f t="shared" si="92"/>
        <v>0</v>
      </c>
      <c r="S75" s="301">
        <f t="shared" si="92"/>
        <v>0</v>
      </c>
      <c r="T75" s="301">
        <f t="shared" si="92"/>
        <v>0</v>
      </c>
      <c r="U75" s="291">
        <f t="shared" si="92"/>
        <v>0</v>
      </c>
      <c r="V75" s="301">
        <f t="shared" si="92"/>
        <v>0</v>
      </c>
      <c r="W75" s="301">
        <f t="shared" si="92"/>
        <v>0</v>
      </c>
      <c r="X75" s="301">
        <f t="shared" si="92"/>
        <v>0</v>
      </c>
      <c r="Y75" s="301">
        <f t="shared" si="92"/>
        <v>0</v>
      </c>
      <c r="Z75" s="291">
        <f t="shared" si="92"/>
        <v>0</v>
      </c>
      <c r="AA75" s="301">
        <f t="shared" si="92"/>
        <v>0</v>
      </c>
      <c r="AB75" s="301">
        <f t="shared" si="92"/>
        <v>0</v>
      </c>
      <c r="AC75" s="301">
        <f t="shared" si="92"/>
        <v>0</v>
      </c>
      <c r="AD75" s="301">
        <f t="shared" si="92"/>
        <v>0</v>
      </c>
      <c r="AE75" s="291">
        <f t="shared" si="92"/>
        <v>0</v>
      </c>
      <c r="AF75" s="301">
        <f t="shared" si="92"/>
        <v>0</v>
      </c>
      <c r="AG75" s="301">
        <f t="shared" si="92"/>
        <v>0</v>
      </c>
      <c r="AH75" s="301">
        <f t="shared" si="92"/>
        <v>0</v>
      </c>
      <c r="AI75" s="301">
        <f t="shared" ref="AI75:BB75" si="93">AI74/AI73</f>
        <v>0</v>
      </c>
      <c r="AJ75" s="291">
        <f t="shared" si="93"/>
        <v>0</v>
      </c>
      <c r="AK75" s="301">
        <f t="shared" si="93"/>
        <v>0</v>
      </c>
      <c r="AL75" s="301">
        <f t="shared" si="93"/>
        <v>0</v>
      </c>
      <c r="AM75" s="301">
        <f t="shared" si="93"/>
        <v>0</v>
      </c>
      <c r="AN75" s="301">
        <f t="shared" si="93"/>
        <v>0</v>
      </c>
      <c r="AO75" s="291">
        <f t="shared" si="93"/>
        <v>0</v>
      </c>
      <c r="AP75" s="301">
        <f>AP74/AP73</f>
        <v>0</v>
      </c>
      <c r="AQ75" s="360">
        <f>AQ74/AQ73</f>
        <v>0</v>
      </c>
      <c r="AR75" s="118">
        <f t="shared" ca="1" si="93"/>
        <v>0</v>
      </c>
      <c r="AS75" s="118">
        <f t="shared" ca="1" si="93"/>
        <v>0</v>
      </c>
      <c r="AT75" s="117">
        <f t="shared" ca="1" si="93"/>
        <v>0</v>
      </c>
      <c r="AU75" s="118">
        <f t="shared" ca="1" si="93"/>
        <v>0</v>
      </c>
      <c r="AV75" s="118">
        <f t="shared" ca="1" si="93"/>
        <v>0</v>
      </c>
      <c r="AW75" s="118">
        <f t="shared" ca="1" si="93"/>
        <v>0</v>
      </c>
      <c r="AX75" s="118">
        <f t="shared" ca="1" si="93"/>
        <v>0</v>
      </c>
      <c r="AY75" s="117">
        <f t="shared" ca="1" si="93"/>
        <v>0</v>
      </c>
      <c r="AZ75" s="117">
        <f t="shared" ca="1" si="93"/>
        <v>0</v>
      </c>
      <c r="BA75" s="117">
        <f t="shared" ca="1" si="93"/>
        <v>0</v>
      </c>
      <c r="BB75" s="117">
        <f t="shared" ca="1" si="93"/>
        <v>0</v>
      </c>
      <c r="BC75" s="233"/>
    </row>
    <row r="76" spans="1:55" s="69" customFormat="1">
      <c r="A76" s="204" t="s">
        <v>235</v>
      </c>
      <c r="B76" s="205"/>
      <c r="C76" s="291">
        <f t="shared" ref="C76:AH76" si="94">C74/C50</f>
        <v>0</v>
      </c>
      <c r="D76" s="291">
        <f t="shared" si="94"/>
        <v>0</v>
      </c>
      <c r="E76" s="291">
        <f t="shared" si="94"/>
        <v>0</v>
      </c>
      <c r="F76" s="291">
        <f t="shared" si="94"/>
        <v>0</v>
      </c>
      <c r="G76" s="301">
        <f t="shared" si="94"/>
        <v>0</v>
      </c>
      <c r="H76" s="301">
        <f t="shared" si="94"/>
        <v>0</v>
      </c>
      <c r="I76" s="301">
        <f t="shared" si="94"/>
        <v>0</v>
      </c>
      <c r="J76" s="301">
        <f t="shared" si="94"/>
        <v>0</v>
      </c>
      <c r="K76" s="291">
        <f t="shared" si="94"/>
        <v>0</v>
      </c>
      <c r="L76" s="301">
        <f t="shared" si="94"/>
        <v>0</v>
      </c>
      <c r="M76" s="301">
        <f t="shared" si="94"/>
        <v>0</v>
      </c>
      <c r="N76" s="301">
        <f t="shared" si="94"/>
        <v>0</v>
      </c>
      <c r="O76" s="301">
        <f t="shared" si="94"/>
        <v>0</v>
      </c>
      <c r="P76" s="291">
        <f t="shared" si="94"/>
        <v>0</v>
      </c>
      <c r="Q76" s="301">
        <f t="shared" si="94"/>
        <v>0</v>
      </c>
      <c r="R76" s="301">
        <f t="shared" si="94"/>
        <v>0</v>
      </c>
      <c r="S76" s="301">
        <f t="shared" si="94"/>
        <v>0</v>
      </c>
      <c r="T76" s="301">
        <f t="shared" si="94"/>
        <v>0</v>
      </c>
      <c r="U76" s="291">
        <f t="shared" si="94"/>
        <v>0</v>
      </c>
      <c r="V76" s="301">
        <f t="shared" si="94"/>
        <v>0</v>
      </c>
      <c r="W76" s="301">
        <f t="shared" si="94"/>
        <v>0</v>
      </c>
      <c r="X76" s="301">
        <f t="shared" si="94"/>
        <v>0</v>
      </c>
      <c r="Y76" s="301">
        <f t="shared" si="94"/>
        <v>0</v>
      </c>
      <c r="Z76" s="291">
        <f t="shared" si="94"/>
        <v>0</v>
      </c>
      <c r="AA76" s="301">
        <f t="shared" si="94"/>
        <v>0</v>
      </c>
      <c r="AB76" s="301">
        <f t="shared" si="94"/>
        <v>0</v>
      </c>
      <c r="AC76" s="301">
        <f t="shared" si="94"/>
        <v>0</v>
      </c>
      <c r="AD76" s="301">
        <f t="shared" si="94"/>
        <v>0</v>
      </c>
      <c r="AE76" s="291">
        <f t="shared" si="94"/>
        <v>0</v>
      </c>
      <c r="AF76" s="301">
        <f t="shared" si="94"/>
        <v>0</v>
      </c>
      <c r="AG76" s="301">
        <f t="shared" si="94"/>
        <v>0</v>
      </c>
      <c r="AH76" s="301">
        <f t="shared" si="94"/>
        <v>0</v>
      </c>
      <c r="AI76" s="301">
        <f t="shared" ref="AI76:BB76" si="95">AI74/AI50</f>
        <v>0</v>
      </c>
      <c r="AJ76" s="291">
        <f t="shared" si="95"/>
        <v>0</v>
      </c>
      <c r="AK76" s="301">
        <f t="shared" si="95"/>
        <v>0</v>
      </c>
      <c r="AL76" s="301">
        <f t="shared" si="95"/>
        <v>0</v>
      </c>
      <c r="AM76" s="301">
        <f t="shared" si="95"/>
        <v>0</v>
      </c>
      <c r="AN76" s="301">
        <f t="shared" si="95"/>
        <v>0</v>
      </c>
      <c r="AO76" s="291">
        <f t="shared" si="95"/>
        <v>0</v>
      </c>
      <c r="AP76" s="301">
        <f>AP74/AP50</f>
        <v>0</v>
      </c>
      <c r="AQ76" s="360">
        <f>AQ74/AQ50</f>
        <v>0</v>
      </c>
      <c r="AR76" s="118">
        <f t="shared" ca="1" si="95"/>
        <v>0</v>
      </c>
      <c r="AS76" s="118">
        <f t="shared" ca="1" si="95"/>
        <v>0</v>
      </c>
      <c r="AT76" s="117">
        <f t="shared" ca="1" si="95"/>
        <v>0</v>
      </c>
      <c r="AU76" s="118">
        <f t="shared" ca="1" si="95"/>
        <v>0</v>
      </c>
      <c r="AV76" s="118">
        <f t="shared" ca="1" si="95"/>
        <v>0</v>
      </c>
      <c r="AW76" s="118">
        <f t="shared" ca="1" si="95"/>
        <v>0</v>
      </c>
      <c r="AX76" s="118">
        <f t="shared" ca="1" si="95"/>
        <v>0</v>
      </c>
      <c r="AY76" s="117">
        <f t="shared" ca="1" si="95"/>
        <v>0</v>
      </c>
      <c r="AZ76" s="117">
        <f t="shared" ca="1" si="95"/>
        <v>0</v>
      </c>
      <c r="BA76" s="117">
        <f t="shared" ca="1" si="95"/>
        <v>0</v>
      </c>
      <c r="BB76" s="117">
        <f t="shared" ca="1" si="95"/>
        <v>0</v>
      </c>
      <c r="BC76" s="233"/>
    </row>
    <row r="77" spans="1:55" s="64" customFormat="1">
      <c r="A77" s="201"/>
      <c r="B77" s="202"/>
      <c r="C77" s="284"/>
      <c r="D77" s="284"/>
      <c r="E77" s="284"/>
      <c r="F77" s="284"/>
      <c r="G77" s="298"/>
      <c r="H77" s="298"/>
      <c r="I77" s="298"/>
      <c r="J77" s="298"/>
      <c r="K77" s="284"/>
      <c r="L77" s="298"/>
      <c r="M77" s="298"/>
      <c r="N77" s="298"/>
      <c r="O77" s="298"/>
      <c r="P77" s="284"/>
      <c r="Q77" s="298"/>
      <c r="R77" s="298"/>
      <c r="S77" s="298"/>
      <c r="T77" s="298"/>
      <c r="U77" s="284"/>
      <c r="V77" s="298"/>
      <c r="W77" s="298"/>
      <c r="X77" s="298"/>
      <c r="Y77" s="298"/>
      <c r="Z77" s="284"/>
      <c r="AA77" s="298"/>
      <c r="AB77" s="298"/>
      <c r="AC77" s="298"/>
      <c r="AD77" s="298"/>
      <c r="AE77" s="284"/>
      <c r="AF77" s="298"/>
      <c r="AG77" s="298"/>
      <c r="AH77" s="298"/>
      <c r="AI77" s="298"/>
      <c r="AJ77" s="284"/>
      <c r="AK77" s="298"/>
      <c r="AL77" s="298"/>
      <c r="AM77" s="298"/>
      <c r="AN77" s="298"/>
      <c r="AO77" s="284"/>
      <c r="AP77" s="298"/>
      <c r="AQ77" s="357"/>
      <c r="AR77" s="111"/>
      <c r="AS77" s="111"/>
      <c r="AT77" s="100"/>
      <c r="AU77" s="111"/>
      <c r="AV77" s="111"/>
      <c r="AW77" s="111"/>
      <c r="AX77" s="111"/>
      <c r="AY77" s="100"/>
      <c r="AZ77" s="100"/>
      <c r="BA77" s="100"/>
      <c r="BB77" s="100"/>
      <c r="BC77" s="111"/>
    </row>
    <row r="78" spans="1:55">
      <c r="A78" s="97" t="s">
        <v>26</v>
      </c>
      <c r="B78" s="533"/>
      <c r="C78" s="576"/>
      <c r="D78" s="576"/>
      <c r="E78" s="576"/>
      <c r="F78" s="576"/>
      <c r="G78" s="576"/>
      <c r="H78" s="576"/>
      <c r="I78" s="576"/>
      <c r="J78" s="576"/>
      <c r="K78" s="576"/>
      <c r="L78" s="576"/>
      <c r="M78" s="576"/>
      <c r="N78" s="576"/>
      <c r="O78" s="576"/>
      <c r="P78" s="576"/>
      <c r="Q78" s="576"/>
      <c r="R78" s="576"/>
      <c r="S78" s="576"/>
      <c r="T78" s="576"/>
      <c r="U78" s="576"/>
      <c r="V78" s="576"/>
      <c r="W78" s="576"/>
      <c r="X78" s="576"/>
      <c r="Y78" s="576"/>
      <c r="Z78" s="576"/>
      <c r="AA78" s="576"/>
      <c r="AB78" s="576"/>
      <c r="AC78" s="576"/>
      <c r="AD78" s="576"/>
      <c r="AE78" s="576"/>
      <c r="AF78" s="576"/>
      <c r="AG78" s="576"/>
      <c r="AH78" s="576"/>
      <c r="AI78" s="576"/>
      <c r="AJ78" s="576"/>
      <c r="AK78" s="576"/>
      <c r="AL78" s="576"/>
      <c r="AM78" s="576"/>
      <c r="AN78" s="576"/>
      <c r="AO78" s="576"/>
      <c r="AP78" s="576"/>
      <c r="AQ78" s="577"/>
      <c r="AR78" s="578"/>
      <c r="AS78" s="578"/>
      <c r="AT78" s="578"/>
      <c r="AU78" s="578"/>
      <c r="AV78" s="578"/>
      <c r="AW78" s="578"/>
      <c r="AX78" s="578"/>
      <c r="AY78" s="578"/>
      <c r="AZ78" s="578"/>
      <c r="BA78" s="578"/>
      <c r="BB78" s="578"/>
      <c r="BC78" s="531"/>
    </row>
    <row r="79" spans="1:55" s="70" customFormat="1">
      <c r="A79" s="206" t="s">
        <v>237</v>
      </c>
      <c r="B79" s="207"/>
      <c r="C79" s="511">
        <f>INDEX(MO_BSS_Debt_Net,0,COLUMN())/INDEX(SP_BSR_EBITDA_LTM,0,COLUMN())</f>
        <v>1.4014471644035138</v>
      </c>
      <c r="D79" s="511">
        <f>INDEX(MO_BSS_Debt_Net,0,COLUMN())/INDEX(SP_BSR_EBITDA_LTM,0,COLUMN())</f>
        <v>0.52642229225410564</v>
      </c>
      <c r="E79" s="511">
        <f>INDEX(MO_BSS_Debt_Net,0,COLUMN())/INDEX(SP_BSR_EBITDA_LTM,0,COLUMN())</f>
        <v>0.56818817546090239</v>
      </c>
      <c r="F79" s="511">
        <f>INDEX(MO_BSS_Debt_Net,0,COLUMN())/INDEX(SP_BSR_EBITDA_LTM,0,COLUMN())</f>
        <v>0.55289743401580149</v>
      </c>
      <c r="G79" s="308"/>
      <c r="H79" s="308"/>
      <c r="I79" s="308"/>
      <c r="J79" s="308">
        <f t="shared" ref="J79:BB79" si="96">INDEX(MO_BSS_Debt_Net,0,COLUMN())/INDEX(SP_BSR_EBITDA_LTM,0,COLUMN())</f>
        <v>2.6610104478702414</v>
      </c>
      <c r="K79" s="511">
        <f t="shared" si="96"/>
        <v>2.6610104478702414</v>
      </c>
      <c r="L79" s="308">
        <f t="shared" si="96"/>
        <v>3.9573507524392273</v>
      </c>
      <c r="M79" s="308">
        <f t="shared" si="96"/>
        <v>2.8523410734678345</v>
      </c>
      <c r="N79" s="308">
        <f t="shared" si="96"/>
        <v>1.8750874038557588</v>
      </c>
      <c r="O79" s="308">
        <f t="shared" si="96"/>
        <v>1.3907740704450526</v>
      </c>
      <c r="P79" s="511">
        <f t="shared" si="96"/>
        <v>1.3907740704450517</v>
      </c>
      <c r="Q79" s="308">
        <f t="shared" si="96"/>
        <v>1.596163172040802</v>
      </c>
      <c r="R79" s="308">
        <f t="shared" si="96"/>
        <v>1.6146797561678181</v>
      </c>
      <c r="S79" s="308">
        <f t="shared" si="96"/>
        <v>1.3745143802531876</v>
      </c>
      <c r="T79" s="308">
        <f t="shared" si="96"/>
        <v>1.1965755158880862</v>
      </c>
      <c r="U79" s="511">
        <f t="shared" si="96"/>
        <v>1.1965755158880869</v>
      </c>
      <c r="V79" s="308">
        <f t="shared" si="96"/>
        <v>1.2332020480504122</v>
      </c>
      <c r="W79" s="509">
        <f t="shared" si="96"/>
        <v>1.2020228599621734</v>
      </c>
      <c r="X79" s="509">
        <f t="shared" si="96"/>
        <v>1.4768110687583897</v>
      </c>
      <c r="Y79" s="509">
        <f t="shared" si="96"/>
        <v>1.2866218753087642</v>
      </c>
      <c r="Z79" s="511">
        <f t="shared" si="96"/>
        <v>1.286621875308763</v>
      </c>
      <c r="AA79" s="509">
        <f t="shared" si="96"/>
        <v>1.3026924150025909</v>
      </c>
      <c r="AB79" s="509">
        <f t="shared" si="96"/>
        <v>1.7258852667514564</v>
      </c>
      <c r="AC79" s="509">
        <f t="shared" si="96"/>
        <v>1.951422272020819</v>
      </c>
      <c r="AD79" s="509">
        <f t="shared" si="96"/>
        <v>3.2545673662482795</v>
      </c>
      <c r="AE79" s="511">
        <f t="shared" si="96"/>
        <v>3.2545673662482839</v>
      </c>
      <c r="AF79" s="509">
        <f t="shared" si="96"/>
        <v>3.6316576941900216</v>
      </c>
      <c r="AG79" s="509">
        <f t="shared" si="96"/>
        <v>3.1086338397705719</v>
      </c>
      <c r="AH79" s="509">
        <f t="shared" si="96"/>
        <v>2.7887465790914021</v>
      </c>
      <c r="AI79" s="509">
        <f t="shared" si="96"/>
        <v>2.1353138231509017</v>
      </c>
      <c r="AJ79" s="511">
        <f t="shared" si="96"/>
        <v>2.135313823150903</v>
      </c>
      <c r="AK79" s="509">
        <f t="shared" si="96"/>
        <v>0.85241850367687977</v>
      </c>
      <c r="AL79" s="509">
        <f t="shared" si="96"/>
        <v>0.98859855249553408</v>
      </c>
      <c r="AM79" s="509">
        <f t="shared" si="96"/>
        <v>1.6881929105997877</v>
      </c>
      <c r="AN79" s="509">
        <f t="shared" si="96"/>
        <v>3.6612046058458851</v>
      </c>
      <c r="AO79" s="511">
        <f t="shared" si="96"/>
        <v>3.6612046058458798</v>
      </c>
      <c r="AP79" s="509">
        <f t="shared" si="96"/>
        <v>5.0202244529329949</v>
      </c>
      <c r="AQ79" s="510">
        <f t="shared" si="96"/>
        <v>8.6595244915497105</v>
      </c>
      <c r="AR79" s="119">
        <f t="shared" ca="1" si="96"/>
        <v>11.140121307549743</v>
      </c>
      <c r="AS79" s="119">
        <f t="shared" ca="1" si="96"/>
        <v>2.5805367640561281</v>
      </c>
      <c r="AT79" s="512">
        <f t="shared" ca="1" si="96"/>
        <v>2.5805367640561281</v>
      </c>
      <c r="AU79" s="119">
        <f t="shared" ca="1" si="96"/>
        <v>2.2089257527469477</v>
      </c>
      <c r="AV79" s="119">
        <f t="shared" ca="1" si="96"/>
        <v>1.6690980351088702</v>
      </c>
      <c r="AW79" s="119">
        <f t="shared" ca="1" si="96"/>
        <v>1.4400626193937884</v>
      </c>
      <c r="AX79" s="119">
        <f t="shared" ca="1" si="96"/>
        <v>1.1479646842034592</v>
      </c>
      <c r="AY79" s="512">
        <f t="shared" ca="1" si="96"/>
        <v>1.1479646842034592</v>
      </c>
      <c r="AZ79" s="512">
        <f t="shared" ca="1" si="96"/>
        <v>0.60279536689026947</v>
      </c>
      <c r="BA79" s="512">
        <f t="shared" ca="1" si="96"/>
        <v>0.54777827373194055</v>
      </c>
      <c r="BB79" s="512">
        <f t="shared" ca="1" si="96"/>
        <v>-1.6469349906745367</v>
      </c>
      <c r="BC79" s="119"/>
    </row>
    <row r="80" spans="1:55" s="70" customFormat="1">
      <c r="A80" s="206" t="s">
        <v>238</v>
      </c>
      <c r="B80" s="207"/>
      <c r="C80" s="511">
        <f>INDEX(MO_BSS_Debt_Net,0,COLUMN())/INDEX(SP_BSR_CashFlow_LTM,0,COLUMN())</f>
        <v>1.9016257570927637</v>
      </c>
      <c r="D80" s="511">
        <f>INDEX(MO_BSS_Debt_Net,0,COLUMN())/INDEX(SP_BSR_CashFlow_LTM,0,COLUMN())</f>
        <v>0.68110219322717713</v>
      </c>
      <c r="E80" s="511">
        <f>INDEX(MO_BSS_Debt_Net,0,COLUMN())/INDEX(SP_BSR_CashFlow_LTM,0,COLUMN())</f>
        <v>0.71845659163987141</v>
      </c>
      <c r="F80" s="511">
        <f>INDEX(MO_BSS_Debt_Net,0,COLUMN())/INDEX(SP_BSR_CashFlow_LTM,0,COLUMN())</f>
        <v>0.7442051889898591</v>
      </c>
      <c r="G80" s="308"/>
      <c r="H80" s="308"/>
      <c r="I80" s="308"/>
      <c r="J80" s="308">
        <f t="shared" ref="J80:BB80" si="97">INDEX(MO_BSS_Debt_Net,0,COLUMN())/INDEX(SP_BSR_CashFlow_LTM,0,COLUMN())</f>
        <v>3.7755921836935671</v>
      </c>
      <c r="K80" s="511">
        <f t="shared" si="97"/>
        <v>3.7755921836935684</v>
      </c>
      <c r="L80" s="308">
        <f t="shared" si="97"/>
        <v>6.2238549767224125</v>
      </c>
      <c r="M80" s="308">
        <f t="shared" si="97"/>
        <v>4.6462114009342317</v>
      </c>
      <c r="N80" s="308">
        <f t="shared" si="97"/>
        <v>2.8999691024254601</v>
      </c>
      <c r="O80" s="308">
        <f t="shared" si="97"/>
        <v>2.0816255644320942</v>
      </c>
      <c r="P80" s="511">
        <f t="shared" si="97"/>
        <v>2.0816255644320942</v>
      </c>
      <c r="Q80" s="308">
        <f t="shared" si="97"/>
        <v>2.3204244285389954</v>
      </c>
      <c r="R80" s="308">
        <f t="shared" si="97"/>
        <v>2.3008586452486077</v>
      </c>
      <c r="S80" s="308">
        <f t="shared" si="97"/>
        <v>1.9417276170403686</v>
      </c>
      <c r="T80" s="308">
        <f t="shared" si="97"/>
        <v>1.5844185778494875</v>
      </c>
      <c r="U80" s="511">
        <f t="shared" si="97"/>
        <v>1.5844185778494873</v>
      </c>
      <c r="V80" s="308">
        <f t="shared" si="97"/>
        <v>1.6143518566257977</v>
      </c>
      <c r="W80" s="509">
        <f t="shared" si="97"/>
        <v>1.5346771653543307</v>
      </c>
      <c r="X80" s="509">
        <f t="shared" si="97"/>
        <v>1.8746797024653583</v>
      </c>
      <c r="Y80" s="509">
        <f t="shared" si="97"/>
        <v>1.7524223502180116</v>
      </c>
      <c r="Z80" s="511">
        <f t="shared" si="97"/>
        <v>1.7524223502180112</v>
      </c>
      <c r="AA80" s="509">
        <f t="shared" si="97"/>
        <v>1.7730114599579576</v>
      </c>
      <c r="AB80" s="509">
        <f t="shared" si="97"/>
        <v>2.3415675233857054</v>
      </c>
      <c r="AC80" s="509">
        <f t="shared" si="97"/>
        <v>2.6049406542506994</v>
      </c>
      <c r="AD80" s="509">
        <f t="shared" si="97"/>
        <v>4.0865596677345097</v>
      </c>
      <c r="AE80" s="511">
        <f t="shared" si="97"/>
        <v>4.0865596677345097</v>
      </c>
      <c r="AF80" s="509">
        <f t="shared" si="97"/>
        <v>4.5656675749318802</v>
      </c>
      <c r="AG80" s="509">
        <f t="shared" si="97"/>
        <v>3.7661817321623929</v>
      </c>
      <c r="AH80" s="509">
        <f t="shared" si="97"/>
        <v>3.1939419014305237</v>
      </c>
      <c r="AI80" s="509">
        <f t="shared" si="97"/>
        <v>2.5615159800131995</v>
      </c>
      <c r="AJ80" s="511">
        <f t="shared" si="97"/>
        <v>2.5615159800131995</v>
      </c>
      <c r="AK80" s="509">
        <f t="shared" si="97"/>
        <v>1.2662035561787013</v>
      </c>
      <c r="AL80" s="509">
        <f t="shared" si="97"/>
        <v>1.4891475173087541</v>
      </c>
      <c r="AM80" s="509">
        <f t="shared" si="97"/>
        <v>2.8394106614729862</v>
      </c>
      <c r="AN80" s="509">
        <f t="shared" si="97"/>
        <v>2.9948459549803212</v>
      </c>
      <c r="AO80" s="511">
        <f t="shared" si="97"/>
        <v>2.9948459549803226</v>
      </c>
      <c r="AP80" s="509">
        <f t="shared" si="97"/>
        <v>2.2215845061194543</v>
      </c>
      <c r="AQ80" s="510">
        <f t="shared" si="97"/>
        <v>2.0799779826613456</v>
      </c>
      <c r="AR80" s="119">
        <f t="shared" ca="1" si="97"/>
        <v>1.791504092771155</v>
      </c>
      <c r="AS80" s="119">
        <f t="shared" ca="1" si="97"/>
        <v>1.8879555627242215</v>
      </c>
      <c r="AT80" s="512">
        <f t="shared" ca="1" si="97"/>
        <v>1.8879555627242215</v>
      </c>
      <c r="AU80" s="119">
        <f t="shared" ca="1" si="97"/>
        <v>1.9420628032942082</v>
      </c>
      <c r="AV80" s="119">
        <f t="shared" ca="1" si="97"/>
        <v>1.8714917459447695</v>
      </c>
      <c r="AW80" s="119">
        <f t="shared" ca="1" si="97"/>
        <v>1.5882503093596336</v>
      </c>
      <c r="AX80" s="119">
        <f t="shared" ca="1" si="97"/>
        <v>1.256949525187091</v>
      </c>
      <c r="AY80" s="512">
        <f t="shared" ca="1" si="97"/>
        <v>1.256949525187091</v>
      </c>
      <c r="AZ80" s="512">
        <f t="shared" ca="1" si="97"/>
        <v>0.6827032641741998</v>
      </c>
      <c r="BA80" s="512">
        <f t="shared" ca="1" si="97"/>
        <v>0.61416690431825371</v>
      </c>
      <c r="BB80" s="512">
        <f t="shared" ca="1" si="97"/>
        <v>-1.8645311728306411</v>
      </c>
      <c r="BC80" s="119"/>
    </row>
    <row r="81" spans="1:55" s="71" customFormat="1">
      <c r="A81" s="208" t="s">
        <v>239</v>
      </c>
      <c r="B81" s="209"/>
      <c r="C81" s="529">
        <f>_xlfn.SINGLE(INDEX(MO_BSS_Debt_Net,0,COLUMN()))/SUM(_xlfn.SINGLE(INDEX(MO_BS_SE,0,COLUMN())),_xlfn.SINGLE(INDEX(MO_BSS_Debt,0,COLUMN())),IFERROR(_xlfn.SINGLE(INDEX(MO_BSS_OL,0,COLUMN())),0))</f>
        <v>0.28436728350923357</v>
      </c>
      <c r="D81" s="529">
        <f>_xlfn.SINGLE(INDEX(MO_BSS_Debt_Net,0,COLUMN()))/SUM(_xlfn.SINGLE(INDEX(MO_BS_SE,0,COLUMN())),_xlfn.SINGLE(INDEX(MO_BSS_Debt,0,COLUMN())),IFERROR(_xlfn.SINGLE(INDEX(MO_BSS_OL,0,COLUMN())),0))</f>
        <v>0.13704628086326465</v>
      </c>
      <c r="E81" s="529">
        <f>_xlfn.SINGLE(INDEX(MO_BSS_Debt_Net,0,COLUMN()))/SUM(_xlfn.SINGLE(INDEX(MO_BS_SE,0,COLUMN())),_xlfn.SINGLE(INDEX(MO_BSS_Debt,0,COLUMN())),IFERROR(_xlfn.SINGLE(INDEX(MO_BSS_OL,0,COLUMN())),0))</f>
        <v>0.16414204487019377</v>
      </c>
      <c r="F81" s="529">
        <f>_xlfn.SINGLE(INDEX(MO_BSS_Debt_Net,0,COLUMN()))/SUM(_xlfn.SINGLE(INDEX(MO_BS_SE,0,COLUMN())),_xlfn.SINGLE(INDEX(MO_BSS_Debt,0,COLUMN())),IFERROR(_xlfn.SINGLE(INDEX(MO_BSS_OL,0,COLUMN())),0))</f>
        <v>0.14571581451420543</v>
      </c>
      <c r="G81" s="302"/>
      <c r="H81" s="302"/>
      <c r="I81" s="302"/>
      <c r="J81" s="302">
        <f t="shared" ref="J81:BB81" si="98">_xlfn.SINGLE(INDEX(MO_BSS_Debt_Net,0,COLUMN()))/SUM(_xlfn.SINGLE(INDEX(MO_BS_SE,0,COLUMN())),_xlfn.SINGLE(INDEX(MO_BSS_Debt,0,COLUMN())),IFERROR(_xlfn.SINGLE(INDEX(MO_BSS_OL,0,COLUMN())),0))</f>
        <v>0.39180644866322961</v>
      </c>
      <c r="K81" s="529">
        <f t="shared" si="98"/>
        <v>0.39180644866322961</v>
      </c>
      <c r="L81" s="302">
        <f t="shared" si="98"/>
        <v>0.53247339869251964</v>
      </c>
      <c r="M81" s="302">
        <f t="shared" si="98"/>
        <v>0.51049754621986143</v>
      </c>
      <c r="N81" s="302">
        <f t="shared" si="98"/>
        <v>0.44281596180339311</v>
      </c>
      <c r="O81" s="302">
        <f t="shared" si="98"/>
        <v>0.39352359643469487</v>
      </c>
      <c r="P81" s="529">
        <f t="shared" si="98"/>
        <v>0.39352359643469487</v>
      </c>
      <c r="Q81" s="302">
        <f t="shared" si="98"/>
        <v>0.42797764397859606</v>
      </c>
      <c r="R81" s="302">
        <f t="shared" si="98"/>
        <v>0.42560212099261469</v>
      </c>
      <c r="S81" s="302">
        <f t="shared" si="98"/>
        <v>0.37785470640786162</v>
      </c>
      <c r="T81" s="302">
        <f t="shared" si="98"/>
        <v>0.32175211802201636</v>
      </c>
      <c r="U81" s="529">
        <f t="shared" si="98"/>
        <v>0.32175211802201636</v>
      </c>
      <c r="V81" s="302">
        <f t="shared" si="98"/>
        <v>0.32391650235144903</v>
      </c>
      <c r="W81" s="302">
        <f t="shared" si="98"/>
        <v>0.30137743205101508</v>
      </c>
      <c r="X81" s="302">
        <f t="shared" si="98"/>
        <v>0.30548157336803411</v>
      </c>
      <c r="Y81" s="302">
        <f t="shared" si="98"/>
        <v>0.26817815799608291</v>
      </c>
      <c r="Z81" s="529">
        <f t="shared" si="98"/>
        <v>0.26817815799608291</v>
      </c>
      <c r="AA81" s="302">
        <f t="shared" si="98"/>
        <v>0.26811745789547081</v>
      </c>
      <c r="AB81" s="302">
        <f t="shared" si="98"/>
        <v>0.30292017255120046</v>
      </c>
      <c r="AC81" s="302">
        <f t="shared" si="98"/>
        <v>0.31470223071946085</v>
      </c>
      <c r="AD81" s="302">
        <f t="shared" si="98"/>
        <v>0.42189717697035373</v>
      </c>
      <c r="AE81" s="529">
        <f t="shared" si="98"/>
        <v>0.42189717697035373</v>
      </c>
      <c r="AF81" s="302">
        <f t="shared" si="98"/>
        <v>0.42290187956029068</v>
      </c>
      <c r="AG81" s="302">
        <f t="shared" si="98"/>
        <v>0.41310824069344099</v>
      </c>
      <c r="AH81" s="302">
        <f t="shared" si="98"/>
        <v>0.40495318634853522</v>
      </c>
      <c r="AI81" s="302">
        <f t="shared" si="98"/>
        <v>0.35023775110496663</v>
      </c>
      <c r="AJ81" s="529">
        <f t="shared" si="98"/>
        <v>0.35023775110496663</v>
      </c>
      <c r="AK81" s="302">
        <f t="shared" si="98"/>
        <v>0.17089018060962416</v>
      </c>
      <c r="AL81" s="302">
        <f t="shared" si="98"/>
        <v>0.17610242963989892</v>
      </c>
      <c r="AM81" s="302">
        <f t="shared" si="98"/>
        <v>0.25980384068325751</v>
      </c>
      <c r="AN81" s="302">
        <f t="shared" si="98"/>
        <v>0.30179693580049016</v>
      </c>
      <c r="AO81" s="529">
        <f t="shared" si="98"/>
        <v>0.30179693580049016</v>
      </c>
      <c r="AP81" s="302">
        <f t="shared" si="98"/>
        <v>0.25239723631144945</v>
      </c>
      <c r="AQ81" s="527">
        <f t="shared" si="98"/>
        <v>0.30837906763235745</v>
      </c>
      <c r="AR81" s="528">
        <f t="shared" ca="1" si="98"/>
        <v>0.25225918401743141</v>
      </c>
      <c r="AS81" s="528">
        <f t="shared" ca="1" si="98"/>
        <v>0.19879416305004596</v>
      </c>
      <c r="AT81" s="530">
        <f t="shared" ca="1" si="98"/>
        <v>0.19879416305004596</v>
      </c>
      <c r="AU81" s="528">
        <f t="shared" ca="1" si="98"/>
        <v>0.18879307381881891</v>
      </c>
      <c r="AV81" s="528">
        <f t="shared" ca="1" si="98"/>
        <v>0.21511829274404382</v>
      </c>
      <c r="AW81" s="528">
        <f t="shared" ca="1" si="98"/>
        <v>0.23530107109160756</v>
      </c>
      <c r="AX81" s="528">
        <f t="shared" ca="1" si="98"/>
        <v>0.21551195040637375</v>
      </c>
      <c r="AY81" s="530">
        <f t="shared" ca="1" si="98"/>
        <v>0.21551195040637375</v>
      </c>
      <c r="AZ81" s="530">
        <f t="shared" ca="1" si="98"/>
        <v>9.6733764384001081E-2</v>
      </c>
      <c r="BA81" s="530">
        <f t="shared" ca="1" si="98"/>
        <v>0.10822001732207479</v>
      </c>
      <c r="BB81" s="530">
        <f t="shared" ca="1" si="98"/>
        <v>-0.17084745365053308</v>
      </c>
      <c r="BC81" s="234"/>
    </row>
    <row r="82" spans="1:55" s="68" customFormat="1" hidden="1" outlineLevel="1">
      <c r="A82" s="203" t="s">
        <v>240</v>
      </c>
      <c r="B82" s="86"/>
      <c r="C82" s="563">
        <f>C48</f>
        <v>21.283000000000008</v>
      </c>
      <c r="D82" s="563">
        <f>D48</f>
        <v>30.144999999999978</v>
      </c>
      <c r="E82" s="563">
        <f>E48</f>
        <v>39.325000000000017</v>
      </c>
      <c r="F82" s="563">
        <f>F48</f>
        <v>40.881000000000036</v>
      </c>
      <c r="G82" s="564"/>
      <c r="H82" s="564"/>
      <c r="I82" s="564"/>
      <c r="J82" s="564">
        <f>SUM(J48,I48,H48,G48)</f>
        <v>54.748000000000005</v>
      </c>
      <c r="K82" s="563">
        <f>K48</f>
        <v>54.748000000000005</v>
      </c>
      <c r="L82" s="564">
        <f>SUM(L48,J48,I48,H48)</f>
        <v>60.469999999999985</v>
      </c>
      <c r="M82" s="564">
        <f>SUM(M48,L48,J48,I48)</f>
        <v>78.809999999999988</v>
      </c>
      <c r="N82" s="564">
        <f>SUM(N48,M48,L48,J48)</f>
        <v>100.11</v>
      </c>
      <c r="O82" s="564">
        <f>SUM(O48,N48,M48,L48)</f>
        <v>116.34599999999992</v>
      </c>
      <c r="P82" s="563">
        <f>P48</f>
        <v>116.34599999999999</v>
      </c>
      <c r="Q82" s="564">
        <f>SUM(Q48,O48,N48,M48)</f>
        <v>121.66299999999993</v>
      </c>
      <c r="R82" s="564">
        <f>SUM(R48,Q48,O48,N48)</f>
        <v>128.44899999999996</v>
      </c>
      <c r="S82" s="564">
        <f>SUM(S48,R48,Q48,O48)</f>
        <v>135.39399999999995</v>
      </c>
      <c r="T82" s="564">
        <f>SUM(T48,S48,R48,Q48)</f>
        <v>126.3840000000001</v>
      </c>
      <c r="U82" s="563">
        <f>U48</f>
        <v>126.38400000000003</v>
      </c>
      <c r="V82" s="564">
        <f>SUM(V48,T48,S48,R48)</f>
        <v>126.95000000000012</v>
      </c>
      <c r="W82" s="564">
        <f>SUM(W48,V48,T48,S48)</f>
        <v>121.61000000000008</v>
      </c>
      <c r="X82" s="564">
        <f>SUM(X48,W48,V48,T48)</f>
        <v>102.05300000000005</v>
      </c>
      <c r="Y82" s="564">
        <f>SUM(Y48,X48,W48,V48)</f>
        <v>101.20999999999998</v>
      </c>
      <c r="Z82" s="563">
        <f>Z48</f>
        <v>101.21000000000006</v>
      </c>
      <c r="AA82" s="564">
        <f>SUM(AA48,Y48,X48,W48)</f>
        <v>100.35599999999997</v>
      </c>
      <c r="AB82" s="564">
        <f>SUM(AB48,AA48,Y48,X48)</f>
        <v>89.633999999999986</v>
      </c>
      <c r="AC82" s="564">
        <f>SUM(AC48,AB48,AA48,Y48)</f>
        <v>83.000999999999991</v>
      </c>
      <c r="AD82" s="564">
        <f>SUM(AD48,AC48,AB48,AA48)</f>
        <v>77.999000000000137</v>
      </c>
      <c r="AE82" s="563">
        <f>AE48</f>
        <v>77.999000000000038</v>
      </c>
      <c r="AF82" s="564">
        <f>SUM(AF48,AD48,AC48,AB48)</f>
        <v>71.515000000000171</v>
      </c>
      <c r="AG82" s="564">
        <f>SUM(AG48,AF48,AD48,AC48)</f>
        <v>81.945000000000149</v>
      </c>
      <c r="AH82" s="564">
        <f>SUM(AH48,AG48,AF48,AD48)</f>
        <v>91.350000000000136</v>
      </c>
      <c r="AI82" s="564">
        <f>SUM(AI48,AH48,AG48,AF48)</f>
        <v>101.79300000000013</v>
      </c>
      <c r="AJ82" s="563">
        <f>AJ48</f>
        <v>101.79300000000006</v>
      </c>
      <c r="AK82" s="564">
        <f>SUM(AK48,AI48,AH48,AG48)</f>
        <v>116.53900000000013</v>
      </c>
      <c r="AL82" s="564">
        <f>SUM(AL48,AK48,AI48,AH48)</f>
        <v>106.39000000000013</v>
      </c>
      <c r="AM82" s="564">
        <f>SUM(AM48,AL48,AK48,AI48)</f>
        <v>93.266000000000133</v>
      </c>
      <c r="AN82" s="564">
        <f>SUM(AN48,AM48,AL48,AK48)</f>
        <v>49.675999999999945</v>
      </c>
      <c r="AO82" s="563">
        <f>AO48</f>
        <v>49.676000000000016</v>
      </c>
      <c r="AP82" s="564">
        <f>SUM(AP48,AN48,AM48,AL48)</f>
        <v>33.770999999999972</v>
      </c>
      <c r="AQ82" s="565">
        <f>SUM(AQ48,AP48,AN48,AM48)</f>
        <v>17.454999999999977</v>
      </c>
      <c r="AR82" s="566">
        <f>SUM(AR48,AQ48,AP48,AN48)</f>
        <v>11.048199999999966</v>
      </c>
      <c r="AS82" s="566">
        <f>SUM(AS48,AR48,AQ48,AP48)</f>
        <v>37.631640000000019</v>
      </c>
      <c r="AT82" s="567">
        <f>AT48</f>
        <v>37.631640000000019</v>
      </c>
      <c r="AU82" s="566">
        <f>SUM(AU48,AS48,AR48,AQ48)</f>
        <v>42.675744000000009</v>
      </c>
      <c r="AV82" s="566">
        <f>SUM(AV48,AU48,AS48,AR48)</f>
        <v>66.430126500000014</v>
      </c>
      <c r="AW82" s="566">
        <f>SUM(AW48,AV48,AU48,AS48)</f>
        <v>87.071590955000005</v>
      </c>
      <c r="AX82" s="566">
        <f>SUM(AX48,AW48,AV48,AU48)</f>
        <v>102.980723341</v>
      </c>
      <c r="AY82" s="567">
        <f>AY48</f>
        <v>102.98072334100002</v>
      </c>
      <c r="AZ82" s="567">
        <f>AZ48</f>
        <v>96.203177594999815</v>
      </c>
      <c r="BA82" s="567">
        <f>BA48</f>
        <v>135.61522708399988</v>
      </c>
      <c r="BB82" s="567">
        <f>BB48</f>
        <v>74.509767076799832</v>
      </c>
      <c r="BC82" s="232"/>
    </row>
    <row r="83" spans="1:55" s="68" customFormat="1" hidden="1" outlineLevel="1">
      <c r="A83" s="203" t="s">
        <v>241</v>
      </c>
      <c r="B83" s="86"/>
      <c r="C83" s="563">
        <f>C59</f>
        <v>15.685</v>
      </c>
      <c r="D83" s="563">
        <f>D59</f>
        <v>23.299000000000003</v>
      </c>
      <c r="E83" s="563">
        <f>E59</f>
        <v>31.099999999999998</v>
      </c>
      <c r="F83" s="563">
        <f>F59</f>
        <v>30.372</v>
      </c>
      <c r="G83" s="564"/>
      <c r="H83" s="564"/>
      <c r="I83" s="564"/>
      <c r="J83" s="564">
        <f>SUM(J59,I59,H59,G59)</f>
        <v>38.586000000000006</v>
      </c>
      <c r="K83" s="563">
        <f>K59</f>
        <v>38.585999999999991</v>
      </c>
      <c r="L83" s="564">
        <f>SUM(L59,J59,I59,H59)</f>
        <v>38.448999999999998</v>
      </c>
      <c r="M83" s="564">
        <f>SUM(M59,L59,J59,I59)</f>
        <v>48.381999999999998</v>
      </c>
      <c r="N83" s="564">
        <f>SUM(N59,M59,L59,J59)</f>
        <v>64.72999999999999</v>
      </c>
      <c r="O83" s="564">
        <f>SUM(O59,N59,M59,L59)</f>
        <v>77.733000000000004</v>
      </c>
      <c r="P83" s="563">
        <f>P59</f>
        <v>77.733000000000004</v>
      </c>
      <c r="Q83" s="564">
        <f>SUM(Q59,O59,N59,M59)</f>
        <v>83.688999999999993</v>
      </c>
      <c r="R83" s="564">
        <f>SUM(R59,Q59,O59,N59)</f>
        <v>90.141999999999996</v>
      </c>
      <c r="S83" s="564">
        <f>SUM(S59,R59,Q59,O59)</f>
        <v>95.842999999999975</v>
      </c>
      <c r="T83" s="564">
        <f>SUM(T59,S59,R59,Q59)</f>
        <v>95.446999999999989</v>
      </c>
      <c r="U83" s="563">
        <f>U59</f>
        <v>95.447000000000003</v>
      </c>
      <c r="V83" s="564">
        <f>SUM(V59,T59,S59,R59)</f>
        <v>96.97699999999999</v>
      </c>
      <c r="W83" s="564">
        <f>SUM(W59,V59,T59,S59)</f>
        <v>95.25</v>
      </c>
      <c r="X83" s="564">
        <f>SUM(X59,W59,V59,T59)</f>
        <v>80.394000000000005</v>
      </c>
      <c r="Y83" s="564">
        <f>SUM(Y59,X59,W59,V59)</f>
        <v>74.307999999999993</v>
      </c>
      <c r="Z83" s="563">
        <f>Z59</f>
        <v>74.308000000000007</v>
      </c>
      <c r="AA83" s="564">
        <f>SUM(AA59,Y59,X59,W59)</f>
        <v>73.734999999999985</v>
      </c>
      <c r="AB83" s="564">
        <f>SUM(AB59,AA59,Y59,X59)</f>
        <v>66.066000000000003</v>
      </c>
      <c r="AC83" s="564">
        <f>SUM(AC59,AB59,AA59,Y59)</f>
        <v>62.177999999999997</v>
      </c>
      <c r="AD83" s="564">
        <f>SUM(AD59,AC59,AB59,AA59)</f>
        <v>62.119</v>
      </c>
      <c r="AE83" s="563">
        <f>AE59</f>
        <v>62.119</v>
      </c>
      <c r="AF83" s="564">
        <f>SUM(AF59,AD59,AC59,AB59)</f>
        <v>56.884999999999998</v>
      </c>
      <c r="AG83" s="564">
        <f>SUM(AG59,AF59,AD59,AC59)</f>
        <v>67.638000000000005</v>
      </c>
      <c r="AH83" s="564">
        <f>SUM(AH59,AG59,AF59,AD59)</f>
        <v>79.760999999999996</v>
      </c>
      <c r="AI83" s="564">
        <f>SUM(AI59,AH59,AG59,AF59)</f>
        <v>84.85599999999998</v>
      </c>
      <c r="AJ83" s="563">
        <f>AJ59</f>
        <v>84.85599999999998</v>
      </c>
      <c r="AK83" s="564">
        <f>SUM(AK59,AI59,AH59,AG59)</f>
        <v>78.454999999999998</v>
      </c>
      <c r="AL83" s="564">
        <f>SUM(AL59,AK59,AI59,AH59)</f>
        <v>70.629000000000005</v>
      </c>
      <c r="AM83" s="564">
        <f>SUM(AM59,AL59,AK59,AI59)</f>
        <v>55.451999999999998</v>
      </c>
      <c r="AN83" s="564">
        <f>SUM(AN59,AM59,AL59,AK59)</f>
        <v>60.729000000000021</v>
      </c>
      <c r="AO83" s="563">
        <f>AO59</f>
        <v>60.728999999999999</v>
      </c>
      <c r="AP83" s="564">
        <f>SUM(AP59,AN59,AM59,AL59)</f>
        <v>76.314000000000007</v>
      </c>
      <c r="AQ83" s="565">
        <f>SUM(AQ59,AP59,AN59,AM59)</f>
        <v>72.67</v>
      </c>
      <c r="AR83" s="566">
        <f>SUM(AR59,AQ59,AP59,AN59)</f>
        <v>68.701092409836093</v>
      </c>
      <c r="AS83" s="566">
        <f ca="1">SUM(AS59,AR59,AQ59,AP59)</f>
        <v>51.436502229745685</v>
      </c>
      <c r="AT83" s="567">
        <f ca="1">AT59</f>
        <v>51.436502229745685</v>
      </c>
      <c r="AU83" s="566">
        <f ca="1">SUM(AU59,AS59,AR59,AQ59)</f>
        <v>48.539908070601776</v>
      </c>
      <c r="AV83" s="566">
        <f ca="1">SUM(AV59,AU59,AS59,AR59)</f>
        <v>59.245996597868995</v>
      </c>
      <c r="AW83" s="566">
        <f ca="1">SUM(AW59,AV59,AU59,AS59)</f>
        <v>78.947595732562576</v>
      </c>
      <c r="AX83" s="566">
        <f ca="1">SUM(AX59,AW59,AV59,AU59)</f>
        <v>94.051695139944982</v>
      </c>
      <c r="AY83" s="567">
        <f ca="1">AY59</f>
        <v>94.051695139944982</v>
      </c>
      <c r="AZ83" s="567">
        <f ca="1">AZ59</f>
        <v>84.942950733557083</v>
      </c>
      <c r="BA83" s="567">
        <f ca="1">BA59</f>
        <v>120.9558419079904</v>
      </c>
      <c r="BB83" s="567">
        <f ca="1">BB59</f>
        <v>65.814261694265312</v>
      </c>
      <c r="BC83" s="232"/>
    </row>
    <row r="84" spans="1:55" collapsed="1">
      <c r="A84" s="181"/>
      <c r="B84" s="186"/>
      <c r="C84" s="571"/>
      <c r="D84" s="571"/>
      <c r="E84" s="571"/>
      <c r="F84" s="571"/>
      <c r="G84" s="572"/>
      <c r="H84" s="572"/>
      <c r="I84" s="572"/>
      <c r="J84" s="572"/>
      <c r="K84" s="571"/>
      <c r="L84" s="572"/>
      <c r="M84" s="572"/>
      <c r="N84" s="572"/>
      <c r="O84" s="572"/>
      <c r="P84" s="571"/>
      <c r="Q84" s="572"/>
      <c r="R84" s="572"/>
      <c r="S84" s="572"/>
      <c r="T84" s="572"/>
      <c r="U84" s="571"/>
      <c r="V84" s="572"/>
      <c r="W84" s="572"/>
      <c r="X84" s="572"/>
      <c r="Y84" s="572"/>
      <c r="Z84" s="571"/>
      <c r="AA84" s="572"/>
      <c r="AB84" s="572"/>
      <c r="AC84" s="572"/>
      <c r="AD84" s="572"/>
      <c r="AE84" s="571"/>
      <c r="AF84" s="572"/>
      <c r="AG84" s="572"/>
      <c r="AH84" s="572"/>
      <c r="AI84" s="572"/>
      <c r="AJ84" s="571"/>
      <c r="AK84" s="572"/>
      <c r="AL84" s="572"/>
      <c r="AM84" s="572"/>
      <c r="AN84" s="572"/>
      <c r="AO84" s="571"/>
      <c r="AP84" s="572"/>
      <c r="AQ84" s="573"/>
      <c r="AR84" s="574"/>
      <c r="AS84" s="574"/>
      <c r="AT84" s="575"/>
      <c r="AU84" s="574"/>
      <c r="AV84" s="574"/>
      <c r="AW84" s="574"/>
      <c r="AX84" s="574"/>
      <c r="AY84" s="575"/>
      <c r="AZ84" s="575"/>
      <c r="BA84" s="575"/>
      <c r="BB84" s="575"/>
      <c r="BC84" s="532"/>
    </row>
    <row r="85" spans="1:55">
      <c r="A85" s="97" t="s">
        <v>236</v>
      </c>
      <c r="B85" s="533"/>
      <c r="C85" s="576"/>
      <c r="D85" s="576"/>
      <c r="E85" s="576"/>
      <c r="F85" s="576"/>
      <c r="G85" s="576"/>
      <c r="H85" s="576"/>
      <c r="I85" s="576"/>
      <c r="J85" s="576"/>
      <c r="K85" s="576"/>
      <c r="L85" s="576"/>
      <c r="M85" s="576"/>
      <c r="N85" s="576"/>
      <c r="O85" s="576"/>
      <c r="P85" s="576"/>
      <c r="Q85" s="576"/>
      <c r="R85" s="576"/>
      <c r="S85" s="576"/>
      <c r="T85" s="576"/>
      <c r="U85" s="576"/>
      <c r="V85" s="576"/>
      <c r="W85" s="576"/>
      <c r="X85" s="576"/>
      <c r="Y85" s="576"/>
      <c r="Z85" s="576"/>
      <c r="AA85" s="576"/>
      <c r="AB85" s="576"/>
      <c r="AC85" s="576"/>
      <c r="AD85" s="576"/>
      <c r="AE85" s="576"/>
      <c r="AF85" s="576"/>
      <c r="AG85" s="576"/>
      <c r="AH85" s="576"/>
      <c r="AI85" s="576"/>
      <c r="AJ85" s="576"/>
      <c r="AK85" s="576"/>
      <c r="AL85" s="576"/>
      <c r="AM85" s="576"/>
      <c r="AN85" s="576"/>
      <c r="AO85" s="576"/>
      <c r="AP85" s="576"/>
      <c r="AQ85" s="577"/>
      <c r="AR85" s="578"/>
      <c r="AS85" s="578"/>
      <c r="AT85" s="578"/>
      <c r="AU85" s="578"/>
      <c r="AV85" s="578"/>
      <c r="AW85" s="578"/>
      <c r="AX85" s="578"/>
      <c r="AY85" s="578"/>
      <c r="AZ85" s="578"/>
      <c r="BA85" s="578"/>
      <c r="BB85" s="578"/>
      <c r="BC85" s="531"/>
    </row>
    <row r="86" spans="1:55" outlineLevel="1">
      <c r="A86" s="182" t="s">
        <v>138</v>
      </c>
      <c r="B86" s="183"/>
      <c r="C86" s="563">
        <f t="shared" ref="C86:AH86" si="99">INDEX(SP_NGF_NI,0,COLUMN())</f>
        <v>-3.8019999999999934</v>
      </c>
      <c r="D86" s="563">
        <f t="shared" si="99"/>
        <v>14.947999999999979</v>
      </c>
      <c r="E86" s="563">
        <f t="shared" si="99"/>
        <v>21.591000000000019</v>
      </c>
      <c r="F86" s="563">
        <f t="shared" si="99"/>
        <v>21.874000000000034</v>
      </c>
      <c r="G86" s="564">
        <f t="shared" si="99"/>
        <v>8.5640000000000054</v>
      </c>
      <c r="H86" s="564">
        <f t="shared" si="99"/>
        <v>5.1579999999999995</v>
      </c>
      <c r="I86" s="564">
        <f t="shared" si="99"/>
        <v>7.1549999999999958</v>
      </c>
      <c r="J86" s="564">
        <f t="shared" si="99"/>
        <v>6.3890000000000065</v>
      </c>
      <c r="K86" s="563">
        <f t="shared" si="99"/>
        <v>27.266000000000005</v>
      </c>
      <c r="L86" s="564">
        <f t="shared" si="99"/>
        <v>7.5069999999999872</v>
      </c>
      <c r="M86" s="564">
        <f t="shared" si="99"/>
        <v>13.144</v>
      </c>
      <c r="N86" s="564">
        <f t="shared" si="99"/>
        <v>17.079999999999998</v>
      </c>
      <c r="O86" s="564">
        <f t="shared" si="99"/>
        <v>18.438999999999908</v>
      </c>
      <c r="P86" s="563">
        <f t="shared" si="99"/>
        <v>56.17</v>
      </c>
      <c r="Q86" s="564">
        <f t="shared" si="99"/>
        <v>10.683000000000003</v>
      </c>
      <c r="R86" s="564">
        <f t="shared" si="99"/>
        <v>17.690000000000023</v>
      </c>
      <c r="S86" s="564">
        <f t="shared" si="99"/>
        <v>24.694000000000024</v>
      </c>
      <c r="T86" s="564">
        <f t="shared" si="99"/>
        <v>13.907000000000064</v>
      </c>
      <c r="U86" s="563">
        <f t="shared" si="99"/>
        <v>66.974000000000018</v>
      </c>
      <c r="V86" s="564">
        <f t="shared" si="99"/>
        <v>11.48500000000001</v>
      </c>
      <c r="W86" s="564">
        <f t="shared" si="99"/>
        <v>14.979999999999986</v>
      </c>
      <c r="X86" s="564">
        <f t="shared" si="99"/>
        <v>12.073999999999987</v>
      </c>
      <c r="Y86" s="564">
        <f t="shared" si="99"/>
        <v>9.8849999999999945</v>
      </c>
      <c r="Z86" s="563">
        <f t="shared" si="99"/>
        <v>48.424000000000063</v>
      </c>
      <c r="AA86" s="564">
        <f t="shared" si="99"/>
        <v>11.586999999999994</v>
      </c>
      <c r="AB86" s="564">
        <f t="shared" si="99"/>
        <v>7.6850000000000076</v>
      </c>
      <c r="AC86" s="564">
        <f t="shared" si="99"/>
        <v>6.0599999999999987</v>
      </c>
      <c r="AD86" s="564">
        <f t="shared" si="99"/>
        <v>-5.6529999999998504</v>
      </c>
      <c r="AE86" s="563">
        <f t="shared" si="99"/>
        <v>19.679000000000038</v>
      </c>
      <c r="AF86" s="564">
        <f t="shared" si="99"/>
        <v>3.2940000000000156</v>
      </c>
      <c r="AG86" s="564">
        <f t="shared" si="99"/>
        <v>14.024999999999999</v>
      </c>
      <c r="AH86" s="564">
        <f t="shared" si="99"/>
        <v>16.998999999999992</v>
      </c>
      <c r="AI86" s="564">
        <f t="shared" ref="AI86:BB86" si="100">INDEX(SP_NGF_NI,0,COLUMN())</f>
        <v>12.485000000000147</v>
      </c>
      <c r="AJ86" s="563">
        <f t="shared" si="100"/>
        <v>46.803000000000068</v>
      </c>
      <c r="AK86" s="564">
        <f t="shared" si="100"/>
        <v>16.106999999999971</v>
      </c>
      <c r="AL86" s="564">
        <f t="shared" si="100"/>
        <v>6.3389999999999951</v>
      </c>
      <c r="AM86" s="564">
        <f t="shared" si="100"/>
        <v>4.9000000000013921E-2</v>
      </c>
      <c r="AN86" s="564">
        <f t="shared" si="100"/>
        <v>5.777999999999949</v>
      </c>
      <c r="AO86" s="563">
        <f t="shared" si="100"/>
        <v>29.616000000000028</v>
      </c>
      <c r="AP86" s="564">
        <f>INDEX(SP_NGF_NI,0,COLUMN())</f>
        <v>-66.962999999999994</v>
      </c>
      <c r="AQ86" s="565">
        <f>INDEX(SP_NGF_NI,0,COLUMN())</f>
        <v>-23.579000000000001</v>
      </c>
      <c r="AR86" s="566">
        <f t="shared" si="100"/>
        <v>-3.4459075901639316</v>
      </c>
      <c r="AS86" s="566">
        <f t="shared" ca="1" si="100"/>
        <v>-0.60971701271721046</v>
      </c>
      <c r="AT86" s="567">
        <f t="shared" ca="1" si="100"/>
        <v>-94.59762460288114</v>
      </c>
      <c r="AU86" s="566">
        <f t="shared" ca="1" si="100"/>
        <v>9.6224058408561035</v>
      </c>
      <c r="AV86" s="566">
        <f t="shared" ca="1" si="100"/>
        <v>14.913088527267213</v>
      </c>
      <c r="AW86" s="566">
        <f t="shared" ca="1" si="100"/>
        <v>16.255691544529657</v>
      </c>
      <c r="AX86" s="566">
        <f t="shared" ca="1" si="100"/>
        <v>14.460509227292007</v>
      </c>
      <c r="AY86" s="567">
        <f t="shared" ca="1" si="100"/>
        <v>55.251695139945056</v>
      </c>
      <c r="AZ86" s="567">
        <f t="shared" ca="1" si="100"/>
        <v>46.142950733557086</v>
      </c>
      <c r="BA86" s="567">
        <f t="shared" ca="1" si="100"/>
        <v>82.155841907990407</v>
      </c>
      <c r="BB86" s="567">
        <f t="shared" ca="1" si="100"/>
        <v>27.014261694265308</v>
      </c>
      <c r="BC86" s="531"/>
    </row>
    <row r="87" spans="1:55" outlineLevel="1">
      <c r="A87" s="182" t="s">
        <v>242</v>
      </c>
      <c r="B87" s="183"/>
      <c r="C87" s="563">
        <f>C86</f>
        <v>-3.8019999999999934</v>
      </c>
      <c r="D87" s="563">
        <f>D86</f>
        <v>14.947999999999979</v>
      </c>
      <c r="E87" s="563">
        <f>E86</f>
        <v>21.591000000000019</v>
      </c>
      <c r="F87" s="563">
        <f>F86</f>
        <v>21.874000000000034</v>
      </c>
      <c r="G87" s="564"/>
      <c r="H87" s="564"/>
      <c r="I87" s="564"/>
      <c r="J87" s="564">
        <f>SUM(J86,I86,H86,G86)</f>
        <v>27.266000000000005</v>
      </c>
      <c r="K87" s="563">
        <f>K86</f>
        <v>27.266000000000005</v>
      </c>
      <c r="L87" s="564">
        <f>SUM(L86,J86,I86,H86)</f>
        <v>26.208999999999989</v>
      </c>
      <c r="M87" s="564">
        <f>SUM(M86,L86,J86,I86)</f>
        <v>34.194999999999993</v>
      </c>
      <c r="N87" s="564">
        <f>SUM(N86,M86,L86,J86)</f>
        <v>44.11999999999999</v>
      </c>
      <c r="O87" s="564">
        <f>SUM(O86,N86,M86,L86)</f>
        <v>56.169999999999888</v>
      </c>
      <c r="P87" s="563">
        <f>P86</f>
        <v>56.17</v>
      </c>
      <c r="Q87" s="564">
        <f>SUM(Q86,O86,N86,M86)</f>
        <v>59.345999999999911</v>
      </c>
      <c r="R87" s="564">
        <f>SUM(R86,Q86,O86,N86)</f>
        <v>63.891999999999932</v>
      </c>
      <c r="S87" s="564">
        <f>SUM(S86,R86,Q86,O86)</f>
        <v>71.505999999999958</v>
      </c>
      <c r="T87" s="564">
        <f>SUM(T86,S86,R86,Q86)</f>
        <v>66.974000000000117</v>
      </c>
      <c r="U87" s="563">
        <f>U86</f>
        <v>66.974000000000018</v>
      </c>
      <c r="V87" s="564">
        <f>SUM(V86,T86,S86,R86)</f>
        <v>67.776000000000124</v>
      </c>
      <c r="W87" s="564">
        <f>SUM(W86,V86,T86,S86)</f>
        <v>65.066000000000088</v>
      </c>
      <c r="X87" s="564">
        <f>SUM(X86,W86,V86,T86)</f>
        <v>52.446000000000055</v>
      </c>
      <c r="Y87" s="564">
        <f>SUM(Y86,X86,W86,V86)</f>
        <v>48.423999999999978</v>
      </c>
      <c r="Z87" s="563">
        <f>Z86</f>
        <v>48.424000000000063</v>
      </c>
      <c r="AA87" s="564">
        <f>SUM(AA86,Y86,X86,W86)</f>
        <v>48.525999999999968</v>
      </c>
      <c r="AB87" s="564">
        <f>SUM(AB86,AA86,Y86,X86)</f>
        <v>41.23099999999998</v>
      </c>
      <c r="AC87" s="564">
        <f>SUM(AC86,AB86,AA86,Y86)</f>
        <v>35.216999999999999</v>
      </c>
      <c r="AD87" s="564">
        <f>SUM(AD86,AC86,AB86,AA86)</f>
        <v>19.679000000000151</v>
      </c>
      <c r="AE87" s="563">
        <f>AE86</f>
        <v>19.679000000000038</v>
      </c>
      <c r="AF87" s="564">
        <f>SUM(AF86,AD86,AC86,AB86)</f>
        <v>11.386000000000172</v>
      </c>
      <c r="AG87" s="564">
        <f>SUM(AG86,AF86,AD86,AC86)</f>
        <v>17.726000000000163</v>
      </c>
      <c r="AH87" s="564">
        <f>SUM(AH86,AG86,AF86,AD86)</f>
        <v>28.665000000000155</v>
      </c>
      <c r="AI87" s="564">
        <f>SUM(AI86,AH86,AG86,AF86)</f>
        <v>46.803000000000154</v>
      </c>
      <c r="AJ87" s="563">
        <f>AJ86</f>
        <v>46.803000000000068</v>
      </c>
      <c r="AK87" s="564">
        <f>SUM(AK86,AI86,AH86,AG86)</f>
        <v>59.616000000000106</v>
      </c>
      <c r="AL87" s="564">
        <f>SUM(AL86,AK86,AI86,AH86)</f>
        <v>51.930000000000106</v>
      </c>
      <c r="AM87" s="564">
        <f>SUM(AM86,AL86,AK86,AI86)</f>
        <v>34.980000000000125</v>
      </c>
      <c r="AN87" s="564">
        <f>SUM(AN86,AM86,AL86,AK86)</f>
        <v>28.272999999999929</v>
      </c>
      <c r="AO87" s="563">
        <f>AO86</f>
        <v>29.616000000000028</v>
      </c>
      <c r="AP87" s="564">
        <f>SUM(AP86,AN86,AM86,AL86)</f>
        <v>-54.79700000000004</v>
      </c>
      <c r="AQ87" s="565">
        <f>SUM(AQ86,AP86,AN86,AM86)</f>
        <v>-84.715000000000032</v>
      </c>
      <c r="AR87" s="566">
        <f>SUM(AR86,AQ86,AP86,AN86)</f>
        <v>-88.209907590163979</v>
      </c>
      <c r="AS87" s="566">
        <f ca="1">SUM(AS86,AR86,AQ86,AP86)</f>
        <v>-94.59762460288114</v>
      </c>
      <c r="AT87" s="567">
        <f ca="1">AT86</f>
        <v>-94.59762460288114</v>
      </c>
      <c r="AU87" s="566">
        <f ca="1">SUM(AU86,AS86,AR86,AQ86)</f>
        <v>-18.012218762025039</v>
      </c>
      <c r="AV87" s="566">
        <f ca="1">SUM(AV86,AU86,AS86,AR86)</f>
        <v>20.479869765242174</v>
      </c>
      <c r="AW87" s="566">
        <f ca="1">SUM(AW86,AV86,AU86,AS86)</f>
        <v>40.181468899935766</v>
      </c>
      <c r="AX87" s="566">
        <f ca="1">SUM(AX86,AW86,AV86,AU86)</f>
        <v>55.251695139944985</v>
      </c>
      <c r="AY87" s="567">
        <f ca="1">AY86</f>
        <v>55.251695139945056</v>
      </c>
      <c r="AZ87" s="567">
        <f ca="1">AZ86</f>
        <v>46.142950733557086</v>
      </c>
      <c r="BA87" s="567">
        <f ca="1">BA86</f>
        <v>82.155841907990407</v>
      </c>
      <c r="BB87" s="567">
        <f ca="1">BB86</f>
        <v>27.014261694265308</v>
      </c>
      <c r="BC87" s="531"/>
    </row>
    <row r="88" spans="1:55" outlineLevel="1">
      <c r="A88" s="182" t="s">
        <v>243</v>
      </c>
      <c r="B88" s="183"/>
      <c r="C88" s="563">
        <f t="shared" ref="C88:AH88" si="101">INDEX(MO_BS_SE,0,COLUMN())</f>
        <v>60.113</v>
      </c>
      <c r="D88" s="563">
        <f t="shared" si="101"/>
        <v>77.214999999999989</v>
      </c>
      <c r="E88" s="563">
        <f t="shared" si="101"/>
        <v>102.863</v>
      </c>
      <c r="F88" s="563">
        <f t="shared" si="101"/>
        <v>125.13399999999999</v>
      </c>
      <c r="G88" s="564">
        <f t="shared" si="101"/>
        <v>134.142</v>
      </c>
      <c r="H88" s="564">
        <f t="shared" si="101"/>
        <v>139.65700000000001</v>
      </c>
      <c r="I88" s="564">
        <f t="shared" si="101"/>
        <v>148.23699999999999</v>
      </c>
      <c r="J88" s="564">
        <f t="shared" si="101"/>
        <v>171.50900000000001</v>
      </c>
      <c r="K88" s="563">
        <f t="shared" si="101"/>
        <v>171.50900000000001</v>
      </c>
      <c r="L88" s="564">
        <f t="shared" si="101"/>
        <v>180.99600000000001</v>
      </c>
      <c r="M88" s="564">
        <f t="shared" si="101"/>
        <v>194.72299999999998</v>
      </c>
      <c r="N88" s="564">
        <f t="shared" si="101"/>
        <v>211.26900000000001</v>
      </c>
      <c r="O88" s="564">
        <f t="shared" si="101"/>
        <v>228.17699999999999</v>
      </c>
      <c r="P88" s="563">
        <f t="shared" si="101"/>
        <v>228.17699999999999</v>
      </c>
      <c r="Q88" s="564">
        <f t="shared" si="101"/>
        <v>236.99100000000001</v>
      </c>
      <c r="R88" s="564">
        <f t="shared" si="101"/>
        <v>256.14800000000002</v>
      </c>
      <c r="S88" s="564">
        <f t="shared" si="101"/>
        <v>283.98599999999999</v>
      </c>
      <c r="T88" s="564">
        <f t="shared" si="101"/>
        <v>300.22500000000002</v>
      </c>
      <c r="U88" s="563">
        <f t="shared" si="101"/>
        <v>300.22500000000002</v>
      </c>
      <c r="V88" s="564">
        <f t="shared" si="101"/>
        <v>310.97300000000001</v>
      </c>
      <c r="W88" s="564">
        <f t="shared" si="101"/>
        <v>318.44399999999996</v>
      </c>
      <c r="X88" s="564">
        <f t="shared" si="101"/>
        <v>329.37099999999998</v>
      </c>
      <c r="Y88" s="564">
        <f t="shared" si="101"/>
        <v>337.44900000000001</v>
      </c>
      <c r="Z88" s="563">
        <f t="shared" si="101"/>
        <v>337.44900000000001</v>
      </c>
      <c r="AA88" s="564">
        <f t="shared" si="101"/>
        <v>346.09999999999997</v>
      </c>
      <c r="AB88" s="564">
        <f t="shared" si="101"/>
        <v>347.72299999999996</v>
      </c>
      <c r="AC88" s="564">
        <f t="shared" si="101"/>
        <v>337.33000000000004</v>
      </c>
      <c r="AD88" s="564">
        <f t="shared" si="101"/>
        <v>329.92699999999996</v>
      </c>
      <c r="AE88" s="563">
        <f t="shared" si="101"/>
        <v>329.92699999999996</v>
      </c>
      <c r="AF88" s="564">
        <f t="shared" si="101"/>
        <v>338.02799999999996</v>
      </c>
      <c r="AG88" s="564">
        <f t="shared" si="101"/>
        <v>351.29</v>
      </c>
      <c r="AH88" s="564">
        <f t="shared" si="101"/>
        <v>369.44499999999999</v>
      </c>
      <c r="AI88" s="564">
        <f t="shared" ref="AI88:BB88" si="102">INDEX(MO_BS_SE,0,COLUMN())</f>
        <v>386.625</v>
      </c>
      <c r="AJ88" s="563">
        <f t="shared" si="102"/>
        <v>386.625</v>
      </c>
      <c r="AK88" s="564">
        <f t="shared" si="102"/>
        <v>466.00299999999999</v>
      </c>
      <c r="AL88" s="564">
        <f t="shared" si="102"/>
        <v>474.96600000000001</v>
      </c>
      <c r="AM88" s="564">
        <f t="shared" si="102"/>
        <v>425.79199999999997</v>
      </c>
      <c r="AN88" s="564">
        <f t="shared" si="102"/>
        <v>388.85700000000003</v>
      </c>
      <c r="AO88" s="563">
        <f t="shared" si="102"/>
        <v>388.85700000000003</v>
      </c>
      <c r="AP88" s="564">
        <f>INDEX(MO_BS_SE,0,COLUMN())</f>
        <v>313.80900000000003</v>
      </c>
      <c r="AQ88" s="565">
        <f>INDEX(MO_BS_SE,0,COLUMN())</f>
        <v>292.35899999999998</v>
      </c>
      <c r="AR88" s="566">
        <f t="shared" ca="1" si="102"/>
        <v>290.11309240983604</v>
      </c>
      <c r="AS88" s="566">
        <f t="shared" ca="1" si="102"/>
        <v>290.7033753971188</v>
      </c>
      <c r="AT88" s="567">
        <f t="shared" ca="1" si="102"/>
        <v>290.7033753971188</v>
      </c>
      <c r="AU88" s="566">
        <f t="shared" ca="1" si="102"/>
        <v>301.52578123797491</v>
      </c>
      <c r="AV88" s="566">
        <f t="shared" ca="1" si="102"/>
        <v>317.63886976524213</v>
      </c>
      <c r="AW88" s="566">
        <f t="shared" ca="1" si="102"/>
        <v>335.09456130977179</v>
      </c>
      <c r="AX88" s="566">
        <f t="shared" ca="1" si="102"/>
        <v>350.75507053706377</v>
      </c>
      <c r="AY88" s="567">
        <f t="shared" ca="1" si="102"/>
        <v>350.75507053706377</v>
      </c>
      <c r="AZ88" s="567">
        <f t="shared" ca="1" si="102"/>
        <v>401.69802127062087</v>
      </c>
      <c r="BA88" s="567">
        <f t="shared" ca="1" si="102"/>
        <v>488.65386317861129</v>
      </c>
      <c r="BB88" s="567">
        <f t="shared" ca="1" si="102"/>
        <v>520.46812487287661</v>
      </c>
      <c r="BC88" s="531"/>
    </row>
    <row r="89" spans="1:55" outlineLevel="1">
      <c r="A89" s="182" t="s">
        <v>244</v>
      </c>
      <c r="B89" s="183"/>
      <c r="C89" s="563">
        <f>C88</f>
        <v>60.113</v>
      </c>
      <c r="D89" s="563">
        <f>AVERAGE(D88,C88)</f>
        <v>68.663999999999987</v>
      </c>
      <c r="E89" s="563">
        <f>AVERAGE(E88,D88)</f>
        <v>90.038999999999987</v>
      </c>
      <c r="F89" s="563">
        <f>AVERAGE(F88,E88)</f>
        <v>113.99849999999999</v>
      </c>
      <c r="G89" s="564"/>
      <c r="H89" s="564"/>
      <c r="I89" s="564"/>
      <c r="J89" s="564">
        <f>AVERAGE(J88,I88,H88,G88)</f>
        <v>148.38625000000002</v>
      </c>
      <c r="K89" s="563">
        <f>AVERAGE(K88,F88)</f>
        <v>148.32150000000001</v>
      </c>
      <c r="L89" s="564">
        <f>AVERAGE(L88,J88,I88,H88)</f>
        <v>160.09975</v>
      </c>
      <c r="M89" s="564">
        <f>AVERAGE(M88,L88,J88,I88)</f>
        <v>173.86625000000001</v>
      </c>
      <c r="N89" s="564">
        <f>AVERAGE(N88,M88,L88,J88)</f>
        <v>189.62424999999999</v>
      </c>
      <c r="O89" s="564">
        <f>AVERAGE(O88,N88,M88,L88)</f>
        <v>203.79124999999999</v>
      </c>
      <c r="P89" s="563">
        <f>AVERAGE(P88,K88)</f>
        <v>199.84300000000002</v>
      </c>
      <c r="Q89" s="564">
        <f>AVERAGE(Q88,O88,N88,M88)</f>
        <v>217.79</v>
      </c>
      <c r="R89" s="564">
        <f>AVERAGE(R88,Q88,O88,N88)</f>
        <v>233.14625000000001</v>
      </c>
      <c r="S89" s="564">
        <f>AVERAGE(S88,R88,Q88,O88)</f>
        <v>251.32550000000001</v>
      </c>
      <c r="T89" s="564">
        <f>AVERAGE(T88,S88,R88,Q88)</f>
        <v>269.33750000000003</v>
      </c>
      <c r="U89" s="563">
        <f>AVERAGE(U88,P88)</f>
        <v>264.20100000000002</v>
      </c>
      <c r="V89" s="564">
        <f>AVERAGE(V88,T88,S88,R88)</f>
        <v>287.83300000000003</v>
      </c>
      <c r="W89" s="564">
        <f>AVERAGE(W88,V88,T88,S88)</f>
        <v>303.40699999999998</v>
      </c>
      <c r="X89" s="564">
        <f>AVERAGE(X88,W88,V88,T88)</f>
        <v>314.75324999999998</v>
      </c>
      <c r="Y89" s="564">
        <f>AVERAGE(Y88,X88,W88,V88)</f>
        <v>324.05924999999996</v>
      </c>
      <c r="Z89" s="563">
        <f>AVERAGE(Z88,U88)</f>
        <v>318.83699999999999</v>
      </c>
      <c r="AA89" s="564">
        <f>AVERAGE(AA88,Y88,X88,W88)</f>
        <v>332.84100000000001</v>
      </c>
      <c r="AB89" s="564">
        <f>AVERAGE(AB88,AA88,Y88,X88)</f>
        <v>340.16075000000001</v>
      </c>
      <c r="AC89" s="564">
        <f>AVERAGE(AC88,AB88,AA88,Y88)</f>
        <v>342.15050000000002</v>
      </c>
      <c r="AD89" s="564">
        <f>AVERAGE(AD88,AC88,AB88,AA88)</f>
        <v>340.27</v>
      </c>
      <c r="AE89" s="563">
        <f>AVERAGE(AE88,Z88)</f>
        <v>333.68799999999999</v>
      </c>
      <c r="AF89" s="564">
        <f>AVERAGE(AF88,AD88,AC88,AB88)</f>
        <v>338.25199999999995</v>
      </c>
      <c r="AG89" s="564">
        <f>AVERAGE(AG88,AF88,AD88,AC88)</f>
        <v>339.14374999999995</v>
      </c>
      <c r="AH89" s="564">
        <f>AVERAGE(AH88,AG88,AF88,AD88)</f>
        <v>347.17249999999996</v>
      </c>
      <c r="AI89" s="564">
        <f>AVERAGE(AI88,AH88,AG88,AF88)</f>
        <v>361.34699999999998</v>
      </c>
      <c r="AJ89" s="563">
        <f>AVERAGE(AJ88,AE88)</f>
        <v>358.27599999999995</v>
      </c>
      <c r="AK89" s="564">
        <f>AVERAGE(AK88,AI88,AH88,AG88)</f>
        <v>393.34074999999996</v>
      </c>
      <c r="AL89" s="564">
        <f>AVERAGE(AL88,AK88,AI88,AH88)</f>
        <v>424.25975</v>
      </c>
      <c r="AM89" s="564">
        <f>AVERAGE(AM88,AL88,AK88,AI88)</f>
        <v>438.34649999999999</v>
      </c>
      <c r="AN89" s="564">
        <f>AVERAGE(AN88,AM88,AL88,AK88)</f>
        <v>438.90449999999998</v>
      </c>
      <c r="AO89" s="563">
        <f>AVERAGE(AO88,AJ88)</f>
        <v>387.74099999999999</v>
      </c>
      <c r="AP89" s="564">
        <f>AVERAGE(AP88,AN88,AM88,AL88)</f>
        <v>400.85599999999999</v>
      </c>
      <c r="AQ89" s="565">
        <f>AVERAGE(AQ88,AP88,AN88,AM88)</f>
        <v>355.20425</v>
      </c>
      <c r="AR89" s="566">
        <f ca="1">AVERAGE(AR88,AQ88,AP88,AN88)</f>
        <v>321.28452310245899</v>
      </c>
      <c r="AS89" s="566">
        <f ca="1">AVERAGE(AS88,AR88,AQ88,AP88)</f>
        <v>296.74611695173871</v>
      </c>
      <c r="AT89" s="567">
        <f ca="1">AVERAGE(AT88,AO88)</f>
        <v>339.78018769855942</v>
      </c>
      <c r="AU89" s="566">
        <f ca="1">AVERAGE(AU88,AS88,AR88,AQ88)</f>
        <v>293.67531226123242</v>
      </c>
      <c r="AV89" s="566">
        <f ca="1">AVERAGE(AV88,AU88,AS88,AR88)</f>
        <v>299.99527970254297</v>
      </c>
      <c r="AW89" s="566">
        <f ca="1">AVERAGE(AW88,AV88,AU88,AS88)</f>
        <v>311.24064692752688</v>
      </c>
      <c r="AX89" s="566">
        <f ca="1">AVERAGE(AX88,AW88,AV88,AU88)</f>
        <v>326.25357071251312</v>
      </c>
      <c r="AY89" s="567">
        <f ca="1">AVERAGE(AY88,AT88)</f>
        <v>320.72922296709129</v>
      </c>
      <c r="AZ89" s="567">
        <f ca="1">AVERAGE(AZ88,AY88)</f>
        <v>376.22654590384229</v>
      </c>
      <c r="BA89" s="567">
        <f ca="1">AVERAGE(BA88,AZ88)</f>
        <v>445.17594222461605</v>
      </c>
      <c r="BB89" s="567">
        <f ca="1">AVERAGE(BB88,BA88)</f>
        <v>504.56099402574398</v>
      </c>
      <c r="BC89" s="531"/>
    </row>
    <row r="90" spans="1:55" s="68" customFormat="1">
      <c r="A90" s="203" t="s">
        <v>245</v>
      </c>
      <c r="B90" s="86"/>
      <c r="C90" s="290">
        <f>IF(C89&lt;0,"NMF",IF(ABS(C87/C89)&gt;1,"NMF",C87/C89))</f>
        <v>-6.3247550446658682E-2</v>
      </c>
      <c r="D90" s="290">
        <f>IF(D89&lt;0,"NMF",IF(ABS(D87/D89)&gt;1,"NMF",D87/D89))</f>
        <v>0.21769777467086074</v>
      </c>
      <c r="E90" s="290">
        <f>IF(E89&lt;0,"NMF",IF(ABS(E87/E89)&gt;1,"NMF",E87/E89))</f>
        <v>0.23979608836171018</v>
      </c>
      <c r="F90" s="290">
        <f>IF(F89&lt;0,"NMF",IF(ABS(F87/F89)&gt;1,"NMF",F87/F89))</f>
        <v>0.19187971771558429</v>
      </c>
      <c r="G90" s="300"/>
      <c r="H90" s="300"/>
      <c r="I90" s="300"/>
      <c r="J90" s="300"/>
      <c r="K90" s="290">
        <f t="shared" ref="K90:BB90" si="103">IF(K89&lt;0,"NMF",IF(ABS(K87/K89)&gt;1,"NMF",K87/K89))</f>
        <v>0.18383039545851412</v>
      </c>
      <c r="L90" s="300">
        <f t="shared" si="103"/>
        <v>0.16370419066862996</v>
      </c>
      <c r="M90" s="300">
        <f t="shared" si="103"/>
        <v>0.19667416764323145</v>
      </c>
      <c r="N90" s="300">
        <f t="shared" si="103"/>
        <v>0.23267066316676266</v>
      </c>
      <c r="O90" s="300">
        <f t="shared" si="103"/>
        <v>0.27562518017824561</v>
      </c>
      <c r="P90" s="290">
        <f t="shared" si="103"/>
        <v>0.28107064045275537</v>
      </c>
      <c r="Q90" s="300">
        <f t="shared" si="103"/>
        <v>0.27249184994719644</v>
      </c>
      <c r="R90" s="300">
        <f t="shared" si="103"/>
        <v>0.27404258056906311</v>
      </c>
      <c r="S90" s="300">
        <f t="shared" si="103"/>
        <v>0.28451549882522847</v>
      </c>
      <c r="T90" s="300">
        <f t="shared" si="103"/>
        <v>0.24866199470924066</v>
      </c>
      <c r="U90" s="290">
        <f t="shared" si="103"/>
        <v>0.25349639100533311</v>
      </c>
      <c r="V90" s="300">
        <f t="shared" si="103"/>
        <v>0.23546987315561496</v>
      </c>
      <c r="W90" s="300">
        <f t="shared" si="103"/>
        <v>0.21445121569377137</v>
      </c>
      <c r="X90" s="300">
        <f t="shared" si="103"/>
        <v>0.16662576160849826</v>
      </c>
      <c r="Y90" s="300">
        <f t="shared" si="103"/>
        <v>0.14942946390204873</v>
      </c>
      <c r="Z90" s="290">
        <f t="shared" si="103"/>
        <v>0.15187697789152471</v>
      </c>
      <c r="AA90" s="300">
        <f t="shared" si="103"/>
        <v>0.14579333675839204</v>
      </c>
      <c r="AB90" s="300">
        <f t="shared" si="103"/>
        <v>0.12121033952329885</v>
      </c>
      <c r="AC90" s="300">
        <f t="shared" si="103"/>
        <v>0.10292838969985429</v>
      </c>
      <c r="AD90" s="300">
        <f t="shared" si="103"/>
        <v>5.7833485173539111E-2</v>
      </c>
      <c r="AE90" s="290">
        <f t="shared" si="103"/>
        <v>5.8974251396514223E-2</v>
      </c>
      <c r="AF90" s="300">
        <f t="shared" si="103"/>
        <v>3.3661293946525589E-2</v>
      </c>
      <c r="AG90" s="300">
        <f t="shared" si="103"/>
        <v>5.2266922212189273E-2</v>
      </c>
      <c r="AH90" s="300">
        <f t="shared" si="103"/>
        <v>8.2567023597779662E-2</v>
      </c>
      <c r="AI90" s="300">
        <f t="shared" si="103"/>
        <v>0.12952369882688983</v>
      </c>
      <c r="AJ90" s="290">
        <f t="shared" si="103"/>
        <v>0.13063392468376356</v>
      </c>
      <c r="AK90" s="300">
        <f t="shared" si="103"/>
        <v>0.15156324382866537</v>
      </c>
      <c r="AL90" s="300">
        <f t="shared" si="103"/>
        <v>0.12240142978446601</v>
      </c>
      <c r="AM90" s="300">
        <f t="shared" si="103"/>
        <v>7.9799884338075305E-2</v>
      </c>
      <c r="AN90" s="300">
        <f t="shared" si="103"/>
        <v>6.4417202375459642E-2</v>
      </c>
      <c r="AO90" s="290">
        <f t="shared" si="103"/>
        <v>7.638088311527548E-2</v>
      </c>
      <c r="AP90" s="300">
        <f>IF(AP89&lt;0,"NMF",IF(ABS(AP87/AP89)&gt;1,"NMF",AP87/AP89))</f>
        <v>-0.13669996208114646</v>
      </c>
      <c r="AQ90" s="359">
        <f>IF(AQ89&lt;0,"NMF",IF(ABS(AQ87/AQ89)&gt;1,"NMF",AQ87/AQ89))</f>
        <v>-0.23849658330383161</v>
      </c>
      <c r="AR90" s="116">
        <f t="shared" ca="1" si="103"/>
        <v>-0.27455386502397272</v>
      </c>
      <c r="AS90" s="116">
        <f t="shared" ca="1" si="103"/>
        <v>-0.31878302427211208</v>
      </c>
      <c r="AT90" s="115">
        <f t="shared" ca="1" si="103"/>
        <v>-0.27840830050634002</v>
      </c>
      <c r="AU90" s="116">
        <f t="shared" ca="1" si="103"/>
        <v>-6.1333786021491199E-2</v>
      </c>
      <c r="AV90" s="116">
        <f t="shared" ca="1" si="103"/>
        <v>6.8267306690787816E-2</v>
      </c>
      <c r="AW90" s="116">
        <f t="shared" ca="1" si="103"/>
        <v>0.12910096832336979</v>
      </c>
      <c r="AX90" s="116">
        <f t="shared" ca="1" si="103"/>
        <v>0.16935200132608347</v>
      </c>
      <c r="AY90" s="115">
        <f t="shared" ca="1" si="103"/>
        <v>0.17226897701683455</v>
      </c>
      <c r="AZ90" s="115">
        <f t="shared" ca="1" si="103"/>
        <v>0.12264671708027353</v>
      </c>
      <c r="BA90" s="115">
        <f t="shared" ca="1" si="103"/>
        <v>0.18454690407896798</v>
      </c>
      <c r="BB90" s="115">
        <f t="shared" ca="1" si="103"/>
        <v>5.3540130953695898E-2</v>
      </c>
      <c r="BC90" s="232"/>
    </row>
    <row r="91" spans="1:55" outlineLevel="1">
      <c r="A91" s="182" t="s">
        <v>246</v>
      </c>
      <c r="B91" s="183"/>
      <c r="C91" s="563">
        <f t="shared" ref="C91:AH91" si="104">INDEX(SP_GF_NI,0,COLUMN())+INDEX(SP_GF_IE,0,COLUMN())*(1-INDEX(SP_GF_Tax,0,COLUMN())/INDEX(SP_GF_EBT,0,COLUMN()))+INDEX(SP_GF_NCI,0,COLUMN())</f>
        <v>-2.5587175316292194</v>
      </c>
      <c r="D91" s="563">
        <f t="shared" si="104"/>
        <v>16.69486646204588</v>
      </c>
      <c r="E91" s="563">
        <f t="shared" si="104"/>
        <v>22.934903015681563</v>
      </c>
      <c r="F91" s="563">
        <f t="shared" si="104"/>
        <v>22.595676471519521</v>
      </c>
      <c r="G91" s="564">
        <f t="shared" si="104"/>
        <v>8.7361645149391407</v>
      </c>
      <c r="H91" s="564">
        <f t="shared" si="104"/>
        <v>5.3330966571650684</v>
      </c>
      <c r="I91" s="564">
        <f t="shared" si="104"/>
        <v>8.223556341304544</v>
      </c>
      <c r="J91" s="564">
        <f t="shared" si="104"/>
        <v>7.8308671085149459</v>
      </c>
      <c r="K91" s="563">
        <f t="shared" si="104"/>
        <v>30.187331658422973</v>
      </c>
      <c r="L91" s="564">
        <f t="shared" si="104"/>
        <v>9.0497070948336731</v>
      </c>
      <c r="M91" s="564">
        <f t="shared" si="104"/>
        <v>14.832359401666499</v>
      </c>
      <c r="N91" s="564">
        <f t="shared" si="104"/>
        <v>18.754524073285037</v>
      </c>
      <c r="O91" s="564">
        <f t="shared" si="104"/>
        <v>19.248741837696034</v>
      </c>
      <c r="P91" s="563">
        <f t="shared" si="104"/>
        <v>62.03147053990164</v>
      </c>
      <c r="Q91" s="564">
        <f t="shared" si="104"/>
        <v>11.499777198257352</v>
      </c>
      <c r="R91" s="564">
        <f t="shared" si="104"/>
        <v>18.416726445792065</v>
      </c>
      <c r="S91" s="564">
        <f t="shared" si="104"/>
        <v>25.54931367904814</v>
      </c>
      <c r="T91" s="564">
        <f t="shared" si="104"/>
        <v>14.986945823775534</v>
      </c>
      <c r="U91" s="563">
        <f t="shared" si="104"/>
        <v>70.357237363104744</v>
      </c>
      <c r="V91" s="564">
        <f t="shared" si="104"/>
        <v>12.241068011143421</v>
      </c>
      <c r="W91" s="564">
        <f t="shared" si="104"/>
        <v>15.713884481558789</v>
      </c>
      <c r="X91" s="564">
        <f t="shared" si="104"/>
        <v>12.884962245767859</v>
      </c>
      <c r="Y91" s="564">
        <f t="shared" si="104"/>
        <v>10.651128987129262</v>
      </c>
      <c r="Z91" s="563">
        <f t="shared" si="104"/>
        <v>51.489175488842108</v>
      </c>
      <c r="AA91" s="564">
        <f t="shared" si="104"/>
        <v>12.434464398683104</v>
      </c>
      <c r="AB91" s="564">
        <f t="shared" si="104"/>
        <v>8.5430092724004218</v>
      </c>
      <c r="AC91" s="564">
        <f t="shared" si="104"/>
        <v>7.0671963913948632</v>
      </c>
      <c r="AD91" s="564">
        <f t="shared" si="104"/>
        <v>-4.7109303139473644</v>
      </c>
      <c r="AE91" s="563">
        <f t="shared" si="104"/>
        <v>23.90678404225525</v>
      </c>
      <c r="AF91" s="564">
        <f t="shared" si="104"/>
        <v>5.2497600611309378</v>
      </c>
      <c r="AG91" s="564">
        <f t="shared" si="104"/>
        <v>16.0525928297055</v>
      </c>
      <c r="AH91" s="564">
        <f t="shared" si="104"/>
        <v>19.738697625160455</v>
      </c>
      <c r="AI91" s="564">
        <f t="shared" ref="AI91:BB91" si="105">INDEX(SP_GF_NI,0,COLUMN())+INDEX(SP_GF_IE,0,COLUMN())*(1-INDEX(SP_GF_Tax,0,COLUMN())/INDEX(SP_GF_EBT,0,COLUMN()))+INDEX(SP_GF_NCI,0,COLUMN())</f>
        <v>14.393698217263204</v>
      </c>
      <c r="AJ91" s="563">
        <f t="shared" si="105"/>
        <v>55.495420527141341</v>
      </c>
      <c r="AK91" s="564">
        <f t="shared" si="105"/>
        <v>79.541864983414996</v>
      </c>
      <c r="AL91" s="564">
        <f t="shared" si="105"/>
        <v>7.6591087202717967</v>
      </c>
      <c r="AM91" s="564">
        <f t="shared" si="105"/>
        <v>2.2735625000000179</v>
      </c>
      <c r="AN91" s="564">
        <f t="shared" si="105"/>
        <v>-32.83327029712126</v>
      </c>
      <c r="AO91" s="563">
        <f t="shared" si="105"/>
        <v>56.693755003440558</v>
      </c>
      <c r="AP91" s="564">
        <f>INDEX(SP_GF_NI,0,COLUMN())+INDEX(SP_GF_IE,0,COLUMN())*(1-INDEX(SP_GF_Tax,0,COLUMN())/INDEX(SP_GF_EBT,0,COLUMN()))+INDEX(SP_GF_NCI,0,COLUMN())</f>
        <v>-65.674525051604419</v>
      </c>
      <c r="AQ91" s="565">
        <f>INDEX(SP_GF_NI,0,COLUMN())+INDEX(SP_GF_IE,0,COLUMN())*(1-INDEX(SP_GF_Tax,0,COLUMN())/INDEX(SP_GF_EBT,0,COLUMN()))+INDEX(SP_GF_NCI,0,COLUMN())</f>
        <v>-21.666720052349596</v>
      </c>
      <c r="AR91" s="566">
        <f t="shared" si="105"/>
        <v>-1.9026599999999978</v>
      </c>
      <c r="AS91" s="566">
        <f t="shared" ca="1" si="105"/>
        <v>0.78879599999999894</v>
      </c>
      <c r="AT91" s="567">
        <f t="shared" ca="1" si="105"/>
        <v>-88.330815830549369</v>
      </c>
      <c r="AU91" s="566">
        <f t="shared" ca="1" si="105"/>
        <v>11.009648800000008</v>
      </c>
      <c r="AV91" s="566">
        <f t="shared" ca="1" si="105"/>
        <v>16.309013375000006</v>
      </c>
      <c r="AW91" s="566">
        <f t="shared" ca="1" si="105"/>
        <v>17.706731232249993</v>
      </c>
      <c r="AX91" s="566">
        <f t="shared" ca="1" si="105"/>
        <v>15.946293766699997</v>
      </c>
      <c r="AY91" s="567">
        <f t="shared" ca="1" si="105"/>
        <v>60.97168717395008</v>
      </c>
      <c r="AZ91" s="567">
        <f t="shared" ca="1" si="105"/>
        <v>51.662859835499837</v>
      </c>
      <c r="BA91" s="567">
        <f t="shared" ca="1" si="105"/>
        <v>87.133704375599876</v>
      </c>
      <c r="BB91" s="567">
        <f t="shared" ca="1" si="105"/>
        <v>32.138790369119853</v>
      </c>
      <c r="BC91" s="531"/>
    </row>
    <row r="92" spans="1:55" outlineLevel="1">
      <c r="A92" s="182" t="s">
        <v>247</v>
      </c>
      <c r="B92" s="183"/>
      <c r="C92" s="563">
        <f>C91</f>
        <v>-2.5587175316292194</v>
      </c>
      <c r="D92" s="563">
        <f>D91</f>
        <v>16.69486646204588</v>
      </c>
      <c r="E92" s="563">
        <f>E91</f>
        <v>22.934903015681563</v>
      </c>
      <c r="F92" s="563">
        <f>F91</f>
        <v>22.595676471519521</v>
      </c>
      <c r="G92" s="564"/>
      <c r="H92" s="564"/>
      <c r="I92" s="564"/>
      <c r="J92" s="564">
        <f>SUM(J91,I91,H91,G91)</f>
        <v>30.123684621923697</v>
      </c>
      <c r="K92" s="563">
        <f>K91</f>
        <v>30.187331658422973</v>
      </c>
      <c r="L92" s="564">
        <f>SUM(L91,J91,I91,H91)</f>
        <v>30.437227201818231</v>
      </c>
      <c r="M92" s="564">
        <f>SUM(M91,L91,J91,I91)</f>
        <v>39.936489946319661</v>
      </c>
      <c r="N92" s="564">
        <f>SUM(N91,M91,L91,J91)</f>
        <v>50.46745767830015</v>
      </c>
      <c r="O92" s="564">
        <f>SUM(O91,N91,M91,L91)</f>
        <v>61.885332407481243</v>
      </c>
      <c r="P92" s="563">
        <f>P91</f>
        <v>62.03147053990164</v>
      </c>
      <c r="Q92" s="564">
        <f>SUM(Q91,O91,N91,M91)</f>
        <v>64.335402510904913</v>
      </c>
      <c r="R92" s="564">
        <f>SUM(R91,Q91,O91,N91)</f>
        <v>67.919769555030484</v>
      </c>
      <c r="S92" s="564">
        <f>SUM(S91,R91,Q91,O91)</f>
        <v>74.714559160793584</v>
      </c>
      <c r="T92" s="564">
        <f>SUM(T91,S91,R91,Q91)</f>
        <v>70.452763146873096</v>
      </c>
      <c r="U92" s="563">
        <f>U91</f>
        <v>70.357237363104744</v>
      </c>
      <c r="V92" s="564">
        <f>SUM(V91,T91,S91,R91)</f>
        <v>71.19405395975916</v>
      </c>
      <c r="W92" s="564">
        <f>SUM(W91,V91,T91,S91)</f>
        <v>68.491211995525887</v>
      </c>
      <c r="X92" s="564">
        <f>SUM(X91,W91,V91,T91)</f>
        <v>55.826860562245606</v>
      </c>
      <c r="Y92" s="564">
        <f>SUM(Y91,X91,W91,V91)</f>
        <v>51.491043725599333</v>
      </c>
      <c r="Z92" s="563">
        <f>Z91</f>
        <v>51.489175488842108</v>
      </c>
      <c r="AA92" s="564">
        <f>SUM(AA91,Y91,X91,W91)</f>
        <v>51.684440113139019</v>
      </c>
      <c r="AB92" s="564">
        <f>SUM(AB91,AA91,Y91,X91)</f>
        <v>44.513564903980651</v>
      </c>
      <c r="AC92" s="564">
        <f>SUM(AC91,AB91,AA91,Y91)</f>
        <v>38.69579904960765</v>
      </c>
      <c r="AD92" s="564">
        <f>SUM(AD91,AC91,AB91,AA91)</f>
        <v>23.333739748531023</v>
      </c>
      <c r="AE92" s="563">
        <f>AE91</f>
        <v>23.90678404225525</v>
      </c>
      <c r="AF92" s="564">
        <f>SUM(AF91,AD91,AC91,AB91)</f>
        <v>16.149035410978858</v>
      </c>
      <c r="AG92" s="564">
        <f>SUM(AG91,AF91,AD91,AC91)</f>
        <v>23.658618968283935</v>
      </c>
      <c r="AH92" s="564">
        <f>SUM(AH91,AG91,AF91,AD91)</f>
        <v>36.330120202049528</v>
      </c>
      <c r="AI92" s="564">
        <f>SUM(AI91,AH91,AG91,AF91)</f>
        <v>55.434748733260101</v>
      </c>
      <c r="AJ92" s="563">
        <f>AJ91</f>
        <v>55.495420527141341</v>
      </c>
      <c r="AK92" s="564">
        <f>SUM(AK91,AI91,AH91,AG91)</f>
        <v>129.72685365554415</v>
      </c>
      <c r="AL92" s="564">
        <f>SUM(AL91,AK91,AI91,AH91)</f>
        <v>121.33336954611046</v>
      </c>
      <c r="AM92" s="564">
        <f>SUM(AM91,AL91,AK91,AI91)</f>
        <v>103.86823442095002</v>
      </c>
      <c r="AN92" s="564">
        <f>SUM(AN91,AM91,AL91,AK91)</f>
        <v>56.64126590656555</v>
      </c>
      <c r="AO92" s="563">
        <f>AO91</f>
        <v>56.693755003440558</v>
      </c>
      <c r="AP92" s="564">
        <f>SUM(AP91,AN91,AM91,AL91)</f>
        <v>-88.575124128453865</v>
      </c>
      <c r="AQ92" s="565">
        <f>SUM(AQ91,AP91,AN91,AM91)</f>
        <v>-117.90095290107526</v>
      </c>
      <c r="AR92" s="566">
        <f>SUM(AR91,AQ91,AP91,AN91)</f>
        <v>-122.07717540107527</v>
      </c>
      <c r="AS92" s="566">
        <f ca="1">SUM(AS91,AR91,AQ91,AP91)</f>
        <v>-88.455109103954015</v>
      </c>
      <c r="AT92" s="567">
        <f ca="1">AT91</f>
        <v>-88.330815830549369</v>
      </c>
      <c r="AU92" s="566">
        <f ca="1">SUM(AU91,AS91,AR91,AQ91)</f>
        <v>-11.770935252349586</v>
      </c>
      <c r="AV92" s="566">
        <f ca="1">SUM(AV91,AU91,AS91,AR91)</f>
        <v>26.204798175000015</v>
      </c>
      <c r="AW92" s="566">
        <f ca="1">SUM(AW91,AV91,AU91,AS91)</f>
        <v>45.814189407250005</v>
      </c>
      <c r="AX92" s="566">
        <f ca="1">SUM(AX91,AW91,AV91,AU91)</f>
        <v>60.971687173950002</v>
      </c>
      <c r="AY92" s="567">
        <f ca="1">AY91</f>
        <v>60.97168717395008</v>
      </c>
      <c r="AZ92" s="567">
        <f ca="1">AZ91</f>
        <v>51.662859835499837</v>
      </c>
      <c r="BA92" s="567">
        <f ca="1">BA91</f>
        <v>87.133704375599876</v>
      </c>
      <c r="BB92" s="567">
        <f ca="1">BB91</f>
        <v>32.138790369119853</v>
      </c>
      <c r="BC92" s="531"/>
    </row>
    <row r="93" spans="1:55" outlineLevel="1">
      <c r="A93" s="182" t="s">
        <v>47</v>
      </c>
      <c r="B93" s="183"/>
      <c r="C93" s="563">
        <f t="shared" ref="C93:AH93" si="106">INDEX(MO_BS_TA,0,COLUMN())</f>
        <v>138.714</v>
      </c>
      <c r="D93" s="563">
        <f t="shared" si="106"/>
        <v>150.88800000000001</v>
      </c>
      <c r="E93" s="563">
        <f t="shared" si="106"/>
        <v>174.905</v>
      </c>
      <c r="F93" s="563">
        <f t="shared" si="106"/>
        <v>211.98900000000003</v>
      </c>
      <c r="G93" s="564">
        <f t="shared" si="106"/>
        <v>216.83799999999999</v>
      </c>
      <c r="H93" s="564">
        <f t="shared" si="106"/>
        <v>222.43699999999995</v>
      </c>
      <c r="I93" s="564">
        <f t="shared" si="106"/>
        <v>432.83</v>
      </c>
      <c r="J93" s="564">
        <f t="shared" si="106"/>
        <v>491.27099999999996</v>
      </c>
      <c r="K93" s="563">
        <f t="shared" si="106"/>
        <v>491.27099999999996</v>
      </c>
      <c r="L93" s="564">
        <f t="shared" si="106"/>
        <v>602.71900000000005</v>
      </c>
      <c r="M93" s="564">
        <f t="shared" si="106"/>
        <v>582.77499999999998</v>
      </c>
      <c r="N93" s="564">
        <f t="shared" si="106"/>
        <v>590.90699999999993</v>
      </c>
      <c r="O93" s="564">
        <f t="shared" si="106"/>
        <v>562.91000000000008</v>
      </c>
      <c r="P93" s="563">
        <f t="shared" si="106"/>
        <v>562.91000000000008</v>
      </c>
      <c r="Q93" s="564">
        <f t="shared" si="106"/>
        <v>600.28300000000002</v>
      </c>
      <c r="R93" s="564">
        <f t="shared" si="106"/>
        <v>638.21</v>
      </c>
      <c r="S93" s="564">
        <f t="shared" si="106"/>
        <v>648.39300000000003</v>
      </c>
      <c r="T93" s="564">
        <f t="shared" si="106"/>
        <v>609.24299999999994</v>
      </c>
      <c r="U93" s="563">
        <f t="shared" si="106"/>
        <v>609.24299999999994</v>
      </c>
      <c r="V93" s="564">
        <f t="shared" si="106"/>
        <v>613.82100000000003</v>
      </c>
      <c r="W93" s="564">
        <f t="shared" si="106"/>
        <v>612.25099999999998</v>
      </c>
      <c r="X93" s="564">
        <f t="shared" si="106"/>
        <v>619.428</v>
      </c>
      <c r="Y93" s="564">
        <f t="shared" si="106"/>
        <v>604.34399999999994</v>
      </c>
      <c r="Z93" s="563">
        <f t="shared" si="106"/>
        <v>604.34399999999994</v>
      </c>
      <c r="AA93" s="564">
        <f t="shared" si="106"/>
        <v>603.28600000000006</v>
      </c>
      <c r="AB93" s="564">
        <f t="shared" si="106"/>
        <v>627.82799999999997</v>
      </c>
      <c r="AC93" s="564">
        <f t="shared" si="106"/>
        <v>640.62799999999993</v>
      </c>
      <c r="AD93" s="564">
        <f t="shared" si="106"/>
        <v>735.95600000000002</v>
      </c>
      <c r="AE93" s="563">
        <f t="shared" si="106"/>
        <v>735.95600000000002</v>
      </c>
      <c r="AF93" s="564">
        <f t="shared" si="106"/>
        <v>767.57</v>
      </c>
      <c r="AG93" s="564">
        <f t="shared" si="106"/>
        <v>764.423</v>
      </c>
      <c r="AH93" s="564">
        <f t="shared" si="106"/>
        <v>776.05600000000004</v>
      </c>
      <c r="AI93" s="564">
        <f t="shared" ref="AI93:BB93" si="107">INDEX(MO_BS_TA,0,COLUMN())</f>
        <v>774.64</v>
      </c>
      <c r="AJ93" s="563">
        <f t="shared" si="107"/>
        <v>774.64</v>
      </c>
      <c r="AK93" s="564">
        <f t="shared" si="107"/>
        <v>780.52099999999996</v>
      </c>
      <c r="AL93" s="564">
        <f t="shared" si="107"/>
        <v>767.26300000000003</v>
      </c>
      <c r="AM93" s="564">
        <f t="shared" si="107"/>
        <v>777.96799999999996</v>
      </c>
      <c r="AN93" s="564">
        <f t="shared" si="107"/>
        <v>782.71600000000001</v>
      </c>
      <c r="AO93" s="563">
        <f t="shared" si="107"/>
        <v>782.71600000000001</v>
      </c>
      <c r="AP93" s="564">
        <f>INDEX(MO_BS_TA,0,COLUMN())</f>
        <v>850.02600000000007</v>
      </c>
      <c r="AQ93" s="565">
        <f>INDEX(MO_BS_TA,0,COLUMN())</f>
        <v>658.52600000000007</v>
      </c>
      <c r="AR93" s="566">
        <f t="shared" ca="1" si="107"/>
        <v>655.84318834566773</v>
      </c>
      <c r="AS93" s="566">
        <f t="shared" ca="1" si="107"/>
        <v>646.62163209611072</v>
      </c>
      <c r="AT93" s="567">
        <f t="shared" ca="1" si="107"/>
        <v>646.62163209611072</v>
      </c>
      <c r="AU93" s="566">
        <f t="shared" ca="1" si="107"/>
        <v>665.04666407521051</v>
      </c>
      <c r="AV93" s="566">
        <f t="shared" ca="1" si="107"/>
        <v>683.5938381598113</v>
      </c>
      <c r="AW93" s="566">
        <f t="shared" ca="1" si="107"/>
        <v>710.48964161229537</v>
      </c>
      <c r="AX93" s="566">
        <f t="shared" ca="1" si="107"/>
        <v>718.22868729186212</v>
      </c>
      <c r="AY93" s="567">
        <f t="shared" ca="1" si="107"/>
        <v>718.22868729186212</v>
      </c>
      <c r="AZ93" s="567">
        <f t="shared" ca="1" si="107"/>
        <v>768.15944010828957</v>
      </c>
      <c r="BA93" s="567">
        <f t="shared" ca="1" si="107"/>
        <v>869.74039418407312</v>
      </c>
      <c r="BB93" s="567">
        <f t="shared" ca="1" si="107"/>
        <v>878.87950403374043</v>
      </c>
      <c r="BC93" s="531"/>
    </row>
    <row r="94" spans="1:55" outlineLevel="1">
      <c r="A94" s="182" t="s">
        <v>248</v>
      </c>
      <c r="B94" s="183"/>
      <c r="C94" s="563">
        <f>C93</f>
        <v>138.714</v>
      </c>
      <c r="D94" s="563">
        <f>AVERAGE(D93,C93)</f>
        <v>144.80099999999999</v>
      </c>
      <c r="E94" s="563">
        <f>AVERAGE(E93,D93)</f>
        <v>162.8965</v>
      </c>
      <c r="F94" s="563">
        <f>AVERAGE(F93,E93)</f>
        <v>193.447</v>
      </c>
      <c r="G94" s="564"/>
      <c r="H94" s="564"/>
      <c r="I94" s="564"/>
      <c r="J94" s="564">
        <f>AVERAGE(J93,I93,H93,G93)</f>
        <v>340.84399999999994</v>
      </c>
      <c r="K94" s="563">
        <f>AVERAGE(K93,F93)</f>
        <v>351.63</v>
      </c>
      <c r="L94" s="564">
        <f>AVERAGE(L93,J93,I93,H93)</f>
        <v>437.31424999999996</v>
      </c>
      <c r="M94" s="564">
        <f>AVERAGE(M93,L93,J93,I93)</f>
        <v>527.39875000000006</v>
      </c>
      <c r="N94" s="564">
        <f>AVERAGE(N93,M93,L93,J93)</f>
        <v>566.91799999999989</v>
      </c>
      <c r="O94" s="564">
        <f>AVERAGE(O93,N93,M93,L93)</f>
        <v>584.82775000000004</v>
      </c>
      <c r="P94" s="563">
        <f>AVERAGE(P93,K93)</f>
        <v>527.09050000000002</v>
      </c>
      <c r="Q94" s="564">
        <f>AVERAGE(Q93,O93,N93,M93)</f>
        <v>584.21875</v>
      </c>
      <c r="R94" s="564">
        <f>AVERAGE(R93,Q93,O93,N93)</f>
        <v>598.07749999999999</v>
      </c>
      <c r="S94" s="564">
        <f>AVERAGE(S93,R93,Q93,O93)</f>
        <v>612.44900000000007</v>
      </c>
      <c r="T94" s="564">
        <f>AVERAGE(T93,S93,R93,Q93)</f>
        <v>624.03224999999998</v>
      </c>
      <c r="U94" s="563">
        <f>AVERAGE(U93,P93)</f>
        <v>586.07650000000001</v>
      </c>
      <c r="V94" s="564">
        <f>AVERAGE(V93,T93,S93,R93)</f>
        <v>627.41674999999998</v>
      </c>
      <c r="W94" s="564">
        <f>AVERAGE(W93,V93,T93,S93)</f>
        <v>620.92700000000002</v>
      </c>
      <c r="X94" s="564">
        <f>AVERAGE(X93,W93,V93,T93)</f>
        <v>613.68574999999998</v>
      </c>
      <c r="Y94" s="564">
        <f>AVERAGE(Y93,X93,W93,V93)</f>
        <v>612.46100000000001</v>
      </c>
      <c r="Z94" s="563">
        <f>AVERAGE(Z93,U93)</f>
        <v>606.79349999999999</v>
      </c>
      <c r="AA94" s="564">
        <f>AVERAGE(AA93,Y93,X93,W93)</f>
        <v>609.82725000000005</v>
      </c>
      <c r="AB94" s="564">
        <f>AVERAGE(AB93,AA93,Y93,X93)</f>
        <v>613.72149999999999</v>
      </c>
      <c r="AC94" s="564">
        <f>AVERAGE(AC93,AB93,AA93,Y93)</f>
        <v>619.02149999999995</v>
      </c>
      <c r="AD94" s="564">
        <f>AVERAGE(AD93,AC93,AB93,AA93)</f>
        <v>651.92449999999997</v>
      </c>
      <c r="AE94" s="563">
        <f>AVERAGE(AE93,Z93)</f>
        <v>670.15</v>
      </c>
      <c r="AF94" s="564">
        <f>AVERAGE(AF93,AD93,AC93,AB93)</f>
        <v>692.99549999999999</v>
      </c>
      <c r="AG94" s="564">
        <f>AVERAGE(AG93,AF93,AD93,AC93)</f>
        <v>727.14425000000006</v>
      </c>
      <c r="AH94" s="564">
        <f>AVERAGE(AH93,AG93,AF93,AD93)</f>
        <v>761.00125000000003</v>
      </c>
      <c r="AI94" s="564">
        <f>AVERAGE(AI93,AH93,AG93,AF93)</f>
        <v>770.67224999999996</v>
      </c>
      <c r="AJ94" s="563">
        <f>AVERAGE(AJ93,AE93)</f>
        <v>755.298</v>
      </c>
      <c r="AK94" s="564">
        <f>AVERAGE(AK93,AI93,AH93,AG93)</f>
        <v>773.91000000000008</v>
      </c>
      <c r="AL94" s="564">
        <f>AVERAGE(AL93,AK93,AI93,AH93)</f>
        <v>774.62</v>
      </c>
      <c r="AM94" s="564">
        <f>AVERAGE(AM93,AL93,AK93,AI93)</f>
        <v>775.09799999999996</v>
      </c>
      <c r="AN94" s="564">
        <f>AVERAGE(AN93,AM93,AL93,AK93)</f>
        <v>777.11699999999996</v>
      </c>
      <c r="AO94" s="563">
        <f>AVERAGE(AO93,AJ93)</f>
        <v>778.678</v>
      </c>
      <c r="AP94" s="564">
        <f>AVERAGE(AP93,AN93,AM93,AL93)</f>
        <v>794.49324999999999</v>
      </c>
      <c r="AQ94" s="565">
        <f>AVERAGE(AQ93,AP93,AN93,AM93)</f>
        <v>767.30899999999997</v>
      </c>
      <c r="AR94" s="566">
        <f ca="1">AVERAGE(AR93,AQ93,AP93,AN93)</f>
        <v>736.77779708641685</v>
      </c>
      <c r="AS94" s="566">
        <f ca="1">AVERAGE(AS93,AR93,AQ93,AP93)</f>
        <v>702.75420511044467</v>
      </c>
      <c r="AT94" s="567">
        <f ca="1">AVERAGE(AT93,AO93)</f>
        <v>714.66881604805531</v>
      </c>
      <c r="AU94" s="566">
        <f ca="1">AVERAGE(AU93,AS93,AR93,AQ93)</f>
        <v>656.50937112924726</v>
      </c>
      <c r="AV94" s="566">
        <f ca="1">AVERAGE(AV93,AU93,AS93,AR93)</f>
        <v>662.77633066920009</v>
      </c>
      <c r="AW94" s="566">
        <f ca="1">AVERAGE(AW93,AV93,AU93,AS93)</f>
        <v>676.43794398585703</v>
      </c>
      <c r="AX94" s="566">
        <f ca="1">AVERAGE(AX93,AW93,AV93,AU93)</f>
        <v>694.33970778479488</v>
      </c>
      <c r="AY94" s="567">
        <f ca="1">AVERAGE(AY93,AT93)</f>
        <v>682.42515969398642</v>
      </c>
      <c r="AZ94" s="567">
        <f ca="1">AVERAGE(AZ93,AY93)</f>
        <v>743.19406370007584</v>
      </c>
      <c r="BA94" s="567">
        <f ca="1">AVERAGE(BA93,AZ93)</f>
        <v>818.94991714618141</v>
      </c>
      <c r="BB94" s="567">
        <f ca="1">AVERAGE(BB93,BA93)</f>
        <v>874.30994910890672</v>
      </c>
      <c r="BC94" s="531"/>
    </row>
    <row r="95" spans="1:55" s="68" customFormat="1">
      <c r="A95" s="203" t="s">
        <v>249</v>
      </c>
      <c r="B95" s="86"/>
      <c r="C95" s="290">
        <f>IF(C94&lt;0,"NMF",IF(ABS(C92/C94)&gt;1,"NMF",C92/C94))</f>
        <v>-1.8445993422648178E-2</v>
      </c>
      <c r="D95" s="290">
        <f>IF(D94&lt;0,"NMF",IF(ABS(D92/D94)&gt;1,"NMF",D92/D94))</f>
        <v>0.11529524286466172</v>
      </c>
      <c r="E95" s="290">
        <f>IF(E94&lt;0,"NMF",IF(ABS(E92/E94)&gt;1,"NMF",E92/E94))</f>
        <v>0.14079432655509211</v>
      </c>
      <c r="F95" s="290">
        <f>IF(F94&lt;0,"NMF",IF(ABS(F92/F94)&gt;1,"NMF",F92/F94))</f>
        <v>0.11680551505848899</v>
      </c>
      <c r="G95" s="300"/>
      <c r="H95" s="300"/>
      <c r="I95" s="300"/>
      <c r="J95" s="300"/>
      <c r="K95" s="290">
        <f t="shared" ref="K95:BB95" si="108">IF(K94&lt;0,"NMF",IF(ABS(K92/K94)&gt;1,"NMF",K92/K94))</f>
        <v>8.5849704685103584E-2</v>
      </c>
      <c r="L95" s="300">
        <f t="shared" si="108"/>
        <v>6.960035535502955E-2</v>
      </c>
      <c r="M95" s="300">
        <f t="shared" si="108"/>
        <v>7.5723520289571522E-2</v>
      </c>
      <c r="N95" s="300">
        <f t="shared" si="108"/>
        <v>8.9020736117569318E-2</v>
      </c>
      <c r="O95" s="300">
        <f t="shared" si="108"/>
        <v>0.10581805054134527</v>
      </c>
      <c r="P95" s="290">
        <f t="shared" si="108"/>
        <v>0.11768656528604032</v>
      </c>
      <c r="Q95" s="300">
        <f t="shared" si="108"/>
        <v>0.11012211181326328</v>
      </c>
      <c r="R95" s="300">
        <f t="shared" si="108"/>
        <v>0.11356349228156967</v>
      </c>
      <c r="S95" s="300">
        <f t="shared" si="108"/>
        <v>0.1219931115256839</v>
      </c>
      <c r="T95" s="300">
        <f t="shared" si="108"/>
        <v>0.11289923420924655</v>
      </c>
      <c r="U95" s="290">
        <f t="shared" si="108"/>
        <v>0.1200478732095635</v>
      </c>
      <c r="V95" s="300">
        <f t="shared" si="108"/>
        <v>0.11347171391225874</v>
      </c>
      <c r="W95" s="300">
        <f t="shared" si="108"/>
        <v>0.11030477333974184</v>
      </c>
      <c r="X95" s="300">
        <f t="shared" si="108"/>
        <v>9.0969784718393093E-2</v>
      </c>
      <c r="Y95" s="300">
        <f t="shared" si="108"/>
        <v>8.4072363343297499E-2</v>
      </c>
      <c r="Z95" s="290">
        <f t="shared" si="108"/>
        <v>8.4854527098332647E-2</v>
      </c>
      <c r="AA95" s="300">
        <f t="shared" si="108"/>
        <v>8.4752592005586852E-2</v>
      </c>
      <c r="AB95" s="300">
        <f t="shared" si="108"/>
        <v>7.2530561344161235E-2</v>
      </c>
      <c r="AC95" s="300">
        <f t="shared" si="108"/>
        <v>6.2511235958052594E-2</v>
      </c>
      <c r="AD95" s="300">
        <f t="shared" si="108"/>
        <v>3.5792089035664443E-2</v>
      </c>
      <c r="AE95" s="290">
        <f t="shared" si="108"/>
        <v>3.5673780559957104E-2</v>
      </c>
      <c r="AF95" s="300">
        <f t="shared" si="108"/>
        <v>2.3303232720816885E-2</v>
      </c>
      <c r="AG95" s="300">
        <f t="shared" si="108"/>
        <v>3.2536348830763541E-2</v>
      </c>
      <c r="AH95" s="300">
        <f t="shared" si="108"/>
        <v>4.773989556791073E-2</v>
      </c>
      <c r="AI95" s="300">
        <f t="shared" si="108"/>
        <v>7.1930381213622399E-2</v>
      </c>
      <c r="AJ95" s="290">
        <f t="shared" si="108"/>
        <v>7.3474867571662231E-2</v>
      </c>
      <c r="AK95" s="300">
        <f t="shared" si="108"/>
        <v>0.16762524538453324</v>
      </c>
      <c r="AL95" s="300">
        <f t="shared" si="108"/>
        <v>0.15663598867329848</v>
      </c>
      <c r="AM95" s="300">
        <f t="shared" si="108"/>
        <v>0.13400658293654483</v>
      </c>
      <c r="AN95" s="300">
        <f t="shared" si="108"/>
        <v>7.2886406945885301E-2</v>
      </c>
      <c r="AO95" s="290">
        <f t="shared" si="108"/>
        <v>7.2807701005345671E-2</v>
      </c>
      <c r="AP95" s="300">
        <f>IF(AP94&lt;0,"NMF",IF(ABS(AP92/AP94)&gt;1,"NMF",AP92/AP94))</f>
        <v>-0.11148631423672116</v>
      </c>
      <c r="AQ95" s="359">
        <f>IF(AQ94&lt;0,"NMF",IF(ABS(AQ92/AQ94)&gt;1,"NMF",AQ92/AQ94))</f>
        <v>-0.15365511534606691</v>
      </c>
      <c r="AR95" s="116">
        <f t="shared" ca="1" si="108"/>
        <v>-0.16569062732865822</v>
      </c>
      <c r="AS95" s="116">
        <f t="shared" ca="1" si="108"/>
        <v>-0.12586919930283794</v>
      </c>
      <c r="AT95" s="115">
        <f t="shared" ca="1" si="108"/>
        <v>-0.12359685192226141</v>
      </c>
      <c r="AU95" s="116">
        <f t="shared" ca="1" si="108"/>
        <v>-1.7929576895608756E-2</v>
      </c>
      <c r="AV95" s="116">
        <f t="shared" ca="1" si="108"/>
        <v>3.9537920958253342E-2</v>
      </c>
      <c r="AW95" s="116">
        <f t="shared" ca="1" si="108"/>
        <v>6.7728591831045903E-2</v>
      </c>
      <c r="AX95" s="116">
        <f t="shared" ca="1" si="108"/>
        <v>8.7812473477100486E-2</v>
      </c>
      <c r="AY95" s="115">
        <f t="shared" ca="1" si="108"/>
        <v>8.9345602675744026E-2</v>
      </c>
      <c r="AZ95" s="115">
        <f t="shared" ca="1" si="108"/>
        <v>6.9514629299230996E-2</v>
      </c>
      <c r="BA95" s="115">
        <f t="shared" ca="1" si="108"/>
        <v>0.10639686573171316</v>
      </c>
      <c r="BB95" s="115">
        <f t="shared" ca="1" si="108"/>
        <v>3.6759035399146017E-2</v>
      </c>
      <c r="BC95" s="232"/>
    </row>
    <row r="96" spans="1:55" outlineLevel="1">
      <c r="A96" s="182" t="s">
        <v>250</v>
      </c>
      <c r="B96" s="183"/>
      <c r="C96" s="563">
        <f t="shared" ref="C96:AH96" si="109">INDEX(MO_BSS_Debt,0,COLUMN())</f>
        <v>44.775999999999996</v>
      </c>
      <c r="D96" s="563">
        <f t="shared" si="109"/>
        <v>38.578000000000003</v>
      </c>
      <c r="E96" s="563">
        <f t="shared" si="109"/>
        <v>33.262999999999998</v>
      </c>
      <c r="F96" s="563">
        <f t="shared" si="109"/>
        <v>29.983000000000001</v>
      </c>
      <c r="G96" s="564">
        <f t="shared" si="109"/>
        <v>27.932000000000002</v>
      </c>
      <c r="H96" s="564">
        <f t="shared" si="109"/>
        <v>25.475000000000001</v>
      </c>
      <c r="I96" s="564">
        <f t="shared" si="109"/>
        <v>198.66900000000001</v>
      </c>
      <c r="J96" s="564">
        <f t="shared" si="109"/>
        <v>200.32</v>
      </c>
      <c r="K96" s="563">
        <f t="shared" si="109"/>
        <v>200.32</v>
      </c>
      <c r="L96" s="564">
        <f t="shared" si="109"/>
        <v>268.41800000000001</v>
      </c>
      <c r="M96" s="564">
        <f t="shared" si="109"/>
        <v>245.61799999999999</v>
      </c>
      <c r="N96" s="564">
        <f t="shared" si="109"/>
        <v>212.643</v>
      </c>
      <c r="O96" s="564">
        <f t="shared" si="109"/>
        <v>183.00799999999998</v>
      </c>
      <c r="P96" s="563">
        <f t="shared" si="109"/>
        <v>183.00799999999998</v>
      </c>
      <c r="Q96" s="564">
        <f t="shared" si="109"/>
        <v>216.75699999999998</v>
      </c>
      <c r="R96" s="564">
        <f t="shared" si="109"/>
        <v>231.17099999999999</v>
      </c>
      <c r="S96" s="564">
        <f t="shared" si="109"/>
        <v>208.53399999999999</v>
      </c>
      <c r="T96" s="564">
        <f t="shared" si="109"/>
        <v>169.78900000000002</v>
      </c>
      <c r="U96" s="563">
        <f t="shared" si="109"/>
        <v>169.78900000000002</v>
      </c>
      <c r="V96" s="564">
        <f t="shared" si="109"/>
        <v>172.34599999999998</v>
      </c>
      <c r="W96" s="564">
        <f t="shared" si="109"/>
        <v>166.589</v>
      </c>
      <c r="X96" s="564">
        <f t="shared" si="109"/>
        <v>163.99100000000001</v>
      </c>
      <c r="Y96" s="564">
        <f t="shared" si="109"/>
        <v>148.12</v>
      </c>
      <c r="Z96" s="563">
        <f t="shared" si="109"/>
        <v>148.12</v>
      </c>
      <c r="AA96" s="564">
        <f t="shared" si="109"/>
        <v>141.49599999999998</v>
      </c>
      <c r="AB96" s="564">
        <f t="shared" si="109"/>
        <v>162.96600000000001</v>
      </c>
      <c r="AC96" s="564">
        <f t="shared" si="109"/>
        <v>177.34699999999998</v>
      </c>
      <c r="AD96" s="564">
        <f t="shared" si="109"/>
        <v>271.767</v>
      </c>
      <c r="AE96" s="563">
        <f t="shared" si="109"/>
        <v>271.767</v>
      </c>
      <c r="AF96" s="564">
        <f t="shared" si="109"/>
        <v>276.10500000000002</v>
      </c>
      <c r="AG96" s="564">
        <f t="shared" si="109"/>
        <v>265.34499999999997</v>
      </c>
      <c r="AH96" s="564">
        <f t="shared" si="109"/>
        <v>259.64499999999998</v>
      </c>
      <c r="AI96" s="564">
        <f t="shared" ref="AI96:BB96" si="110">INDEX(MO_BSS_Debt,0,COLUMN())</f>
        <v>233.982</v>
      </c>
      <c r="AJ96" s="563">
        <f t="shared" si="110"/>
        <v>233.982</v>
      </c>
      <c r="AK96" s="564">
        <f t="shared" si="110"/>
        <v>115.306</v>
      </c>
      <c r="AL96" s="564">
        <f t="shared" si="110"/>
        <v>122.283</v>
      </c>
      <c r="AM96" s="564">
        <f t="shared" si="110"/>
        <v>180.24600000000001</v>
      </c>
      <c r="AN96" s="564">
        <f t="shared" si="110"/>
        <v>188.22399999999999</v>
      </c>
      <c r="AO96" s="563">
        <f t="shared" si="110"/>
        <v>188.22399999999999</v>
      </c>
      <c r="AP96" s="564">
        <f>INDEX(MO_BSS_Debt,0,COLUMN())</f>
        <v>333.22300000000001</v>
      </c>
      <c r="AQ96" s="565">
        <f>INDEX(MO_BSS_Debt,0,COLUMN())</f>
        <v>173.22399999999999</v>
      </c>
      <c r="AR96" s="566">
        <f t="shared" si="110"/>
        <v>173.22399999999999</v>
      </c>
      <c r="AS96" s="566">
        <f t="shared" si="110"/>
        <v>173.22399999999999</v>
      </c>
      <c r="AT96" s="567">
        <f t="shared" si="110"/>
        <v>173.22399999999999</v>
      </c>
      <c r="AU96" s="566">
        <f t="shared" si="110"/>
        <v>173.22399999999999</v>
      </c>
      <c r="AV96" s="566">
        <f t="shared" si="110"/>
        <v>173.22399999999999</v>
      </c>
      <c r="AW96" s="566">
        <f t="shared" si="110"/>
        <v>173.22399999999999</v>
      </c>
      <c r="AX96" s="566">
        <f t="shared" si="110"/>
        <v>173.22399999999999</v>
      </c>
      <c r="AY96" s="567">
        <f t="shared" si="110"/>
        <v>173.22399999999999</v>
      </c>
      <c r="AZ96" s="567">
        <f t="shared" si="110"/>
        <v>173.22399999999999</v>
      </c>
      <c r="BA96" s="567">
        <f t="shared" si="110"/>
        <v>173.22399999999999</v>
      </c>
      <c r="BB96" s="567">
        <f t="shared" si="110"/>
        <v>173.22399999999999</v>
      </c>
      <c r="BC96" s="531"/>
    </row>
    <row r="97" spans="1:55" outlineLevel="1">
      <c r="A97" s="182" t="s">
        <v>251</v>
      </c>
      <c r="B97" s="183"/>
      <c r="C97" s="563">
        <f>C96</f>
        <v>44.775999999999996</v>
      </c>
      <c r="D97" s="563">
        <f>AVERAGE(D96,C96)</f>
        <v>41.677</v>
      </c>
      <c r="E97" s="563">
        <f>AVERAGE(E96,D96)</f>
        <v>35.920500000000004</v>
      </c>
      <c r="F97" s="563">
        <f>AVERAGE(F96,E96)</f>
        <v>31.622999999999998</v>
      </c>
      <c r="G97" s="564"/>
      <c r="H97" s="564"/>
      <c r="I97" s="564"/>
      <c r="J97" s="564">
        <f>AVERAGE(J96,I96,H96,G96)</f>
        <v>113.09900000000002</v>
      </c>
      <c r="K97" s="563">
        <f>AVERAGE(K96,F96)</f>
        <v>115.1515</v>
      </c>
      <c r="L97" s="564">
        <f>AVERAGE(L96,J96,I96,H96)</f>
        <v>173.22050000000002</v>
      </c>
      <c r="M97" s="564">
        <f>AVERAGE(M96,L96,J96,I96)</f>
        <v>228.25624999999999</v>
      </c>
      <c r="N97" s="564">
        <f>AVERAGE(N96,M96,L96,J96)</f>
        <v>231.74975000000001</v>
      </c>
      <c r="O97" s="564">
        <f>AVERAGE(O96,N96,M96,L96)</f>
        <v>227.42175</v>
      </c>
      <c r="P97" s="563">
        <f>AVERAGE(P96,K96)</f>
        <v>191.66399999999999</v>
      </c>
      <c r="Q97" s="564">
        <f>AVERAGE(Q96,O96,N96,M96)</f>
        <v>214.50650000000002</v>
      </c>
      <c r="R97" s="564">
        <f>AVERAGE(R96,Q96,O96,N96)</f>
        <v>210.89474999999999</v>
      </c>
      <c r="S97" s="564">
        <f>AVERAGE(S96,R96,Q96,O96)</f>
        <v>209.86750000000001</v>
      </c>
      <c r="T97" s="564">
        <f>AVERAGE(T96,S96,R96,Q96)</f>
        <v>206.56274999999997</v>
      </c>
      <c r="U97" s="563">
        <f>AVERAGE(U96,P96)</f>
        <v>176.39850000000001</v>
      </c>
      <c r="V97" s="564">
        <f>AVERAGE(V96,T96,S96,R96)</f>
        <v>195.45999999999998</v>
      </c>
      <c r="W97" s="564">
        <f>AVERAGE(W96,V96,T96,S96)</f>
        <v>179.31449999999998</v>
      </c>
      <c r="X97" s="564">
        <f>AVERAGE(X96,W96,V96,T96)</f>
        <v>168.17875000000001</v>
      </c>
      <c r="Y97" s="564">
        <f>AVERAGE(Y96,X96,W96,V96)</f>
        <v>162.76149999999998</v>
      </c>
      <c r="Z97" s="563">
        <f>AVERAGE(Z96,U96)</f>
        <v>158.9545</v>
      </c>
      <c r="AA97" s="564">
        <f>AVERAGE(AA96,Y96,X96,W96)</f>
        <v>155.04899999999998</v>
      </c>
      <c r="AB97" s="564">
        <f>AVERAGE(AB96,AA96,Y96,X96)</f>
        <v>154.14324999999999</v>
      </c>
      <c r="AC97" s="564">
        <f>AVERAGE(AC96,AB96,AA96,Y96)</f>
        <v>157.48224999999999</v>
      </c>
      <c r="AD97" s="564">
        <f>AVERAGE(AD96,AC96,AB96,AA96)</f>
        <v>188.39399999999998</v>
      </c>
      <c r="AE97" s="563">
        <f>AVERAGE(AE96,Z96)</f>
        <v>209.9435</v>
      </c>
      <c r="AF97" s="564">
        <f>AVERAGE(AF96,AD96,AC96,AB96)</f>
        <v>222.04625000000001</v>
      </c>
      <c r="AG97" s="564">
        <f>AVERAGE(AG96,AF96,AD96,AC96)</f>
        <v>247.64100000000002</v>
      </c>
      <c r="AH97" s="564">
        <f>AVERAGE(AH96,AG96,AF96,AD96)</f>
        <v>268.21550000000002</v>
      </c>
      <c r="AI97" s="564">
        <f>AVERAGE(AI96,AH96,AG96,AF96)</f>
        <v>258.76925</v>
      </c>
      <c r="AJ97" s="563">
        <f>AVERAGE(AJ96,AE96)</f>
        <v>252.87450000000001</v>
      </c>
      <c r="AK97" s="564">
        <f>AVERAGE(AK96,AI96,AH96,AG96)</f>
        <v>218.56950000000001</v>
      </c>
      <c r="AL97" s="564">
        <f>AVERAGE(AL96,AK96,AI96,AH96)</f>
        <v>182.804</v>
      </c>
      <c r="AM97" s="564">
        <f>AVERAGE(AM96,AL96,AK96,AI96)</f>
        <v>162.95425</v>
      </c>
      <c r="AN97" s="564">
        <f>AVERAGE(AN96,AM96,AL96,AK96)</f>
        <v>151.51475000000002</v>
      </c>
      <c r="AO97" s="563">
        <f>AVERAGE(AO96,AJ96)</f>
        <v>211.10300000000001</v>
      </c>
      <c r="AP97" s="564">
        <f>AVERAGE(AP96,AN96,AM96,AL96)</f>
        <v>205.994</v>
      </c>
      <c r="AQ97" s="565">
        <f>AVERAGE(AQ96,AP96,AN96,AM96)</f>
        <v>218.72925000000001</v>
      </c>
      <c r="AR97" s="566">
        <f>AVERAGE(AR96,AQ96,AP96,AN96)</f>
        <v>216.97375</v>
      </c>
      <c r="AS97" s="566">
        <f>AVERAGE(AS96,AR96,AQ96,AP96)</f>
        <v>213.22375</v>
      </c>
      <c r="AT97" s="567">
        <f>AVERAGE(AT96,AO96)</f>
        <v>180.72399999999999</v>
      </c>
      <c r="AU97" s="566">
        <f>AVERAGE(AU96,AS96,AR96,AQ96)</f>
        <v>173.22399999999999</v>
      </c>
      <c r="AV97" s="566">
        <f>AVERAGE(AV96,AU96,AS96,AR96)</f>
        <v>173.22399999999999</v>
      </c>
      <c r="AW97" s="566">
        <f>AVERAGE(AW96,AV96,AU96,AS96)</f>
        <v>173.22399999999999</v>
      </c>
      <c r="AX97" s="566">
        <f>AVERAGE(AX96,AW96,AV96,AU96)</f>
        <v>173.22399999999999</v>
      </c>
      <c r="AY97" s="567">
        <f>AVERAGE(AY96,AT96)</f>
        <v>173.22399999999999</v>
      </c>
      <c r="AZ97" s="567">
        <f>AVERAGE(AZ96,AY96)</f>
        <v>173.22399999999999</v>
      </c>
      <c r="BA97" s="567">
        <f>AVERAGE(BA96,AZ96)</f>
        <v>173.22399999999999</v>
      </c>
      <c r="BB97" s="567">
        <f>AVERAGE(BB96,BA96)</f>
        <v>173.22399999999999</v>
      </c>
      <c r="BC97" s="531"/>
    </row>
    <row r="98" spans="1:55" outlineLevel="1">
      <c r="A98" s="182" t="s">
        <v>252</v>
      </c>
      <c r="B98" s="183"/>
      <c r="C98" s="563">
        <f t="shared" ref="C98:AH98" si="111">SUM(INDEX(SP_BSR_Debt_Avg,0,COLUMN()),INDEX(SP_BSR_SE_Avg,0,COLUMN()))</f>
        <v>104.889</v>
      </c>
      <c r="D98" s="563">
        <f t="shared" si="111"/>
        <v>110.34099999999998</v>
      </c>
      <c r="E98" s="563">
        <f t="shared" si="111"/>
        <v>125.95949999999999</v>
      </c>
      <c r="F98" s="563">
        <f t="shared" si="111"/>
        <v>145.6215</v>
      </c>
      <c r="G98" s="564">
        <f t="shared" si="111"/>
        <v>0</v>
      </c>
      <c r="H98" s="564">
        <f t="shared" si="111"/>
        <v>0</v>
      </c>
      <c r="I98" s="564">
        <f t="shared" si="111"/>
        <v>0</v>
      </c>
      <c r="J98" s="564">
        <f t="shared" si="111"/>
        <v>261.48525000000006</v>
      </c>
      <c r="K98" s="563">
        <f t="shared" si="111"/>
        <v>263.47300000000001</v>
      </c>
      <c r="L98" s="564">
        <f t="shared" si="111"/>
        <v>333.32024999999999</v>
      </c>
      <c r="M98" s="564">
        <f t="shared" si="111"/>
        <v>402.1225</v>
      </c>
      <c r="N98" s="564">
        <f t="shared" si="111"/>
        <v>421.37400000000002</v>
      </c>
      <c r="O98" s="564">
        <f t="shared" si="111"/>
        <v>431.21299999999997</v>
      </c>
      <c r="P98" s="563">
        <f t="shared" si="111"/>
        <v>391.50700000000001</v>
      </c>
      <c r="Q98" s="564">
        <f t="shared" si="111"/>
        <v>432.29650000000004</v>
      </c>
      <c r="R98" s="564">
        <f t="shared" si="111"/>
        <v>444.041</v>
      </c>
      <c r="S98" s="564">
        <f t="shared" si="111"/>
        <v>461.19299999999998</v>
      </c>
      <c r="T98" s="564">
        <f t="shared" si="111"/>
        <v>475.90025000000003</v>
      </c>
      <c r="U98" s="563">
        <f t="shared" si="111"/>
        <v>440.59950000000003</v>
      </c>
      <c r="V98" s="564">
        <f t="shared" si="111"/>
        <v>483.29300000000001</v>
      </c>
      <c r="W98" s="564">
        <f t="shared" si="111"/>
        <v>482.72149999999999</v>
      </c>
      <c r="X98" s="564">
        <f t="shared" si="111"/>
        <v>482.93200000000002</v>
      </c>
      <c r="Y98" s="564">
        <f t="shared" si="111"/>
        <v>486.82074999999998</v>
      </c>
      <c r="Z98" s="563">
        <f t="shared" si="111"/>
        <v>477.79149999999998</v>
      </c>
      <c r="AA98" s="564">
        <f t="shared" si="111"/>
        <v>487.89</v>
      </c>
      <c r="AB98" s="564">
        <f t="shared" si="111"/>
        <v>494.30399999999997</v>
      </c>
      <c r="AC98" s="564">
        <f t="shared" si="111"/>
        <v>499.63274999999999</v>
      </c>
      <c r="AD98" s="564">
        <f t="shared" si="111"/>
        <v>528.66399999999999</v>
      </c>
      <c r="AE98" s="563">
        <f t="shared" si="111"/>
        <v>543.63149999999996</v>
      </c>
      <c r="AF98" s="564">
        <f t="shared" si="111"/>
        <v>560.29824999999994</v>
      </c>
      <c r="AG98" s="564">
        <f t="shared" si="111"/>
        <v>586.78475000000003</v>
      </c>
      <c r="AH98" s="564">
        <f t="shared" si="111"/>
        <v>615.38799999999992</v>
      </c>
      <c r="AI98" s="564">
        <f t="shared" ref="AI98:BB98" si="112">SUM(INDEX(SP_BSR_Debt_Avg,0,COLUMN()),INDEX(SP_BSR_SE_Avg,0,COLUMN()))</f>
        <v>620.11625000000004</v>
      </c>
      <c r="AJ98" s="563">
        <f t="shared" si="112"/>
        <v>611.15049999999997</v>
      </c>
      <c r="AK98" s="564">
        <f t="shared" si="112"/>
        <v>611.91024999999991</v>
      </c>
      <c r="AL98" s="564">
        <f t="shared" si="112"/>
        <v>607.06375000000003</v>
      </c>
      <c r="AM98" s="564">
        <f t="shared" si="112"/>
        <v>601.30074999999999</v>
      </c>
      <c r="AN98" s="564">
        <f t="shared" si="112"/>
        <v>590.41925000000003</v>
      </c>
      <c r="AO98" s="563">
        <f t="shared" si="112"/>
        <v>598.84400000000005</v>
      </c>
      <c r="AP98" s="564">
        <f>SUM(INDEX(SP_BSR_Debt_Avg,0,COLUMN()),INDEX(SP_BSR_SE_Avg,0,COLUMN()))</f>
        <v>606.85</v>
      </c>
      <c r="AQ98" s="565">
        <f>SUM(INDEX(SP_BSR_Debt_Avg,0,COLUMN()),INDEX(SP_BSR_SE_Avg,0,COLUMN()))</f>
        <v>573.93349999999998</v>
      </c>
      <c r="AR98" s="566">
        <f t="shared" ca="1" si="112"/>
        <v>538.25827310245904</v>
      </c>
      <c r="AS98" s="566">
        <f t="shared" ca="1" si="112"/>
        <v>509.96986695173871</v>
      </c>
      <c r="AT98" s="567">
        <f t="shared" ca="1" si="112"/>
        <v>520.50418769855946</v>
      </c>
      <c r="AU98" s="566">
        <f t="shared" ca="1" si="112"/>
        <v>466.89931226123241</v>
      </c>
      <c r="AV98" s="566">
        <f t="shared" ca="1" si="112"/>
        <v>473.21927970254296</v>
      </c>
      <c r="AW98" s="566">
        <f t="shared" ca="1" si="112"/>
        <v>484.46464692752687</v>
      </c>
      <c r="AX98" s="566">
        <f t="shared" ca="1" si="112"/>
        <v>499.47757071251311</v>
      </c>
      <c r="AY98" s="567">
        <f t="shared" ca="1" si="112"/>
        <v>493.95322296709128</v>
      </c>
      <c r="AZ98" s="567">
        <f t="shared" ca="1" si="112"/>
        <v>549.45054590384234</v>
      </c>
      <c r="BA98" s="567">
        <f t="shared" ca="1" si="112"/>
        <v>618.3999422246161</v>
      </c>
      <c r="BB98" s="567">
        <f t="shared" ca="1" si="112"/>
        <v>677.78499402574403</v>
      </c>
      <c r="BC98" s="531"/>
    </row>
    <row r="99" spans="1:55" s="68" customFormat="1">
      <c r="A99" s="203" t="s">
        <v>253</v>
      </c>
      <c r="B99" s="86"/>
      <c r="C99" s="290">
        <f>IF(C98&lt;0,"NMF",IF(ABS(C92/C98)&gt;1,"NMF",C92/C98))</f>
        <v>-2.4394526896330593E-2</v>
      </c>
      <c r="D99" s="290">
        <f>IF(D98&lt;0,"NMF",IF(ABS(D92/D98)&gt;1,"NMF",D92/D98))</f>
        <v>0.15130247561691379</v>
      </c>
      <c r="E99" s="290">
        <f>IF(E98&lt;0,"NMF",IF(ABS(E92/E98)&gt;1,"NMF",E92/E98))</f>
        <v>0.18208156602464731</v>
      </c>
      <c r="F99" s="290">
        <f>IF(F98&lt;0,"NMF",IF(ABS(F92/F98)&gt;1,"NMF",F92/F98))</f>
        <v>0.1551671729210283</v>
      </c>
      <c r="G99" s="300"/>
      <c r="H99" s="300"/>
      <c r="I99" s="300"/>
      <c r="J99" s="300">
        <f t="shared" ref="J99:BB99" si="113">IF(J98&lt;0,"NMF",IF(ABS(J92/J98)&gt;1,"NMF",J92/J98))</f>
        <v>0.11520223271455537</v>
      </c>
      <c r="K99" s="290">
        <f t="shared" si="113"/>
        <v>0.11457466859383304</v>
      </c>
      <c r="L99" s="300">
        <f t="shared" si="113"/>
        <v>9.1315265729634582E-2</v>
      </c>
      <c r="M99" s="300">
        <f t="shared" si="113"/>
        <v>9.9314238686767489E-2</v>
      </c>
      <c r="N99" s="300">
        <f t="shared" si="113"/>
        <v>0.11976879845054547</v>
      </c>
      <c r="O99" s="300">
        <f t="shared" si="113"/>
        <v>0.1435145332062838</v>
      </c>
      <c r="P99" s="290">
        <f t="shared" si="113"/>
        <v>0.15844281338495006</v>
      </c>
      <c r="Q99" s="300">
        <f t="shared" si="113"/>
        <v>0.14882239969767255</v>
      </c>
      <c r="R99" s="300">
        <f t="shared" si="113"/>
        <v>0.15295832942235174</v>
      </c>
      <c r="S99" s="300">
        <f t="shared" si="113"/>
        <v>0.16200280394714053</v>
      </c>
      <c r="T99" s="300">
        <f t="shared" si="113"/>
        <v>0.14804102991514104</v>
      </c>
      <c r="U99" s="290">
        <f t="shared" si="113"/>
        <v>0.15968524104794657</v>
      </c>
      <c r="V99" s="300">
        <f t="shared" si="113"/>
        <v>0.14731033546887531</v>
      </c>
      <c r="W99" s="300">
        <f t="shared" si="113"/>
        <v>0.14188556340566122</v>
      </c>
      <c r="X99" s="300">
        <f t="shared" si="113"/>
        <v>0.11559983716598943</v>
      </c>
      <c r="Y99" s="300">
        <f t="shared" si="113"/>
        <v>0.10577002669996982</v>
      </c>
      <c r="Z99" s="290">
        <f t="shared" si="113"/>
        <v>0.10776494661131918</v>
      </c>
      <c r="AA99" s="300">
        <f t="shared" si="113"/>
        <v>0.10593461664133108</v>
      </c>
      <c r="AB99" s="300">
        <f t="shared" si="113"/>
        <v>9.0053013740493001E-2</v>
      </c>
      <c r="AC99" s="300">
        <f t="shared" si="113"/>
        <v>7.7448484010721172E-2</v>
      </c>
      <c r="AD99" s="300">
        <f t="shared" si="113"/>
        <v>4.4137183066240607E-2</v>
      </c>
      <c r="AE99" s="290">
        <f t="shared" si="113"/>
        <v>4.3976083141347128E-2</v>
      </c>
      <c r="AF99" s="300">
        <f t="shared" si="113"/>
        <v>2.8822212832145842E-2</v>
      </c>
      <c r="AG99" s="300">
        <f t="shared" si="113"/>
        <v>4.0319076063725132E-2</v>
      </c>
      <c r="AH99" s="300">
        <f t="shared" si="113"/>
        <v>5.9036120629667031E-2</v>
      </c>
      <c r="AI99" s="300">
        <f t="shared" si="113"/>
        <v>8.9394123655459914E-2</v>
      </c>
      <c r="AJ99" s="290">
        <f t="shared" si="113"/>
        <v>9.0804835350934587E-2</v>
      </c>
      <c r="AK99" s="300">
        <f t="shared" si="113"/>
        <v>0.21200307341729308</v>
      </c>
      <c r="AL99" s="300">
        <f t="shared" si="113"/>
        <v>0.19986923868557538</v>
      </c>
      <c r="AM99" s="300">
        <f t="shared" si="113"/>
        <v>0.17273923975805788</v>
      </c>
      <c r="AN99" s="300">
        <f t="shared" si="113"/>
        <v>9.5933975571706964E-2</v>
      </c>
      <c r="AO99" s="290">
        <f t="shared" si="113"/>
        <v>9.4671993045668909E-2</v>
      </c>
      <c r="AP99" s="300">
        <f>IF(AP98&lt;0,"NMF",IF(ABS(AP92/AP98)&gt;1,"NMF",AP92/AP98))</f>
        <v>-0.14595884341839641</v>
      </c>
      <c r="AQ99" s="359">
        <f>IF(AQ98&lt;0,"NMF",IF(ABS(AQ92/AQ98)&gt;1,"NMF",AQ92/AQ98))</f>
        <v>-0.20542615634228575</v>
      </c>
      <c r="AR99" s="116">
        <f t="shared" ca="1" si="113"/>
        <v>-0.22680036982513321</v>
      </c>
      <c r="AS99" s="116">
        <f t="shared" ca="1" si="113"/>
        <v>-0.17345163868735997</v>
      </c>
      <c r="AT99" s="115">
        <f t="shared" ca="1" si="113"/>
        <v>-0.16970241146590842</v>
      </c>
      <c r="AU99" s="116">
        <f t="shared" ca="1" si="113"/>
        <v>-2.5210864405308207E-2</v>
      </c>
      <c r="AV99" s="116">
        <f t="shared" ca="1" si="113"/>
        <v>5.5375592878362592E-2</v>
      </c>
      <c r="AW99" s="116">
        <f t="shared" ca="1" si="113"/>
        <v>9.4566630811563732E-2</v>
      </c>
      <c r="AX99" s="116">
        <f t="shared" ca="1" si="113"/>
        <v>0.12207092119666729</v>
      </c>
      <c r="AY99" s="115">
        <f t="shared" ca="1" si="113"/>
        <v>0.12343615617629487</v>
      </c>
      <c r="AZ99" s="115">
        <f t="shared" ca="1" si="113"/>
        <v>9.40264055075508E-2</v>
      </c>
      <c r="BA99" s="115">
        <f t="shared" ca="1" si="113"/>
        <v>0.140901863706758</v>
      </c>
      <c r="BB99" s="115">
        <f t="shared" ca="1" si="113"/>
        <v>4.741738258061691E-2</v>
      </c>
      <c r="BC99" s="232"/>
    </row>
    <row r="100" spans="1:55" outlineLevel="1">
      <c r="A100" s="182" t="s">
        <v>114</v>
      </c>
      <c r="B100" s="183"/>
      <c r="C100" s="563">
        <f t="shared" ref="C100:AH100" si="114">INDEX(MO_RIS_EBIT,0,COLUMN())</f>
        <v>13.168000000000008</v>
      </c>
      <c r="D100" s="563">
        <f t="shared" si="114"/>
        <v>24.379999999999978</v>
      </c>
      <c r="E100" s="563">
        <f t="shared" si="114"/>
        <v>33.321000000000019</v>
      </c>
      <c r="F100" s="563">
        <f t="shared" si="114"/>
        <v>32.625000000000036</v>
      </c>
      <c r="G100" s="564">
        <f t="shared" si="114"/>
        <v>11.062000000000005</v>
      </c>
      <c r="H100" s="564">
        <f t="shared" si="114"/>
        <v>7.9799999999999995</v>
      </c>
      <c r="I100" s="564">
        <f t="shared" si="114"/>
        <v>12.351999999999997</v>
      </c>
      <c r="J100" s="564">
        <f t="shared" si="114"/>
        <v>10.911000000000007</v>
      </c>
      <c r="K100" s="563">
        <f t="shared" si="114"/>
        <v>42.305000000000007</v>
      </c>
      <c r="L100" s="564">
        <f t="shared" si="114"/>
        <v>13.626999999999988</v>
      </c>
      <c r="M100" s="564">
        <f t="shared" si="114"/>
        <v>22.481000000000002</v>
      </c>
      <c r="N100" s="564">
        <f t="shared" si="114"/>
        <v>25.770999999999997</v>
      </c>
      <c r="O100" s="564">
        <f t="shared" si="114"/>
        <v>25.482999999999912</v>
      </c>
      <c r="P100" s="563">
        <f t="shared" si="114"/>
        <v>87.361999999999995</v>
      </c>
      <c r="Q100" s="564">
        <f t="shared" si="114"/>
        <v>17.543000000000003</v>
      </c>
      <c r="R100" s="564">
        <f t="shared" si="114"/>
        <v>28.155000000000022</v>
      </c>
      <c r="S100" s="564">
        <f t="shared" si="114"/>
        <v>37.130000000000024</v>
      </c>
      <c r="T100" s="564">
        <f t="shared" si="114"/>
        <v>15.973000000000063</v>
      </c>
      <c r="U100" s="563">
        <f t="shared" si="114"/>
        <v>98.80100000000003</v>
      </c>
      <c r="V100" s="564">
        <f t="shared" si="114"/>
        <v>17.599000000000011</v>
      </c>
      <c r="W100" s="564">
        <f t="shared" si="114"/>
        <v>22.610999999999986</v>
      </c>
      <c r="X100" s="564">
        <f t="shared" si="114"/>
        <v>17.524999999999988</v>
      </c>
      <c r="Y100" s="564">
        <f t="shared" si="114"/>
        <v>15.403999999999996</v>
      </c>
      <c r="Z100" s="563">
        <f t="shared" si="114"/>
        <v>73.139000000000067</v>
      </c>
      <c r="AA100" s="564">
        <f t="shared" si="114"/>
        <v>16.933999999999994</v>
      </c>
      <c r="AB100" s="564">
        <f t="shared" si="114"/>
        <v>12.059000000000008</v>
      </c>
      <c r="AC100" s="564">
        <f t="shared" si="114"/>
        <v>10.393999999999998</v>
      </c>
      <c r="AD100" s="564">
        <f t="shared" si="114"/>
        <v>8.9510000000001462</v>
      </c>
      <c r="AE100" s="563">
        <f t="shared" si="114"/>
        <v>48.338000000000036</v>
      </c>
      <c r="AF100" s="564">
        <f t="shared" si="114"/>
        <v>6.6320000000000157</v>
      </c>
      <c r="AG100" s="564">
        <f t="shared" si="114"/>
        <v>20.128999999999998</v>
      </c>
      <c r="AH100" s="564">
        <f t="shared" si="114"/>
        <v>18.343999999999991</v>
      </c>
      <c r="AI100" s="564">
        <f t="shared" ref="AI100:BB100" si="115">INDEX(MO_RIS_EBIT,0,COLUMN())</f>
        <v>18.558000000000149</v>
      </c>
      <c r="AJ100" s="563">
        <f t="shared" si="115"/>
        <v>63.663000000000068</v>
      </c>
      <c r="AK100" s="564">
        <f t="shared" si="115"/>
        <v>22.880999999999993</v>
      </c>
      <c r="AL100" s="564">
        <f t="shared" si="115"/>
        <v>10.572999999999995</v>
      </c>
      <c r="AM100" s="564">
        <f t="shared" si="115"/>
        <v>5.103000000000014</v>
      </c>
      <c r="AN100" s="564">
        <f t="shared" si="115"/>
        <v>-25.773000000000053</v>
      </c>
      <c r="AO100" s="563">
        <f t="shared" si="115"/>
        <v>12.78400000000002</v>
      </c>
      <c r="AP100" s="564">
        <f>INDEX(MO_RIS_EBIT,0,COLUMN())</f>
        <v>6.852000000000011</v>
      </c>
      <c r="AQ100" s="565">
        <f>INDEX(MO_RIS_EBIT,0,COLUMN())</f>
        <v>-6.0709999999999997</v>
      </c>
      <c r="AR100" s="566">
        <f t="shared" si="115"/>
        <v>-2.002799999999997</v>
      </c>
      <c r="AS100" s="566">
        <f t="shared" si="115"/>
        <v>0.87643999999999878</v>
      </c>
      <c r="AT100" s="567">
        <f t="shared" si="115"/>
        <v>-0.34535999999999234</v>
      </c>
      <c r="AU100" s="566">
        <f t="shared" si="115"/>
        <v>11.58910400000001</v>
      </c>
      <c r="AV100" s="566">
        <f t="shared" si="115"/>
        <v>17.167382500000006</v>
      </c>
      <c r="AW100" s="566">
        <f t="shared" si="115"/>
        <v>18.638664454999994</v>
      </c>
      <c r="AX100" s="566">
        <f t="shared" si="115"/>
        <v>16.785572385999998</v>
      </c>
      <c r="AY100" s="567">
        <f t="shared" si="115"/>
        <v>64.180723341000075</v>
      </c>
      <c r="AZ100" s="567">
        <f t="shared" si="115"/>
        <v>57.403177594999818</v>
      </c>
      <c r="BA100" s="567">
        <f t="shared" si="115"/>
        <v>96.815227083999886</v>
      </c>
      <c r="BB100" s="567">
        <f t="shared" si="115"/>
        <v>35.709767076799835</v>
      </c>
      <c r="BC100" s="531"/>
    </row>
    <row r="101" spans="1:55" outlineLevel="1">
      <c r="A101" s="182" t="s">
        <v>254</v>
      </c>
      <c r="B101" s="183"/>
      <c r="C101" s="563">
        <f>C100</f>
        <v>13.168000000000008</v>
      </c>
      <c r="D101" s="563">
        <f>D100</f>
        <v>24.379999999999978</v>
      </c>
      <c r="E101" s="563">
        <f>E100</f>
        <v>33.321000000000019</v>
      </c>
      <c r="F101" s="563">
        <f>F100</f>
        <v>32.625000000000036</v>
      </c>
      <c r="G101" s="564"/>
      <c r="H101" s="564"/>
      <c r="I101" s="564"/>
      <c r="J101" s="564">
        <f>SUM(J100,I100,H100,G100)</f>
        <v>42.305000000000007</v>
      </c>
      <c r="K101" s="563">
        <f>K100</f>
        <v>42.305000000000007</v>
      </c>
      <c r="L101" s="564">
        <f>SUM(L100,J100,I100,H100)</f>
        <v>44.86999999999999</v>
      </c>
      <c r="M101" s="564">
        <f>SUM(M100,L100,J100,I100)</f>
        <v>59.370999999999995</v>
      </c>
      <c r="N101" s="564">
        <f>SUM(N100,M100,L100,J100)</f>
        <v>72.789999999999992</v>
      </c>
      <c r="O101" s="564">
        <f>SUM(O100,N100,M100,L100)</f>
        <v>87.361999999999881</v>
      </c>
      <c r="P101" s="563">
        <f>P100</f>
        <v>87.361999999999995</v>
      </c>
      <c r="Q101" s="564">
        <f>SUM(Q100,O100,N100,M100)</f>
        <v>91.277999999999906</v>
      </c>
      <c r="R101" s="564">
        <f>SUM(R100,Q100,O100,N100)</f>
        <v>96.951999999999927</v>
      </c>
      <c r="S101" s="564">
        <f>SUM(S100,R100,Q100,O100)</f>
        <v>108.31099999999998</v>
      </c>
      <c r="T101" s="564">
        <f>SUM(T100,S100,R100,Q100)</f>
        <v>98.801000000000116</v>
      </c>
      <c r="U101" s="563">
        <f>U100</f>
        <v>98.80100000000003</v>
      </c>
      <c r="V101" s="564">
        <f>SUM(V100,T100,S100,R100)</f>
        <v>98.857000000000113</v>
      </c>
      <c r="W101" s="564">
        <f>SUM(W100,V100,T100,S100)</f>
        <v>93.313000000000073</v>
      </c>
      <c r="X101" s="564">
        <f>SUM(X100,W100,V100,T100)</f>
        <v>73.708000000000055</v>
      </c>
      <c r="Y101" s="564">
        <f>SUM(Y100,X100,W100,V100)</f>
        <v>73.138999999999982</v>
      </c>
      <c r="Z101" s="563">
        <f>Z100</f>
        <v>73.139000000000067</v>
      </c>
      <c r="AA101" s="564">
        <f>SUM(AA100,Y100,X100,W100)</f>
        <v>72.473999999999975</v>
      </c>
      <c r="AB101" s="564">
        <f>SUM(AB100,AA100,Y100,X100)</f>
        <v>61.921999999999983</v>
      </c>
      <c r="AC101" s="564">
        <f>SUM(AC100,AB100,AA100,Y100)</f>
        <v>54.790999999999997</v>
      </c>
      <c r="AD101" s="564">
        <f>SUM(AD100,AC100,AB100,AA100)</f>
        <v>48.33800000000015</v>
      </c>
      <c r="AE101" s="563">
        <f>AE100</f>
        <v>48.338000000000036</v>
      </c>
      <c r="AF101" s="564">
        <f>SUM(AF100,AD100,AC100,AB100)</f>
        <v>38.036000000000172</v>
      </c>
      <c r="AG101" s="564">
        <f>SUM(AG100,AF100,AD100,AC100)</f>
        <v>46.106000000000158</v>
      </c>
      <c r="AH101" s="564">
        <f>SUM(AH100,AG100,AF100,AD100)</f>
        <v>54.056000000000154</v>
      </c>
      <c r="AI101" s="564">
        <f>SUM(AI100,AH100,AG100,AF100)</f>
        <v>63.663000000000153</v>
      </c>
      <c r="AJ101" s="563">
        <f>AJ100</f>
        <v>63.663000000000068</v>
      </c>
      <c r="AK101" s="564">
        <f>SUM(AK100,AI100,AH100,AG100)</f>
        <v>79.91200000000012</v>
      </c>
      <c r="AL101" s="564">
        <f>SUM(AL100,AK100,AI100,AH100)</f>
        <v>70.356000000000122</v>
      </c>
      <c r="AM101" s="564">
        <f>SUM(AM100,AL100,AK100,AI100)</f>
        <v>57.115000000000151</v>
      </c>
      <c r="AN101" s="564">
        <f>SUM(AN100,AM100,AL100,AK100)</f>
        <v>12.783999999999951</v>
      </c>
      <c r="AO101" s="563">
        <f>AO100</f>
        <v>12.78400000000002</v>
      </c>
      <c r="AP101" s="564">
        <f>SUM(AP100,AN100,AM100,AL100)</f>
        <v>-3.245000000000033</v>
      </c>
      <c r="AQ101" s="565">
        <f>SUM(AQ100,AP100,AN100,AM100)</f>
        <v>-19.889000000000024</v>
      </c>
      <c r="AR101" s="566">
        <f>SUM(AR100,AQ100,AP100,AN100)</f>
        <v>-26.994800000000041</v>
      </c>
      <c r="AS101" s="566">
        <f>SUM(AS100,AR100,AQ100,AP100)</f>
        <v>-0.34535999999998701</v>
      </c>
      <c r="AT101" s="567">
        <f>AT100</f>
        <v>-0.34535999999999234</v>
      </c>
      <c r="AU101" s="566">
        <f>SUM(AU100,AS100,AR100,AQ100)</f>
        <v>4.3917440000000116</v>
      </c>
      <c r="AV101" s="566">
        <f>SUM(AV100,AU100,AS100,AR100)</f>
        <v>27.630126500000017</v>
      </c>
      <c r="AW101" s="566">
        <f>SUM(AW100,AV100,AU100,AS100)</f>
        <v>48.271590955000008</v>
      </c>
      <c r="AX101" s="566">
        <f>SUM(AX100,AW100,AV100,AU100)</f>
        <v>64.180723341000004</v>
      </c>
      <c r="AY101" s="567">
        <f>AY100</f>
        <v>64.180723341000075</v>
      </c>
      <c r="AZ101" s="567">
        <f>AZ100</f>
        <v>57.403177594999818</v>
      </c>
      <c r="BA101" s="567">
        <f>BA100</f>
        <v>96.815227083999886</v>
      </c>
      <c r="BB101" s="567">
        <f>BB100</f>
        <v>35.709767076799835</v>
      </c>
      <c r="BC101" s="531"/>
    </row>
    <row r="102" spans="1:55" outlineLevel="1">
      <c r="A102" s="182" t="s">
        <v>48</v>
      </c>
      <c r="B102" s="183"/>
      <c r="C102" s="563">
        <f t="shared" ref="C102:AH102" si="116">INDEX(MO_BS_CL,0,COLUMN())</f>
        <v>29.636000000000003</v>
      </c>
      <c r="D102" s="563">
        <f t="shared" si="116"/>
        <v>31.285</v>
      </c>
      <c r="E102" s="563">
        <f t="shared" si="116"/>
        <v>33.477000000000004</v>
      </c>
      <c r="F102" s="563">
        <f t="shared" si="116"/>
        <v>47.968000000000004</v>
      </c>
      <c r="G102" s="564">
        <f t="shared" si="116"/>
        <v>49.034999999999997</v>
      </c>
      <c r="H102" s="564">
        <f t="shared" si="116"/>
        <v>49.548999999999992</v>
      </c>
      <c r="I102" s="564">
        <f t="shared" si="116"/>
        <v>56.463000000000001</v>
      </c>
      <c r="J102" s="564">
        <f t="shared" si="116"/>
        <v>85.236999999999995</v>
      </c>
      <c r="K102" s="563">
        <f t="shared" si="116"/>
        <v>85.236999999999995</v>
      </c>
      <c r="L102" s="564">
        <f t="shared" si="116"/>
        <v>123.33000000000001</v>
      </c>
      <c r="M102" s="564">
        <f t="shared" si="116"/>
        <v>112.79799999999999</v>
      </c>
      <c r="N102" s="564">
        <f t="shared" si="116"/>
        <v>135.71600000000001</v>
      </c>
      <c r="O102" s="564">
        <f t="shared" si="116"/>
        <v>109.21600000000001</v>
      </c>
      <c r="P102" s="563">
        <f t="shared" si="116"/>
        <v>109.21600000000001</v>
      </c>
      <c r="Q102" s="564">
        <f t="shared" si="116"/>
        <v>105.63500000000001</v>
      </c>
      <c r="R102" s="564">
        <f t="shared" si="116"/>
        <v>109.89500000000001</v>
      </c>
      <c r="S102" s="564">
        <f t="shared" si="116"/>
        <v>113.149</v>
      </c>
      <c r="T102" s="564">
        <f t="shared" si="116"/>
        <v>104.232</v>
      </c>
      <c r="U102" s="563">
        <f t="shared" si="116"/>
        <v>104.232</v>
      </c>
      <c r="V102" s="564">
        <f t="shared" si="116"/>
        <v>95.146999999999991</v>
      </c>
      <c r="W102" s="564">
        <f t="shared" si="116"/>
        <v>92.24799999999999</v>
      </c>
      <c r="X102" s="564">
        <f t="shared" si="116"/>
        <v>93.22</v>
      </c>
      <c r="Y102" s="564">
        <f t="shared" si="116"/>
        <v>86.56</v>
      </c>
      <c r="Z102" s="563">
        <f t="shared" si="116"/>
        <v>86.56</v>
      </c>
      <c r="AA102" s="564">
        <f t="shared" si="116"/>
        <v>83.125</v>
      </c>
      <c r="AB102" s="564">
        <f t="shared" si="116"/>
        <v>84.09</v>
      </c>
      <c r="AC102" s="564">
        <f t="shared" si="116"/>
        <v>93.091999999999999</v>
      </c>
      <c r="AD102" s="564">
        <f t="shared" si="116"/>
        <v>102.89099999999999</v>
      </c>
      <c r="AE102" s="563">
        <f t="shared" si="116"/>
        <v>102.89099999999999</v>
      </c>
      <c r="AF102" s="564">
        <f t="shared" si="116"/>
        <v>122.539</v>
      </c>
      <c r="AG102" s="564">
        <f t="shared" si="116"/>
        <v>115.789</v>
      </c>
      <c r="AH102" s="564">
        <f t="shared" si="116"/>
        <v>117.673</v>
      </c>
      <c r="AI102" s="564">
        <f t="shared" ref="AI102:BB102" si="117">INDEX(MO_BS_CL,0,COLUMN())</f>
        <v>128.09199999999998</v>
      </c>
      <c r="AJ102" s="563">
        <f t="shared" si="117"/>
        <v>128.09199999999998</v>
      </c>
      <c r="AK102" s="564">
        <f t="shared" si="117"/>
        <v>147.971</v>
      </c>
      <c r="AL102" s="564">
        <f t="shared" si="117"/>
        <v>119.59</v>
      </c>
      <c r="AM102" s="564">
        <f t="shared" si="117"/>
        <v>119.083</v>
      </c>
      <c r="AN102" s="564">
        <f t="shared" si="117"/>
        <v>120.64</v>
      </c>
      <c r="AO102" s="563">
        <f t="shared" si="117"/>
        <v>120.64</v>
      </c>
      <c r="AP102" s="564">
        <f>INDEX(MO_BS_CL,0,COLUMN())</f>
        <v>120.202</v>
      </c>
      <c r="AQ102" s="565">
        <f>INDEX(MO_BS_CL,0,COLUMN())</f>
        <v>112.498</v>
      </c>
      <c r="AR102" s="566">
        <f t="shared" si="117"/>
        <v>112.06109593583174</v>
      </c>
      <c r="AS102" s="566">
        <f t="shared" si="117"/>
        <v>102.28312986636504</v>
      </c>
      <c r="AT102" s="567">
        <f t="shared" si="117"/>
        <v>102.28312986636504</v>
      </c>
      <c r="AU102" s="566">
        <f t="shared" si="117"/>
        <v>109.88575600460871</v>
      </c>
      <c r="AV102" s="566">
        <f t="shared" si="117"/>
        <v>112.3198415619423</v>
      </c>
      <c r="AW102" s="566">
        <f t="shared" si="117"/>
        <v>121.7599534698967</v>
      </c>
      <c r="AX102" s="566">
        <f t="shared" si="117"/>
        <v>113.83848992217155</v>
      </c>
      <c r="AY102" s="567">
        <f t="shared" si="117"/>
        <v>113.83848992217155</v>
      </c>
      <c r="AZ102" s="567">
        <f t="shared" si="117"/>
        <v>112.82629200504192</v>
      </c>
      <c r="BA102" s="567">
        <f t="shared" si="117"/>
        <v>127.45140417283486</v>
      </c>
      <c r="BB102" s="567">
        <f t="shared" si="117"/>
        <v>104.77625232823688</v>
      </c>
      <c r="BC102" s="531"/>
    </row>
    <row r="103" spans="1:55" outlineLevel="1">
      <c r="A103" s="182" t="s">
        <v>255</v>
      </c>
      <c r="B103" s="183"/>
      <c r="C103" s="563">
        <f>C102</f>
        <v>29.636000000000003</v>
      </c>
      <c r="D103" s="563">
        <f>AVERAGE(D102,C102)</f>
        <v>30.460500000000003</v>
      </c>
      <c r="E103" s="563">
        <f>AVERAGE(E102,D102)</f>
        <v>32.381</v>
      </c>
      <c r="F103" s="563">
        <f>AVERAGE(F102,E102)</f>
        <v>40.722500000000004</v>
      </c>
      <c r="G103" s="564"/>
      <c r="H103" s="564"/>
      <c r="I103" s="564"/>
      <c r="J103" s="564">
        <f>AVERAGE(J102,I102,H102,G102)</f>
        <v>60.070999999999991</v>
      </c>
      <c r="K103" s="563">
        <f>AVERAGE(K102,F102)</f>
        <v>66.602499999999992</v>
      </c>
      <c r="L103" s="564">
        <f>AVERAGE(L102,J102,I102,H102)</f>
        <v>78.644750000000002</v>
      </c>
      <c r="M103" s="564">
        <f>AVERAGE(M102,L102,J102,I102)</f>
        <v>94.457000000000008</v>
      </c>
      <c r="N103" s="564">
        <f>AVERAGE(N102,M102,L102,J102)</f>
        <v>114.27025</v>
      </c>
      <c r="O103" s="564">
        <f>AVERAGE(O102,N102,M102,L102)</f>
        <v>120.26500000000001</v>
      </c>
      <c r="P103" s="563">
        <f>AVERAGE(P102,K102)</f>
        <v>97.226500000000001</v>
      </c>
      <c r="Q103" s="564">
        <f>AVERAGE(Q102,O102,N102,M102)</f>
        <v>115.84125</v>
      </c>
      <c r="R103" s="564">
        <f>AVERAGE(R102,Q102,O102,N102)</f>
        <v>115.11550000000001</v>
      </c>
      <c r="S103" s="564">
        <f>AVERAGE(S102,R102,Q102,O102)</f>
        <v>109.47375000000001</v>
      </c>
      <c r="T103" s="564">
        <f>AVERAGE(T102,S102,R102,Q102)</f>
        <v>108.22775</v>
      </c>
      <c r="U103" s="563">
        <f>AVERAGE(U102,P102)</f>
        <v>106.724</v>
      </c>
      <c r="V103" s="564">
        <f>AVERAGE(V102,T102,S102,R102)</f>
        <v>105.60575</v>
      </c>
      <c r="W103" s="564">
        <f>AVERAGE(W102,V102,T102,S102)</f>
        <v>101.19399999999999</v>
      </c>
      <c r="X103" s="564">
        <f>AVERAGE(X102,W102,V102,T102)</f>
        <v>96.211749999999995</v>
      </c>
      <c r="Y103" s="564">
        <f>AVERAGE(Y102,X102,W102,V102)</f>
        <v>91.793750000000003</v>
      </c>
      <c r="Z103" s="563">
        <f>AVERAGE(Z102,U102)</f>
        <v>95.396000000000001</v>
      </c>
      <c r="AA103" s="564">
        <f>AVERAGE(AA102,Y102,X102,W102)</f>
        <v>88.788249999999991</v>
      </c>
      <c r="AB103" s="564">
        <f>AVERAGE(AB102,AA102,Y102,X102)</f>
        <v>86.748750000000001</v>
      </c>
      <c r="AC103" s="564">
        <f>AVERAGE(AC102,AB102,AA102,Y102)</f>
        <v>86.716750000000005</v>
      </c>
      <c r="AD103" s="564">
        <f>AVERAGE(AD102,AC102,AB102,AA102)</f>
        <v>90.799499999999995</v>
      </c>
      <c r="AE103" s="563">
        <f>AVERAGE(AE102,Z102)</f>
        <v>94.725499999999997</v>
      </c>
      <c r="AF103" s="564">
        <f>AVERAGE(AF102,AD102,AC102,AB102)</f>
        <v>100.65299999999999</v>
      </c>
      <c r="AG103" s="564">
        <f>AVERAGE(AG102,AF102,AD102,AC102)</f>
        <v>108.57774999999999</v>
      </c>
      <c r="AH103" s="564">
        <f>AVERAGE(AH102,AG102,AF102,AD102)</f>
        <v>114.72299999999998</v>
      </c>
      <c r="AI103" s="564">
        <f>AVERAGE(AI102,AH102,AG102,AF102)</f>
        <v>121.02324999999999</v>
      </c>
      <c r="AJ103" s="563">
        <f>AVERAGE(AJ102,AE102)</f>
        <v>115.49149999999999</v>
      </c>
      <c r="AK103" s="564">
        <f>AVERAGE(AK102,AI102,AH102,AG102)</f>
        <v>127.38124999999999</v>
      </c>
      <c r="AL103" s="564">
        <f>AVERAGE(AL102,AK102,AI102,AH102)</f>
        <v>128.33150000000001</v>
      </c>
      <c r="AM103" s="564">
        <f>AVERAGE(AM102,AL102,AK102,AI102)</f>
        <v>128.684</v>
      </c>
      <c r="AN103" s="564">
        <f>AVERAGE(AN102,AM102,AL102,AK102)</f>
        <v>126.821</v>
      </c>
      <c r="AO103" s="563">
        <f>AVERAGE(AO102,AJ102)</f>
        <v>124.36599999999999</v>
      </c>
      <c r="AP103" s="564">
        <f>AVERAGE(AP102,AN102,AM102,AL102)</f>
        <v>119.87875</v>
      </c>
      <c r="AQ103" s="565">
        <f>AVERAGE(AQ102,AP102,AN102,AM102)</f>
        <v>118.10575</v>
      </c>
      <c r="AR103" s="566">
        <f>AVERAGE(AR102,AQ102,AP102,AN102)</f>
        <v>116.35027398395793</v>
      </c>
      <c r="AS103" s="566">
        <f>AVERAGE(AS102,AR102,AQ102,AP102)</f>
        <v>111.76105645054919</v>
      </c>
      <c r="AT103" s="567">
        <f>AVERAGE(AT102,AO102)</f>
        <v>111.46156493318253</v>
      </c>
      <c r="AU103" s="566">
        <f>AVERAGE(AU102,AS102,AR102,AQ102)</f>
        <v>109.18199545170137</v>
      </c>
      <c r="AV103" s="566">
        <f>AVERAGE(AV102,AU102,AS102,AR102)</f>
        <v>109.13745584218695</v>
      </c>
      <c r="AW103" s="566">
        <f>AVERAGE(AW102,AV102,AU102,AS102)</f>
        <v>111.5621702257032</v>
      </c>
      <c r="AX103" s="566">
        <f>AVERAGE(AX102,AW102,AV102,AU102)</f>
        <v>114.45101023965482</v>
      </c>
      <c r="AY103" s="567">
        <f>AVERAGE(AY102,AT102)</f>
        <v>108.06080989426829</v>
      </c>
      <c r="AZ103" s="567">
        <f>AVERAGE(AZ102,AY102)</f>
        <v>113.33239096360674</v>
      </c>
      <c r="BA103" s="567">
        <f>AVERAGE(BA102,AZ102)</f>
        <v>120.13884808893839</v>
      </c>
      <c r="BB103" s="567">
        <f>AVERAGE(BB102,BA102)</f>
        <v>116.11382825053587</v>
      </c>
      <c r="BC103" s="531"/>
    </row>
    <row r="104" spans="1:55" outlineLevel="1">
      <c r="A104" s="182" t="s">
        <v>256</v>
      </c>
      <c r="B104" s="183"/>
      <c r="C104" s="563">
        <f t="shared" ref="C104:AH104" si="118">INDEX(SP_BSR_TA_Avg,0,COLUMN())-INDEX(SP_BSR_CL_Avg,0,COLUMN())</f>
        <v>109.078</v>
      </c>
      <c r="D104" s="563">
        <f t="shared" si="118"/>
        <v>114.34049999999999</v>
      </c>
      <c r="E104" s="563">
        <f t="shared" si="118"/>
        <v>130.5155</v>
      </c>
      <c r="F104" s="563">
        <f t="shared" si="118"/>
        <v>152.72450000000001</v>
      </c>
      <c r="G104" s="564">
        <f t="shared" si="118"/>
        <v>0</v>
      </c>
      <c r="H104" s="564">
        <f t="shared" si="118"/>
        <v>0</v>
      </c>
      <c r="I104" s="564">
        <f t="shared" si="118"/>
        <v>0</v>
      </c>
      <c r="J104" s="564">
        <f t="shared" si="118"/>
        <v>280.77299999999997</v>
      </c>
      <c r="K104" s="563">
        <f t="shared" si="118"/>
        <v>285.02750000000003</v>
      </c>
      <c r="L104" s="564">
        <f t="shared" si="118"/>
        <v>358.66949999999997</v>
      </c>
      <c r="M104" s="564">
        <f t="shared" si="118"/>
        <v>432.94175000000007</v>
      </c>
      <c r="N104" s="564">
        <f t="shared" si="118"/>
        <v>452.64774999999986</v>
      </c>
      <c r="O104" s="564">
        <f t="shared" si="118"/>
        <v>464.56275000000005</v>
      </c>
      <c r="P104" s="563">
        <f t="shared" si="118"/>
        <v>429.86400000000003</v>
      </c>
      <c r="Q104" s="564">
        <f t="shared" si="118"/>
        <v>468.3775</v>
      </c>
      <c r="R104" s="564">
        <f t="shared" si="118"/>
        <v>482.96199999999999</v>
      </c>
      <c r="S104" s="564">
        <f t="shared" si="118"/>
        <v>502.97525000000007</v>
      </c>
      <c r="T104" s="564">
        <f t="shared" si="118"/>
        <v>515.80449999999996</v>
      </c>
      <c r="U104" s="563">
        <f t="shared" si="118"/>
        <v>479.35250000000002</v>
      </c>
      <c r="V104" s="564">
        <f t="shared" si="118"/>
        <v>521.81099999999992</v>
      </c>
      <c r="W104" s="564">
        <f t="shared" si="118"/>
        <v>519.73300000000006</v>
      </c>
      <c r="X104" s="564">
        <f t="shared" si="118"/>
        <v>517.47399999999993</v>
      </c>
      <c r="Y104" s="564">
        <f t="shared" si="118"/>
        <v>520.66724999999997</v>
      </c>
      <c r="Z104" s="563">
        <f t="shared" si="118"/>
        <v>511.39749999999998</v>
      </c>
      <c r="AA104" s="564">
        <f t="shared" si="118"/>
        <v>521.0390000000001</v>
      </c>
      <c r="AB104" s="564">
        <f t="shared" si="118"/>
        <v>526.97275000000002</v>
      </c>
      <c r="AC104" s="564">
        <f t="shared" si="118"/>
        <v>532.3047499999999</v>
      </c>
      <c r="AD104" s="564">
        <f t="shared" si="118"/>
        <v>561.125</v>
      </c>
      <c r="AE104" s="563">
        <f t="shared" si="118"/>
        <v>575.42449999999997</v>
      </c>
      <c r="AF104" s="564">
        <f t="shared" si="118"/>
        <v>592.34249999999997</v>
      </c>
      <c r="AG104" s="564">
        <f t="shared" si="118"/>
        <v>618.56650000000002</v>
      </c>
      <c r="AH104" s="564">
        <f t="shared" si="118"/>
        <v>646.27825000000007</v>
      </c>
      <c r="AI104" s="564">
        <f t="shared" ref="AI104:BB104" si="119">INDEX(SP_BSR_TA_Avg,0,COLUMN())-INDEX(SP_BSR_CL_Avg,0,COLUMN())</f>
        <v>649.649</v>
      </c>
      <c r="AJ104" s="563">
        <f t="shared" si="119"/>
        <v>639.80650000000003</v>
      </c>
      <c r="AK104" s="564">
        <f t="shared" si="119"/>
        <v>646.52875000000006</v>
      </c>
      <c r="AL104" s="564">
        <f t="shared" si="119"/>
        <v>646.2885</v>
      </c>
      <c r="AM104" s="564">
        <f t="shared" si="119"/>
        <v>646.41399999999999</v>
      </c>
      <c r="AN104" s="564">
        <f t="shared" si="119"/>
        <v>650.29599999999994</v>
      </c>
      <c r="AO104" s="563">
        <f t="shared" si="119"/>
        <v>654.31200000000001</v>
      </c>
      <c r="AP104" s="564">
        <f>INDEX(SP_BSR_TA_Avg,0,COLUMN())-INDEX(SP_BSR_CL_Avg,0,COLUMN())</f>
        <v>674.61450000000002</v>
      </c>
      <c r="AQ104" s="565">
        <f>INDEX(SP_BSR_TA_Avg,0,COLUMN())-INDEX(SP_BSR_CL_Avg,0,COLUMN())</f>
        <v>649.20325000000003</v>
      </c>
      <c r="AR104" s="566">
        <f t="shared" ca="1" si="119"/>
        <v>620.42752310245896</v>
      </c>
      <c r="AS104" s="566">
        <f t="shared" ca="1" si="119"/>
        <v>590.9931486598955</v>
      </c>
      <c r="AT104" s="567">
        <f t="shared" ca="1" si="119"/>
        <v>603.20725111487275</v>
      </c>
      <c r="AU104" s="566">
        <f t="shared" ca="1" si="119"/>
        <v>547.32737567754589</v>
      </c>
      <c r="AV104" s="566">
        <f t="shared" ca="1" si="119"/>
        <v>553.63887482701318</v>
      </c>
      <c r="AW104" s="566">
        <f t="shared" ca="1" si="119"/>
        <v>564.87577376015383</v>
      </c>
      <c r="AX104" s="566">
        <f t="shared" ca="1" si="119"/>
        <v>579.88869754514008</v>
      </c>
      <c r="AY104" s="567">
        <f t="shared" ca="1" si="119"/>
        <v>574.36434979971818</v>
      </c>
      <c r="AZ104" s="567">
        <f t="shared" ca="1" si="119"/>
        <v>629.86167273646913</v>
      </c>
      <c r="BA104" s="567">
        <f t="shared" ca="1" si="119"/>
        <v>698.811069057243</v>
      </c>
      <c r="BB104" s="567">
        <f t="shared" ca="1" si="119"/>
        <v>758.19612085837082</v>
      </c>
      <c r="BC104" s="531"/>
    </row>
    <row r="105" spans="1:55" s="68" customFormat="1">
      <c r="A105" s="203" t="s">
        <v>257</v>
      </c>
      <c r="B105" s="86"/>
      <c r="C105" s="290">
        <f>IF(C104&lt;0,"NMF",IF(ABS(C101/C104)&gt;1,"NMF",C101/C104))</f>
        <v>0.12072095197931762</v>
      </c>
      <c r="D105" s="290">
        <f>IF(D104&lt;0,"NMF",IF(ABS(D101/D104)&gt;1,"NMF",D101/D104))</f>
        <v>0.21322278632680441</v>
      </c>
      <c r="E105" s="290">
        <f>IF(E104&lt;0,"NMF",IF(ABS(E101/E104)&gt;1,"NMF",E101/E104))</f>
        <v>0.25530300998731964</v>
      </c>
      <c r="F105" s="290">
        <f>IF(F104&lt;0,"NMF",IF(ABS(F101/F104)&gt;1,"NMF",F101/F104))</f>
        <v>0.21361994964789563</v>
      </c>
      <c r="G105" s="300"/>
      <c r="H105" s="300"/>
      <c r="I105" s="300"/>
      <c r="J105" s="300">
        <f t="shared" ref="J105:BB105" si="120">IF(J104&lt;0,"NMF",IF(ABS(J101/J104)&gt;1,"NMF",J101/J104))</f>
        <v>0.15067331972803658</v>
      </c>
      <c r="K105" s="290">
        <f t="shared" si="120"/>
        <v>0.14842427485067231</v>
      </c>
      <c r="L105" s="300">
        <f t="shared" si="120"/>
        <v>0.12510124222996377</v>
      </c>
      <c r="M105" s="300">
        <f t="shared" si="120"/>
        <v>0.13713392159568807</v>
      </c>
      <c r="N105" s="300">
        <f t="shared" si="120"/>
        <v>0.16080937108380636</v>
      </c>
      <c r="O105" s="300">
        <f t="shared" si="120"/>
        <v>0.18805209845171589</v>
      </c>
      <c r="P105" s="290">
        <f t="shared" si="120"/>
        <v>0.2032317197997506</v>
      </c>
      <c r="Q105" s="300">
        <f t="shared" si="120"/>
        <v>0.1948812656457663</v>
      </c>
      <c r="R105" s="300">
        <f t="shared" si="120"/>
        <v>0.20074457203672325</v>
      </c>
      <c r="S105" s="300">
        <f t="shared" si="120"/>
        <v>0.21534061566647655</v>
      </c>
      <c r="T105" s="300">
        <f t="shared" si="120"/>
        <v>0.1915473789003394</v>
      </c>
      <c r="U105" s="290">
        <f t="shared" si="120"/>
        <v>0.20611345512957588</v>
      </c>
      <c r="V105" s="300">
        <f t="shared" si="120"/>
        <v>0.18944981995396826</v>
      </c>
      <c r="W105" s="300">
        <f t="shared" si="120"/>
        <v>0.17954026394321712</v>
      </c>
      <c r="X105" s="300">
        <f t="shared" si="120"/>
        <v>0.14243807418343737</v>
      </c>
      <c r="Y105" s="300">
        <f t="shared" si="120"/>
        <v>0.14047167360727986</v>
      </c>
      <c r="Z105" s="290">
        <f t="shared" si="120"/>
        <v>0.14301790681417112</v>
      </c>
      <c r="AA105" s="300">
        <f t="shared" si="120"/>
        <v>0.13909515410554674</v>
      </c>
      <c r="AB105" s="300">
        <f t="shared" si="120"/>
        <v>0.11750512716264737</v>
      </c>
      <c r="AC105" s="300">
        <f t="shared" si="120"/>
        <v>0.10293163831433029</v>
      </c>
      <c r="AD105" s="300">
        <f t="shared" si="120"/>
        <v>8.6144798396079567E-2</v>
      </c>
      <c r="AE105" s="290">
        <f t="shared" si="120"/>
        <v>8.4004070038727993E-2</v>
      </c>
      <c r="AF105" s="300">
        <f t="shared" si="120"/>
        <v>6.42128498292798E-2</v>
      </c>
      <c r="AG105" s="300">
        <f t="shared" si="120"/>
        <v>7.4536852545361174E-2</v>
      </c>
      <c r="AH105" s="300">
        <f t="shared" si="120"/>
        <v>8.3641991665354895E-2</v>
      </c>
      <c r="AI105" s="300">
        <f t="shared" si="120"/>
        <v>9.7995994760247687E-2</v>
      </c>
      <c r="AJ105" s="290">
        <f t="shared" si="120"/>
        <v>9.9503521767909622E-2</v>
      </c>
      <c r="AK105" s="300">
        <f t="shared" si="120"/>
        <v>0.12360161864418266</v>
      </c>
      <c r="AL105" s="300">
        <f t="shared" si="120"/>
        <v>0.10886159973448409</v>
      </c>
      <c r="AM105" s="300">
        <f t="shared" si="120"/>
        <v>8.8356687819261578E-2</v>
      </c>
      <c r="AN105" s="300">
        <f t="shared" si="120"/>
        <v>1.9658740019929313E-2</v>
      </c>
      <c r="AO105" s="290">
        <f t="shared" si="120"/>
        <v>1.9538079692868266E-2</v>
      </c>
      <c r="AP105" s="300">
        <f>IF(AP104&lt;0,"NMF",IF(ABS(AP101/AP104)&gt;1,"NMF",AP101/AP104))</f>
        <v>-4.8101545401114752E-3</v>
      </c>
      <c r="AQ105" s="359">
        <f>IF(AQ104&lt;0,"NMF",IF(ABS(AQ101/AQ104)&gt;1,"NMF",AQ101/AQ104))</f>
        <v>-3.0636014222048369E-2</v>
      </c>
      <c r="AR105" s="116">
        <f t="shared" ca="1" si="120"/>
        <v>-4.3509997533655601E-2</v>
      </c>
      <c r="AS105" s="116">
        <f t="shared" ca="1" si="120"/>
        <v>-5.8437225673953566E-4</v>
      </c>
      <c r="AT105" s="115">
        <f t="shared" ca="1" si="120"/>
        <v>-5.7253953655511203E-4</v>
      </c>
      <c r="AU105" s="116">
        <f t="shared" ca="1" si="120"/>
        <v>8.0239801536756625E-3</v>
      </c>
      <c r="AV105" s="116">
        <f t="shared" ca="1" si="120"/>
        <v>4.990640606412107E-2</v>
      </c>
      <c r="AW105" s="116">
        <f t="shared" ca="1" si="120"/>
        <v>8.5455233163347022E-2</v>
      </c>
      <c r="AX105" s="116">
        <f t="shared" ca="1" si="120"/>
        <v>0.11067765868294753</v>
      </c>
      <c r="AY105" s="115">
        <f t="shared" ca="1" si="120"/>
        <v>0.11174217787608162</v>
      </c>
      <c r="AZ105" s="115">
        <f t="shared" ca="1" si="120"/>
        <v>9.1136165414873571E-2</v>
      </c>
      <c r="BA105" s="115">
        <f t="shared" ca="1" si="120"/>
        <v>0.13854277840019344</v>
      </c>
      <c r="BB105" s="115">
        <f t="shared" ca="1" si="120"/>
        <v>4.7098324687248477E-2</v>
      </c>
      <c r="BC105" s="232"/>
    </row>
    <row r="106" spans="1:55">
      <c r="A106" s="181"/>
      <c r="B106" s="186"/>
      <c r="C106" s="571"/>
      <c r="D106" s="571"/>
      <c r="E106" s="571"/>
      <c r="F106" s="571"/>
      <c r="G106" s="572"/>
      <c r="H106" s="572"/>
      <c r="I106" s="572"/>
      <c r="J106" s="572"/>
      <c r="K106" s="571"/>
      <c r="L106" s="572"/>
      <c r="M106" s="572"/>
      <c r="N106" s="572"/>
      <c r="O106" s="572"/>
      <c r="P106" s="571"/>
      <c r="Q106" s="572"/>
      <c r="R106" s="572"/>
      <c r="S106" s="572"/>
      <c r="T106" s="572"/>
      <c r="U106" s="571"/>
      <c r="V106" s="572"/>
      <c r="W106" s="572"/>
      <c r="X106" s="572"/>
      <c r="Y106" s="572"/>
      <c r="Z106" s="571"/>
      <c r="AA106" s="572"/>
      <c r="AB106" s="572"/>
      <c r="AC106" s="572"/>
      <c r="AD106" s="572"/>
      <c r="AE106" s="571"/>
      <c r="AF106" s="572"/>
      <c r="AG106" s="572"/>
      <c r="AH106" s="572"/>
      <c r="AI106" s="572"/>
      <c r="AJ106" s="571"/>
      <c r="AK106" s="572"/>
      <c r="AL106" s="572"/>
      <c r="AM106" s="572"/>
      <c r="AN106" s="572"/>
      <c r="AO106" s="571"/>
      <c r="AP106" s="572"/>
      <c r="AQ106" s="573"/>
      <c r="AR106" s="574"/>
      <c r="AS106" s="574"/>
      <c r="AT106" s="575"/>
      <c r="AU106" s="574"/>
      <c r="AV106" s="574"/>
      <c r="AW106" s="574"/>
      <c r="AX106" s="574"/>
      <c r="AY106" s="575"/>
      <c r="AZ106" s="575"/>
      <c r="BA106" s="575"/>
      <c r="BB106" s="575"/>
      <c r="BC106" s="532"/>
    </row>
    <row r="107" spans="1:55">
      <c r="A107" s="94" t="s">
        <v>258</v>
      </c>
      <c r="B107" s="533"/>
      <c r="C107" s="576"/>
      <c r="D107" s="576"/>
      <c r="E107" s="576"/>
      <c r="F107" s="576"/>
      <c r="G107" s="576"/>
      <c r="H107" s="576"/>
      <c r="I107" s="576"/>
      <c r="J107" s="576"/>
      <c r="K107" s="576"/>
      <c r="L107" s="576"/>
      <c r="M107" s="576"/>
      <c r="N107" s="576"/>
      <c r="O107" s="576"/>
      <c r="P107" s="576"/>
      <c r="Q107" s="576"/>
      <c r="R107" s="576"/>
      <c r="S107" s="576"/>
      <c r="T107" s="576"/>
      <c r="U107" s="576"/>
      <c r="V107" s="576"/>
      <c r="W107" s="576"/>
      <c r="X107" s="576"/>
      <c r="Y107" s="576"/>
      <c r="Z107" s="576"/>
      <c r="AA107" s="576"/>
      <c r="AB107" s="576"/>
      <c r="AC107" s="576"/>
      <c r="AD107" s="576"/>
      <c r="AE107" s="576"/>
      <c r="AF107" s="576"/>
      <c r="AG107" s="576"/>
      <c r="AH107" s="576"/>
      <c r="AI107" s="576"/>
      <c r="AJ107" s="576"/>
      <c r="AK107" s="576"/>
      <c r="AL107" s="576"/>
      <c r="AM107" s="576"/>
      <c r="AN107" s="576"/>
      <c r="AO107" s="576"/>
      <c r="AP107" s="576"/>
      <c r="AQ107" s="577"/>
      <c r="AR107" s="578"/>
      <c r="AS107" s="578"/>
      <c r="AT107" s="578"/>
      <c r="AU107" s="578"/>
      <c r="AV107" s="578"/>
      <c r="AW107" s="578"/>
      <c r="AX107" s="578"/>
      <c r="AY107" s="578"/>
      <c r="AZ107" s="578"/>
      <c r="BA107" s="578"/>
      <c r="BB107" s="578"/>
      <c r="BC107" s="531"/>
    </row>
    <row r="108" spans="1:55" s="66" customFormat="1">
      <c r="A108" s="210" t="s">
        <v>259</v>
      </c>
      <c r="B108" s="188"/>
      <c r="C108" s="285"/>
      <c r="D108" s="285">
        <f>IF(OR(INDEX(SP_GF_Rev,0,COLUMN())&lt;=0,INDEX(SP_GF_Rev,0,COLUMN()-1)&lt;=0),"NMF",IF(ABS((INDEX(SP_GF_Rev,0,COLUMN())/INDEX(SP_CS_ShareCount,0,COLUMN()))/(INDEX(SP_GF_Rev,0,COLUMN()-1)/INDEX(SP_CS_ShareCount,0,COLUMN()-1))-1)&gt;10,"NMF",(INDEX(SP_GF_Rev,0,COLUMN())/INDEX(SP_CS_ShareCount,0,COLUMN()))/(INDEX(SP_GF_Rev,0,COLUMN()-1)/INDEX(SP_CS_ShareCount,0,COLUMN()-1))-1))</f>
        <v>-7.1992686007349649E-2</v>
      </c>
      <c r="E108" s="285">
        <f>IF(OR(INDEX(SP_GF_Rev,0,COLUMN())&lt;=0,INDEX(SP_GF_Rev,0,COLUMN()-1)&lt;=0),"NMF",IF(ABS((INDEX(SP_GF_Rev,0,COLUMN())/INDEX(SP_CS_ShareCount,0,COLUMN()))/(INDEX(SP_GF_Rev,0,COLUMN()-1)/INDEX(SP_CS_ShareCount,0,COLUMN()-1))-1)&gt;10,"NMF",(INDEX(SP_GF_Rev,0,COLUMN())/INDEX(SP_CS_ShareCount,0,COLUMN()))/(INDEX(SP_GF_Rev,0,COLUMN()-1)/INDEX(SP_CS_ShareCount,0,COLUMN()-1))-1))</f>
        <v>0.14073308209493574</v>
      </c>
      <c r="F108" s="285">
        <f>IF(OR(INDEX(SP_GF_Rev,0,COLUMN())&lt;=0,INDEX(SP_GF_Rev,0,COLUMN()-1)&lt;=0),"NMF",IF(ABS((INDEX(SP_GF_Rev,0,COLUMN())/INDEX(SP_CS_ShareCount,0,COLUMN()))/(INDEX(SP_GF_Rev,0,COLUMN()-1)/INDEX(SP_CS_ShareCount,0,COLUMN()-1))-1)&gt;10,"NMF",(INDEX(SP_GF_Rev,0,COLUMN())/INDEX(SP_CS_ShareCount,0,COLUMN()))/(INDEX(SP_GF_Rev,0,COLUMN()-1)/INDEX(SP_CS_ShareCount,0,COLUMN()-1))-1))</f>
        <v>8.5568644525465309E-2</v>
      </c>
      <c r="G108" s="293"/>
      <c r="H108" s="293"/>
      <c r="I108" s="293"/>
      <c r="J108" s="293"/>
      <c r="K108" s="285">
        <f t="shared" ref="K108:AY108" si="121">IF(OR(INDEX(SP_GF_Rev,0,COLUMN())&lt;=0,INDEX(SP_GF_Rev,0,COLUMN()-5)&lt;=0),"NMF",IF(ABS((INDEX(SP_GF_Rev,0,COLUMN())/INDEX(SP_CS_ShareCount,0,COLUMN()))/(INDEX(SP_GF_Rev,0,COLUMN()-5)/INDEX(SP_CS_ShareCount,0,COLUMN()-5))-1)&gt;10,"NMF",(INDEX(SP_GF_Rev,0,COLUMN())/INDEX(SP_CS_ShareCount,0,COLUMN()))/(INDEX(SP_GF_Rev,0,COLUMN()-5)/INDEX(SP_CS_ShareCount,0,COLUMN()-5))-1))</f>
        <v>0.26508401620760891</v>
      </c>
      <c r="L108" s="293">
        <f t="shared" si="121"/>
        <v>0.58686982490783079</v>
      </c>
      <c r="M108" s="293">
        <f t="shared" si="121"/>
        <v>1.0528562394788179</v>
      </c>
      <c r="N108" s="293">
        <f t="shared" si="121"/>
        <v>0.73271818701632307</v>
      </c>
      <c r="O108" s="293">
        <f t="shared" si="121"/>
        <v>0.37959046919743766</v>
      </c>
      <c r="P108" s="285">
        <f t="shared" si="121"/>
        <v>0.89747227528246531</v>
      </c>
      <c r="Q108" s="293">
        <f t="shared" si="121"/>
        <v>1.0686951320577398E-2</v>
      </c>
      <c r="R108" s="293">
        <f t="shared" si="121"/>
        <v>-0.12669275314345352</v>
      </c>
      <c r="S108" s="293">
        <f t="shared" si="121"/>
        <v>0.11026353725636029</v>
      </c>
      <c r="T108" s="293">
        <f t="shared" si="121"/>
        <v>-5.9389691581223647E-2</v>
      </c>
      <c r="U108" s="285">
        <f t="shared" si="121"/>
        <v>4.0935706160963647E-2</v>
      </c>
      <c r="V108" s="293">
        <f t="shared" si="121"/>
        <v>-1.8644209446371796E-2</v>
      </c>
      <c r="W108" s="293">
        <f t="shared" si="121"/>
        <v>-5.3431614056937193E-2</v>
      </c>
      <c r="X108" s="293">
        <f t="shared" si="121"/>
        <v>-0.2170336022285615</v>
      </c>
      <c r="Y108" s="293">
        <f t="shared" si="121"/>
        <v>-6.1448682387869047E-3</v>
      </c>
      <c r="Z108" s="285">
        <f t="shared" si="121"/>
        <v>-8.2070871661530709E-2</v>
      </c>
      <c r="AA108" s="293">
        <f t="shared" si="121"/>
        <v>-4.1015730876635903E-2</v>
      </c>
      <c r="AB108" s="293">
        <f t="shared" si="121"/>
        <v>-7.6378826305738334E-2</v>
      </c>
      <c r="AC108" s="293">
        <f t="shared" si="121"/>
        <v>-8.3419715683263895E-3</v>
      </c>
      <c r="AD108" s="293">
        <f t="shared" si="121"/>
        <v>0.18051114978975291</v>
      </c>
      <c r="AE108" s="285">
        <f t="shared" si="121"/>
        <v>1.0274997503173955E-2</v>
      </c>
      <c r="AF108" s="293">
        <f t="shared" si="121"/>
        <v>0.23528641097078329</v>
      </c>
      <c r="AG108" s="293">
        <f t="shared" si="121"/>
        <v>0.44449644197748395</v>
      </c>
      <c r="AH108" s="293">
        <f t="shared" si="121"/>
        <v>0.43770033129484753</v>
      </c>
      <c r="AI108" s="293">
        <f t="shared" si="121"/>
        <v>0.14442202406027471</v>
      </c>
      <c r="AJ108" s="285">
        <f t="shared" si="121"/>
        <v>0.30890551147576706</v>
      </c>
      <c r="AK108" s="293">
        <f t="shared" si="121"/>
        <v>0.15560637492871243</v>
      </c>
      <c r="AL108" s="293">
        <f t="shared" si="121"/>
        <v>-9.6432876374084153E-2</v>
      </c>
      <c r="AM108" s="293">
        <f t="shared" si="121"/>
        <v>-0.15779515330519944</v>
      </c>
      <c r="AN108" s="293">
        <f t="shared" si="121"/>
        <v>5.4488286657289109E-2</v>
      </c>
      <c r="AO108" s="285">
        <f t="shared" si="121"/>
        <v>-1.7973960494481633E-2</v>
      </c>
      <c r="AP108" s="293">
        <f>IF(OR(INDEX(SP_GF_Rev,0,COLUMN())&lt;=0,INDEX(SP_GF_Rev,0,COLUMN()-5)&lt;=0),"NMF",IF(ABS((INDEX(SP_GF_Rev,0,COLUMN())/INDEX(SP_CS_ShareCount,0,COLUMN()))/(INDEX(SP_GF_Rev,0,COLUMN()-5)/INDEX(SP_CS_ShareCount,0,COLUMN()-5))-1)&gt;10,"NMF",(INDEX(SP_GF_Rev,0,COLUMN())/INDEX(SP_CS_ShareCount,0,COLUMN()))/(INDEX(SP_GF_Rev,0,COLUMN()-5)/INDEX(SP_CS_ShareCount,0,COLUMN()-5))-1))</f>
        <v>-0.18405903822976666</v>
      </c>
      <c r="AQ108" s="352">
        <f>IF(OR(INDEX(SP_GF_Rev,0,COLUMN())&lt;=0,INDEX(SP_GF_Rev,0,COLUMN()-5)&lt;=0),"NMF",IF(ABS((INDEX(SP_GF_Rev,0,COLUMN())/INDEX(SP_CS_ShareCount,0,COLUMN()))/(INDEX(SP_GF_Rev,0,COLUMN()-5)/INDEX(SP_CS_ShareCount,0,COLUMN()-5))-1)&gt;10,"NMF",(INDEX(SP_GF_Rev,0,COLUMN())/INDEX(SP_CS_ShareCount,0,COLUMN()))/(INDEX(SP_GF_Rev,0,COLUMN()-5)/INDEX(SP_CS_ShareCount,0,COLUMN()-5))-1))</f>
        <v>-0.29442566085074784</v>
      </c>
      <c r="AR108" s="102">
        <f t="shared" ca="1" si="121"/>
        <v>-0.34192026436737422</v>
      </c>
      <c r="AS108" s="102">
        <f t="shared" ca="1" si="121"/>
        <v>-0.23445782415225092</v>
      </c>
      <c r="AT108" s="101">
        <f t="shared" ca="1" si="121"/>
        <v>-0.25962426773791702</v>
      </c>
      <c r="AU108" s="102">
        <f t="shared" ca="1" si="121"/>
        <v>0.1279302480130422</v>
      </c>
      <c r="AV108" s="102">
        <f t="shared" ca="1" si="121"/>
        <v>0.73766763141300351</v>
      </c>
      <c r="AW108" s="102">
        <f t="shared" ca="1" si="121"/>
        <v>0.90902176245907595</v>
      </c>
      <c r="AX108" s="102">
        <f t="shared" ca="1" si="121"/>
        <v>0.25210242699812024</v>
      </c>
      <c r="AY108" s="101">
        <f t="shared" ca="1" si="121"/>
        <v>0.46003371143469418</v>
      </c>
      <c r="AZ108" s="101">
        <f ca="1">IF(OR(INDEX(SP_GF_Rev,0,COLUMN())&lt;=0,INDEX(SP_GF_Rev,0,COLUMN()-1)&lt;=0),"NMF",IF(ABS((INDEX(SP_GF_Rev,0,COLUMN())/INDEX(SP_CS_ShareCount,0,COLUMN()))/(INDEX(SP_GF_Rev,0,COLUMN()-1)/INDEX(SP_CS_ShareCount,0,COLUMN()-1))-1)&gt;10,"NMF",(INDEX(SP_GF_Rev,0,COLUMN())/INDEX(SP_CS_ShareCount,0,COLUMN()))/(INDEX(SP_GF_Rev,0,COLUMN()-1)/INDEX(SP_CS_ShareCount,0,COLUMN()-1))-1))</f>
        <v>-2.7571692657407332E-2</v>
      </c>
      <c r="BA108" s="101">
        <f ca="1">IF(OR(INDEX(SP_GF_Rev,0,COLUMN())&lt;=0,INDEX(SP_GF_Rev,0,COLUMN()-1)&lt;=0),"NMF",IF(ABS((INDEX(SP_GF_Rev,0,COLUMN())/INDEX(SP_CS_ShareCount,0,COLUMN()))/(INDEX(SP_GF_Rev,0,COLUMN()-1)/INDEX(SP_CS_ShareCount,0,COLUMN()-1))-1)&gt;10,"NMF",(INDEX(SP_GF_Rev,0,COLUMN())/INDEX(SP_CS_ShareCount,0,COLUMN()))/(INDEX(SP_GF_Rev,0,COLUMN()-1)/INDEX(SP_CS_ShareCount,0,COLUMN()-1))-1))</f>
        <v>0.40967513209302209</v>
      </c>
      <c r="BB108" s="101">
        <f ca="1">IF(OR(INDEX(SP_GF_Rev,0,COLUMN())&lt;=0,INDEX(SP_GF_Rev,0,COLUMN()-1)&lt;=0),"NMF",IF(ABS((INDEX(SP_GF_Rev,0,COLUMN())/INDEX(SP_CS_ShareCount,0,COLUMN()))/(INDEX(SP_GF_Rev,0,COLUMN()-1)/INDEX(SP_CS_ShareCount,0,COLUMN()-1))-1)&gt;10,"NMF",(INDEX(SP_GF_Rev,0,COLUMN())/INDEX(SP_CS_ShareCount,0,COLUMN()))/(INDEX(SP_GF_Rev,0,COLUMN()-1)/INDEX(SP_CS_ShareCount,0,COLUMN()-1))-1))</f>
        <v>-0.45057963859288019</v>
      </c>
      <c r="BC108" s="152"/>
    </row>
    <row r="109" spans="1:55" s="66" customFormat="1">
      <c r="A109" s="210" t="s">
        <v>260</v>
      </c>
      <c r="B109" s="188"/>
      <c r="C109" s="285"/>
      <c r="D109" s="285">
        <f>IF(OR(INDEX(SP_NGF_EBITDA,0,COLUMN())&lt;=0,INDEX(SP_NGF_EBITDA,0,COLUMN()-1)&lt;=0),"NMF",IF(ABS((INDEX(SP_NGF_EBITDA,0,COLUMN())/INDEX(SP_CS_ShareCount,0,COLUMN()))/(INDEX(SP_NGF_EBITDA,0,COLUMN()-1)/INDEX(SP_CS_ShareCount,0,COLUMN()-1))-1)&gt;10,"NMF",(INDEX(SP_NGF_EBITDA,0,COLUMN())/INDEX(SP_CS_ShareCount,0,COLUMN()))/(INDEX(SP_NGF_EBITDA,0,COLUMN()-1)/INDEX(SP_CS_ShareCount,0,COLUMN()-1))-1))</f>
        <v>0.28384725387011533</v>
      </c>
      <c r="E109" s="285">
        <f>IF(OR(INDEX(SP_NGF_EBITDA,0,COLUMN())&lt;=0,INDEX(SP_NGF_EBITDA,0,COLUMN()-1)&lt;=0),"NMF",IF(ABS((INDEX(SP_NGF_EBITDA,0,COLUMN())/INDEX(SP_CS_ShareCount,0,COLUMN()))/(INDEX(SP_NGF_EBITDA,0,COLUMN()-1)/INDEX(SP_CS_ShareCount,0,COLUMN()-1))-1)&gt;10,"NMF",(INDEX(SP_NGF_EBITDA,0,COLUMN())/INDEX(SP_CS_ShareCount,0,COLUMN()))/(INDEX(SP_NGF_EBITDA,0,COLUMN()-1)/INDEX(SP_CS_ShareCount,0,COLUMN()-1))-1))</f>
        <v>0.276741297375388</v>
      </c>
      <c r="F109" s="285">
        <f>IF(OR(INDEX(SP_NGF_EBITDA,0,COLUMN())&lt;=0,INDEX(SP_NGF_EBITDA,0,COLUMN()-1)&lt;=0),"NMF",IF(ABS((INDEX(SP_NGF_EBITDA,0,COLUMN())/INDEX(SP_CS_ShareCount,0,COLUMN()))/(INDEX(SP_NGF_EBITDA,0,COLUMN()-1)/INDEX(SP_CS_ShareCount,0,COLUMN()-1))-1)&gt;10,"NMF",(INDEX(SP_NGF_EBITDA,0,COLUMN())/INDEX(SP_CS_ShareCount,0,COLUMN()))/(INDEX(SP_NGF_EBITDA,0,COLUMN()-1)/INDEX(SP_CS_ShareCount,0,COLUMN()-1))-1))</f>
        <v>-3.362411552866218E-2</v>
      </c>
      <c r="G109" s="293"/>
      <c r="H109" s="293"/>
      <c r="I109" s="293"/>
      <c r="J109" s="293"/>
      <c r="K109" s="285">
        <f t="shared" ref="K109:AY109" si="122">IF(OR(INDEX(SP_NGF_EBITDA,0,COLUMN())&lt;=0,INDEX(SP_NGF_EBITDA,0,COLUMN()-5)&lt;=0),"NMF",IF(ABS((INDEX(SP_NGF_EBITDA,0,COLUMN())/INDEX(SP_CS_ShareCount,0,COLUMN()))/(INDEX(SP_NGF_EBITDA,0,COLUMN()-5)/INDEX(SP_CS_ShareCount,0,COLUMN()-5))-1)&gt;10,"NMF",(INDEX(SP_NGF_EBITDA,0,COLUMN())/INDEX(SP_CS_ShareCount,0,COLUMN()))/(INDEX(SP_NGF_EBITDA,0,COLUMN()-5)/INDEX(SP_CS_ShareCount,0,COLUMN()-5))-1))</f>
        <v>0.32793520303815304</v>
      </c>
      <c r="L109" s="293">
        <f t="shared" si="122"/>
        <v>0.19545602668317685</v>
      </c>
      <c r="M109" s="293">
        <f t="shared" si="122"/>
        <v>1.3479796762736016</v>
      </c>
      <c r="N109" s="293">
        <f t="shared" si="122"/>
        <v>1.035761131219048</v>
      </c>
      <c r="O109" s="293">
        <f t="shared" si="122"/>
        <v>0.77848316147802543</v>
      </c>
      <c r="P109" s="285">
        <f t="shared" si="122"/>
        <v>1.0736239093725328</v>
      </c>
      <c r="Q109" s="293">
        <f t="shared" si="122"/>
        <v>0.12981448510072502</v>
      </c>
      <c r="R109" s="293">
        <f t="shared" si="122"/>
        <v>9.0592600638523813E-2</v>
      </c>
      <c r="S109" s="293">
        <f t="shared" si="122"/>
        <v>0.18191773836650271</v>
      </c>
      <c r="T109" s="293">
        <f t="shared" si="122"/>
        <v>-0.28672309432686105</v>
      </c>
      <c r="U109" s="285">
        <f t="shared" si="122"/>
        <v>7.9718321266946779E-2</v>
      </c>
      <c r="V109" s="293">
        <f t="shared" si="122"/>
        <v>1.7601990717313942E-2</v>
      </c>
      <c r="W109" s="293">
        <f t="shared" si="122"/>
        <v>-0.15435468709712041</v>
      </c>
      <c r="X109" s="293">
        <f t="shared" si="122"/>
        <v>-0.43858588772245755</v>
      </c>
      <c r="Y109" s="293">
        <f t="shared" si="122"/>
        <v>-2.2262834460914593E-2</v>
      </c>
      <c r="Z109" s="285">
        <f t="shared" si="122"/>
        <v>-0.19622675351718322</v>
      </c>
      <c r="AA109" s="293">
        <f t="shared" si="122"/>
        <v>-3.077352606645678E-2</v>
      </c>
      <c r="AB109" s="293">
        <f t="shared" si="122"/>
        <v>-0.35575973178910758</v>
      </c>
      <c r="AC109" s="293">
        <f t="shared" si="122"/>
        <v>-0.25091651720753927</v>
      </c>
      <c r="AD109" s="293">
        <f t="shared" si="122"/>
        <v>-0.17818604118568548</v>
      </c>
      <c r="AE109" s="285">
        <f t="shared" si="122"/>
        <v>-0.21062039903794372</v>
      </c>
      <c r="AF109" s="293">
        <f t="shared" si="122"/>
        <v>-0.23402541244678887</v>
      </c>
      <c r="AG109" s="293">
        <f t="shared" si="122"/>
        <v>0.61636622936612717</v>
      </c>
      <c r="AH109" s="293">
        <f t="shared" si="122"/>
        <v>0.5453433889677255</v>
      </c>
      <c r="AI109" s="293">
        <f t="shared" si="122"/>
        <v>0.55489637729578289</v>
      </c>
      <c r="AJ109" s="285">
        <f t="shared" si="122"/>
        <v>0.32797715469850663</v>
      </c>
      <c r="AK109" s="293">
        <f t="shared" si="122"/>
        <v>0.83616413065369999</v>
      </c>
      <c r="AL109" s="293">
        <f t="shared" si="122"/>
        <v>-0.34524032505880375</v>
      </c>
      <c r="AM109" s="293">
        <f t="shared" si="122"/>
        <v>-0.47586729055977262</v>
      </c>
      <c r="AN109" s="293" t="str">
        <f t="shared" si="122"/>
        <v>NMF</v>
      </c>
      <c r="AO109" s="285">
        <f t="shared" si="122"/>
        <v>-0.50181155513910169</v>
      </c>
      <c r="AP109" s="293">
        <f>IF(OR(INDEX(SP_NGF_EBITDA,0,COLUMN())&lt;=0,INDEX(SP_NGF_EBITDA,0,COLUMN()-5)&lt;=0),"NMF",IF(ABS((INDEX(SP_NGF_EBITDA,0,COLUMN())/INDEX(SP_CS_ShareCount,0,COLUMN()))/(INDEX(SP_NGF_EBITDA,0,COLUMN()-5)/INDEX(SP_CS_ShareCount,0,COLUMN()-5))-1)&gt;10,"NMF",(INDEX(SP_NGF_EBITDA,0,COLUMN())/INDEX(SP_CS_ShareCount,0,COLUMN()))/(INDEX(SP_NGF_EBITDA,0,COLUMN()-5)/INDEX(SP_CS_ShareCount,0,COLUMN()-5))-1))</f>
        <v>-0.4553571062657481</v>
      </c>
      <c r="AQ109" s="352">
        <f>IF(OR(INDEX(SP_NGF_EBITDA,0,COLUMN())&lt;=0,INDEX(SP_NGF_EBITDA,0,COLUMN()-5)&lt;=0),"NMF",IF(ABS((INDEX(SP_NGF_EBITDA,0,COLUMN())/INDEX(SP_CS_ShareCount,0,COLUMN()))/(INDEX(SP_NGF_EBITDA,0,COLUMN()-5)/INDEX(SP_CS_ShareCount,0,COLUMN()-5))-1)&gt;10,"NMF",(INDEX(SP_NGF_EBITDA,0,COLUMN())/INDEX(SP_CS_ShareCount,0,COLUMN()))/(INDEX(SP_NGF_EBITDA,0,COLUMN()-5)/INDEX(SP_CS_ShareCount,0,COLUMN()-5))-1))</f>
        <v>-0.82717373208242684</v>
      </c>
      <c r="AR109" s="102">
        <f t="shared" ca="1" si="122"/>
        <v>-0.42183514570652836</v>
      </c>
      <c r="AS109" s="102" t="str">
        <f t="shared" si="122"/>
        <v>NMF</v>
      </c>
      <c r="AT109" s="101">
        <f t="shared" ca="1" si="122"/>
        <v>-0.20088899864364584</v>
      </c>
      <c r="AU109" s="102">
        <f t="shared" ca="1" si="122"/>
        <v>0.31297329789759654</v>
      </c>
      <c r="AV109" s="102">
        <f t="shared" ca="1" si="122"/>
        <v>7.6307043045293952</v>
      </c>
      <c r="AW109" s="102">
        <f t="shared" ca="1" si="122"/>
        <v>2.6816848275996445</v>
      </c>
      <c r="AX109" s="102">
        <f t="shared" ca="1" si="122"/>
        <v>1.5042048539962409</v>
      </c>
      <c r="AY109" s="101">
        <f t="shared" ca="1" si="122"/>
        <v>1.7378364026549922</v>
      </c>
      <c r="AZ109" s="101">
        <f ca="1">IF(OR(INDEX(SP_NGF_EBITDA,0,COLUMN())&lt;=0,INDEX(SP_NGF_EBITDA,0,COLUMN()-1)&lt;=0),"NMF",IF(ABS((INDEX(SP_NGF_EBITDA,0,COLUMN())/INDEX(SP_CS_ShareCount,0,COLUMN()))/(INDEX(SP_NGF_EBITDA,0,COLUMN()-1)/INDEX(SP_CS_ShareCount,0,COLUMN()-1))-1)&gt;10,"NMF",(INDEX(SP_NGF_EBITDA,0,COLUMN())/INDEX(SP_CS_ShareCount,0,COLUMN()))/(INDEX(SP_NGF_EBITDA,0,COLUMN()-1)/INDEX(SP_CS_ShareCount,0,COLUMN()-1))-1))</f>
        <v>-6.5813732183233165E-2</v>
      </c>
      <c r="BA109" s="101">
        <f ca="1">IF(OR(INDEX(SP_NGF_EBITDA,0,COLUMN())&lt;=0,INDEX(SP_NGF_EBITDA,0,COLUMN()-1)&lt;=0),"NMF",IF(ABS((INDEX(SP_NGF_EBITDA,0,COLUMN())/INDEX(SP_CS_ShareCount,0,COLUMN()))/(INDEX(SP_NGF_EBITDA,0,COLUMN()-1)/INDEX(SP_CS_ShareCount,0,COLUMN()-1))-1)&gt;10,"NMF",(INDEX(SP_NGF_EBITDA,0,COLUMN())/INDEX(SP_CS_ShareCount,0,COLUMN()))/(INDEX(SP_NGF_EBITDA,0,COLUMN()-1)/INDEX(SP_CS_ShareCount,0,COLUMN()-1))-1))</f>
        <v>0.40967513209302275</v>
      </c>
      <c r="BB109" s="101">
        <f ca="1">IF(OR(INDEX(SP_NGF_EBITDA,0,COLUMN())&lt;=0,INDEX(SP_NGF_EBITDA,0,COLUMN()-1)&lt;=0),"NMF",IF(ABS((INDEX(SP_NGF_EBITDA,0,COLUMN())/INDEX(SP_CS_ShareCount,0,COLUMN()))/(INDEX(SP_NGF_EBITDA,0,COLUMN()-1)/INDEX(SP_CS_ShareCount,0,COLUMN()-1))-1)&gt;10,"NMF",(INDEX(SP_NGF_EBITDA,0,COLUMN())/INDEX(SP_CS_ShareCount,0,COLUMN()))/(INDEX(SP_NGF_EBITDA,0,COLUMN()-1)/INDEX(SP_CS_ShareCount,0,COLUMN()-1))-1))</f>
        <v>-0.4505796385928803</v>
      </c>
      <c r="BC109" s="152"/>
    </row>
    <row r="110" spans="1:55" s="66" customFormat="1">
      <c r="A110" s="210" t="s">
        <v>261</v>
      </c>
      <c r="B110" s="188"/>
      <c r="C110" s="285"/>
      <c r="D110" s="285" t="str">
        <f>IF(OR(INDEX(SP_NGF_NI,0,COLUMN())&lt;=0,INDEX(SP_NGF_NI,0,COLUMN()-1)&lt;=0),"NMF",IF(ABS((INDEX(SP_NGF_NI,0,COLUMN())/INDEX(SP_CS_ShareCount,0,COLUMN()))/(INDEX(SP_NGF_NI,0,COLUMN()-1)/INDEX(SP_CS_ShareCount,0,COLUMN()-1))-1)&gt;10,"NMF",(INDEX(SP_NGF_NI,0,COLUMN())/INDEX(SP_CS_ShareCount,0,COLUMN()))/(INDEX(SP_NGF_NI,0,COLUMN()-1)/INDEX(SP_CS_ShareCount,0,COLUMN()-1))-1))</f>
        <v>NMF</v>
      </c>
      <c r="E110" s="285">
        <f>IF(OR(INDEX(SP_NGF_NI,0,COLUMN())&lt;=0,INDEX(SP_NGF_NI,0,COLUMN()-1)&lt;=0),"NMF",IF(ABS((INDEX(SP_NGF_NI,0,COLUMN())/INDEX(SP_CS_ShareCount,0,COLUMN()))/(INDEX(SP_NGF_NI,0,COLUMN()-1)/INDEX(SP_CS_ShareCount,0,COLUMN()-1))-1)&gt;10,"NMF",(INDEX(SP_NGF_NI,0,COLUMN())/INDEX(SP_CS_ShareCount,0,COLUMN()))/(INDEX(SP_NGF_NI,0,COLUMN()-1)/INDEX(SP_CS_ShareCount,0,COLUMN()-1))-1))</f>
        <v>0.41364099617380545</v>
      </c>
      <c r="F110" s="285">
        <f>IF(OR(INDEX(SP_NGF_NI,0,COLUMN())&lt;=0,INDEX(SP_NGF_NI,0,COLUMN()-1)&lt;=0),"NMF",IF(ABS((INDEX(SP_NGF_NI,0,COLUMN())/INDEX(SP_CS_ShareCount,0,COLUMN()))/(INDEX(SP_NGF_NI,0,COLUMN()-1)/INDEX(SP_CS_ShareCount,0,COLUMN()-1))-1)&gt;10,"NMF",(INDEX(SP_NGF_NI,0,COLUMN())/INDEX(SP_CS_ShareCount,0,COLUMN()))/(INDEX(SP_NGF_NI,0,COLUMN()-1)/INDEX(SP_CS_ShareCount,0,COLUMN()-1))-1))</f>
        <v>-5.8221536548835884E-2</v>
      </c>
      <c r="G110" s="293"/>
      <c r="H110" s="293"/>
      <c r="I110" s="293"/>
      <c r="J110" s="293"/>
      <c r="K110" s="285">
        <f t="shared" ref="K110:AY110" si="123">IF(OR(INDEX(SP_NGF_NI,0,COLUMN())&lt;=0,INDEX(SP_NGF_NI,0,COLUMN()-5)&lt;=0),"NMF",IF(ABS((INDEX(SP_NGF_NI,0,COLUMN())/INDEX(SP_CS_ShareCount,0,COLUMN()))/(INDEX(SP_NGF_NI,0,COLUMN()-5)/INDEX(SP_CS_ShareCount,0,COLUMN()-5))-1)&gt;10,"NMF",(INDEX(SP_NGF_NI,0,COLUMN())/INDEX(SP_CS_ShareCount,0,COLUMN()))/(INDEX(SP_NGF_NI,0,COLUMN()-5)/INDEX(SP_CS_ShareCount,0,COLUMN()-5))-1))</f>
        <v>0.2360139111013746</v>
      </c>
      <c r="L110" s="293">
        <f t="shared" si="123"/>
        <v>-0.27003690747608622</v>
      </c>
      <c r="M110" s="293">
        <f t="shared" si="123"/>
        <v>1.1226978916973511</v>
      </c>
      <c r="N110" s="293">
        <f t="shared" si="123"/>
        <v>1.0672000332681058</v>
      </c>
      <c r="O110" s="293">
        <f t="shared" si="123"/>
        <v>1.528137990616238</v>
      </c>
      <c r="P110" s="285">
        <f t="shared" si="123"/>
        <v>1.0101561135322026</v>
      </c>
      <c r="Q110" s="293">
        <f t="shared" si="123"/>
        <v>0.25420395075526825</v>
      </c>
      <c r="R110" s="293">
        <f t="shared" si="123"/>
        <v>0.18490081635419919</v>
      </c>
      <c r="S110" s="293">
        <f t="shared" si="123"/>
        <v>0.43915977103815163</v>
      </c>
      <c r="T110" s="293">
        <f t="shared" si="123"/>
        <v>-0.25115512908775683</v>
      </c>
      <c r="U110" s="285">
        <f t="shared" si="123"/>
        <v>0.18514542670324485</v>
      </c>
      <c r="V110" s="293">
        <f t="shared" si="123"/>
        <v>6.8969621710039064E-2</v>
      </c>
      <c r="W110" s="293">
        <f t="shared" si="123"/>
        <v>-0.15588225710638481</v>
      </c>
      <c r="X110" s="293">
        <f t="shared" si="123"/>
        <v>-0.50598674800492094</v>
      </c>
      <c r="Y110" s="293">
        <f t="shared" si="123"/>
        <v>-0.27857198280418694</v>
      </c>
      <c r="Z110" s="285">
        <f t="shared" si="123"/>
        <v>-0.27430080493549069</v>
      </c>
      <c r="AA110" s="293">
        <f t="shared" si="123"/>
        <v>1.2792059618461193E-2</v>
      </c>
      <c r="AB110" s="293">
        <f t="shared" si="123"/>
        <v>-0.48442514399093883</v>
      </c>
      <c r="AC110" s="293">
        <f t="shared" si="123"/>
        <v>-0.48411097085215826</v>
      </c>
      <c r="AD110" s="293" t="str">
        <f t="shared" si="123"/>
        <v>NMF</v>
      </c>
      <c r="AE110" s="285">
        <f t="shared" si="123"/>
        <v>-0.58374194163470494</v>
      </c>
      <c r="AF110" s="293">
        <f t="shared" si="123"/>
        <v>-0.70111944219653111</v>
      </c>
      <c r="AG110" s="293">
        <f t="shared" si="123"/>
        <v>0.9096482555663119</v>
      </c>
      <c r="AH110" s="293">
        <f t="shared" si="123"/>
        <v>1.8375322973165993</v>
      </c>
      <c r="AI110" s="293" t="str">
        <f t="shared" si="123"/>
        <v>NMF</v>
      </c>
      <c r="AJ110" s="285">
        <f t="shared" si="123"/>
        <v>1.4200948675051555</v>
      </c>
      <c r="AK110" s="293">
        <f t="shared" si="123"/>
        <v>3.860384871830191</v>
      </c>
      <c r="AL110" s="293">
        <f t="shared" si="123"/>
        <v>-0.54947576012798782</v>
      </c>
      <c r="AM110" s="293">
        <f t="shared" si="123"/>
        <v>-0.99708332921013521</v>
      </c>
      <c r="AN110" s="293">
        <f t="shared" si="123"/>
        <v>-0.50090726420785814</v>
      </c>
      <c r="AO110" s="285">
        <f t="shared" si="123"/>
        <v>-0.35402210717193416</v>
      </c>
      <c r="AP110" s="293" t="str">
        <f>IF(OR(INDEX(SP_NGF_NI,0,COLUMN())&lt;=0,INDEX(SP_NGF_NI,0,COLUMN()-5)&lt;=0),"NMF",IF(ABS((INDEX(SP_NGF_NI,0,COLUMN())/INDEX(SP_CS_ShareCount,0,COLUMN()))/(INDEX(SP_NGF_NI,0,COLUMN()-5)/INDEX(SP_CS_ShareCount,0,COLUMN()-5))-1)&gt;10,"NMF",(INDEX(SP_NGF_NI,0,COLUMN())/INDEX(SP_CS_ShareCount,0,COLUMN()))/(INDEX(SP_NGF_NI,0,COLUMN()-5)/INDEX(SP_CS_ShareCount,0,COLUMN()-5))-1))</f>
        <v>NMF</v>
      </c>
      <c r="AQ110" s="352" t="str">
        <f>IF(OR(INDEX(SP_NGF_NI,0,COLUMN())&lt;=0,INDEX(SP_NGF_NI,0,COLUMN()-5)&lt;=0),"NMF",IF(ABS((INDEX(SP_NGF_NI,0,COLUMN())/INDEX(SP_CS_ShareCount,0,COLUMN()))/(INDEX(SP_NGF_NI,0,COLUMN()-5)/INDEX(SP_CS_ShareCount,0,COLUMN()-5))-1)&gt;10,"NMF",(INDEX(SP_NGF_NI,0,COLUMN())/INDEX(SP_CS_ShareCount,0,COLUMN()))/(INDEX(SP_NGF_NI,0,COLUMN()-5)/INDEX(SP_CS_ShareCount,0,COLUMN()-5))-1))</f>
        <v>NMF</v>
      </c>
      <c r="AR110" s="102" t="str">
        <f t="shared" si="123"/>
        <v>NMF</v>
      </c>
      <c r="AS110" s="102" t="str">
        <f t="shared" ca="1" si="123"/>
        <v>NMF</v>
      </c>
      <c r="AT110" s="101" t="str">
        <f t="shared" ca="1" si="123"/>
        <v>NMF</v>
      </c>
      <c r="AU110" s="102" t="str">
        <f t="shared" ca="1" si="123"/>
        <v>NMF</v>
      </c>
      <c r="AV110" s="102" t="str">
        <f t="shared" ca="1" si="123"/>
        <v>NMF</v>
      </c>
      <c r="AW110" s="102" t="str">
        <f t="shared" ca="1" si="123"/>
        <v>NMF</v>
      </c>
      <c r="AX110" s="102" t="str">
        <f t="shared" ca="1" si="123"/>
        <v>NMF</v>
      </c>
      <c r="AY110" s="101" t="str">
        <f t="shared" ca="1" si="123"/>
        <v>NMF</v>
      </c>
      <c r="AZ110" s="101">
        <f ca="1">IF(OR(INDEX(SP_NGF_NI,0,COLUMN())&lt;=0,INDEX(SP_NGF_NI,0,COLUMN()-1)&lt;=0),"NMF",IF(ABS((INDEX(SP_NGF_NI,0,COLUMN())/INDEX(SP_CS_ShareCount,0,COLUMN()))/(INDEX(SP_NGF_NI,0,COLUMN()-1)/INDEX(SP_CS_ShareCount,0,COLUMN()-1))-1)&gt;10,"NMF",(INDEX(SP_NGF_NI,0,COLUMN())/INDEX(SP_CS_ShareCount,0,COLUMN()))/(INDEX(SP_NGF_NI,0,COLUMN()-1)/INDEX(SP_CS_ShareCount,0,COLUMN()-1))-1))</f>
        <v>-0.16485909406610522</v>
      </c>
      <c r="BA110" s="101">
        <f ca="1">IF(OR(INDEX(SP_NGF_NI,0,COLUMN())&lt;=0,INDEX(SP_NGF_NI,0,COLUMN()-1)&lt;=0),"NMF",IF(ABS((INDEX(SP_NGF_NI,0,COLUMN())/INDEX(SP_CS_ShareCount,0,COLUMN()))/(INDEX(SP_NGF_NI,0,COLUMN()-1)/INDEX(SP_CS_ShareCount,0,COLUMN()-1))-1)&gt;10,"NMF",(INDEX(SP_NGF_NI,0,COLUMN())/INDEX(SP_CS_ShareCount,0,COLUMN()))/(INDEX(SP_NGF_NI,0,COLUMN()-1)/INDEX(SP_CS_ShareCount,0,COLUMN()-1))-1))</f>
        <v>0.78046355081152718</v>
      </c>
      <c r="BB110" s="101">
        <f ca="1">IF(OR(INDEX(SP_NGF_NI,0,COLUMN())&lt;=0,INDEX(SP_NGF_NI,0,COLUMN()-1)&lt;=0),"NMF",IF(ABS((INDEX(SP_NGF_NI,0,COLUMN())/INDEX(SP_CS_ShareCount,0,COLUMN()))/(INDEX(SP_NGF_NI,0,COLUMN()-1)/INDEX(SP_CS_ShareCount,0,COLUMN()-1))-1)&gt;10,"NMF",(INDEX(SP_NGF_NI,0,COLUMN())/INDEX(SP_CS_ShareCount,0,COLUMN()))/(INDEX(SP_NGF_NI,0,COLUMN()-1)/INDEX(SP_CS_ShareCount,0,COLUMN()-1))-1))</f>
        <v>-0.67118270512619604</v>
      </c>
      <c r="BC110" s="152"/>
    </row>
    <row r="111" spans="1:55" s="66" customFormat="1">
      <c r="A111" s="210" t="s">
        <v>262</v>
      </c>
      <c r="B111" s="188"/>
      <c r="C111" s="285"/>
      <c r="D111" s="285">
        <f>IF(OR(INDEX(SP_CFA_CFO_BeforeWC,0,COLUMN())&lt;=0,INDEX(SP_CFA_CFO_BeforeWC,0,COLUMN()-1)&lt;=0),"NMF",IF(ABS((INDEX(SP_CFA_CFO_BeforeWC,0,COLUMN())/INDEX(SP_CS_ShareCount,0,COLUMN()))/(INDEX(SP_CFA_CFO_BeforeWC,0,COLUMN()-1)/INDEX(SP_CS_ShareCount,0,COLUMN()-1))-1)&gt;10,"NMF",(INDEX(SP_CFA_CFO_BeforeWC,0,COLUMN())/INDEX(SP_CS_ShareCount,0,COLUMN()))/(INDEX(SP_CFA_CFO_BeforeWC,0,COLUMN()-1)/INDEX(SP_CS_ShareCount,0,COLUMN()-1))-1))</f>
        <v>0.34642966519296192</v>
      </c>
      <c r="E111" s="285">
        <f>IF(OR(INDEX(SP_CFA_CFO_BeforeWC,0,COLUMN())&lt;=0,INDEX(SP_CFA_CFO_BeforeWC,0,COLUMN()-1)&lt;=0),"NMF",IF(ABS((INDEX(SP_CFA_CFO_BeforeWC,0,COLUMN())/INDEX(SP_CS_ShareCount,0,COLUMN()))/(INDEX(SP_CFA_CFO_BeforeWC,0,COLUMN()-1)/INDEX(SP_CS_ShareCount,0,COLUMN()-1))-1)&gt;10,"NMF",(INDEX(SP_CFA_CFO_BeforeWC,0,COLUMN())/INDEX(SP_CS_ShareCount,0,COLUMN()))/(INDEX(SP_CFA_CFO_BeforeWC,0,COLUMN()-1)/INDEX(SP_CS_ShareCount,0,COLUMN()-1))-1))</f>
        <v>0.30638916816316919</v>
      </c>
      <c r="F111" s="285">
        <f>IF(OR(INDEX(SP_CFA_CFO_BeforeWC,0,COLUMN())&lt;=0,INDEX(SP_CFA_CFO_BeforeWC,0,COLUMN()-1)&lt;=0),"NMF",IF(ABS((INDEX(SP_CFA_CFO_BeforeWC,0,COLUMN())/INDEX(SP_CS_ShareCount,0,COLUMN()))/(INDEX(SP_CFA_CFO_BeforeWC,0,COLUMN()-1)/INDEX(SP_CS_ShareCount,0,COLUMN()-1))-1)&gt;10,"NMF",(INDEX(SP_CFA_CFO_BeforeWC,0,COLUMN())/INDEX(SP_CS_ShareCount,0,COLUMN()))/(INDEX(SP_CFA_CFO_BeforeWC,0,COLUMN()-1)/INDEX(SP_CS_ShareCount,0,COLUMN()-1))-1))</f>
        <v>-9.2166286824173937E-2</v>
      </c>
      <c r="G111" s="293"/>
      <c r="H111" s="293"/>
      <c r="I111" s="293"/>
      <c r="J111" s="293"/>
      <c r="K111" s="285">
        <f t="shared" ref="K111:AY111" si="124">IF(OR(INDEX(SP_CFA_CFO_BeforeWC,0,COLUMN())&lt;=0,INDEX(SP_CFA_CFO_BeforeWC,0,COLUMN()-5)&lt;=0),"NMF",IF(ABS((INDEX(SP_CFA_CFO_BeforeWC,0,COLUMN())/INDEX(SP_CS_ShareCount,0,COLUMN()))/(INDEX(SP_CFA_CFO_BeforeWC,0,COLUMN()-5)/INDEX(SP_CS_ShareCount,0,COLUMN()-5))-1)&gt;10,"NMF",(INDEX(SP_CFA_CFO_BeforeWC,0,COLUMN())/INDEX(SP_CS_ShareCount,0,COLUMN()))/(INDEX(SP_CFA_CFO_BeforeWC,0,COLUMN()-5)/INDEX(SP_CS_ShareCount,0,COLUMN()-5))-1))</f>
        <v>0.2597562011458121</v>
      </c>
      <c r="L111" s="293">
        <f t="shared" si="124"/>
        <v>-0.17718325316742456</v>
      </c>
      <c r="M111" s="293">
        <f t="shared" si="124"/>
        <v>0.91684687695942735</v>
      </c>
      <c r="N111" s="293">
        <f t="shared" si="124"/>
        <v>1.2856403279594826</v>
      </c>
      <c r="O111" s="293">
        <f t="shared" si="124"/>
        <v>1.0766191448056972</v>
      </c>
      <c r="P111" s="285">
        <f t="shared" si="124"/>
        <v>0.96572364942097</v>
      </c>
      <c r="Q111" s="293">
        <f t="shared" si="124"/>
        <v>0.34357901322115847</v>
      </c>
      <c r="R111" s="293">
        <f t="shared" si="124"/>
        <v>0.20380770296904771</v>
      </c>
      <c r="S111" s="293">
        <f t="shared" si="124"/>
        <v>0.21102870915889982</v>
      </c>
      <c r="T111" s="293">
        <f t="shared" si="124"/>
        <v>-2.4604689167182059E-2</v>
      </c>
      <c r="U111" s="285">
        <f t="shared" si="124"/>
        <v>0.22046880845546646</v>
      </c>
      <c r="V111" s="293">
        <f t="shared" si="124"/>
        <v>8.2199548413321777E-2</v>
      </c>
      <c r="W111" s="293">
        <f t="shared" si="124"/>
        <v>-7.484486964920245E-2</v>
      </c>
      <c r="X111" s="293">
        <f t="shared" si="124"/>
        <v>-0.45838861043836898</v>
      </c>
      <c r="Y111" s="293">
        <f t="shared" si="124"/>
        <v>-0.26461881952146127</v>
      </c>
      <c r="Z111" s="285">
        <f t="shared" si="124"/>
        <v>-0.21859621943507723</v>
      </c>
      <c r="AA111" s="293">
        <f t="shared" si="124"/>
        <v>-2.6652188624830431E-2</v>
      </c>
      <c r="AB111" s="293">
        <f t="shared" si="124"/>
        <v>-0.34073907868088327</v>
      </c>
      <c r="AC111" s="293">
        <f t="shared" si="124"/>
        <v>-0.20495632451761314</v>
      </c>
      <c r="AD111" s="293">
        <f t="shared" si="124"/>
        <v>5.7732685504472192E-2</v>
      </c>
      <c r="AE111" s="285">
        <f t="shared" si="124"/>
        <v>-0.14373306750759951</v>
      </c>
      <c r="AF111" s="293">
        <f t="shared" si="124"/>
        <v>-0.24986170516774986</v>
      </c>
      <c r="AG111" s="293">
        <f t="shared" si="124"/>
        <v>0.81580197307517976</v>
      </c>
      <c r="AH111" s="293">
        <f t="shared" si="124"/>
        <v>0.93519095322936363</v>
      </c>
      <c r="AI111" s="293">
        <f t="shared" si="124"/>
        <v>0.27486912947026765</v>
      </c>
      <c r="AJ111" s="285">
        <f t="shared" si="124"/>
        <v>0.39001608173293967</v>
      </c>
      <c r="AK111" s="293">
        <f t="shared" si="124"/>
        <v>-0.49412405548803584</v>
      </c>
      <c r="AL111" s="293">
        <f t="shared" si="124"/>
        <v>-0.3106149401167545</v>
      </c>
      <c r="AM111" s="293">
        <f t="shared" si="124"/>
        <v>-0.59275163416698917</v>
      </c>
      <c r="AN111" s="293">
        <f t="shared" si="124"/>
        <v>0.34885836651418489</v>
      </c>
      <c r="AO111" s="285">
        <f t="shared" si="124"/>
        <v>-0.26940193166444715</v>
      </c>
      <c r="AP111" s="293">
        <f>IF(OR(INDEX(SP_CFA_CFO_BeforeWC,0,COLUMN())&lt;=0,INDEX(SP_CFA_CFO_BeforeWC,0,COLUMN()-5)&lt;=0),"NMF",IF(ABS((INDEX(SP_CFA_CFO_BeforeWC,0,COLUMN())/INDEX(SP_CS_ShareCount,0,COLUMN()))/(INDEX(SP_CFA_CFO_BeforeWC,0,COLUMN()-5)/INDEX(SP_CS_ShareCount,0,COLUMN()-5))-1)&gt;10,"NMF",(INDEX(SP_CFA_CFO_BeforeWC,0,COLUMN())/INDEX(SP_CS_ShareCount,0,COLUMN()))/(INDEX(SP_CFA_CFO_BeforeWC,0,COLUMN()-5)/INDEX(SP_CS_ShareCount,0,COLUMN()-5))-1))</f>
        <v>2.6101242130445068</v>
      </c>
      <c r="AQ111" s="352">
        <f>IF(OR(INDEX(SP_CFA_CFO_BeforeWC,0,COLUMN())&lt;=0,INDEX(SP_CFA_CFO_BeforeWC,0,COLUMN()-5)&lt;=0),"NMF",IF(ABS((INDEX(SP_CFA_CFO_BeforeWC,0,COLUMN())/INDEX(SP_CS_ShareCount,0,COLUMN()))/(INDEX(SP_CFA_CFO_BeforeWC,0,COLUMN()-5)/INDEX(SP_CS_ShareCount,0,COLUMN()-5))-1)&gt;10,"NMF",(INDEX(SP_CFA_CFO_BeforeWC,0,COLUMN())/INDEX(SP_CS_ShareCount,0,COLUMN()))/(INDEX(SP_CFA_CFO_BeforeWC,0,COLUMN()-5)/INDEX(SP_CS_ShareCount,0,COLUMN()-5))-1))</f>
        <v>-0.14530203930371421</v>
      </c>
      <c r="AR111" s="102">
        <f t="shared" ca="1" si="124"/>
        <v>-0.35189234744070264</v>
      </c>
      <c r="AS111" s="102">
        <f t="shared" ca="1" si="124"/>
        <v>-0.6541010299902148</v>
      </c>
      <c r="AT111" s="101">
        <f t="shared" ca="1" si="124"/>
        <v>-0.10653842223589527</v>
      </c>
      <c r="AU111" s="102">
        <f t="shared" ca="1" si="124"/>
        <v>-0.12872567422567982</v>
      </c>
      <c r="AV111" s="102">
        <f t="shared" ca="1" si="124"/>
        <v>0.76983450976250944</v>
      </c>
      <c r="AW111" s="102">
        <f t="shared" ca="1" si="124"/>
        <v>3.1501931605148767</v>
      </c>
      <c r="AX111" s="102">
        <f t="shared" ca="1" si="124"/>
        <v>1.6677800262723914</v>
      </c>
      <c r="AY111" s="101">
        <f t="shared" ca="1" si="124"/>
        <v>0.82936303964819413</v>
      </c>
      <c r="AZ111" s="101">
        <f ca="1">IF(OR(INDEX(SP_CFA_CFO_BeforeWC,0,COLUMN())&lt;=0,INDEX(SP_CFA_CFO_BeforeWC,0,COLUMN()-1)&lt;=0),"NMF",IF(ABS((INDEX(SP_CFA_CFO_BeforeWC,0,COLUMN())/INDEX(SP_CS_ShareCount,0,COLUMN()))/(INDEX(SP_CFA_CFO_BeforeWC,0,COLUMN()-1)/INDEX(SP_CS_ShareCount,0,COLUMN()-1))-1)&gt;10,"NMF",(INDEX(SP_CFA_CFO_BeforeWC,0,COLUMN())/INDEX(SP_CS_ShareCount,0,COLUMN()))/(INDEX(SP_CFA_CFO_BeforeWC,0,COLUMN()-1)/INDEX(SP_CS_ShareCount,0,COLUMN()-1))-1))</f>
        <v>-9.6848274694405823E-2</v>
      </c>
      <c r="BA111" s="101">
        <f ca="1">IF(OR(INDEX(SP_CFA_CFO_BeforeWC,0,COLUMN())&lt;=0,INDEX(SP_CFA_CFO_BeforeWC,0,COLUMN()-1)&lt;=0),"NMF",IF(ABS((INDEX(SP_CFA_CFO_BeforeWC,0,COLUMN())/INDEX(SP_CS_ShareCount,0,COLUMN()))/(INDEX(SP_CFA_CFO_BeforeWC,0,COLUMN()-1)/INDEX(SP_CS_ShareCount,0,COLUMN()-1))-1)&gt;10,"NMF",(INDEX(SP_CFA_CFO_BeforeWC,0,COLUMN())/INDEX(SP_CS_ShareCount,0,COLUMN()))/(INDEX(SP_CFA_CFO_BeforeWC,0,COLUMN()-1)/INDEX(SP_CS_ShareCount,0,COLUMN()-1))-1))</f>
        <v>0.42396562473319266</v>
      </c>
      <c r="BB111" s="101">
        <f ca="1">IF(OR(INDEX(SP_CFA_CFO_BeforeWC,0,COLUMN())&lt;=0,INDEX(SP_CFA_CFO_BeforeWC,0,COLUMN()-1)&lt;=0),"NMF",IF(ABS((INDEX(SP_CFA_CFO_BeforeWC,0,COLUMN())/INDEX(SP_CS_ShareCount,0,COLUMN()))/(INDEX(SP_CFA_CFO_BeforeWC,0,COLUMN()-1)/INDEX(SP_CS_ShareCount,0,COLUMN()-1))-1)&gt;10,"NMF",(INDEX(SP_CFA_CFO_BeforeWC,0,COLUMN())/INDEX(SP_CS_ShareCount,0,COLUMN()))/(INDEX(SP_CFA_CFO_BeforeWC,0,COLUMN()-1)/INDEX(SP_CS_ShareCount,0,COLUMN()-1))-1))</f>
        <v>-0.45588190982681598</v>
      </c>
      <c r="BC111" s="152"/>
    </row>
    <row r="112" spans="1:55" s="66" customFormat="1">
      <c r="A112" s="210" t="s">
        <v>263</v>
      </c>
      <c r="B112" s="188"/>
      <c r="C112" s="285"/>
      <c r="D112" s="285">
        <f>IF(OR(INDEX(SP_CFA_FCF_PreDiv,0,COLUMN())&lt;=0,INDEX(SP_CFA_FCF_PreDiv,0,COLUMN()-1)&lt;=0),"NMF",IF(ABS((INDEX(SP_CFA_FCF_PreDiv,0,COLUMN())/INDEX(SP_CS_ShareCount,0,COLUMN()))/(INDEX(SP_CFA_FCF_PreDiv,0,COLUMN()-1)/INDEX(SP_CS_ShareCount,0,COLUMN()-1))-1)&gt;10,"NMF",(INDEX(SP_CFA_FCF_PreDiv,0,COLUMN())/INDEX(SP_CS_ShareCount,0,COLUMN()))/(INDEX(SP_CFA_FCF_PreDiv,0,COLUMN()-1)/INDEX(SP_CS_ShareCount,0,COLUMN()-1))-1))</f>
        <v>0.3529489418170153</v>
      </c>
      <c r="E112" s="285">
        <f>IF(OR(INDEX(SP_CFA_FCF_PreDiv,0,COLUMN())&lt;=0,INDEX(SP_CFA_FCF_PreDiv,0,COLUMN()-1)&lt;=0),"NMF",IF(ABS((INDEX(SP_CFA_FCF_PreDiv,0,COLUMN())/INDEX(SP_CS_ShareCount,0,COLUMN()))/(INDEX(SP_CFA_FCF_PreDiv,0,COLUMN()-1)/INDEX(SP_CS_ShareCount,0,COLUMN()-1))-1)&gt;10,"NMF",(INDEX(SP_CFA_FCF_PreDiv,0,COLUMN())/INDEX(SP_CS_ShareCount,0,COLUMN()))/(INDEX(SP_CFA_FCF_PreDiv,0,COLUMN()-1)/INDEX(SP_CS_ShareCount,0,COLUMN()-1))-1))</f>
        <v>-0.16574169800681304</v>
      </c>
      <c r="F112" s="285">
        <f>IF(OR(INDEX(SP_CFA_FCF_PreDiv,0,COLUMN())&lt;=0,INDEX(SP_CFA_FCF_PreDiv,0,COLUMN()-1)&lt;=0),"NMF",IF(ABS((INDEX(SP_CFA_FCF_PreDiv,0,COLUMN())/INDEX(SP_CS_ShareCount,0,COLUMN()))/(INDEX(SP_CFA_FCF_PreDiv,0,COLUMN()-1)/INDEX(SP_CS_ShareCount,0,COLUMN()-1))-1)&gt;10,"NMF",(INDEX(SP_CFA_FCF_PreDiv,0,COLUMN())/INDEX(SP_CS_ShareCount,0,COLUMN()))/(INDEX(SP_CFA_FCF_PreDiv,0,COLUMN()-1)/INDEX(SP_CS_ShareCount,0,COLUMN()-1))-1))</f>
        <v>-0.24544758496086316</v>
      </c>
      <c r="G112" s="293"/>
      <c r="H112" s="293"/>
      <c r="I112" s="293"/>
      <c r="J112" s="293"/>
      <c r="K112" s="285">
        <f t="shared" ref="K112:AY112" si="125">IF(OR(INDEX(SP_CFA_FCF_PreDiv,0,COLUMN())&lt;=0,INDEX(SP_CFA_FCF_PreDiv,0,COLUMN()-5)&lt;=0),"NMF",IF(ABS((INDEX(SP_CFA_FCF_PreDiv,0,COLUMN())/INDEX(SP_CS_ShareCount,0,COLUMN()))/(INDEX(SP_CFA_FCF_PreDiv,0,COLUMN()-5)/INDEX(SP_CS_ShareCount,0,COLUMN()-5))-1)&gt;10,"NMF",(INDEX(SP_CFA_FCF_PreDiv,0,COLUMN())/INDEX(SP_CS_ShareCount,0,COLUMN()))/(INDEX(SP_CFA_FCF_PreDiv,0,COLUMN()-5)/INDEX(SP_CS_ShareCount,0,COLUMN()-5))-1))</f>
        <v>1.303772825870118</v>
      </c>
      <c r="L112" s="293" t="str">
        <f t="shared" si="125"/>
        <v>NMF</v>
      </c>
      <c r="M112" s="293">
        <f t="shared" si="125"/>
        <v>0.63721981527542804</v>
      </c>
      <c r="N112" s="293">
        <f t="shared" si="125"/>
        <v>0.91084133467774842</v>
      </c>
      <c r="O112" s="293">
        <f t="shared" si="125"/>
        <v>0.36111401684692757</v>
      </c>
      <c r="P112" s="285">
        <f t="shared" si="125"/>
        <v>0.1336794551499465</v>
      </c>
      <c r="Q112" s="293" t="str">
        <f t="shared" si="125"/>
        <v>NMF</v>
      </c>
      <c r="R112" s="293">
        <f t="shared" si="125"/>
        <v>0.45434413306412891</v>
      </c>
      <c r="S112" s="293">
        <f t="shared" si="125"/>
        <v>0.45631068155182386</v>
      </c>
      <c r="T112" s="293">
        <f t="shared" si="125"/>
        <v>0.65579660968865938</v>
      </c>
      <c r="U112" s="285">
        <f t="shared" si="125"/>
        <v>1.0716467428840022</v>
      </c>
      <c r="V112" s="293">
        <f t="shared" si="125"/>
        <v>0.5896758638351749</v>
      </c>
      <c r="W112" s="293">
        <f t="shared" si="125"/>
        <v>-1.5633698881814428E-2</v>
      </c>
      <c r="X112" s="293">
        <f t="shared" si="125"/>
        <v>-0.52140728544970405</v>
      </c>
      <c r="Y112" s="293">
        <f t="shared" si="125"/>
        <v>-0.32511071130938929</v>
      </c>
      <c r="Z112" s="285">
        <f t="shared" si="125"/>
        <v>-0.19931436161954652</v>
      </c>
      <c r="AA112" s="293">
        <f t="shared" si="125"/>
        <v>-5.0628768034522875E-2</v>
      </c>
      <c r="AB112" s="293">
        <f t="shared" si="125"/>
        <v>-0.36990182388538229</v>
      </c>
      <c r="AC112" s="293">
        <f t="shared" si="125"/>
        <v>-0.28953001883856178</v>
      </c>
      <c r="AD112" s="293">
        <f t="shared" si="125"/>
        <v>7.5710775769319838E-3</v>
      </c>
      <c r="AE112" s="285">
        <f t="shared" si="125"/>
        <v>-0.18685533726744308</v>
      </c>
      <c r="AF112" s="293">
        <f t="shared" si="125"/>
        <v>-0.41071261809525816</v>
      </c>
      <c r="AG112" s="293">
        <f t="shared" si="125"/>
        <v>0.90815290173145047</v>
      </c>
      <c r="AH112" s="293">
        <f t="shared" si="125"/>
        <v>1.3332493548818474</v>
      </c>
      <c r="AI112" s="293">
        <f t="shared" si="125"/>
        <v>0.35924085964081809</v>
      </c>
      <c r="AJ112" s="285">
        <f t="shared" si="125"/>
        <v>0.43382779013251804</v>
      </c>
      <c r="AK112" s="293">
        <f t="shared" si="125"/>
        <v>-0.6385095054150437</v>
      </c>
      <c r="AL112" s="293">
        <f t="shared" si="125"/>
        <v>-0.33754458749722582</v>
      </c>
      <c r="AM112" s="293">
        <f t="shared" si="125"/>
        <v>-0.60946930108793307</v>
      </c>
      <c r="AN112" s="293">
        <f t="shared" si="125"/>
        <v>0.45241841496464774</v>
      </c>
      <c r="AO112" s="285">
        <f t="shared" si="125"/>
        <v>-0.27544006224124562</v>
      </c>
      <c r="AP112" s="293">
        <f>IF(OR(INDEX(SP_CFA_FCF_PreDiv,0,COLUMN())&lt;=0,INDEX(SP_CFA_FCF_PreDiv,0,COLUMN()-5)&lt;=0),"NMF",IF(ABS((INDEX(SP_CFA_FCF_PreDiv,0,COLUMN())/INDEX(SP_CS_ShareCount,0,COLUMN()))/(INDEX(SP_CFA_FCF_PreDiv,0,COLUMN()-5)/INDEX(SP_CS_ShareCount,0,COLUMN()-5))-1)&gt;10,"NMF",(INDEX(SP_CFA_FCF_PreDiv,0,COLUMN())/INDEX(SP_CS_ShareCount,0,COLUMN()))/(INDEX(SP_CFA_FCF_PreDiv,0,COLUMN()-5)/INDEX(SP_CS_ShareCount,0,COLUMN()-5))-1))</f>
        <v>5.626274223536365</v>
      </c>
      <c r="AQ112" s="352">
        <f>IF(OR(INDEX(SP_CFA_FCF_PreDiv,0,COLUMN())&lt;=0,INDEX(SP_CFA_FCF_PreDiv,0,COLUMN()-5)&lt;=0),"NMF",IF(ABS((INDEX(SP_CFA_FCF_PreDiv,0,COLUMN())/INDEX(SP_CS_ShareCount,0,COLUMN()))/(INDEX(SP_CFA_FCF_PreDiv,0,COLUMN()-5)/INDEX(SP_CS_ShareCount,0,COLUMN()-5))-1)&gt;10,"NMF",(INDEX(SP_CFA_FCF_PreDiv,0,COLUMN())/INDEX(SP_CS_ShareCount,0,COLUMN()))/(INDEX(SP_CFA_FCF_PreDiv,0,COLUMN()-5)/INDEX(SP_CS_ShareCount,0,COLUMN()-5))-1))</f>
        <v>-2.1736345317173944E-2</v>
      </c>
      <c r="AR112" s="102">
        <f t="shared" ca="1" si="125"/>
        <v>-0.49469511067504679</v>
      </c>
      <c r="AS112" s="102">
        <f t="shared" ca="1" si="125"/>
        <v>-0.68404074897788092</v>
      </c>
      <c r="AT112" s="101">
        <f t="shared" ca="1" si="125"/>
        <v>-5.8200840880656135E-2</v>
      </c>
      <c r="AU112" s="102">
        <f t="shared" ca="1" si="125"/>
        <v>-0.41605282831307866</v>
      </c>
      <c r="AV112" s="102">
        <f t="shared" ca="1" si="125"/>
        <v>0.29840473054061878</v>
      </c>
      <c r="AW112" s="102">
        <f t="shared" ca="1" si="125"/>
        <v>3.5410399362098062</v>
      </c>
      <c r="AX112" s="102">
        <f t="shared" ca="1" si="125"/>
        <v>1.227066776596875</v>
      </c>
      <c r="AY112" s="101">
        <f t="shared" ca="1" si="125"/>
        <v>0.42939908576707597</v>
      </c>
      <c r="AZ112" s="101">
        <f ca="1">IF(OR(INDEX(SP_CFA_FCF_PreDiv,0,COLUMN())&lt;=0,INDEX(SP_CFA_FCF_PreDiv,0,COLUMN()-1)&lt;=0),"NMF",IF(ABS((INDEX(SP_CFA_FCF_PreDiv,0,COLUMN())/INDEX(SP_CS_ShareCount,0,COLUMN()))/(INDEX(SP_CFA_FCF_PreDiv,0,COLUMN()-1)/INDEX(SP_CS_ShareCount,0,COLUMN()-1))-1)&gt;10,"NMF",(INDEX(SP_CFA_FCF_PreDiv,0,COLUMN())/INDEX(SP_CS_ShareCount,0,COLUMN()))/(INDEX(SP_CFA_FCF_PreDiv,0,COLUMN()-1)/INDEX(SP_CS_ShareCount,0,COLUMN()-1))-1))</f>
        <v>-0.1467928375823575</v>
      </c>
      <c r="BA112" s="101">
        <f ca="1">IF(OR(INDEX(SP_CFA_FCF_PreDiv,0,COLUMN())&lt;=0,INDEX(SP_CFA_FCF_PreDiv,0,COLUMN()-1)&lt;=0),"NMF",IF(ABS((INDEX(SP_CFA_FCF_PreDiv,0,COLUMN())/INDEX(SP_CS_ShareCount,0,COLUMN()))/(INDEX(SP_CFA_FCF_PreDiv,0,COLUMN()-1)/INDEX(SP_CS_ShareCount,0,COLUMN()-1))-1)&gt;10,"NMF",(INDEX(SP_CFA_FCF_PreDiv,0,COLUMN())/INDEX(SP_CS_ShareCount,0,COLUMN()))/(INDEX(SP_CFA_FCF_PreDiv,0,COLUMN()-1)/INDEX(SP_CS_ShareCount,0,COLUMN()-1))-1))</f>
        <v>0.68022070314277183</v>
      </c>
      <c r="BB112" s="101">
        <f ca="1">IF(OR(INDEX(SP_CFA_FCF_PreDiv,0,COLUMN())&lt;=0,INDEX(SP_CFA_FCF_PreDiv,0,COLUMN()-1)&lt;=0),"NMF",IF(ABS((INDEX(SP_CFA_FCF_PreDiv,0,COLUMN())/INDEX(SP_CS_ShareCount,0,COLUMN()))/(INDEX(SP_CFA_FCF_PreDiv,0,COLUMN()-1)/INDEX(SP_CS_ShareCount,0,COLUMN()-1))-1)&gt;10,"NMF",(INDEX(SP_CFA_FCF_PreDiv,0,COLUMN())/INDEX(SP_CS_ShareCount,0,COLUMN()))/(INDEX(SP_CFA_FCF_PreDiv,0,COLUMN()-1)/INDEX(SP_CS_ShareCount,0,COLUMN()-1))-1))</f>
        <v>-0.61987587359084995</v>
      </c>
      <c r="BC112" s="152"/>
    </row>
    <row r="113" spans="1:55">
      <c r="A113" s="181"/>
      <c r="B113" s="186"/>
      <c r="C113" s="571"/>
      <c r="D113" s="571"/>
      <c r="E113" s="571"/>
      <c r="F113" s="571"/>
      <c r="G113" s="572"/>
      <c r="H113" s="572"/>
      <c r="I113" s="572"/>
      <c r="J113" s="572"/>
      <c r="K113" s="571"/>
      <c r="L113" s="572"/>
      <c r="M113" s="572"/>
      <c r="N113" s="572"/>
      <c r="O113" s="572"/>
      <c r="P113" s="571"/>
      <c r="Q113" s="572"/>
      <c r="R113" s="572"/>
      <c r="S113" s="572"/>
      <c r="T113" s="572"/>
      <c r="U113" s="571"/>
      <c r="V113" s="572"/>
      <c r="W113" s="572"/>
      <c r="X113" s="572"/>
      <c r="Y113" s="572"/>
      <c r="Z113" s="571"/>
      <c r="AA113" s="572"/>
      <c r="AB113" s="572"/>
      <c r="AC113" s="572"/>
      <c r="AD113" s="572"/>
      <c r="AE113" s="571"/>
      <c r="AF113" s="572"/>
      <c r="AG113" s="572"/>
      <c r="AH113" s="572"/>
      <c r="AI113" s="572"/>
      <c r="AJ113" s="571"/>
      <c r="AK113" s="572"/>
      <c r="AL113" s="572"/>
      <c r="AM113" s="572"/>
      <c r="AN113" s="572"/>
      <c r="AO113" s="571"/>
      <c r="AP113" s="572"/>
      <c r="AQ113" s="573"/>
      <c r="AR113" s="574"/>
      <c r="AS113" s="574"/>
      <c r="AT113" s="575"/>
      <c r="AU113" s="574"/>
      <c r="AV113" s="574"/>
      <c r="AW113" s="574"/>
      <c r="AX113" s="574"/>
      <c r="AY113" s="575"/>
      <c r="AZ113" s="575"/>
      <c r="BA113" s="575"/>
      <c r="BB113" s="575"/>
      <c r="BC113" s="532"/>
    </row>
    <row r="114" spans="1:55">
      <c r="A114" s="94" t="s">
        <v>264</v>
      </c>
      <c r="B114" s="533"/>
      <c r="C114" s="576"/>
      <c r="D114" s="576"/>
      <c r="E114" s="576"/>
      <c r="F114" s="576"/>
      <c r="G114" s="576"/>
      <c r="H114" s="576"/>
      <c r="I114" s="576"/>
      <c r="J114" s="576"/>
      <c r="K114" s="576"/>
      <c r="L114" s="576"/>
      <c r="M114" s="576"/>
      <c r="N114" s="576"/>
      <c r="O114" s="576"/>
      <c r="P114" s="576"/>
      <c r="Q114" s="576"/>
      <c r="R114" s="576"/>
      <c r="S114" s="576"/>
      <c r="T114" s="576"/>
      <c r="U114" s="576"/>
      <c r="V114" s="576"/>
      <c r="W114" s="576"/>
      <c r="X114" s="576"/>
      <c r="Y114" s="576"/>
      <c r="Z114" s="576"/>
      <c r="AA114" s="576"/>
      <c r="AB114" s="576"/>
      <c r="AC114" s="576"/>
      <c r="AD114" s="576"/>
      <c r="AE114" s="576"/>
      <c r="AF114" s="576"/>
      <c r="AG114" s="576"/>
      <c r="AH114" s="576"/>
      <c r="AI114" s="576"/>
      <c r="AJ114" s="576"/>
      <c r="AK114" s="576"/>
      <c r="AL114" s="576"/>
      <c r="AM114" s="576"/>
      <c r="AN114" s="576"/>
      <c r="AO114" s="576"/>
      <c r="AP114" s="576"/>
      <c r="AQ114" s="577"/>
      <c r="AR114" s="578"/>
      <c r="AS114" s="578"/>
      <c r="AT114" s="578"/>
      <c r="AU114" s="578"/>
      <c r="AV114" s="578"/>
      <c r="AW114" s="578"/>
      <c r="AX114" s="578"/>
      <c r="AY114" s="578"/>
      <c r="AZ114" s="578"/>
      <c r="BA114" s="578"/>
      <c r="BB114" s="578"/>
      <c r="BC114" s="531"/>
    </row>
    <row r="115" spans="1:55" s="72" customFormat="1">
      <c r="A115" s="211" t="str">
        <f>"P/E - "&amp;SP.ValuationToggle</f>
        <v>P/E - Avg</v>
      </c>
      <c r="B115" s="194"/>
      <c r="C115" s="292">
        <f ca="1">INDEX(SP_CS_StockPrice,0,COLUMN())/INDEX(SP_NGF_EPS,0,COLUMN())</f>
        <v>-28.877592883265788</v>
      </c>
      <c r="D115" s="292">
        <f ca="1">INDEX(SP_CS_StockPrice,0,COLUMN())/INDEX(SP_NGF_EPS,0,COLUMN())</f>
        <v>13.486752203081968</v>
      </c>
      <c r="E115" s="292">
        <f ca="1">INDEX(SP_CS_StockPrice,0,COLUMN())/INDEX(SP_NGF_EPS,0,COLUMN())</f>
        <v>21.490534271555603</v>
      </c>
      <c r="F115" s="292">
        <f ca="1">INDEX(SP_CS_StockPrice,0,COLUMN())/INDEX(SP_NGF_EPS,0,COLUMN())</f>
        <v>22.253883581930779</v>
      </c>
      <c r="G115" s="309"/>
      <c r="H115" s="309"/>
      <c r="I115" s="309"/>
      <c r="J115" s="309"/>
      <c r="K115" s="292">
        <f ca="1">INDEX(SP_CS_StockPrice,0,COLUMN())/INDEX(SP_NGF_EPS,0,COLUMN())</f>
        <v>30.953153410408184</v>
      </c>
      <c r="L115" s="309"/>
      <c r="M115" s="309"/>
      <c r="N115" s="309"/>
      <c r="O115" s="309"/>
      <c r="P115" s="292">
        <f ca="1">INDEX(SP_CS_StockPrice,0,COLUMN())/INDEX(SP_NGF_EPS,0,COLUMN())</f>
        <v>19.965267523445785</v>
      </c>
      <c r="Q115" s="309"/>
      <c r="R115" s="309"/>
      <c r="S115" s="309"/>
      <c r="T115" s="309"/>
      <c r="U115" s="292">
        <f ca="1">INDEX(SP_CS_StockPrice,0,COLUMN())/INDEX(SP_NGF_EPS,0,COLUMN())</f>
        <v>22.916239648726361</v>
      </c>
      <c r="V115" s="309"/>
      <c r="W115" s="296"/>
      <c r="X115" s="296"/>
      <c r="Y115" s="296"/>
      <c r="Z115" s="292">
        <f ca="1">INDEX(SP_CS_StockPrice,0,COLUMN())/INDEX(SP_NGF_EPS,0,COLUMN())</f>
        <v>19.912697009747202</v>
      </c>
      <c r="AA115" s="296"/>
      <c r="AB115" s="296"/>
      <c r="AC115" s="296"/>
      <c r="AD115" s="296"/>
      <c r="AE115" s="292">
        <f ca="1">INDEX(SP_CS_StockPrice,0,COLUMN())/INDEX(SP_NGF_EPS,0,COLUMN())</f>
        <v>47.895119162558942</v>
      </c>
      <c r="AF115" s="296"/>
      <c r="AG115" s="296"/>
      <c r="AH115" s="296"/>
      <c r="AI115" s="296"/>
      <c r="AJ115" s="292">
        <f ca="1">INDEX(SP_CS_StockPrice,0,COLUMN())/INDEX(SP_NGF_EPS,0,COLUMN())</f>
        <v>23.49981317021507</v>
      </c>
      <c r="AK115" s="296"/>
      <c r="AL115" s="296"/>
      <c r="AM115" s="296"/>
      <c r="AN115" s="296"/>
      <c r="AO115" s="292">
        <f ca="1">INDEX(SP_CS_StockPrice,0,COLUMN())/INDEX(SP_NGF_EPS,0,COLUMN())</f>
        <v>35.987574612446721</v>
      </c>
      <c r="AP115" s="296"/>
      <c r="AQ115" s="354"/>
      <c r="AR115" s="106"/>
      <c r="AS115" s="106"/>
      <c r="AT115" s="120">
        <f ca="1">INDEX(SP_CS_StockPrice,0,COLUMN())/INDEX(SP_NGF_EPS,0,COLUMN())</f>
        <v>-3.2918105640309685</v>
      </c>
      <c r="AU115" s="106"/>
      <c r="AV115" s="106"/>
      <c r="AW115" s="106"/>
      <c r="AX115" s="106"/>
      <c r="AY115" s="120">
        <f ca="1">INDEX(SP_CS_StockPrice,0,COLUMN())/INDEX(SP_NGF_EPS,0,COLUMN())</f>
        <v>5.6333243570472193</v>
      </c>
      <c r="AZ115" s="120">
        <f ca="1">INDEX(SP_CS_StockPrice,0,COLUMN())/INDEX(SP_NGF_EPS,0,COLUMN())</f>
        <v>6.7453579593826323</v>
      </c>
      <c r="BA115" s="120">
        <f ca="1">INDEX(SP_CS_StockPrice,0,COLUMN())/INDEX(SP_NGF_EPS,0,COLUMN())</f>
        <v>3.7885403249665681</v>
      </c>
      <c r="BB115" s="120">
        <f ca="1">INDEX(SP_CS_StockPrice,0,COLUMN())/INDEX(SP_NGF_EPS,0,COLUMN())</f>
        <v>11.521718547135919</v>
      </c>
      <c r="BC115" s="106"/>
    </row>
    <row r="116" spans="1:55" s="72" customFormat="1">
      <c r="A116" s="211" t="str">
        <f>"EV/EBITDA - "&amp;SP.ValuationToggle</f>
        <v>EV/EBITDA - Avg</v>
      </c>
      <c r="B116" s="194"/>
      <c r="C116" s="292">
        <f ca="1">INDEX(SP_CS_EV,0,COLUMN())/INDEX(SP_NGF_EBITDA,0,COLUMN())</f>
        <v>6.5601469784417743</v>
      </c>
      <c r="D116" s="292">
        <f ca="1">INDEX(SP_CS_EV,0,COLUMN())/INDEX(SP_NGF_EBITDA,0,COLUMN())</f>
        <v>7.2140975926909645</v>
      </c>
      <c r="E116" s="292">
        <f ca="1">INDEX(SP_CS_EV,0,COLUMN())/INDEX(SP_NGF_EBITDA,0,COLUMN())</f>
        <v>12.367352204886389</v>
      </c>
      <c r="F116" s="292">
        <f ca="1">INDEX(SP_CS_EV,0,COLUMN())/INDEX(SP_NGF_EBITDA,0,COLUMN())</f>
        <v>12.46017586338774</v>
      </c>
      <c r="G116" s="309"/>
      <c r="H116" s="309"/>
      <c r="I116" s="309"/>
      <c r="J116" s="309"/>
      <c r="K116" s="292">
        <f ca="1">INDEX(SP_CS_EV,0,COLUMN())/INDEX(SP_NGF_EBITDA,0,COLUMN())</f>
        <v>18.076526647333047</v>
      </c>
      <c r="L116" s="309"/>
      <c r="M116" s="309"/>
      <c r="N116" s="309"/>
      <c r="O116" s="309"/>
      <c r="P116" s="292">
        <f ca="1">INDEX(SP_CS_EV,0,COLUMN())/INDEX(SP_NGF_EBITDA,0,COLUMN())</f>
        <v>11.029687972014077</v>
      </c>
      <c r="Q116" s="309"/>
      <c r="R116" s="309"/>
      <c r="S116" s="309"/>
      <c r="T116" s="309"/>
      <c r="U116" s="292">
        <f ca="1">INDEX(SP_CS_EV,0,COLUMN())/INDEX(SP_NGF_EBITDA,0,COLUMN())</f>
        <v>13.340456341259966</v>
      </c>
      <c r="V116" s="309"/>
      <c r="W116" s="296"/>
      <c r="X116" s="296"/>
      <c r="Y116" s="296"/>
      <c r="Z116" s="292">
        <f ca="1">INDEX(SP_CS_EV,0,COLUMN())/INDEX(SP_NGF_EBITDA,0,COLUMN())</f>
        <v>10.813866613970943</v>
      </c>
      <c r="AA116" s="296"/>
      <c r="AB116" s="296"/>
      <c r="AC116" s="296"/>
      <c r="AD116" s="296"/>
      <c r="AE116" s="292">
        <f ca="1">INDEX(SP_CS_EV,0,COLUMN())/INDEX(SP_NGF_EBITDA,0,COLUMN())</f>
        <v>15.338415236092754</v>
      </c>
      <c r="AF116" s="296"/>
      <c r="AG116" s="296"/>
      <c r="AH116" s="296"/>
      <c r="AI116" s="296"/>
      <c r="AJ116" s="292">
        <f ca="1">INDEX(SP_CS_EV,0,COLUMN())/INDEX(SP_NGF_EBITDA,0,COLUMN())</f>
        <v>12.940199776070816</v>
      </c>
      <c r="AK116" s="296"/>
      <c r="AL116" s="296"/>
      <c r="AM116" s="296"/>
      <c r="AN116" s="296"/>
      <c r="AO116" s="292">
        <f ca="1">INDEX(SP_CS_EV,0,COLUMN())/INDEX(SP_NGF_EBITDA,0,COLUMN())</f>
        <v>25.116394430353147</v>
      </c>
      <c r="AP116" s="296"/>
      <c r="AQ116" s="354"/>
      <c r="AR116" s="106"/>
      <c r="AS116" s="106"/>
      <c r="AT116" s="120">
        <f ca="1">INDEX(SP_CS_EV,0,COLUMN())/INDEX(SP_NGF_EBITDA,0,COLUMN())</f>
        <v>10.855420877530849</v>
      </c>
      <c r="AU116" s="106"/>
      <c r="AV116" s="106"/>
      <c r="AW116" s="106"/>
      <c r="AX116" s="106"/>
      <c r="AY116" s="120">
        <f ca="1">INDEX(SP_CS_EV,0,COLUMN())/INDEX(SP_NGF_EBITDA,0,COLUMN())</f>
        <v>4.1703819862198346</v>
      </c>
      <c r="AZ116" s="120">
        <f ca="1">INDEX(SP_CS_EV,0,COLUMN())/INDEX(SP_NGF_EBITDA,0,COLUMN())</f>
        <v>3.8381429695475995</v>
      </c>
      <c r="BA116" s="120">
        <f ca="1">INDEX(SP_CS_EV,0,COLUMN())/INDEX(SP_NGF_EBITDA,0,COLUMN())</f>
        <v>2.8428798393342438</v>
      </c>
      <c r="BB116" s="120">
        <f ca="1">INDEX(SP_CS_EV,0,COLUMN())/INDEX(SP_NGF_EBITDA,0,COLUMN())</f>
        <v>2.5303793697257979</v>
      </c>
      <c r="BC116" s="106"/>
    </row>
    <row r="117" spans="1:55" s="72" customFormat="1">
      <c r="A117" s="211" t="str">
        <f>"P/CF - "&amp;SP.ValuationToggle</f>
        <v>P/CF - Avg</v>
      </c>
      <c r="B117" s="194"/>
      <c r="C117" s="292">
        <f ca="1">INDEX(SP_CS_StockPrice,0,COLUMN())/INDEX(SP_CFA_CFO_PerShare,0,COLUMN())</f>
        <v>6.9998475066736585</v>
      </c>
      <c r="D117" s="292">
        <f ca="1">INDEX(SP_CS_StockPrice,0,COLUMN())/INDEX(SP_CFA_CFO_PerShare,0,COLUMN())</f>
        <v>8.6527306722034822</v>
      </c>
      <c r="E117" s="292">
        <f ca="1">INDEX(SP_CS_StockPrice,0,COLUMN())/INDEX(SP_CFA_CFO_PerShare,0,COLUMN())</f>
        <v>14.919682490583844</v>
      </c>
      <c r="F117" s="292">
        <f ca="1">INDEX(SP_CS_StockPrice,0,COLUMN())/INDEX(SP_CFA_CFO_PerShare,0,COLUMN())</f>
        <v>16.027309675726148</v>
      </c>
      <c r="G117" s="309"/>
      <c r="H117" s="309"/>
      <c r="I117" s="309"/>
      <c r="J117" s="309"/>
      <c r="K117" s="292">
        <f ca="1">INDEX(SP_CS_StockPrice,0,COLUMN())/INDEX(SP_CFA_CFO_PerShare,0,COLUMN())</f>
        <v>21.87240659535038</v>
      </c>
      <c r="L117" s="309"/>
      <c r="M117" s="309"/>
      <c r="N117" s="309"/>
      <c r="O117" s="309"/>
      <c r="P117" s="292">
        <f ca="1">INDEX(SP_CS_StockPrice,0,COLUMN())/INDEX(SP_CFA_CFO_PerShare,0,COLUMN())</f>
        <v>14.426936780928946</v>
      </c>
      <c r="Q117" s="309"/>
      <c r="R117" s="309"/>
      <c r="S117" s="309"/>
      <c r="T117" s="309"/>
      <c r="U117" s="292">
        <f ca="1">INDEX(SP_CS_StockPrice,0,COLUMN())/INDEX(SP_CFA_CFO_PerShare,0,COLUMN())</f>
        <v>16.080046876631009</v>
      </c>
      <c r="V117" s="309"/>
      <c r="W117" s="296"/>
      <c r="X117" s="296"/>
      <c r="Y117" s="296"/>
      <c r="Z117" s="292">
        <f ca="1">INDEX(SP_CS_StockPrice,0,COLUMN())/INDEX(SP_CFA_CFO_PerShare,0,COLUMN())</f>
        <v>12.976428379178548</v>
      </c>
      <c r="AA117" s="296"/>
      <c r="AB117" s="296"/>
      <c r="AC117" s="296"/>
      <c r="AD117" s="296"/>
      <c r="AE117" s="292">
        <f ca="1">INDEX(SP_CS_StockPrice,0,COLUMN())/INDEX(SP_CFA_CFO_PerShare,0,COLUMN())</f>
        <v>15.172943060899229</v>
      </c>
      <c r="AF117" s="296"/>
      <c r="AG117" s="296"/>
      <c r="AH117" s="296"/>
      <c r="AI117" s="296"/>
      <c r="AJ117" s="292">
        <f ca="1">INDEX(SP_CS_StockPrice,0,COLUMN())/INDEX(SP_CFA_CFO_PerShare,0,COLUMN())</f>
        <v>12.961508388394194</v>
      </c>
      <c r="AK117" s="296"/>
      <c r="AL117" s="296"/>
      <c r="AM117" s="296"/>
      <c r="AN117" s="296"/>
      <c r="AO117" s="292">
        <f ca="1">INDEX(SP_CS_StockPrice,0,COLUMN())/INDEX(SP_CFA_CFO_PerShare,0,COLUMN())</f>
        <v>17.550231515786908</v>
      </c>
      <c r="AP117" s="296"/>
      <c r="AQ117" s="354"/>
      <c r="AR117" s="106"/>
      <c r="AS117" s="106"/>
      <c r="AT117" s="120">
        <f ca="1">INDEX(SP_CS_StockPrice,0,COLUMN())/INDEX(SP_CFA_CFO_PerShare,0,COLUMN())</f>
        <v>6.0540170210080708</v>
      </c>
      <c r="AU117" s="106"/>
      <c r="AV117" s="106"/>
      <c r="AW117" s="106"/>
      <c r="AX117" s="106"/>
      <c r="AY117" s="120">
        <f ca="1">INDEX(SP_CS_StockPrice,0,COLUMN())/INDEX(SP_CFA_CFO_PerShare,0,COLUMN())</f>
        <v>3.3093578966000767</v>
      </c>
      <c r="AZ117" s="120">
        <f ca="1">INDEX(SP_CS_StockPrice,0,COLUMN())/INDEX(SP_CFA_CFO_PerShare,0,COLUMN())</f>
        <v>3.6642324914790021</v>
      </c>
      <c r="BA117" s="120">
        <f ca="1">INDEX(SP_CS_StockPrice,0,COLUMN())/INDEX(SP_CFA_CFO_PerShare,0,COLUMN())</f>
        <v>2.5732590926593235</v>
      </c>
      <c r="BB117" s="120">
        <f ca="1">INDEX(SP_CS_StockPrice,0,COLUMN())/INDEX(SP_CFA_CFO_PerShare,0,COLUMN())</f>
        <v>4.7292290756962272</v>
      </c>
      <c r="BC117" s="106"/>
    </row>
    <row r="118" spans="1:55" s="66" customFormat="1">
      <c r="A118" s="210" t="str">
        <f>"FCF Yield % to "&amp;SP.ValuationToggle&amp;" Market Cap"</f>
        <v>FCF Yield % to Avg Market Cap</v>
      </c>
      <c r="B118" s="188"/>
      <c r="C118" s="285">
        <f ca="1">INDEX(SP_CFA_FCF_PreDiv,0,COLUMN())/INDEX(SP_CS_MarketCap,0,COLUMN())</f>
        <v>0.12039972657250303</v>
      </c>
      <c r="D118" s="285">
        <f ca="1">INDEX(SP_CFA_FCF_PreDiv,0,COLUMN())/INDEX(SP_CS_MarketCap,0,COLUMN())</f>
        <v>9.7872037436035453E-2</v>
      </c>
      <c r="E118" s="285">
        <f ca="1">INDEX(SP_CFA_FCF_PreDiv,0,COLUMN())/INDEX(SP_CS_MarketCap,0,COLUMN())</f>
        <v>3.6247678786878609E-2</v>
      </c>
      <c r="F118" s="285">
        <f ca="1">INDEX(SP_CFA_FCF_PreDiv,0,COLUMN())/INDEX(SP_CS_MarketCap,0,COLUMN())</f>
        <v>2.8045440135057949E-2</v>
      </c>
      <c r="G118" s="293"/>
      <c r="H118" s="293"/>
      <c r="I118" s="293"/>
      <c r="J118" s="293"/>
      <c r="K118" s="285">
        <f ca="1">INDEX(SP_CFA_FCF_PreDiv,0,COLUMN())/INDEX(SP_CS_MarketCap,0,COLUMN())</f>
        <v>3.7581963310084066E-2</v>
      </c>
      <c r="L118" s="293"/>
      <c r="M118" s="293"/>
      <c r="N118" s="293"/>
      <c r="O118" s="293"/>
      <c r="P118" s="285">
        <f ca="1">INDEX(SP_CFA_FCF_PreDiv,0,COLUMN())/INDEX(SP_CS_MarketCap,0,COLUMN())</f>
        <v>3.2860163481891719E-2</v>
      </c>
      <c r="Q118" s="293"/>
      <c r="R118" s="293"/>
      <c r="S118" s="293"/>
      <c r="T118" s="293"/>
      <c r="U118" s="285">
        <f ca="1">INDEX(SP_CFA_FCF_PreDiv,0,COLUMN())/INDEX(SP_CS_MarketCap,0,COLUMN())</f>
        <v>5.0043255553963086E-2</v>
      </c>
      <c r="V118" s="293"/>
      <c r="W118" s="293"/>
      <c r="X118" s="293"/>
      <c r="Y118" s="293"/>
      <c r="Z118" s="285">
        <f ca="1">INDEX(SP_CFA_FCF_PreDiv,0,COLUMN())/INDEX(SP_CS_MarketCap,0,COLUMN())</f>
        <v>6.3542488935781197E-2</v>
      </c>
      <c r="AA118" s="293"/>
      <c r="AB118" s="293"/>
      <c r="AC118" s="293"/>
      <c r="AD118" s="293"/>
      <c r="AE118" s="285">
        <f ca="1">INDEX(SP_CFA_FCF_PreDiv,0,COLUMN())/INDEX(SP_CS_MarketCap,0,COLUMN())</f>
        <v>5.160695217505732E-2</v>
      </c>
      <c r="AF118" s="293"/>
      <c r="AG118" s="293"/>
      <c r="AH118" s="293"/>
      <c r="AI118" s="293"/>
      <c r="AJ118" s="285">
        <f ca="1">INDEX(SP_CFA_FCF_PreDiv,0,COLUMN())/INDEX(SP_CS_MarketCap,0,COLUMN())</f>
        <v>6.2316013479166391E-2</v>
      </c>
      <c r="AK118" s="293"/>
      <c r="AL118" s="293"/>
      <c r="AM118" s="293"/>
      <c r="AN118" s="293"/>
      <c r="AO118" s="285">
        <f ca="1">INDEX(SP_CFA_FCF_PreDiv,0,COLUMN())/INDEX(SP_CS_MarketCap,0,COLUMN())</f>
        <v>4.564236668917359E-2</v>
      </c>
      <c r="AP118" s="293"/>
      <c r="AQ118" s="352"/>
      <c r="AR118" s="102"/>
      <c r="AS118" s="102"/>
      <c r="AT118" s="101">
        <f ca="1">INDEX(SP_CFA_FCF_PreDiv,0,COLUMN())/INDEX(SP_CS_MarketCap,0,COLUMN())</f>
        <v>0.13947288532714971</v>
      </c>
      <c r="AU118" s="102"/>
      <c r="AV118" s="102"/>
      <c r="AW118" s="102"/>
      <c r="AX118" s="102"/>
      <c r="AY118" s="101">
        <f ca="1">INDEX(SP_CFA_FCF_PreDiv,0,COLUMN())/INDEX(SP_CS_MarketCap,0,COLUMN())</f>
        <v>0.19936241477592401</v>
      </c>
      <c r="AZ118" s="101">
        <f ca="1">INDEX(SP_CFA_FCF_PreDiv,0,COLUMN())/INDEX(SP_CS_MarketCap,0,COLUMN())</f>
        <v>0.17009744020369522</v>
      </c>
      <c r="BA118" s="101">
        <f ca="1">INDEX(SP_CFA_FCF_PreDiv,0,COLUMN())/INDEX(SP_CS_MarketCap,0,COLUMN())</f>
        <v>0.28580124058183837</v>
      </c>
      <c r="BB118" s="101">
        <f ca="1">INDEX(SP_CFA_FCF_PreDiv,0,COLUMN())/INDEX(SP_CS_MarketCap,0,COLUMN())</f>
        <v>0.10863994690282262</v>
      </c>
      <c r="BC118" s="152"/>
    </row>
    <row r="119" spans="1:55" s="66" customFormat="1">
      <c r="A119" s="210" t="str">
        <f>"FCF Yield % to "&amp;SP.ValuationToggle&amp;" Enterprise Value"</f>
        <v>FCF Yield % to Avg Enterprise Value</v>
      </c>
      <c r="B119" s="188"/>
      <c r="C119" s="285">
        <f ca="1">INDEX(SP_CFA_FCF_PreDiv,0,COLUMN())/INDEX(SP_CS_EV,0,COLUMN())</f>
        <v>9.4678678560241578E-2</v>
      </c>
      <c r="D119" s="285">
        <f ca="1">INDEX(SP_CFA_FCF_PreDiv,0,COLUMN())/INDEX(SP_CS_EV,0,COLUMN())</f>
        <v>9.0730184746537948E-2</v>
      </c>
      <c r="E119" s="285">
        <f ca="1">INDEX(SP_CFA_FCF_PreDiv,0,COLUMN())/INDEX(SP_CS_EV,0,COLUMN())</f>
        <v>3.4582366589618468E-2</v>
      </c>
      <c r="F119" s="285">
        <f ca="1">INDEX(SP_CFA_FCF_PreDiv,0,COLUMN())/INDEX(SP_CS_EV,0,COLUMN())</f>
        <v>2.68009752048253E-2</v>
      </c>
      <c r="G119" s="293"/>
      <c r="H119" s="293"/>
      <c r="I119" s="293"/>
      <c r="J119" s="293"/>
      <c r="K119" s="285">
        <f ca="1">INDEX(SP_CFA_FCF_PreDiv,0,COLUMN())/INDEX(SP_CS_EV,0,COLUMN())</f>
        <v>3.2049595340800298E-2</v>
      </c>
      <c r="L119" s="293"/>
      <c r="M119" s="293"/>
      <c r="N119" s="293"/>
      <c r="O119" s="293"/>
      <c r="P119" s="285">
        <f ca="1">INDEX(SP_CFA_FCF_PreDiv,0,COLUMN())/INDEX(SP_CS_EV,0,COLUMN())</f>
        <v>2.8716704171242228E-2</v>
      </c>
      <c r="Q119" s="293"/>
      <c r="R119" s="293"/>
      <c r="S119" s="293"/>
      <c r="T119" s="293"/>
      <c r="U119" s="285">
        <f ca="1">INDEX(SP_CFA_FCF_PreDiv,0,COLUMN())/INDEX(SP_CS_EV,0,COLUMN())</f>
        <v>4.5554613426631835E-2</v>
      </c>
      <c r="V119" s="293"/>
      <c r="W119" s="293"/>
      <c r="X119" s="293"/>
      <c r="Y119" s="293"/>
      <c r="Z119" s="285">
        <f ca="1">INDEX(SP_CFA_FCF_PreDiv,0,COLUMN())/INDEX(SP_CS_EV,0,COLUMN())</f>
        <v>5.5982273964133793E-2</v>
      </c>
      <c r="AA119" s="293"/>
      <c r="AB119" s="293"/>
      <c r="AC119" s="293"/>
      <c r="AD119" s="293"/>
      <c r="AE119" s="285">
        <f ca="1">INDEX(SP_CFA_FCF_PreDiv,0,COLUMN())/INDEX(SP_CS_EV,0,COLUMN())</f>
        <v>4.0656779042095352E-2</v>
      </c>
      <c r="AF119" s="293"/>
      <c r="AG119" s="293"/>
      <c r="AH119" s="293"/>
      <c r="AI119" s="293"/>
      <c r="AJ119" s="285">
        <f ca="1">INDEX(SP_CFA_FCF_PreDiv,0,COLUMN())/INDEX(SP_CS_EV,0,COLUMN())</f>
        <v>5.2033000288613802E-2</v>
      </c>
      <c r="AK119" s="293"/>
      <c r="AL119" s="293"/>
      <c r="AM119" s="293"/>
      <c r="AN119" s="293"/>
      <c r="AO119" s="285">
        <f ca="1">INDEX(SP_CFA_FCF_PreDiv,0,COLUMN())/INDEX(SP_CS_EV,0,COLUMN())</f>
        <v>3.8989101085804924E-2</v>
      </c>
      <c r="AP119" s="293"/>
      <c r="AQ119" s="352"/>
      <c r="AR119" s="102"/>
      <c r="AS119" s="102"/>
      <c r="AT119" s="101">
        <f ca="1">INDEX(SP_CFA_FCF_PreDiv,0,COLUMN())/INDEX(SP_CS_EV,0,COLUMN())</f>
        <v>0.10631756944983847</v>
      </c>
      <c r="AU119" s="102"/>
      <c r="AV119" s="102"/>
      <c r="AW119" s="102"/>
      <c r="AX119" s="102"/>
      <c r="AY119" s="101">
        <f ca="1">INDEX(SP_CFA_FCF_PreDiv,0,COLUMN())/INDEX(SP_CS_EV,0,COLUMN())</f>
        <v>0.14448470518564988</v>
      </c>
      <c r="AZ119" s="101">
        <f ca="1">INDEX(SP_CFA_FCF_PreDiv,0,COLUMN())/INDEX(SP_CS_EV,0,COLUMN())</f>
        <v>0.14338297185579837</v>
      </c>
      <c r="BA119" s="101">
        <f ca="1">INDEX(SP_CFA_FCF_PreDiv,0,COLUMN())/INDEX(SP_CS_EV,0,COLUMN())</f>
        <v>0.23073183243090176</v>
      </c>
      <c r="BB119" s="101">
        <f ca="1">INDEX(SP_CFA_FCF_PreDiv,0,COLUMN())/INDEX(SP_CS_EV,0,COLUMN())</f>
        <v>0.17934986972307987</v>
      </c>
      <c r="BC119" s="152"/>
    </row>
    <row r="120" spans="1:55" s="66" customFormat="1">
      <c r="A120" s="210"/>
      <c r="B120" s="188"/>
      <c r="C120" s="285"/>
      <c r="D120" s="285"/>
      <c r="E120" s="285"/>
      <c r="F120" s="285"/>
      <c r="G120" s="293"/>
      <c r="H120" s="293"/>
      <c r="I120" s="293"/>
      <c r="J120" s="293"/>
      <c r="K120" s="285"/>
      <c r="L120" s="293"/>
      <c r="M120" s="293"/>
      <c r="N120" s="293"/>
      <c r="O120" s="293"/>
      <c r="P120" s="285"/>
      <c r="Q120" s="293"/>
      <c r="R120" s="293"/>
      <c r="S120" s="293"/>
      <c r="T120" s="293"/>
      <c r="U120" s="285"/>
      <c r="V120" s="293"/>
      <c r="W120" s="293"/>
      <c r="X120" s="293"/>
      <c r="Y120" s="293"/>
      <c r="Z120" s="285"/>
      <c r="AA120" s="293"/>
      <c r="AB120" s="293"/>
      <c r="AC120" s="293"/>
      <c r="AD120" s="293"/>
      <c r="AE120" s="285"/>
      <c r="AF120" s="293"/>
      <c r="AG120" s="293"/>
      <c r="AH120" s="293"/>
      <c r="AI120" s="293"/>
      <c r="AJ120" s="285"/>
      <c r="AK120" s="293"/>
      <c r="AL120" s="293"/>
      <c r="AM120" s="293"/>
      <c r="AN120" s="293"/>
      <c r="AO120" s="285"/>
      <c r="AP120" s="293"/>
      <c r="AQ120" s="352"/>
      <c r="AR120" s="102"/>
      <c r="AS120" s="102"/>
      <c r="AT120" s="101"/>
      <c r="AU120" s="102"/>
      <c r="AV120" s="102"/>
      <c r="AW120" s="102"/>
      <c r="AX120" s="102"/>
      <c r="AY120" s="101"/>
      <c r="AZ120" s="101"/>
      <c r="BA120" s="101"/>
      <c r="BB120" s="101"/>
      <c r="BC120" s="152"/>
    </row>
    <row r="121" spans="1:55" hidden="1" outlineLevel="1">
      <c r="A121" s="94" t="s">
        <v>265</v>
      </c>
      <c r="B121" s="533"/>
      <c r="C121" s="576"/>
      <c r="D121" s="576"/>
      <c r="E121" s="576"/>
      <c r="F121" s="576"/>
      <c r="G121" s="576"/>
      <c r="H121" s="576"/>
      <c r="I121" s="576"/>
      <c r="J121" s="576"/>
      <c r="K121" s="576"/>
      <c r="L121" s="576"/>
      <c r="M121" s="576"/>
      <c r="N121" s="576"/>
      <c r="O121" s="576"/>
      <c r="P121" s="576"/>
      <c r="Q121" s="576"/>
      <c r="R121" s="576"/>
      <c r="S121" s="576"/>
      <c r="T121" s="576"/>
      <c r="U121" s="576"/>
      <c r="V121" s="576"/>
      <c r="W121" s="576"/>
      <c r="X121" s="576"/>
      <c r="Y121" s="576"/>
      <c r="Z121" s="576"/>
      <c r="AA121" s="576"/>
      <c r="AB121" s="576"/>
      <c r="AC121" s="576"/>
      <c r="AD121" s="576"/>
      <c r="AE121" s="576"/>
      <c r="AF121" s="576"/>
      <c r="AG121" s="576"/>
      <c r="AH121" s="576"/>
      <c r="AI121" s="576"/>
      <c r="AJ121" s="576"/>
      <c r="AK121" s="576"/>
      <c r="AL121" s="576"/>
      <c r="AM121" s="576"/>
      <c r="AN121" s="576"/>
      <c r="AO121" s="576"/>
      <c r="AP121" s="576"/>
      <c r="AQ121" s="577"/>
      <c r="AR121" s="578"/>
      <c r="AS121" s="578"/>
      <c r="AT121" s="578"/>
      <c r="AU121" s="578"/>
      <c r="AV121" s="578"/>
      <c r="AW121" s="578"/>
      <c r="AX121" s="578"/>
      <c r="AY121" s="578"/>
      <c r="AZ121" s="578"/>
      <c r="BA121" s="578"/>
      <c r="BB121" s="578"/>
      <c r="BC121" s="152"/>
    </row>
    <row r="122" spans="1:55" hidden="1" outlineLevel="1">
      <c r="A122" s="531" t="s">
        <v>266</v>
      </c>
      <c r="B122" s="149"/>
      <c r="C122" s="553">
        <f t="shared" ref="C122:AH122" si="126">ROUND(INDEX(SP_NGF_EBITDA,0,COLUMN())-INDEX(MO_RIS_EBITDA_Adj,0,COLUMN()),6)</f>
        <v>0</v>
      </c>
      <c r="D122" s="553">
        <f t="shared" si="126"/>
        <v>0</v>
      </c>
      <c r="E122" s="553">
        <f t="shared" si="126"/>
        <v>0</v>
      </c>
      <c r="F122" s="553">
        <f t="shared" si="126"/>
        <v>0</v>
      </c>
      <c r="G122" s="553">
        <f t="shared" si="126"/>
        <v>0</v>
      </c>
      <c r="H122" s="553">
        <f t="shared" si="126"/>
        <v>0</v>
      </c>
      <c r="I122" s="553">
        <f t="shared" si="126"/>
        <v>0</v>
      </c>
      <c r="J122" s="553">
        <f t="shared" si="126"/>
        <v>0</v>
      </c>
      <c r="K122" s="553">
        <f t="shared" si="126"/>
        <v>0</v>
      </c>
      <c r="L122" s="553">
        <f t="shared" si="126"/>
        <v>0</v>
      </c>
      <c r="M122" s="553">
        <f t="shared" si="126"/>
        <v>0</v>
      </c>
      <c r="N122" s="553">
        <f t="shared" si="126"/>
        <v>0</v>
      </c>
      <c r="O122" s="553">
        <f t="shared" si="126"/>
        <v>0</v>
      </c>
      <c r="P122" s="553">
        <f t="shared" si="126"/>
        <v>0</v>
      </c>
      <c r="Q122" s="553">
        <f t="shared" si="126"/>
        <v>0</v>
      </c>
      <c r="R122" s="553">
        <f t="shared" si="126"/>
        <v>0</v>
      </c>
      <c r="S122" s="553">
        <f t="shared" si="126"/>
        <v>0</v>
      </c>
      <c r="T122" s="553">
        <f t="shared" si="126"/>
        <v>0</v>
      </c>
      <c r="U122" s="553">
        <f t="shared" si="126"/>
        <v>0</v>
      </c>
      <c r="V122" s="553">
        <f t="shared" si="126"/>
        <v>0</v>
      </c>
      <c r="W122" s="553">
        <f t="shared" si="126"/>
        <v>0</v>
      </c>
      <c r="X122" s="553">
        <f t="shared" si="126"/>
        <v>0</v>
      </c>
      <c r="Y122" s="553">
        <f t="shared" si="126"/>
        <v>0</v>
      </c>
      <c r="Z122" s="553">
        <f t="shared" si="126"/>
        <v>0</v>
      </c>
      <c r="AA122" s="553">
        <f t="shared" si="126"/>
        <v>0</v>
      </c>
      <c r="AB122" s="553">
        <f t="shared" si="126"/>
        <v>0</v>
      </c>
      <c r="AC122" s="553">
        <f t="shared" si="126"/>
        <v>0</v>
      </c>
      <c r="AD122" s="553">
        <f t="shared" si="126"/>
        <v>0</v>
      </c>
      <c r="AE122" s="553">
        <f t="shared" si="126"/>
        <v>0</v>
      </c>
      <c r="AF122" s="553">
        <f t="shared" si="126"/>
        <v>0</v>
      </c>
      <c r="AG122" s="553">
        <f t="shared" si="126"/>
        <v>0</v>
      </c>
      <c r="AH122" s="553">
        <f t="shared" si="126"/>
        <v>0</v>
      </c>
      <c r="AI122" s="553">
        <f t="shared" ref="AI122:BB122" si="127">ROUND(INDEX(SP_NGF_EBITDA,0,COLUMN())-INDEX(MO_RIS_EBITDA_Adj,0,COLUMN()),6)</f>
        <v>0</v>
      </c>
      <c r="AJ122" s="553">
        <f t="shared" si="127"/>
        <v>0</v>
      </c>
      <c r="AK122" s="553">
        <f t="shared" si="127"/>
        <v>0</v>
      </c>
      <c r="AL122" s="553">
        <f t="shared" si="127"/>
        <v>0</v>
      </c>
      <c r="AM122" s="553">
        <f t="shared" si="127"/>
        <v>0</v>
      </c>
      <c r="AN122" s="553">
        <f t="shared" si="127"/>
        <v>0</v>
      </c>
      <c r="AO122" s="553">
        <f t="shared" si="127"/>
        <v>0</v>
      </c>
      <c r="AP122" s="553">
        <f>ROUND(INDEX(SP_NGF_EBITDA,0,COLUMN())-INDEX(MO_RIS_EBITDA_Adj,0,COLUMN()),6)</f>
        <v>0</v>
      </c>
      <c r="AQ122" s="554">
        <f>ROUND(INDEX(SP_NGF_EBITDA,0,COLUMN())-INDEX(MO_RIS_EBITDA_Adj,0,COLUMN()),6)</f>
        <v>0</v>
      </c>
      <c r="AR122" s="555">
        <f t="shared" si="127"/>
        <v>0</v>
      </c>
      <c r="AS122" s="555">
        <f t="shared" si="127"/>
        <v>0</v>
      </c>
      <c r="AT122" s="555">
        <f t="shared" si="127"/>
        <v>0</v>
      </c>
      <c r="AU122" s="555">
        <f t="shared" si="127"/>
        <v>0</v>
      </c>
      <c r="AV122" s="555">
        <f t="shared" si="127"/>
        <v>0</v>
      </c>
      <c r="AW122" s="555">
        <f t="shared" si="127"/>
        <v>0</v>
      </c>
      <c r="AX122" s="555">
        <f t="shared" si="127"/>
        <v>0</v>
      </c>
      <c r="AY122" s="555">
        <f t="shared" si="127"/>
        <v>0</v>
      </c>
      <c r="AZ122" s="555">
        <f t="shared" si="127"/>
        <v>0</v>
      </c>
      <c r="BA122" s="555">
        <f t="shared" si="127"/>
        <v>0</v>
      </c>
      <c r="BB122" s="555">
        <f t="shared" si="127"/>
        <v>0</v>
      </c>
      <c r="BC122" s="152"/>
    </row>
    <row r="123" spans="1:55" hidden="1" outlineLevel="1">
      <c r="A123" s="531" t="s">
        <v>267</v>
      </c>
      <c r="B123" s="149"/>
      <c r="C123" s="553">
        <f t="shared" ref="C123:AH123" si="128">ROUND(INDEX(SP_NGF_NI,0,COLUMN())-INDEX(MO_RIS_NI_NONGAAP_Diluted,0,COLUMN()),6)</f>
        <v>0</v>
      </c>
      <c r="D123" s="553">
        <f t="shared" si="128"/>
        <v>0</v>
      </c>
      <c r="E123" s="553">
        <f t="shared" si="128"/>
        <v>0</v>
      </c>
      <c r="F123" s="553">
        <f t="shared" si="128"/>
        <v>0</v>
      </c>
      <c r="G123" s="553">
        <f t="shared" si="128"/>
        <v>0</v>
      </c>
      <c r="H123" s="553">
        <f t="shared" si="128"/>
        <v>0</v>
      </c>
      <c r="I123" s="553">
        <f t="shared" si="128"/>
        <v>0</v>
      </c>
      <c r="J123" s="553">
        <f t="shared" si="128"/>
        <v>0</v>
      </c>
      <c r="K123" s="553">
        <f t="shared" si="128"/>
        <v>0</v>
      </c>
      <c r="L123" s="553">
        <f t="shared" si="128"/>
        <v>0</v>
      </c>
      <c r="M123" s="553">
        <f t="shared" si="128"/>
        <v>0</v>
      </c>
      <c r="N123" s="553">
        <f t="shared" si="128"/>
        <v>0</v>
      </c>
      <c r="O123" s="553">
        <f t="shared" si="128"/>
        <v>0</v>
      </c>
      <c r="P123" s="553">
        <f t="shared" si="128"/>
        <v>0</v>
      </c>
      <c r="Q123" s="553">
        <f t="shared" si="128"/>
        <v>0</v>
      </c>
      <c r="R123" s="553">
        <f t="shared" si="128"/>
        <v>0</v>
      </c>
      <c r="S123" s="553">
        <f t="shared" si="128"/>
        <v>0</v>
      </c>
      <c r="T123" s="553">
        <f t="shared" si="128"/>
        <v>0</v>
      </c>
      <c r="U123" s="553">
        <f t="shared" si="128"/>
        <v>0</v>
      </c>
      <c r="V123" s="553">
        <f t="shared" si="128"/>
        <v>0</v>
      </c>
      <c r="W123" s="553">
        <f t="shared" si="128"/>
        <v>0</v>
      </c>
      <c r="X123" s="553">
        <f t="shared" si="128"/>
        <v>0</v>
      </c>
      <c r="Y123" s="553">
        <f t="shared" si="128"/>
        <v>0</v>
      </c>
      <c r="Z123" s="553">
        <f t="shared" si="128"/>
        <v>0</v>
      </c>
      <c r="AA123" s="553">
        <f t="shared" si="128"/>
        <v>0</v>
      </c>
      <c r="AB123" s="553">
        <f t="shared" si="128"/>
        <v>0</v>
      </c>
      <c r="AC123" s="553">
        <f t="shared" si="128"/>
        <v>0</v>
      </c>
      <c r="AD123" s="553">
        <f t="shared" si="128"/>
        <v>0</v>
      </c>
      <c r="AE123" s="553">
        <f t="shared" si="128"/>
        <v>0</v>
      </c>
      <c r="AF123" s="553">
        <f t="shared" si="128"/>
        <v>0</v>
      </c>
      <c r="AG123" s="553">
        <f t="shared" si="128"/>
        <v>0</v>
      </c>
      <c r="AH123" s="553">
        <f t="shared" si="128"/>
        <v>0</v>
      </c>
      <c r="AI123" s="553">
        <f t="shared" ref="AI123:BB123" si="129">ROUND(INDEX(SP_NGF_NI,0,COLUMN())-INDEX(MO_RIS_NI_NONGAAP_Diluted,0,COLUMN()),6)</f>
        <v>0</v>
      </c>
      <c r="AJ123" s="553">
        <f t="shared" si="129"/>
        <v>0</v>
      </c>
      <c r="AK123" s="553">
        <f t="shared" si="129"/>
        <v>0</v>
      </c>
      <c r="AL123" s="553">
        <f t="shared" si="129"/>
        <v>0</v>
      </c>
      <c r="AM123" s="553">
        <f t="shared" si="129"/>
        <v>0</v>
      </c>
      <c r="AN123" s="553">
        <f t="shared" si="129"/>
        <v>0</v>
      </c>
      <c r="AO123" s="553">
        <f t="shared" si="129"/>
        <v>0</v>
      </c>
      <c r="AP123" s="553">
        <f>ROUND(INDEX(SP_NGF_NI,0,COLUMN())-INDEX(MO_RIS_NI_NONGAAP_Diluted,0,COLUMN()),6)</f>
        <v>0</v>
      </c>
      <c r="AQ123" s="554">
        <f>ROUND(INDEX(SP_NGF_NI,0,COLUMN())-INDEX(MO_RIS_NI_NONGAAP_Diluted,0,COLUMN()),6)</f>
        <v>0</v>
      </c>
      <c r="AR123" s="555">
        <f t="shared" si="129"/>
        <v>0</v>
      </c>
      <c r="AS123" s="555">
        <f t="shared" ca="1" si="129"/>
        <v>0</v>
      </c>
      <c r="AT123" s="555">
        <f t="shared" ca="1" si="129"/>
        <v>0</v>
      </c>
      <c r="AU123" s="555">
        <f t="shared" ca="1" si="129"/>
        <v>0</v>
      </c>
      <c r="AV123" s="555">
        <f t="shared" ca="1" si="129"/>
        <v>0</v>
      </c>
      <c r="AW123" s="555">
        <f t="shared" ca="1" si="129"/>
        <v>0</v>
      </c>
      <c r="AX123" s="555">
        <f t="shared" ca="1" si="129"/>
        <v>0</v>
      </c>
      <c r="AY123" s="555">
        <f t="shared" ca="1" si="129"/>
        <v>0</v>
      </c>
      <c r="AZ123" s="555">
        <f t="shared" ca="1" si="129"/>
        <v>0</v>
      </c>
      <c r="BA123" s="555">
        <f t="shared" ca="1" si="129"/>
        <v>0</v>
      </c>
      <c r="BB123" s="555">
        <f t="shared" ca="1" si="129"/>
        <v>0</v>
      </c>
      <c r="BC123" s="152"/>
    </row>
    <row r="124" spans="1:55" hidden="1" outlineLevel="1">
      <c r="A124" s="531" t="s">
        <v>268</v>
      </c>
      <c r="B124" s="149"/>
      <c r="C124" s="553">
        <f t="shared" ref="C124:AH124" si="130">ROUND(INDEX(SP_GF_NI,0,COLUMN())-INDEX(MO_RIS_NI_GAAP_Basic,0,COLUMN()),6)</f>
        <v>0</v>
      </c>
      <c r="D124" s="553">
        <f t="shared" si="130"/>
        <v>0</v>
      </c>
      <c r="E124" s="553">
        <f t="shared" si="130"/>
        <v>0</v>
      </c>
      <c r="F124" s="553">
        <f t="shared" si="130"/>
        <v>0</v>
      </c>
      <c r="G124" s="553">
        <f t="shared" si="130"/>
        <v>0</v>
      </c>
      <c r="H124" s="553">
        <f t="shared" si="130"/>
        <v>0</v>
      </c>
      <c r="I124" s="553">
        <f t="shared" si="130"/>
        <v>0</v>
      </c>
      <c r="J124" s="553">
        <f t="shared" si="130"/>
        <v>0</v>
      </c>
      <c r="K124" s="553">
        <f t="shared" si="130"/>
        <v>0</v>
      </c>
      <c r="L124" s="553">
        <f t="shared" si="130"/>
        <v>0</v>
      </c>
      <c r="M124" s="553">
        <f t="shared" si="130"/>
        <v>0</v>
      </c>
      <c r="N124" s="553">
        <f t="shared" si="130"/>
        <v>0</v>
      </c>
      <c r="O124" s="553">
        <f t="shared" si="130"/>
        <v>0</v>
      </c>
      <c r="P124" s="553">
        <f t="shared" si="130"/>
        <v>0</v>
      </c>
      <c r="Q124" s="553">
        <f t="shared" si="130"/>
        <v>0</v>
      </c>
      <c r="R124" s="553">
        <f t="shared" si="130"/>
        <v>0</v>
      </c>
      <c r="S124" s="553">
        <f t="shared" si="130"/>
        <v>0</v>
      </c>
      <c r="T124" s="553">
        <f t="shared" si="130"/>
        <v>0</v>
      </c>
      <c r="U124" s="553">
        <f t="shared" si="130"/>
        <v>0</v>
      </c>
      <c r="V124" s="553">
        <f t="shared" si="130"/>
        <v>0</v>
      </c>
      <c r="W124" s="553">
        <f t="shared" si="130"/>
        <v>0</v>
      </c>
      <c r="X124" s="553">
        <f t="shared" si="130"/>
        <v>0</v>
      </c>
      <c r="Y124" s="553">
        <f t="shared" si="130"/>
        <v>0</v>
      </c>
      <c r="Z124" s="553">
        <f t="shared" si="130"/>
        <v>0</v>
      </c>
      <c r="AA124" s="553">
        <f t="shared" si="130"/>
        <v>0</v>
      </c>
      <c r="AB124" s="553">
        <f t="shared" si="130"/>
        <v>0</v>
      </c>
      <c r="AC124" s="553">
        <f t="shared" si="130"/>
        <v>0</v>
      </c>
      <c r="AD124" s="553">
        <f t="shared" si="130"/>
        <v>0</v>
      </c>
      <c r="AE124" s="553">
        <f t="shared" si="130"/>
        <v>0</v>
      </c>
      <c r="AF124" s="553">
        <f t="shared" si="130"/>
        <v>0</v>
      </c>
      <c r="AG124" s="553">
        <f t="shared" si="130"/>
        <v>0</v>
      </c>
      <c r="AH124" s="553">
        <f t="shared" si="130"/>
        <v>0</v>
      </c>
      <c r="AI124" s="553">
        <f t="shared" ref="AI124:BB124" si="131">ROUND(INDEX(SP_GF_NI,0,COLUMN())-INDEX(MO_RIS_NI_GAAP_Basic,0,COLUMN()),6)</f>
        <v>0</v>
      </c>
      <c r="AJ124" s="553">
        <f t="shared" si="131"/>
        <v>0</v>
      </c>
      <c r="AK124" s="553">
        <f t="shared" si="131"/>
        <v>0</v>
      </c>
      <c r="AL124" s="553">
        <f t="shared" si="131"/>
        <v>0</v>
      </c>
      <c r="AM124" s="553">
        <f t="shared" si="131"/>
        <v>0</v>
      </c>
      <c r="AN124" s="553">
        <f t="shared" si="131"/>
        <v>0</v>
      </c>
      <c r="AO124" s="553">
        <f t="shared" si="131"/>
        <v>0</v>
      </c>
      <c r="AP124" s="553">
        <f>ROUND(INDEX(SP_GF_NI,0,COLUMN())-INDEX(MO_RIS_NI_GAAP_Basic,0,COLUMN()),6)</f>
        <v>0</v>
      </c>
      <c r="AQ124" s="554">
        <f>ROUND(INDEX(SP_GF_NI,0,COLUMN())-INDEX(MO_RIS_NI_GAAP_Basic,0,COLUMN()),6)</f>
        <v>0</v>
      </c>
      <c r="AR124" s="555">
        <f t="shared" si="131"/>
        <v>0</v>
      </c>
      <c r="AS124" s="555">
        <f t="shared" ca="1" si="131"/>
        <v>0</v>
      </c>
      <c r="AT124" s="555">
        <f t="shared" ca="1" si="131"/>
        <v>0</v>
      </c>
      <c r="AU124" s="555">
        <f t="shared" ca="1" si="131"/>
        <v>0</v>
      </c>
      <c r="AV124" s="555">
        <f t="shared" ca="1" si="131"/>
        <v>0</v>
      </c>
      <c r="AW124" s="555">
        <f t="shared" ca="1" si="131"/>
        <v>0</v>
      </c>
      <c r="AX124" s="555">
        <f t="shared" ca="1" si="131"/>
        <v>0</v>
      </c>
      <c r="AY124" s="555">
        <f t="shared" ca="1" si="131"/>
        <v>0</v>
      </c>
      <c r="AZ124" s="555">
        <f t="shared" ca="1" si="131"/>
        <v>0</v>
      </c>
      <c r="BA124" s="555">
        <f t="shared" ca="1" si="131"/>
        <v>0</v>
      </c>
      <c r="BB124" s="555">
        <f t="shared" ca="1" si="131"/>
        <v>0</v>
      </c>
      <c r="BC124" s="152"/>
    </row>
    <row r="125" spans="1:55" hidden="1" outlineLevel="1">
      <c r="A125" s="531" t="s">
        <v>269</v>
      </c>
      <c r="B125" s="149"/>
      <c r="C125" s="553">
        <f t="shared" ref="C125:AH125" ca="1" si="132">ROUND(INDEX(SP_CFA_NetChange,0,COLUMN())-INDEX(MO_CFS_NetChange,0,COLUMN()),6)</f>
        <v>0</v>
      </c>
      <c r="D125" s="553">
        <f t="shared" ca="1" si="132"/>
        <v>0</v>
      </c>
      <c r="E125" s="553">
        <f t="shared" ca="1" si="132"/>
        <v>0</v>
      </c>
      <c r="F125" s="553">
        <f t="shared" ca="1" si="132"/>
        <v>0</v>
      </c>
      <c r="G125" s="553">
        <f t="shared" ca="1" si="132"/>
        <v>0</v>
      </c>
      <c r="H125" s="553">
        <f t="shared" ca="1" si="132"/>
        <v>0</v>
      </c>
      <c r="I125" s="553">
        <f t="shared" ca="1" si="132"/>
        <v>0</v>
      </c>
      <c r="J125" s="553">
        <f t="shared" ca="1" si="132"/>
        <v>0</v>
      </c>
      <c r="K125" s="553">
        <f t="shared" ca="1" si="132"/>
        <v>0</v>
      </c>
      <c r="L125" s="553">
        <f t="shared" ca="1" si="132"/>
        <v>0</v>
      </c>
      <c r="M125" s="553">
        <f t="shared" ca="1" si="132"/>
        <v>0</v>
      </c>
      <c r="N125" s="553">
        <f t="shared" ca="1" si="132"/>
        <v>0</v>
      </c>
      <c r="O125" s="553">
        <f t="shared" ca="1" si="132"/>
        <v>0</v>
      </c>
      <c r="P125" s="553">
        <f t="shared" ca="1" si="132"/>
        <v>0</v>
      </c>
      <c r="Q125" s="553">
        <f t="shared" ca="1" si="132"/>
        <v>0</v>
      </c>
      <c r="R125" s="553">
        <f t="shared" ca="1" si="132"/>
        <v>0</v>
      </c>
      <c r="S125" s="553">
        <f t="shared" ca="1" si="132"/>
        <v>0</v>
      </c>
      <c r="T125" s="553">
        <f t="shared" ca="1" si="132"/>
        <v>0</v>
      </c>
      <c r="U125" s="553">
        <f t="shared" ca="1" si="132"/>
        <v>0</v>
      </c>
      <c r="V125" s="553">
        <f t="shared" ca="1" si="132"/>
        <v>0</v>
      </c>
      <c r="W125" s="553">
        <f t="shared" ca="1" si="132"/>
        <v>0</v>
      </c>
      <c r="X125" s="553">
        <f t="shared" ca="1" si="132"/>
        <v>0</v>
      </c>
      <c r="Y125" s="553">
        <f t="shared" ca="1" si="132"/>
        <v>0</v>
      </c>
      <c r="Z125" s="553">
        <f t="shared" ca="1" si="132"/>
        <v>0</v>
      </c>
      <c r="AA125" s="553">
        <f t="shared" ca="1" si="132"/>
        <v>0</v>
      </c>
      <c r="AB125" s="553">
        <f t="shared" ca="1" si="132"/>
        <v>0</v>
      </c>
      <c r="AC125" s="553">
        <f t="shared" ca="1" si="132"/>
        <v>0</v>
      </c>
      <c r="AD125" s="553">
        <f t="shared" ca="1" si="132"/>
        <v>0</v>
      </c>
      <c r="AE125" s="553">
        <f t="shared" ca="1" si="132"/>
        <v>0</v>
      </c>
      <c r="AF125" s="553">
        <f t="shared" ca="1" si="132"/>
        <v>0</v>
      </c>
      <c r="AG125" s="553">
        <f t="shared" ca="1" si="132"/>
        <v>0</v>
      </c>
      <c r="AH125" s="553">
        <f t="shared" ca="1" si="132"/>
        <v>0</v>
      </c>
      <c r="AI125" s="553">
        <f t="shared" ref="AI125:BB125" ca="1" si="133">ROUND(INDEX(SP_CFA_NetChange,0,COLUMN())-INDEX(MO_CFS_NetChange,0,COLUMN()),6)</f>
        <v>0</v>
      </c>
      <c r="AJ125" s="553">
        <f t="shared" ca="1" si="133"/>
        <v>0</v>
      </c>
      <c r="AK125" s="553">
        <f t="shared" ca="1" si="133"/>
        <v>0</v>
      </c>
      <c r="AL125" s="553">
        <f t="shared" ca="1" si="133"/>
        <v>0</v>
      </c>
      <c r="AM125" s="553">
        <f t="shared" ca="1" si="133"/>
        <v>0</v>
      </c>
      <c r="AN125" s="553">
        <f t="shared" ca="1" si="133"/>
        <v>0</v>
      </c>
      <c r="AO125" s="553">
        <f t="shared" ca="1" si="133"/>
        <v>0</v>
      </c>
      <c r="AP125" s="553">
        <f ca="1">ROUND(INDEX(SP_CFA_NetChange,0,COLUMN())-INDEX(MO_CFS_NetChange,0,COLUMN()),6)</f>
        <v>0</v>
      </c>
      <c r="AQ125" s="554">
        <f ca="1">ROUND(INDEX(SP_CFA_NetChange,0,COLUMN())-INDEX(MO_CFS_NetChange,0,COLUMN()),6)</f>
        <v>0</v>
      </c>
      <c r="AR125" s="555">
        <f t="shared" ca="1" si="133"/>
        <v>0</v>
      </c>
      <c r="AS125" s="555">
        <f t="shared" ca="1" si="133"/>
        <v>0</v>
      </c>
      <c r="AT125" s="555">
        <f t="shared" ca="1" si="133"/>
        <v>0</v>
      </c>
      <c r="AU125" s="555">
        <f t="shared" ca="1" si="133"/>
        <v>0</v>
      </c>
      <c r="AV125" s="555">
        <f t="shared" ca="1" si="133"/>
        <v>0</v>
      </c>
      <c r="AW125" s="555">
        <f t="shared" ca="1" si="133"/>
        <v>0</v>
      </c>
      <c r="AX125" s="555">
        <f t="shared" ca="1" si="133"/>
        <v>0</v>
      </c>
      <c r="AY125" s="555">
        <f t="shared" ca="1" si="133"/>
        <v>0</v>
      </c>
      <c r="AZ125" s="555">
        <f t="shared" ca="1" si="133"/>
        <v>0</v>
      </c>
      <c r="BA125" s="555">
        <f t="shared" ca="1" si="133"/>
        <v>0</v>
      </c>
      <c r="BB125" s="555">
        <f t="shared" ca="1" si="133"/>
        <v>0</v>
      </c>
      <c r="BC125" s="152"/>
    </row>
    <row r="126" spans="1:55" collapsed="1">
      <c r="A126" s="152"/>
      <c r="B126" s="152"/>
      <c r="C126" s="152"/>
      <c r="D126" s="152"/>
      <c r="E126" s="152"/>
      <c r="F126" s="152"/>
      <c r="G126" s="152"/>
      <c r="H126" s="152"/>
      <c r="I126" s="152"/>
      <c r="J126" s="152"/>
      <c r="K126" s="152"/>
      <c r="L126" s="152"/>
      <c r="M126" s="152"/>
      <c r="N126" s="152"/>
      <c r="O126" s="152"/>
      <c r="P126" s="152"/>
      <c r="Q126" s="152"/>
      <c r="R126" s="152"/>
      <c r="S126" s="152"/>
      <c r="T126" s="152"/>
      <c r="U126" s="152"/>
      <c r="V126" s="152"/>
      <c r="W126" s="152"/>
      <c r="X126" s="152"/>
      <c r="Y126" s="152"/>
      <c r="Z126" s="152"/>
      <c r="AA126" s="152"/>
      <c r="AB126" s="152"/>
      <c r="AC126" s="152"/>
      <c r="AD126" s="152"/>
      <c r="AE126" s="152"/>
      <c r="AF126" s="152"/>
      <c r="AG126" s="152"/>
      <c r="AH126" s="152"/>
      <c r="AI126" s="152"/>
      <c r="AJ126" s="152"/>
      <c r="AK126" s="152"/>
      <c r="AL126" s="321"/>
      <c r="AM126" s="321"/>
      <c r="AN126" s="321"/>
      <c r="AO126" s="321"/>
      <c r="AP126" s="321"/>
      <c r="AQ126" s="152"/>
      <c r="AR126" s="152"/>
      <c r="AS126" s="152"/>
      <c r="AT126" s="152"/>
      <c r="AU126" s="152"/>
      <c r="AV126" s="152"/>
      <c r="AW126" s="152"/>
      <c r="AX126" s="152"/>
      <c r="AY126" s="152"/>
      <c r="AZ126" s="152"/>
      <c r="BA126" s="152"/>
      <c r="BB126" s="152"/>
      <c r="BC126" s="152"/>
    </row>
  </sheetData>
  <conditionalFormatting sqref="C122:AC125 AZ122:BB125">
    <cfRule type="cellIs" dxfId="17" priority="25" operator="equal">
      <formula>0</formula>
    </cfRule>
    <cfRule type="cellIs" dxfId="16" priority="26" operator="notEqual">
      <formula>0</formula>
    </cfRule>
  </conditionalFormatting>
  <conditionalFormatting sqref="AD122:AE125">
    <cfRule type="cellIs" dxfId="15" priority="21" operator="equal">
      <formula>0</formula>
    </cfRule>
    <cfRule type="cellIs" dxfId="14" priority="22" operator="notEqual">
      <formula>0</formula>
    </cfRule>
  </conditionalFormatting>
  <conditionalFormatting sqref="AF122:AF125">
    <cfRule type="cellIs" dxfId="13" priority="15" operator="equal">
      <formula>0</formula>
    </cfRule>
    <cfRule type="cellIs" dxfId="12" priority="16" operator="notEqual">
      <formula>0</formula>
    </cfRule>
  </conditionalFormatting>
  <conditionalFormatting sqref="AG122:AG125">
    <cfRule type="cellIs" dxfId="11" priority="13" operator="equal">
      <formula>0</formula>
    </cfRule>
    <cfRule type="cellIs" dxfId="10" priority="14" operator="notEqual">
      <formula>0</formula>
    </cfRule>
  </conditionalFormatting>
  <conditionalFormatting sqref="AH122:AH125 AM122:AM125">
    <cfRule type="cellIs" dxfId="9" priority="11" operator="equal">
      <formula>0</formula>
    </cfRule>
    <cfRule type="cellIs" dxfId="8" priority="12" operator="notEqual">
      <formula>0</formula>
    </cfRule>
  </conditionalFormatting>
  <conditionalFormatting sqref="AI122:AJ125 AN122:AO125">
    <cfRule type="cellIs" dxfId="7" priority="9" operator="equal">
      <formula>0</formula>
    </cfRule>
    <cfRule type="cellIs" dxfId="6" priority="10" operator="notEqual">
      <formula>0</formula>
    </cfRule>
  </conditionalFormatting>
  <conditionalFormatting sqref="AR122:AY125">
    <cfRule type="cellIs" dxfId="5" priority="7" operator="equal">
      <formula>0</formula>
    </cfRule>
    <cfRule type="cellIs" dxfId="4" priority="8" operator="notEqual">
      <formula>0</formula>
    </cfRule>
  </conditionalFormatting>
  <conditionalFormatting sqref="AK122:AK125 AP122:AP125">
    <cfRule type="cellIs" dxfId="3" priority="3" operator="equal">
      <formula>0</formula>
    </cfRule>
    <cfRule type="cellIs" dxfId="2" priority="4" operator="notEqual">
      <formula>0</formula>
    </cfRule>
  </conditionalFormatting>
  <conditionalFormatting sqref="AL122:AL125 AQ122:AQ125">
    <cfRule type="cellIs" dxfId="1" priority="1" operator="equal">
      <formula>0</formula>
    </cfRule>
    <cfRule type="cellIs" dxfId="0" priority="2" operator="notEqual">
      <formula>0</formula>
    </cfRule>
  </conditionalFormatting>
  <dataValidations count="1">
    <dataValidation type="list" allowBlank="1" showInputMessage="1" showErrorMessage="1" sqref="B4" xr:uid="{00000000-0002-0000-0700-000000000000}">
      <formula1>OFFSET(tb_ValuationToggle,1,0,3,1)</formula1>
    </dataValidation>
  </dataValidations>
  <pageMargins left="0.7" right="0.7" top="0.75" bottom="0.75" header="0.3" footer="0.3"/>
  <pageSetup scale="3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5BFCA-3F35-4306-B4CD-5FE84718F69A}">
  <sheetPr codeName="Sheet41"/>
  <dimension ref="A1:J55"/>
  <sheetViews>
    <sheetView showGridLines="0" workbookViewId="0">
      <selection activeCell="F7" sqref="F7"/>
    </sheetView>
  </sheetViews>
  <sheetFormatPr defaultColWidth="8.85546875" defaultRowHeight="15"/>
  <cols>
    <col min="1" max="1" width="4.42578125" style="5" customWidth="1"/>
    <col min="2" max="2" width="9.85546875" style="5" customWidth="1"/>
    <col min="3" max="3" width="15.7109375" style="5" customWidth="1"/>
    <col min="4" max="4" width="20.7109375" style="5" customWidth="1"/>
    <col min="5" max="5" width="30.7109375" style="5" customWidth="1"/>
    <col min="6" max="6" width="20.7109375" style="5"/>
    <col min="7" max="7" width="23.7109375" style="5" customWidth="1"/>
    <col min="8" max="8" width="45.7109375" style="5" customWidth="1"/>
    <col min="9" max="9" width="7.85546875" style="5" customWidth="1"/>
    <col min="10" max="16384" width="8.85546875" style="5"/>
  </cols>
  <sheetData>
    <row r="1" spans="1:10">
      <c r="A1" s="6"/>
      <c r="B1" s="6"/>
      <c r="C1" s="6"/>
      <c r="D1" s="6"/>
      <c r="E1" s="6"/>
      <c r="F1" s="6"/>
      <c r="G1" s="6"/>
      <c r="H1" s="6"/>
    </row>
    <row r="2" spans="1:10">
      <c r="A2" s="6"/>
      <c r="B2" s="7"/>
      <c r="C2" s="7"/>
      <c r="D2" s="7"/>
      <c r="E2" s="7"/>
      <c r="F2" s="7"/>
      <c r="G2" s="7"/>
      <c r="H2" s="7"/>
      <c r="I2" s="7"/>
    </row>
    <row r="3" spans="1:10">
      <c r="A3" s="6"/>
      <c r="B3" s="7"/>
      <c r="C3" s="7"/>
      <c r="D3" s="7"/>
      <c r="E3" s="7"/>
      <c r="F3" s="7"/>
      <c r="G3" s="7"/>
      <c r="H3" s="7"/>
      <c r="I3" s="7"/>
    </row>
    <row r="4" spans="1:10">
      <c r="A4" s="6"/>
      <c r="B4" s="7"/>
      <c r="C4" s="7"/>
      <c r="D4" s="7"/>
      <c r="E4" s="7"/>
      <c r="F4" s="7"/>
      <c r="G4" s="7"/>
      <c r="H4" s="7"/>
      <c r="I4" s="7"/>
    </row>
    <row r="5" spans="1:10">
      <c r="A5" s="6"/>
      <c r="B5" s="7"/>
      <c r="C5" s="7"/>
      <c r="D5" s="7"/>
      <c r="E5" s="7"/>
      <c r="F5" s="7"/>
      <c r="G5" s="7"/>
      <c r="H5" s="7"/>
      <c r="I5" s="7"/>
    </row>
    <row r="6" spans="1:10">
      <c r="A6" s="6"/>
      <c r="B6" s="7"/>
      <c r="C6" s="7"/>
      <c r="D6" s="7"/>
      <c r="E6" s="7"/>
      <c r="F6" s="7"/>
      <c r="G6" s="7"/>
      <c r="H6" s="7"/>
      <c r="I6" s="7"/>
    </row>
    <row r="7" spans="1:10" ht="18.75">
      <c r="A7" s="6"/>
      <c r="B7" s="7"/>
      <c r="C7" s="7"/>
      <c r="D7" s="7"/>
      <c r="E7" s="314">
        <f>MO.MRFPColumnNumber</f>
        <v>43</v>
      </c>
      <c r="F7" s="15" t="str">
        <f>MO.MRFP</f>
        <v>Q2-2020</v>
      </c>
      <c r="G7" s="339"/>
      <c r="H7" s="79" t="str">
        <f>AA.CSIN</f>
        <v>YPOAFJ0182</v>
      </c>
      <c r="I7" s="14"/>
      <c r="J7" s="20"/>
    </row>
    <row r="8" spans="1:10">
      <c r="A8" s="6"/>
      <c r="B8" s="7"/>
      <c r="C8" s="7"/>
      <c r="D8" s="7"/>
      <c r="E8" s="7"/>
      <c r="F8" s="7"/>
      <c r="G8" s="7"/>
      <c r="H8" s="147" t="str">
        <f>+AA.ModelVersion</f>
        <v>Q2-2020.23</v>
      </c>
      <c r="I8" s="7"/>
    </row>
    <row r="9" spans="1:10">
      <c r="A9" s="6"/>
      <c r="B9" s="7"/>
      <c r="C9" s="7"/>
      <c r="D9" s="7"/>
      <c r="E9" s="7"/>
      <c r="F9" s="7"/>
      <c r="G9" s="7"/>
      <c r="H9" s="7"/>
      <c r="I9" s="7"/>
    </row>
    <row r="10" spans="1:10">
      <c r="A10" s="6"/>
      <c r="B10" s="7"/>
      <c r="C10" s="338" t="s">
        <v>38</v>
      </c>
      <c r="D10" s="338" t="s">
        <v>39</v>
      </c>
      <c r="E10" s="338" t="s">
        <v>40</v>
      </c>
      <c r="F10" s="338" t="s">
        <v>441</v>
      </c>
      <c r="G10" s="338" t="s">
        <v>41</v>
      </c>
      <c r="H10" s="343" t="s">
        <v>42</v>
      </c>
      <c r="I10" s="7"/>
    </row>
    <row r="11" spans="1:10">
      <c r="A11" s="6"/>
      <c r="B11" s="7"/>
      <c r="C11" s="215">
        <v>44047</v>
      </c>
      <c r="D11" s="216" t="s">
        <v>496</v>
      </c>
      <c r="E11" s="217" t="s">
        <v>442</v>
      </c>
      <c r="F11" s="217" t="s">
        <v>498</v>
      </c>
      <c r="G11" s="340"/>
      <c r="H11" s="344" t="s">
        <v>285</v>
      </c>
      <c r="I11" s="7"/>
    </row>
    <row r="12" spans="1:10">
      <c r="A12" s="6"/>
      <c r="B12" s="7"/>
      <c r="C12" s="215">
        <v>44043</v>
      </c>
      <c r="D12" s="216" t="s">
        <v>496</v>
      </c>
      <c r="E12" s="217" t="s">
        <v>448</v>
      </c>
      <c r="F12" s="217" t="s">
        <v>498</v>
      </c>
      <c r="G12" s="340"/>
      <c r="H12" s="344" t="s">
        <v>285</v>
      </c>
      <c r="I12" s="7"/>
    </row>
    <row r="13" spans="1:10">
      <c r="A13" s="6"/>
      <c r="B13" s="7"/>
      <c r="C13" s="215">
        <v>43962</v>
      </c>
      <c r="D13" s="216" t="s">
        <v>496</v>
      </c>
      <c r="E13" s="217" t="s">
        <v>442</v>
      </c>
      <c r="F13" s="217" t="s">
        <v>457</v>
      </c>
      <c r="G13" s="340"/>
      <c r="H13" s="361" t="s">
        <v>285</v>
      </c>
      <c r="I13" s="7"/>
    </row>
    <row r="14" spans="1:10">
      <c r="A14" s="6"/>
      <c r="B14" s="7"/>
      <c r="C14" s="215">
        <v>43957</v>
      </c>
      <c r="D14" s="216" t="s">
        <v>485</v>
      </c>
      <c r="E14" s="217" t="s">
        <v>448</v>
      </c>
      <c r="F14" s="217" t="s">
        <v>457</v>
      </c>
      <c r="G14" s="340"/>
      <c r="H14" s="344" t="s">
        <v>285</v>
      </c>
      <c r="I14" s="7"/>
    </row>
    <row r="15" spans="1:10">
      <c r="A15" s="6"/>
      <c r="B15" s="7"/>
      <c r="C15" s="215">
        <v>43893</v>
      </c>
      <c r="D15" s="216" t="s">
        <v>459</v>
      </c>
      <c r="E15" s="217" t="s">
        <v>443</v>
      </c>
      <c r="F15" s="217" t="s">
        <v>387</v>
      </c>
      <c r="G15" s="340"/>
      <c r="H15" s="361" t="s">
        <v>285</v>
      </c>
      <c r="I15" s="7"/>
    </row>
    <row r="16" spans="1:10">
      <c r="A16" s="6"/>
      <c r="B16" s="7"/>
      <c r="C16" s="215">
        <v>43887</v>
      </c>
      <c r="D16" s="216" t="s">
        <v>447</v>
      </c>
      <c r="E16" s="217" t="s">
        <v>448</v>
      </c>
      <c r="F16" s="217" t="s">
        <v>387</v>
      </c>
      <c r="G16" s="340"/>
      <c r="H16" s="344" t="s">
        <v>285</v>
      </c>
      <c r="I16" s="7"/>
    </row>
    <row r="17" spans="1:9">
      <c r="A17" s="6"/>
      <c r="B17" s="7"/>
      <c r="C17" s="215">
        <v>43783</v>
      </c>
      <c r="D17" s="216" t="s">
        <v>430</v>
      </c>
      <c r="E17" s="217" t="s">
        <v>442</v>
      </c>
      <c r="F17" s="217" t="s">
        <v>426</v>
      </c>
      <c r="G17" s="340"/>
      <c r="H17" s="218" t="s">
        <v>285</v>
      </c>
      <c r="I17" s="7"/>
    </row>
    <row r="18" spans="1:9">
      <c r="A18" s="6"/>
      <c r="B18" s="7"/>
      <c r="C18" s="235">
        <v>43692</v>
      </c>
      <c r="D18" s="236" t="s">
        <v>423</v>
      </c>
      <c r="E18" s="240" t="s">
        <v>442</v>
      </c>
      <c r="F18" s="240" t="s">
        <v>424</v>
      </c>
      <c r="G18" s="341"/>
      <c r="H18" s="238" t="s">
        <v>285</v>
      </c>
      <c r="I18" s="7"/>
    </row>
    <row r="19" spans="1:9">
      <c r="A19" s="6"/>
      <c r="B19" s="7"/>
      <c r="C19" s="235">
        <v>43607</v>
      </c>
      <c r="D19" s="236" t="s">
        <v>397</v>
      </c>
      <c r="E19" s="240" t="s">
        <v>442</v>
      </c>
      <c r="F19" s="240" t="s">
        <v>398</v>
      </c>
      <c r="G19" s="341"/>
      <c r="H19" s="238" t="s">
        <v>285</v>
      </c>
      <c r="I19" s="7"/>
    </row>
    <row r="20" spans="1:9">
      <c r="A20" s="6"/>
      <c r="B20" s="7"/>
      <c r="C20" s="235">
        <v>43530</v>
      </c>
      <c r="D20" s="236" t="s">
        <v>389</v>
      </c>
      <c r="E20" s="240" t="s">
        <v>443</v>
      </c>
      <c r="F20" s="240" t="s">
        <v>324</v>
      </c>
      <c r="G20" s="341"/>
      <c r="H20" s="238" t="s">
        <v>285</v>
      </c>
      <c r="I20" s="7"/>
    </row>
    <row r="21" spans="1:9">
      <c r="A21" s="6"/>
      <c r="B21" s="7"/>
      <c r="C21" s="235">
        <v>43412</v>
      </c>
      <c r="D21" s="236" t="s">
        <v>374</v>
      </c>
      <c r="E21" s="240" t="s">
        <v>442</v>
      </c>
      <c r="F21" s="240" t="s">
        <v>375</v>
      </c>
      <c r="G21" s="341"/>
      <c r="H21" s="238" t="s">
        <v>285</v>
      </c>
      <c r="I21" s="7"/>
    </row>
    <row r="22" spans="1:9">
      <c r="A22" s="6"/>
      <c r="B22" s="7"/>
      <c r="C22" s="235">
        <v>43357</v>
      </c>
      <c r="D22" s="236" t="s">
        <v>371</v>
      </c>
      <c r="E22" s="240" t="s">
        <v>372</v>
      </c>
      <c r="F22" s="240" t="s">
        <v>340</v>
      </c>
      <c r="G22" s="341"/>
      <c r="H22" s="238"/>
      <c r="I22" s="7"/>
    </row>
    <row r="23" spans="1:9">
      <c r="A23" s="6"/>
      <c r="B23" s="7"/>
      <c r="C23" s="235">
        <v>43320</v>
      </c>
      <c r="D23" s="236" t="s">
        <v>339</v>
      </c>
      <c r="E23" s="237" t="s">
        <v>442</v>
      </c>
      <c r="F23" s="237" t="s">
        <v>340</v>
      </c>
      <c r="G23" s="341"/>
      <c r="H23" s="238" t="s">
        <v>285</v>
      </c>
      <c r="I23" s="7"/>
    </row>
    <row r="24" spans="1:9">
      <c r="A24" s="6"/>
      <c r="B24" s="7"/>
      <c r="C24" s="215">
        <v>43237</v>
      </c>
      <c r="D24" s="216" t="s">
        <v>341</v>
      </c>
      <c r="E24" s="217" t="s">
        <v>442</v>
      </c>
      <c r="F24" s="217" t="s">
        <v>335</v>
      </c>
      <c r="G24" s="340"/>
      <c r="H24" s="218" t="s">
        <v>285</v>
      </c>
      <c r="I24" s="7"/>
    </row>
    <row r="25" spans="1:9">
      <c r="A25" s="6"/>
      <c r="B25" s="7"/>
      <c r="C25" s="127">
        <v>43164</v>
      </c>
      <c r="D25" s="128" t="s">
        <v>342</v>
      </c>
      <c r="E25" s="129" t="s">
        <v>443</v>
      </c>
      <c r="F25" s="129" t="s">
        <v>327</v>
      </c>
      <c r="G25" s="342"/>
      <c r="H25" s="130" t="s">
        <v>285</v>
      </c>
      <c r="I25" s="7"/>
    </row>
    <row r="26" spans="1:9">
      <c r="A26" s="6"/>
      <c r="B26" s="7"/>
      <c r="C26" s="127">
        <v>43048</v>
      </c>
      <c r="D26" s="128" t="s">
        <v>343</v>
      </c>
      <c r="E26" s="129" t="s">
        <v>442</v>
      </c>
      <c r="F26" s="129" t="s">
        <v>306</v>
      </c>
      <c r="G26" s="342"/>
      <c r="H26" s="130" t="s">
        <v>285</v>
      </c>
      <c r="I26" s="7"/>
    </row>
    <row r="27" spans="1:9">
      <c r="A27" s="6"/>
      <c r="B27" s="7"/>
      <c r="C27" s="127">
        <v>42963</v>
      </c>
      <c r="D27" s="128" t="s">
        <v>344</v>
      </c>
      <c r="E27" s="129" t="s">
        <v>442</v>
      </c>
      <c r="F27" s="129" t="s">
        <v>305</v>
      </c>
      <c r="G27" s="342"/>
      <c r="H27" s="130" t="s">
        <v>285</v>
      </c>
      <c r="I27" s="7"/>
    </row>
    <row r="28" spans="1:9">
      <c r="A28" s="6"/>
      <c r="B28" s="7"/>
      <c r="C28" s="19">
        <v>42864</v>
      </c>
      <c r="D28" s="18" t="s">
        <v>345</v>
      </c>
      <c r="E28" s="73" t="s">
        <v>442</v>
      </c>
      <c r="F28" s="73" t="s">
        <v>294</v>
      </c>
      <c r="G28" s="342"/>
      <c r="H28" s="77" t="s">
        <v>285</v>
      </c>
      <c r="I28" s="7"/>
    </row>
    <row r="29" spans="1:9">
      <c r="A29" s="6"/>
      <c r="B29" s="7"/>
      <c r="C29" s="19">
        <v>42791</v>
      </c>
      <c r="D29" s="18" t="s">
        <v>346</v>
      </c>
      <c r="E29" s="73" t="s">
        <v>443</v>
      </c>
      <c r="F29" s="73" t="s">
        <v>284</v>
      </c>
      <c r="G29" s="342"/>
      <c r="H29" s="77" t="s">
        <v>285</v>
      </c>
      <c r="I29" s="7"/>
    </row>
    <row r="30" spans="1:9">
      <c r="A30" s="6"/>
      <c r="B30" s="7"/>
      <c r="C30" s="19">
        <v>42719</v>
      </c>
      <c r="D30" s="18" t="s">
        <v>279</v>
      </c>
      <c r="E30" s="73" t="s">
        <v>280</v>
      </c>
      <c r="F30" s="73" t="s">
        <v>444</v>
      </c>
      <c r="G30" s="342" t="s">
        <v>281</v>
      </c>
      <c r="H30" s="77"/>
      <c r="I30" s="7"/>
    </row>
    <row r="31" spans="1:9">
      <c r="A31" s="6"/>
      <c r="B31" s="7"/>
      <c r="C31" s="19">
        <v>42682</v>
      </c>
      <c r="D31" s="18" t="s">
        <v>270</v>
      </c>
      <c r="E31" s="73" t="s">
        <v>271</v>
      </c>
      <c r="F31" s="73" t="s">
        <v>444</v>
      </c>
      <c r="G31" s="342"/>
      <c r="H31" s="77" t="s">
        <v>272</v>
      </c>
      <c r="I31" s="7"/>
    </row>
    <row r="32" spans="1:9">
      <c r="A32" s="6"/>
      <c r="B32" s="7"/>
      <c r="C32" s="19">
        <v>42566</v>
      </c>
      <c r="D32" s="18" t="s">
        <v>206</v>
      </c>
      <c r="E32" s="17" t="s">
        <v>205</v>
      </c>
      <c r="F32" s="17" t="s">
        <v>444</v>
      </c>
      <c r="G32" s="342"/>
      <c r="H32" s="77"/>
      <c r="I32" s="7"/>
    </row>
    <row r="33" spans="1:9">
      <c r="A33" s="6"/>
      <c r="B33" s="7"/>
      <c r="C33" s="7"/>
      <c r="D33" s="7"/>
      <c r="E33" s="7"/>
      <c r="F33" s="7"/>
      <c r="G33" s="7"/>
      <c r="H33" s="7"/>
      <c r="I33" s="7"/>
    </row>
    <row r="34" spans="1:9">
      <c r="A34" s="6"/>
      <c r="B34" s="7"/>
      <c r="C34" s="7"/>
      <c r="D34" s="7"/>
      <c r="E34" s="7"/>
      <c r="F34" s="7"/>
      <c r="G34" s="7"/>
      <c r="H34" s="7"/>
      <c r="I34" s="7"/>
    </row>
    <row r="35" spans="1:9">
      <c r="A35" s="6"/>
      <c r="B35" s="7"/>
      <c r="C35" s="7"/>
      <c r="D35" s="7"/>
      <c r="E35" s="7"/>
      <c r="F35" s="7"/>
      <c r="G35" s="7"/>
      <c r="H35" s="7"/>
      <c r="I35" s="7"/>
    </row>
    <row r="36" spans="1:9">
      <c r="A36" s="6"/>
      <c r="B36" s="6"/>
      <c r="C36" s="6"/>
      <c r="D36" s="6"/>
      <c r="E36" s="6"/>
      <c r="F36" s="6"/>
      <c r="G36" s="6"/>
      <c r="H36" s="6"/>
    </row>
    <row r="37" spans="1:9">
      <c r="A37" s="6"/>
      <c r="B37" s="6"/>
      <c r="C37" s="6"/>
      <c r="D37" s="6"/>
      <c r="E37" s="6"/>
      <c r="F37" s="6"/>
      <c r="G37" s="6"/>
      <c r="H37" s="6"/>
    </row>
    <row r="38" spans="1:9">
      <c r="A38" s="6"/>
      <c r="B38" s="6"/>
      <c r="C38" s="6"/>
      <c r="D38" s="6"/>
      <c r="E38" s="6"/>
      <c r="F38" s="6"/>
      <c r="G38" s="6"/>
      <c r="H38" s="6"/>
    </row>
    <row r="39" spans="1:9">
      <c r="A39" s="6"/>
      <c r="B39" s="6"/>
      <c r="C39" s="6"/>
      <c r="D39" s="6"/>
      <c r="E39" s="6"/>
      <c r="F39" s="6"/>
      <c r="G39" s="6"/>
      <c r="H39" s="6"/>
    </row>
    <row r="40" spans="1:9">
      <c r="A40" s="6"/>
      <c r="B40" s="6"/>
      <c r="C40" s="6"/>
      <c r="D40" s="6"/>
      <c r="E40" s="6"/>
      <c r="F40" s="6"/>
      <c r="G40" s="6"/>
      <c r="H40" s="6"/>
    </row>
    <row r="41" spans="1:9">
      <c r="A41" s="6"/>
      <c r="B41" s="6"/>
      <c r="C41" s="6"/>
      <c r="D41" s="6"/>
      <c r="E41" s="6"/>
      <c r="F41" s="6"/>
      <c r="G41" s="6"/>
      <c r="H41" s="6"/>
    </row>
    <row r="42" spans="1:9">
      <c r="A42" s="6"/>
      <c r="B42" s="6"/>
      <c r="C42" s="6"/>
      <c r="D42" s="6"/>
      <c r="E42" s="6"/>
      <c r="F42" s="6"/>
      <c r="G42" s="6"/>
      <c r="H42" s="6"/>
    </row>
    <row r="43" spans="1:9">
      <c r="A43" s="6"/>
      <c r="B43" s="6"/>
      <c r="C43" s="6"/>
      <c r="D43" s="6"/>
      <c r="E43" s="6"/>
      <c r="F43" s="6"/>
      <c r="G43" s="6"/>
      <c r="H43" s="6"/>
    </row>
    <row r="44" spans="1:9">
      <c r="A44" s="6"/>
      <c r="B44" s="6"/>
      <c r="C44" s="6"/>
      <c r="D44" s="6"/>
      <c r="E44" s="6"/>
      <c r="F44" s="6"/>
      <c r="G44" s="6"/>
      <c r="H44" s="6"/>
    </row>
    <row r="45" spans="1:9">
      <c r="A45" s="6"/>
      <c r="B45" s="6"/>
      <c r="C45" s="6"/>
      <c r="D45" s="6"/>
      <c r="E45" s="6"/>
      <c r="F45" s="6"/>
      <c r="G45" s="6"/>
      <c r="H45" s="6"/>
    </row>
    <row r="46" spans="1:9">
      <c r="A46" s="6"/>
      <c r="B46" s="6"/>
      <c r="C46" s="6"/>
      <c r="D46" s="6"/>
      <c r="E46" s="6"/>
      <c r="F46" s="6"/>
      <c r="G46" s="6"/>
      <c r="H46" s="6"/>
    </row>
    <row r="47" spans="1:9">
      <c r="A47" s="6"/>
      <c r="B47" s="6"/>
      <c r="C47" s="6"/>
      <c r="D47" s="6"/>
      <c r="E47" s="6"/>
      <c r="F47" s="6"/>
      <c r="G47" s="6"/>
      <c r="H47" s="6"/>
    </row>
    <row r="48" spans="1:9">
      <c r="A48" s="6"/>
      <c r="B48" s="6"/>
      <c r="C48" s="6"/>
      <c r="D48" s="6"/>
      <c r="E48" s="6"/>
      <c r="F48" s="6"/>
      <c r="G48" s="6"/>
      <c r="H48" s="6"/>
    </row>
    <row r="49" spans="1:8">
      <c r="A49" s="6"/>
      <c r="B49" s="6"/>
      <c r="C49" s="6"/>
      <c r="D49" s="6"/>
      <c r="E49" s="6"/>
      <c r="F49" s="6"/>
      <c r="G49" s="6"/>
      <c r="H49" s="6"/>
    </row>
    <row r="50" spans="1:8">
      <c r="A50" s="6"/>
      <c r="B50" s="6"/>
      <c r="C50" s="6"/>
      <c r="D50" s="6"/>
      <c r="E50" s="6"/>
      <c r="F50" s="6"/>
      <c r="G50" s="6"/>
      <c r="H50" s="6"/>
    </row>
    <row r="51" spans="1:8">
      <c r="A51" s="6"/>
      <c r="B51" s="6"/>
      <c r="C51" s="6"/>
      <c r="D51" s="6"/>
      <c r="E51" s="6"/>
      <c r="F51" s="6"/>
      <c r="G51" s="6"/>
      <c r="H51" s="6"/>
    </row>
    <row r="52" spans="1:8">
      <c r="A52" s="6"/>
      <c r="B52" s="6"/>
      <c r="C52" s="6"/>
      <c r="D52" s="6"/>
      <c r="E52" s="6"/>
      <c r="F52" s="6"/>
      <c r="G52" s="6"/>
      <c r="H52" s="6"/>
    </row>
    <row r="53" spans="1:8">
      <c r="A53" s="6"/>
      <c r="B53" s="6"/>
      <c r="C53" s="6"/>
      <c r="D53" s="6"/>
      <c r="E53" s="6"/>
      <c r="F53" s="6"/>
      <c r="G53" s="6"/>
      <c r="H53" s="6"/>
    </row>
    <row r="54" spans="1:8">
      <c r="A54" s="6"/>
      <c r="B54" s="6"/>
      <c r="C54" s="6"/>
      <c r="D54" s="6"/>
      <c r="E54" s="6"/>
      <c r="F54" s="6"/>
      <c r="G54" s="6"/>
      <c r="H54" s="6"/>
    </row>
    <row r="55" spans="1:8">
      <c r="A55" s="6"/>
      <c r="H55" s="6"/>
    </row>
  </sheetData>
  <hyperlinks>
    <hyperlink ref="H31" r:id="rId1" xr:uid="{00000000-0004-0000-0800-000000000000}"/>
    <hyperlink ref="H29" r:id="rId2" tooltip="Website Link" xr:uid="{00000000-0004-0000-0800-000001000000}"/>
    <hyperlink ref="H28" r:id="rId3" tooltip="Website Link" xr:uid="{00000000-0004-0000-0800-000002000000}"/>
    <hyperlink ref="H27" r:id="rId4" tooltip="Website Link" xr:uid="{00000000-0004-0000-0800-000003000000}"/>
    <hyperlink ref="H26" r:id="rId5" tooltip="Website Link" xr:uid="{00000000-0004-0000-0800-000004000000}"/>
    <hyperlink ref="H25" r:id="rId6" tooltip="Website Link" xr:uid="{00000000-0004-0000-0800-000005000000}"/>
    <hyperlink ref="H24" r:id="rId7" tooltip="Website Link" xr:uid="{00000000-0004-0000-0800-000006000000}"/>
    <hyperlink ref="H23" r:id="rId8" tooltip="Website Link" xr:uid="{00000000-0004-0000-0800-000007000000}"/>
    <hyperlink ref="H21" r:id="rId9" tooltip="Website Link" xr:uid="{00000000-0004-0000-0800-000008000000}"/>
    <hyperlink ref="H20" r:id="rId10" tooltip="Website Link" xr:uid="{00000000-0004-0000-0800-000009000000}"/>
    <hyperlink ref="H19" r:id="rId11" tooltip="Website Link" xr:uid="{00000000-0004-0000-0800-00000A000000}"/>
    <hyperlink ref="H18" r:id="rId12" tooltip="Website Link" xr:uid="{00000000-0004-0000-0800-00000B000000}"/>
    <hyperlink ref="H17" r:id="rId13" tooltip="Website Link" xr:uid="{00000000-0004-0000-0800-00000C000000}"/>
    <hyperlink ref="H16" r:id="rId14" tooltip="Website Link" xr:uid="{00000000-0004-0000-0800-00000D000000}"/>
    <hyperlink ref="H15" r:id="rId15" tooltip="Website Link" xr:uid="{00000000-0004-0000-0800-00000E000000}"/>
    <hyperlink ref="H14" r:id="rId16" tooltip="Website Link" xr:uid="{00000000-0004-0000-0800-00000F000000}"/>
    <hyperlink ref="H13" r:id="rId17" tooltip="Website Link" xr:uid="{00000000-0004-0000-0800-000010000000}"/>
    <hyperlink ref="H12" r:id="rId18" tooltip="Website Link" xr:uid="{00000000-0004-0000-0800-000011000000}"/>
    <hyperlink ref="H11" r:id="rId19" tooltip="Website Link" xr:uid="{00000000-0004-0000-0800-000012000000}"/>
  </hyperlinks>
  <pageMargins left="0.7" right="0.7" top="0.75" bottom="0.75" header="0.3" footer="0.3"/>
  <pageSetup orientation="portrait" r:id="rId20"/>
  <drawing r:id="rId2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D4D9351165C443AF5654A6B92E7AC1" ma:contentTypeVersion="12" ma:contentTypeDescription="Create a new document." ma:contentTypeScope="" ma:versionID="bfeee9c539ff447d814549dc960c8e92">
  <xsd:schema xmlns:xsd="http://www.w3.org/2001/XMLSchema" xmlns:xs="http://www.w3.org/2001/XMLSchema" xmlns:p="http://schemas.microsoft.com/office/2006/metadata/properties" xmlns:ns2="d453fa51-eb2c-4ba3-a996-240705f5e033" xmlns:ns3="b17367be-d68f-49f0-bac0-6942cdc4be9c" targetNamespace="http://schemas.microsoft.com/office/2006/metadata/properties" ma:root="true" ma:fieldsID="cebdba1527677c20c233d833c1388e4b" ns2:_="" ns3:_="">
    <xsd:import namespace="d453fa51-eb2c-4ba3-a996-240705f5e033"/>
    <xsd:import namespace="b17367be-d68f-49f0-bac0-6942cdc4be9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53fa51-eb2c-4ba3-a996-240705f5e0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7367be-d68f-49f0-bac0-6942cdc4be9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09CF747-F6CE-43E9-9BFA-4410D07DCE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453fa51-eb2c-4ba3-a996-240705f5e033"/>
    <ds:schemaRef ds:uri="b17367be-d68f-49f0-bac0-6942cdc4be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ABED20C-EF02-4EBA-90AD-6391CA1A8527}">
  <ds:schemaRefs>
    <ds:schemaRef ds:uri="http://schemas.microsoft.com/sharepoint/v3/contenttype/forms"/>
  </ds:schemaRefs>
</ds:datastoreItem>
</file>

<file path=customXml/itemProps3.xml><?xml version="1.0" encoding="utf-8"?>
<ds:datastoreItem xmlns:ds="http://schemas.openxmlformats.org/officeDocument/2006/customXml" ds:itemID="{EF917B89-ECFD-449D-BDB6-D30960C44954}">
  <ds:schemaRefs>
    <ds:schemaRef ds:uri="http://schemas.microsoft.com/office/2006/metadata/properties"/>
    <ds:schemaRef ds:uri="4aaf1f5d-150e-425e-8cd3-7c759bfe67f3"/>
    <ds:schemaRef ds:uri="http://purl.org/dc/terms/"/>
    <ds:schemaRef ds:uri="http://schemas.openxmlformats.org/package/2006/metadata/core-properties"/>
    <ds:schemaRef ds:uri="538b7f6f-479d-45fc-bd90-889afd35ee4b"/>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9</vt:i4>
      </vt:variant>
      <vt:variant>
        <vt:lpstr>Named Ranges</vt:lpstr>
      </vt:variant>
      <vt:variant>
        <vt:i4>786</vt:i4>
      </vt:variant>
    </vt:vector>
  </HeadingPairs>
  <TitlesOfParts>
    <vt:vector size="795" baseType="lpstr">
      <vt:lpstr>Front Page</vt:lpstr>
      <vt:lpstr>Main Writeup</vt:lpstr>
      <vt:lpstr>Earnings Power</vt:lpstr>
      <vt:lpstr>Revised 5 year delivery model</vt:lpstr>
      <vt:lpstr>Latest Announcments</vt:lpstr>
      <vt:lpstr>Model</vt:lpstr>
      <vt:lpstr>Guidance</vt:lpstr>
      <vt:lpstr>Summary Page</vt:lpstr>
      <vt:lpstr>Update Log</vt:lpstr>
      <vt:lpstr>FP.DataSource</vt:lpstr>
      <vt:lpstr>FP.DataSourceName</vt:lpstr>
      <vt:lpstr>FP.Disclaimer</vt:lpstr>
      <vt:lpstr>FP.LastPrice</vt:lpstr>
      <vt:lpstr>FP.LastPriceDate</vt:lpstr>
      <vt:lpstr>FP.RealTimeToggle</vt:lpstr>
      <vt:lpstr>FP.UpdateDate</vt:lpstr>
      <vt:lpstr>FP.UpdateEvent</vt:lpstr>
      <vt:lpstr>FP_Comment</vt:lpstr>
      <vt:lpstr>GD.CompanyName</vt:lpstr>
      <vt:lpstr>GD.MRQ</vt:lpstr>
      <vt:lpstr>GD_Difference_Mid_Absolute</vt:lpstr>
      <vt:lpstr>GD_Difference_Mid_Relative</vt:lpstr>
      <vt:lpstr>GD_Guidance_High</vt:lpstr>
      <vt:lpstr>GD_Guidance_Low</vt:lpstr>
      <vt:lpstr>GD_Guidance_Mid</vt:lpstr>
      <vt:lpstr>GD_Header_Column</vt:lpstr>
      <vt:lpstr>GD_Header_Section</vt:lpstr>
      <vt:lpstr>GD_Index</vt:lpstr>
      <vt:lpstr>GD_Item</vt:lpstr>
      <vt:lpstr>GD_Item_FiscalPeriod</vt:lpstr>
      <vt:lpstr>GD_Item_Name</vt:lpstr>
      <vt:lpstr>GD_Model_Output</vt:lpstr>
      <vt:lpstr>GD_Model_Type</vt:lpstr>
      <vt:lpstr>GD_Type</vt:lpstr>
      <vt:lpstr>GD_Update_Date</vt:lpstr>
      <vt:lpstr>GD_Update_Link</vt:lpstr>
      <vt:lpstr>HP.MRFX</vt:lpstr>
      <vt:lpstr>HP.ReportCurrency</vt:lpstr>
      <vt:lpstr>HP.Ticker</vt:lpstr>
      <vt:lpstr>HP.TradeCurrency</vt:lpstr>
      <vt:lpstr>HP.TradeCurrency.HardCoded</vt:lpstr>
      <vt:lpstr>MO.CFY</vt:lpstr>
      <vt:lpstr>MO.CompanyName</vt:lpstr>
      <vt:lpstr>MO.DataSourceIndex</vt:lpstr>
      <vt:lpstr>MO.DataSourceName</vt:lpstr>
      <vt:lpstr>MO.FirstForecastedFiscalYear</vt:lpstr>
      <vt:lpstr>MO.LastPrice</vt:lpstr>
      <vt:lpstr>MO.LastPriceDate</vt:lpstr>
      <vt:lpstr>MO.LastPriceFormula</vt:lpstr>
      <vt:lpstr>MO.LastPriceHardcoded</vt:lpstr>
      <vt:lpstr>MO.MRFP</vt:lpstr>
      <vt:lpstr>MO.MRFPColumnNumber</vt:lpstr>
      <vt:lpstr>MO.MRFX.Hardcoded</vt:lpstr>
      <vt:lpstr>MO.RealTime</vt:lpstr>
      <vt:lpstr>MO.RealTimeStockPriceToggle</vt:lpstr>
      <vt:lpstr>MO.ReportCurrency</vt:lpstr>
      <vt:lpstr>MO.ReportFX</vt:lpstr>
      <vt:lpstr>MO.Ticker</vt:lpstr>
      <vt:lpstr>MO.Ticker.Bloomberg</vt:lpstr>
      <vt:lpstr>MO.Ticker.CapIQ</vt:lpstr>
      <vt:lpstr>MO.Ticker.FactSet</vt:lpstr>
      <vt:lpstr>MO.Ticker.Thomson</vt:lpstr>
      <vt:lpstr>MO.TradingCurrency</vt:lpstr>
      <vt:lpstr>MO.ValuationToggle</vt:lpstr>
      <vt:lpstr>MO_AN_EBITDA_Adj</vt:lpstr>
      <vt:lpstr>MO_AN_NI_NONGAAP_Diluted</vt:lpstr>
      <vt:lpstr>MO_BS_AP</vt:lpstr>
      <vt:lpstr>MO_BS_AR</vt:lpstr>
      <vt:lpstr>MO_BS_CA</vt:lpstr>
      <vt:lpstr>MO_BS_Cash</vt:lpstr>
      <vt:lpstr>MO_BS_CL</vt:lpstr>
      <vt:lpstr>MO_BS_CommonStock</vt:lpstr>
      <vt:lpstr>MO_BS_ContractLiabilities</vt:lpstr>
      <vt:lpstr>MO_BS_ContributedSurplus</vt:lpstr>
      <vt:lpstr>MO_BS_DefRev</vt:lpstr>
      <vt:lpstr>MO_BS_Goodwill</vt:lpstr>
      <vt:lpstr>MO_BS_Intangibles</vt:lpstr>
      <vt:lpstr>MO_BS_INV</vt:lpstr>
      <vt:lpstr>MO_BS_NCA</vt:lpstr>
      <vt:lpstr>MO_BS_NCI</vt:lpstr>
      <vt:lpstr>MO_BS_NCL</vt:lpstr>
      <vt:lpstr>MO_BS_OCI</vt:lpstr>
      <vt:lpstr>MO_BS_OL_Current</vt:lpstr>
      <vt:lpstr>MO_BS_OL_NonCurrent</vt:lpstr>
      <vt:lpstr>MO_BS_PPE</vt:lpstr>
      <vt:lpstr>MO_BS_RetainedEarnings</vt:lpstr>
      <vt:lpstr>MO_BS_SE</vt:lpstr>
      <vt:lpstr>MO_BS_TA</vt:lpstr>
      <vt:lpstr>MO_BS_TL</vt:lpstr>
      <vt:lpstr>MO_BS_TLSE</vt:lpstr>
      <vt:lpstr>MO_BS_TreasuryStock</vt:lpstr>
      <vt:lpstr>MO_BSS_Cash</vt:lpstr>
      <vt:lpstr>MO_BSS_Debt</vt:lpstr>
      <vt:lpstr>MO_BSS_Debt_LT</vt:lpstr>
      <vt:lpstr>MO_BSS_Debt_Net</vt:lpstr>
      <vt:lpstr>MO_BSS_Debt_ST</vt:lpstr>
      <vt:lpstr>MO_BSS_Debt_ToCF</vt:lpstr>
      <vt:lpstr>MO_BSS_Debt_ToEBITDA</vt:lpstr>
      <vt:lpstr>MO_BSS_IE</vt:lpstr>
      <vt:lpstr>MO_BSS_IE_Net</vt:lpstr>
      <vt:lpstr>MO_BSS_II</vt:lpstr>
      <vt:lpstr>MO_BSS_InterestRate_Cash</vt:lpstr>
      <vt:lpstr>MO_BSS_InterestRate_Debt</vt:lpstr>
      <vt:lpstr>MO_BSS_NetInterestCoverage</vt:lpstr>
      <vt:lpstr>MO_BSS_NetInterestRate_Debt</vt:lpstr>
      <vt:lpstr>MO_BSS_OL</vt:lpstr>
      <vt:lpstr>MO_CCFS_Balance_Begin</vt:lpstr>
      <vt:lpstr>MO_CCFS_Balance_End</vt:lpstr>
      <vt:lpstr>MO_CCFS_CFF</vt:lpstr>
      <vt:lpstr>MO_CCFS_CFI</vt:lpstr>
      <vt:lpstr>MO_CCFS_CFO</vt:lpstr>
      <vt:lpstr>MO_CCFS_CFO_BeforeWC</vt:lpstr>
      <vt:lpstr>MO_CCFS_FX</vt:lpstr>
      <vt:lpstr>MO_CCFS_NetChange</vt:lpstr>
      <vt:lpstr>MO_CFS_Balance_Begin</vt:lpstr>
      <vt:lpstr>MO_CFS_Balance_End</vt:lpstr>
      <vt:lpstr>MO_CFS_Buyback</vt:lpstr>
      <vt:lpstr>MO_CFS_CFF</vt:lpstr>
      <vt:lpstr>MO_CFS_CFI</vt:lpstr>
      <vt:lpstr>MO_CFS_CFO</vt:lpstr>
      <vt:lpstr>MO_CFS_CFO_BeforeWC</vt:lpstr>
      <vt:lpstr>MO_CFS_FX</vt:lpstr>
      <vt:lpstr>MO_CFS_NetChange</vt:lpstr>
      <vt:lpstr>MO_CFSum_Acquisition</vt:lpstr>
      <vt:lpstr>MO_CFSum_Capex</vt:lpstr>
      <vt:lpstr>MO_CFSum_CFO_BeforeWC</vt:lpstr>
      <vt:lpstr>MO_CFSum_CFPS</vt:lpstr>
      <vt:lpstr>MO_CFSum_Divestiture</vt:lpstr>
      <vt:lpstr>MO_CFSum_Dividend</vt:lpstr>
      <vt:lpstr>MO_CFSum_DPS</vt:lpstr>
      <vt:lpstr>MO_CFSum_FCF_PostDivPostAD</vt:lpstr>
      <vt:lpstr>MO_CFSum_FCF_PostDivPostADPostDebtPostBuyback</vt:lpstr>
      <vt:lpstr>MO_CFSum_FCF_PostDivPreAD</vt:lpstr>
      <vt:lpstr>MO_CFSum_FCF_PreDiv</vt:lpstr>
      <vt:lpstr>MO_CFSum_NetDebtIssuance</vt:lpstr>
      <vt:lpstr>MO_CFSum_NetShares</vt:lpstr>
      <vt:lpstr>MO_CFSum_NetShares_Price</vt:lpstr>
      <vt:lpstr>MO_Checks_Bottom</vt:lpstr>
      <vt:lpstr>MO_Checks_BS</vt:lpstr>
      <vt:lpstr>MO_Checks_CF</vt:lpstr>
      <vt:lpstr>MO_Checks_IS</vt:lpstr>
      <vt:lpstr>MO_Common_Column_A</vt:lpstr>
      <vt:lpstr>MO_Common_Column_B</vt:lpstr>
      <vt:lpstr>MO_Common_ColumnHeader</vt:lpstr>
      <vt:lpstr>MO_Common_CompanySubtitle</vt:lpstr>
      <vt:lpstr>MO_Common_CompanyTitle</vt:lpstr>
      <vt:lpstr>MO_Common_FPDays</vt:lpstr>
      <vt:lpstr>MO_Common_QEndDate</vt:lpstr>
      <vt:lpstr>MO_GA_TotalRevenue</vt:lpstr>
      <vt:lpstr>MO_IS_COGS</vt:lpstr>
      <vt:lpstr>MO_IS_EBIT</vt:lpstr>
      <vt:lpstr>MO_IS_EBT</vt:lpstr>
      <vt:lpstr>MO_IS_FirstRow</vt:lpstr>
      <vt:lpstr>MO_IS_GP</vt:lpstr>
      <vt:lpstr>MO_IS_NI_ContinOp</vt:lpstr>
      <vt:lpstr>MO_IS_REV</vt:lpstr>
      <vt:lpstr>MO_MA_COGS</vt:lpstr>
      <vt:lpstr>MO_MA_COGS_DA_Including</vt:lpstr>
      <vt:lpstr>MO_MA_EBIT</vt:lpstr>
      <vt:lpstr>MO_MA_EBITDA</vt:lpstr>
      <vt:lpstr>MO_MA_EBITDA_Adj</vt:lpstr>
      <vt:lpstr>MO_MA_GM</vt:lpstr>
      <vt:lpstr>MO_MA_GM_DA_Including</vt:lpstr>
      <vt:lpstr>MO_MA_SGA</vt:lpstr>
      <vt:lpstr>MO_OS_EBIT</vt:lpstr>
      <vt:lpstr>MO_RIS_Adjustments_Dilution_GAAP</vt:lpstr>
      <vt:lpstr>MO_RIS_Adjustments_Dilution_NONGAAP</vt:lpstr>
      <vt:lpstr>MO_RIS_Adjustments_NONGAAP</vt:lpstr>
      <vt:lpstr>MO_RIS_COGS</vt:lpstr>
      <vt:lpstr>MO_RIS_DA</vt:lpstr>
      <vt:lpstr>MO_RIS_DisCont</vt:lpstr>
      <vt:lpstr>MO_RIS_Dividend_Prefs</vt:lpstr>
      <vt:lpstr>MO_RIS_EBIT</vt:lpstr>
      <vt:lpstr>MO_RIS_EBITDA</vt:lpstr>
      <vt:lpstr>MO_RIS_EBITDA_Adj</vt:lpstr>
      <vt:lpstr>MO_RIS_EBT</vt:lpstr>
      <vt:lpstr>MO_RIS_EPS_WAB</vt:lpstr>
      <vt:lpstr>MO_RIS_EPS_WAD</vt:lpstr>
      <vt:lpstr>MO_RIS_EPS_WAD_Adj</vt:lpstr>
      <vt:lpstr>MO_RIS_GP</vt:lpstr>
      <vt:lpstr>MO_RIS_IE</vt:lpstr>
      <vt:lpstr>MO_RIS_IE_Net</vt:lpstr>
      <vt:lpstr>MO_RIS_NCI</vt:lpstr>
      <vt:lpstr>MO_RIS_NI_ContinOp</vt:lpstr>
      <vt:lpstr>MO_RIS_NI_GAAP_Basic</vt:lpstr>
      <vt:lpstr>MO_RIS_NI_GAAP_Diluted</vt:lpstr>
      <vt:lpstr>MO_RIS_NI_NONGAAP_Diluted</vt:lpstr>
      <vt:lpstr>MO_RIS_OI</vt:lpstr>
      <vt:lpstr>MO_RIS_OTI</vt:lpstr>
      <vt:lpstr>MO_RIS_REV</vt:lpstr>
      <vt:lpstr>MO_RIS_SBC</vt:lpstr>
      <vt:lpstr>MO_RIS_SGA</vt:lpstr>
      <vt:lpstr>MO_RIS_ShareCount_WAB</vt:lpstr>
      <vt:lpstr>MO_RIS_ShareCount_WAD</vt:lpstr>
      <vt:lpstr>MO_RIS_ShareCount_WAD_Adj</vt:lpstr>
      <vt:lpstr>MO_RIS_Tax_Current</vt:lpstr>
      <vt:lpstr>MO_RIS_Tax_Deferred</vt:lpstr>
      <vt:lpstr>MO_RIS_TaxRate_Current</vt:lpstr>
      <vt:lpstr>MO_RIS_TaxRate_Deferred</vt:lpstr>
      <vt:lpstr>MO_Section_AdjustedNumbers</vt:lpstr>
      <vt:lpstr>MO_Section_BalanceSheet</vt:lpstr>
      <vt:lpstr>MO_Section_BalanceSheetSummary</vt:lpstr>
      <vt:lpstr>MO_Section_CashFlowStatement</vt:lpstr>
      <vt:lpstr>MO_Section_CashFlowSummary</vt:lpstr>
      <vt:lpstr>MO_Section_Copyright</vt:lpstr>
      <vt:lpstr>MO_Section_CumulativeCashFlowStatement</vt:lpstr>
      <vt:lpstr>MO_Section_GrowthAnalysis</vt:lpstr>
      <vt:lpstr>MO_Section_IncomeStatement</vt:lpstr>
      <vt:lpstr>MO_Section_KeyMetricsMajorCustomerswithRevenues10FS</vt:lpstr>
      <vt:lpstr>MO_Section_LastRow</vt:lpstr>
      <vt:lpstr>MO_Section_MarginAnalysis</vt:lpstr>
      <vt:lpstr>MO_Section_ModelChecks</vt:lpstr>
      <vt:lpstr>MO_Section_OperatingStatsBacklogAnalysisFS</vt:lpstr>
      <vt:lpstr>MO_Section_RevisedIncomeStatement</vt:lpstr>
      <vt:lpstr>MO_Section_SegmentedResultsGeographicBreakdownFS</vt:lpstr>
      <vt:lpstr>MO_Section_SegmentedResultsOperatingProfitBreakdownFS</vt:lpstr>
      <vt:lpstr>MO_Section_SegmentedResultsRevenueBreakdownbyProductLineFS</vt:lpstr>
      <vt:lpstr>MO_Section_SegmentedResultsRevenueBreakdownFS</vt:lpstr>
      <vt:lpstr>MO_Section_Tables</vt:lpstr>
      <vt:lpstr>MO_Section_Valuation</vt:lpstr>
      <vt:lpstr>MO_Section_WorkingCapitalForecasting</vt:lpstr>
      <vt:lpstr>MO_SNA_FPStartDate</vt:lpstr>
      <vt:lpstr>MO_SNA_IsHistoricalPeriod</vt:lpstr>
      <vt:lpstr>MO_SNA_LastDataRow</vt:lpstr>
      <vt:lpstr>MO_SPT_FXAverage</vt:lpstr>
      <vt:lpstr>MO_SPT_FXAverage_Sources</vt:lpstr>
      <vt:lpstr>MO_SPT_StockAverage</vt:lpstr>
      <vt:lpstr>MO_SPT_StockAverage_Sources</vt:lpstr>
      <vt:lpstr>MO_SPT_StockHigh</vt:lpstr>
      <vt:lpstr>MO_SPT_StockHigh_Sources</vt:lpstr>
      <vt:lpstr>MO_SPT_StockLow</vt:lpstr>
      <vt:lpstr>MO_SPT_StockLow_Sources</vt:lpstr>
      <vt:lpstr>MO_SubSection_BS_CA</vt:lpstr>
      <vt:lpstr>MO_SubSection_BS_CL</vt:lpstr>
      <vt:lpstr>MO_SubSection_BS_NCA</vt:lpstr>
      <vt:lpstr>MO_SubSection_BS_NCL</vt:lpstr>
      <vt:lpstr>MO_SubSection_BS_SE</vt:lpstr>
      <vt:lpstr>MO_SubSection_CCFS_CFF</vt:lpstr>
      <vt:lpstr>MO_SubSection_CCFS_CFI</vt:lpstr>
      <vt:lpstr>MO_SubSection_CCFS_CFO</vt:lpstr>
      <vt:lpstr>MO_SubSection_CFS_CFF</vt:lpstr>
      <vt:lpstr>MO_SubSection_CFS_CFI</vt:lpstr>
      <vt:lpstr>MO_SubSection_CFS_CFO</vt:lpstr>
      <vt:lpstr>MO_VA_EV</vt:lpstr>
      <vt:lpstr>MO_VA_EV_ToEBITDA</vt:lpstr>
      <vt:lpstr>MO_VA_EVCalc_NCI</vt:lpstr>
      <vt:lpstr>MO_VA_EVCalc_Other</vt:lpstr>
      <vt:lpstr>MO_VA_EVCalc_Prefs</vt:lpstr>
      <vt:lpstr>MO_VA_FCFYield_ToEV</vt:lpstr>
      <vt:lpstr>MO_VA_FCFYield_ToMktCap</vt:lpstr>
      <vt:lpstr>MO_VA_FX_Average</vt:lpstr>
      <vt:lpstr>MO_VA_MarketCap</vt:lpstr>
      <vt:lpstr>MO_VA_P_ToCF</vt:lpstr>
      <vt:lpstr>MO_VA_P_ToE</vt:lpstr>
      <vt:lpstr>MO_VA_StockPrice</vt:lpstr>
      <vt:lpstr>MO_VA_StockPrice_Avg</vt:lpstr>
      <vt:lpstr>MO_VA_StockPrice_High</vt:lpstr>
      <vt:lpstr>MO_VA_StockPrice_Low</vt:lpstr>
      <vt:lpstr>MO_VA_StockPrice_TradingCurrency</vt:lpstr>
      <vt:lpstr>MO_WCF_AP_Margin</vt:lpstr>
      <vt:lpstr>MO_WCF_AP_Margin_Change</vt:lpstr>
      <vt:lpstr>MO_WCF_AR_Margin</vt:lpstr>
      <vt:lpstr>MO_WCF_AR_Margin_Change</vt:lpstr>
      <vt:lpstr>MO_WCF_INV_Margin</vt:lpstr>
      <vt:lpstr>MO_WCF_INV_Margin_Change</vt:lpstr>
      <vt:lpstr>'Main Writeup'!Print_Area</vt:lpstr>
      <vt:lpstr>Model!Print_Area</vt:lpstr>
      <vt:lpstr>'Summary Page'!Print_Area</vt:lpstr>
      <vt:lpstr>Print_Area</vt:lpstr>
      <vt:lpstr>Model!Print_Titles</vt:lpstr>
      <vt:lpstr>SP.ValuationToggle</vt:lpstr>
      <vt:lpstr>SP_BSR_Capital</vt:lpstr>
      <vt:lpstr>SP_BSR_CashFlow</vt:lpstr>
      <vt:lpstr>SP_BSR_CashFlow_LTM</vt:lpstr>
      <vt:lpstr>SP_BSR_CL</vt:lpstr>
      <vt:lpstr>SP_BSR_CL_Avg</vt:lpstr>
      <vt:lpstr>SP_BSR_Debt</vt:lpstr>
      <vt:lpstr>SP_BSR_Debt_Avg</vt:lpstr>
      <vt:lpstr>SP_BSR_EBITDA</vt:lpstr>
      <vt:lpstr>SP_BSR_EBITDA_LTM</vt:lpstr>
      <vt:lpstr>SP_BSR_SE</vt:lpstr>
      <vt:lpstr>SP_BSR_SE_Avg</vt:lpstr>
      <vt:lpstr>SP_BSR_TA</vt:lpstr>
      <vt:lpstr>SP_BSR_TA_Avg</vt:lpstr>
      <vt:lpstr>SP_CFA_Acquisition</vt:lpstr>
      <vt:lpstr>SP_CFA_Capex</vt:lpstr>
      <vt:lpstr>SP_CFA_CFO_BeforeWC</vt:lpstr>
      <vt:lpstr>SP_CFA_CFO_PerShare</vt:lpstr>
      <vt:lpstr>SP_CFA_Debt</vt:lpstr>
      <vt:lpstr>SP_CFA_Div</vt:lpstr>
      <vt:lpstr>SP_CFA_Div_PerShare</vt:lpstr>
      <vt:lpstr>SP_CFA_Divestiture</vt:lpstr>
      <vt:lpstr>SP_CFA_Equity</vt:lpstr>
      <vt:lpstr>SP_CFA_FCF_PerShare</vt:lpstr>
      <vt:lpstr>SP_CFA_FCF_PostDiv</vt:lpstr>
      <vt:lpstr>SP_CFA_FCF_PreDiv</vt:lpstr>
      <vt:lpstr>SP_CFA_NetChange</vt:lpstr>
      <vt:lpstr>SP_CFA_Other</vt:lpstr>
      <vt:lpstr>SP_CFA_Payout_vsEPS</vt:lpstr>
      <vt:lpstr>SP_CFA_Payout_vsFCF</vt:lpstr>
      <vt:lpstr>SP_CFA_WC</vt:lpstr>
      <vt:lpstr>SP_Checks_SummaryPage</vt:lpstr>
      <vt:lpstr>SP_Common_Column_A</vt:lpstr>
      <vt:lpstr>SP_Common_Column_B</vt:lpstr>
      <vt:lpstr>SP_Common_ColumnHeader</vt:lpstr>
      <vt:lpstr>SP_Common_QEndDate</vt:lpstr>
      <vt:lpstr>SP_CS_Cash</vt:lpstr>
      <vt:lpstr>SP_CS_Debt</vt:lpstr>
      <vt:lpstr>SP_CS_EV</vt:lpstr>
      <vt:lpstr>SP_CS_EVCalc_Other</vt:lpstr>
      <vt:lpstr>SP_CS_MarketCap</vt:lpstr>
      <vt:lpstr>SP_CS_OL</vt:lpstr>
      <vt:lpstr>SP_CS_ShareCount</vt:lpstr>
      <vt:lpstr>SP_CS_StockPrice</vt:lpstr>
      <vt:lpstr>SP_GF_COGS</vt:lpstr>
      <vt:lpstr>SP_GF_DA</vt:lpstr>
      <vt:lpstr>SP_GF_DisCont</vt:lpstr>
      <vt:lpstr>SP_GF_Div_Prefs</vt:lpstr>
      <vt:lpstr>SP_GF_EBITDA</vt:lpstr>
      <vt:lpstr>SP_GF_EBT</vt:lpstr>
      <vt:lpstr>SP_GF_EPS_GAAP</vt:lpstr>
      <vt:lpstr>SP_GF_IE</vt:lpstr>
      <vt:lpstr>SP_GF_IE_Net</vt:lpstr>
      <vt:lpstr>SP_GF_NCI</vt:lpstr>
      <vt:lpstr>SP_GF_NI</vt:lpstr>
      <vt:lpstr>SP_GF_OI</vt:lpstr>
      <vt:lpstr>SP_GF_Rev</vt:lpstr>
      <vt:lpstr>SP_GF_SBC</vt:lpstr>
      <vt:lpstr>SP_GF_SGA</vt:lpstr>
      <vt:lpstr>SP_GF_Tax</vt:lpstr>
      <vt:lpstr>SP_MA_COGS</vt:lpstr>
      <vt:lpstr>SP_MA_EBITDA</vt:lpstr>
      <vt:lpstr>SP_MA_EBITDA_Adj</vt:lpstr>
      <vt:lpstr>SP_MA_SGA</vt:lpstr>
      <vt:lpstr>SP_NGF_EBITDA</vt:lpstr>
      <vt:lpstr>SP_NGF_EPS</vt:lpstr>
      <vt:lpstr>SP_NGF_NI</vt:lpstr>
      <vt:lpstr>SP_PR_ROA</vt:lpstr>
      <vt:lpstr>SP_PR_ROCE</vt:lpstr>
      <vt:lpstr>SP_PR_ROE</vt:lpstr>
      <vt:lpstr>SP_PR_ROIC</vt:lpstr>
      <vt:lpstr>SP_Section_Checks</vt:lpstr>
      <vt:lpstr>tb_ConsensusEstimate</vt:lpstr>
      <vt:lpstr>tb_EntireModel</vt:lpstr>
      <vt:lpstr>tb_KeyOutputs</vt:lpstr>
      <vt:lpstr>tb_StockPrice</vt:lpstr>
      <vt:lpstr>tb_Tickers</vt:lpstr>
      <vt:lpstr>tb_UpdateLog</vt:lpstr>
      <vt:lpstr>tb_ValuationToggle</vt:lpstr>
      <vt:lpstr>UL.CSIN</vt:lpstr>
      <vt:lpstr>UL.ModelVersion</vt:lpstr>
      <vt:lpstr>UL.MRQ</vt:lpstr>
      <vt:lpstr>UL.MRQColNum</vt:lpstr>
      <vt:lpstr>z_YPOAFJ0182_MO_AN_Adjustedconsolidatedsales</vt:lpstr>
      <vt:lpstr>z_YPOAFJ0182_MO_AN_AdjustedEBITDA</vt:lpstr>
      <vt:lpstr>z_YPOAFJ0182_MO_AN_Adjustedincomefromoperations</vt:lpstr>
      <vt:lpstr>z_YPOAFJ0182_MO_AN_Adjustednetincome</vt:lpstr>
      <vt:lpstr>z_YPOAFJ0182_MO_AN_Antennabusinessimpairmentandrestructuring</vt:lpstr>
      <vt:lpstr>z_YPOAFJ0182_MO_AN_Antennabusinessimpairmentandrestructuring_1</vt:lpstr>
      <vt:lpstr>z_YPOAFJ0182_MO_AN_Depreciationandamortizationexpense</vt:lpstr>
      <vt:lpstr>z_YPOAFJ0182_MO_AN_Equitybasedcompensationexpense</vt:lpstr>
      <vt:lpstr>z_YPOAFJ0182_MO_AN_Equityinvestmentimpairment</vt:lpstr>
      <vt:lpstr>z_YPOAFJ0182_MO_AN_Equityinvestmentloss</vt:lpstr>
      <vt:lpstr>z_YPOAFJ0182_MO_AN_Gainonsaleofbusiness</vt:lpstr>
      <vt:lpstr>z_YPOAFJ0182_MO_AN_Goodwillandotherassetimpairments</vt:lpstr>
      <vt:lpstr>z_YPOAFJ0182_MO_AN_Incomefromoperations</vt:lpstr>
      <vt:lpstr>z_YPOAFJ0182_MO_AN_Incometaxbenefitexpense</vt:lpstr>
      <vt:lpstr>z_YPOAFJ0182_MO_AN_Interestexpense</vt:lpstr>
      <vt:lpstr>z_YPOAFJ0182_MO_AN_Legalreserve_2</vt:lpstr>
      <vt:lpstr>z_YPOAFJ0182_MO_AN_Legalreserveincrease</vt:lpstr>
      <vt:lpstr>z_YPOAFJ0182_MO_AN_Legalreserveincrease_1</vt:lpstr>
      <vt:lpstr>z_YPOAFJ0182_MO_AN_Netincome</vt:lpstr>
      <vt:lpstr>z_YPOAFJ0182_MO_AN_Netincome_1</vt:lpstr>
      <vt:lpstr>z_YPOAFJ0182_MO_AN_NonGAAPadjustmentRemoveeffectofsemiconductorbusiness</vt:lpstr>
      <vt:lpstr>z_YPOAFJ0182_MO_AN_NonGAAPadjustmentRemoveeffectofsemiconductorbusiness_1</vt:lpstr>
      <vt:lpstr>z_YPOAFJ0182_MO_AN_NonGAAPadjustmentRemoveeffectofsemiconductorbusiness_2</vt:lpstr>
      <vt:lpstr>z_YPOAFJ0182_MO_AN_Restructuringrelatedseverancecharges</vt:lpstr>
      <vt:lpstr>z_YPOAFJ0182_MO_AN_Sales</vt:lpstr>
      <vt:lpstr>z_YPOAFJ0182_MO_BlankRow_AN</vt:lpstr>
      <vt:lpstr>z_YPOAFJ0182_MO_BlankRow_AN_1</vt:lpstr>
      <vt:lpstr>z_YPOAFJ0182_MO_BlankRow_AN_2</vt:lpstr>
      <vt:lpstr>z_YPOAFJ0182_MO_BlankRow_AN_3</vt:lpstr>
      <vt:lpstr>z_YPOAFJ0182_MO_BlankRow_BS_1</vt:lpstr>
      <vt:lpstr>z_YPOAFJ0182_MO_BlankRow_BS_2</vt:lpstr>
      <vt:lpstr>z_YPOAFJ0182_MO_BlankRow_BS_3</vt:lpstr>
      <vt:lpstr>z_YPOAFJ0182_MO_BlankRow_BS_4</vt:lpstr>
      <vt:lpstr>z_YPOAFJ0182_MO_BlankRow_BS_5</vt:lpstr>
      <vt:lpstr>z_YPOAFJ0182_MO_BlankRow_BS_6</vt:lpstr>
      <vt:lpstr>z_YPOAFJ0182_MO_BlankRow_BSS</vt:lpstr>
      <vt:lpstr>z_YPOAFJ0182_MO_BlankRow_BSS_1</vt:lpstr>
      <vt:lpstr>z_YPOAFJ0182_MO_BlankRow_BSS_2</vt:lpstr>
      <vt:lpstr>z_YPOAFJ0182_MO_BlankRow_CCFS</vt:lpstr>
      <vt:lpstr>z_YPOAFJ0182_MO_BlankRow_CCFS_1</vt:lpstr>
      <vt:lpstr>z_YPOAFJ0182_MO_BlankRow_CCFS_2</vt:lpstr>
      <vt:lpstr>z_YPOAFJ0182_MO_BlankRow_CCFS_3</vt:lpstr>
      <vt:lpstr>z_YPOAFJ0182_MO_BlankRow_CCFS_4</vt:lpstr>
      <vt:lpstr>z_YPOAFJ0182_MO_BlankRow_CFS_2</vt:lpstr>
      <vt:lpstr>z_YPOAFJ0182_MO_BlankRow_CFS_3</vt:lpstr>
      <vt:lpstr>z_YPOAFJ0182_MO_BlankRow_CFS_4</vt:lpstr>
      <vt:lpstr>z_YPOAFJ0182_MO_BlankRow_CFS_5</vt:lpstr>
      <vt:lpstr>z_YPOAFJ0182_MO_BlankRow_CFS_6</vt:lpstr>
      <vt:lpstr>z_YPOAFJ0182_MO_BlankRow_CFS_7</vt:lpstr>
      <vt:lpstr>z_YPOAFJ0182_MO_BlankRow_CFSum</vt:lpstr>
      <vt:lpstr>z_YPOAFJ0182_MO_BlankRow_CFSum_1</vt:lpstr>
      <vt:lpstr>z_YPOAFJ0182_MO_BlankRow_CFSum_2</vt:lpstr>
      <vt:lpstr>z_YPOAFJ0182_MO_BlankRow_GA</vt:lpstr>
      <vt:lpstr>z_YPOAFJ0182_MO_BlankRow_IS</vt:lpstr>
      <vt:lpstr>z_YPOAFJ0182_MO_BlankRow_IS_1</vt:lpstr>
      <vt:lpstr>z_YPOAFJ0182_MO_BlankRow_MA</vt:lpstr>
      <vt:lpstr>z_YPOAFJ0182_MO_BlankRow_MA_1</vt:lpstr>
      <vt:lpstr>z_YPOAFJ0182_MO_BlankRow_MA_2</vt:lpstr>
      <vt:lpstr>z_YPOAFJ0182_MO_BlankRow_MA_3</vt:lpstr>
      <vt:lpstr>z_YPOAFJ0182_MO_BlankRow_MA_4</vt:lpstr>
      <vt:lpstr>z_YPOAFJ0182_MO_BlankRow_MA_5</vt:lpstr>
      <vt:lpstr>z_YPOAFJ0182_MO_BlankRow_OS</vt:lpstr>
      <vt:lpstr>z_YPOAFJ0182_MO_BlankRow_OS_1</vt:lpstr>
      <vt:lpstr>z_YPOAFJ0182_MO_BlankRow_OS_10</vt:lpstr>
      <vt:lpstr>z_YPOAFJ0182_MO_BlankRow_OS_11</vt:lpstr>
      <vt:lpstr>z_YPOAFJ0182_MO_BlankRow_OS_12</vt:lpstr>
      <vt:lpstr>z_YPOAFJ0182_MO_BlankRow_OS_13</vt:lpstr>
      <vt:lpstr>z_YPOAFJ0182_MO_BlankRow_OS_14</vt:lpstr>
      <vt:lpstr>z_YPOAFJ0182_MO_BlankRow_OS_15</vt:lpstr>
      <vt:lpstr>z_YPOAFJ0182_MO_BlankRow_OS_2</vt:lpstr>
      <vt:lpstr>z_YPOAFJ0182_MO_BlankRow_OS_3</vt:lpstr>
      <vt:lpstr>z_YPOAFJ0182_MO_BlankRow_OS_5</vt:lpstr>
      <vt:lpstr>z_YPOAFJ0182_MO_BlankRow_OS_7</vt:lpstr>
      <vt:lpstr>z_YPOAFJ0182_MO_BlankRow_OS_8</vt:lpstr>
      <vt:lpstr>z_YPOAFJ0182_MO_BlankRow_RIS</vt:lpstr>
      <vt:lpstr>z_YPOAFJ0182_MO_BlankRow_RIS_1</vt:lpstr>
      <vt:lpstr>z_YPOAFJ0182_MO_BlankRow_RIS_2</vt:lpstr>
      <vt:lpstr>z_YPOAFJ0182_MO_BlankRow_RIS_3</vt:lpstr>
      <vt:lpstr>z_YPOAFJ0182_MO_BlankRow_RIS_4</vt:lpstr>
      <vt:lpstr>z_YPOAFJ0182_MO_BlankRow_RIS_5</vt:lpstr>
      <vt:lpstr>z_YPOAFJ0182_MO_BlankRow_RIS_6</vt:lpstr>
      <vt:lpstr>z_YPOAFJ0182_MO_BlankRow_RIS_7</vt:lpstr>
      <vt:lpstr>z_YPOAFJ0182_MO_BlankRow_RIS_8</vt:lpstr>
      <vt:lpstr>z_YPOAFJ0182_MO_BS_accountspayable</vt:lpstr>
      <vt:lpstr>z_YPOAFJ0182_MO_BS_accountsreceivable</vt:lpstr>
      <vt:lpstr>z_YPOAFJ0182_MO_BS_AccruedExpensesandOtherCurrentLiabilities</vt:lpstr>
      <vt:lpstr>z_YPOAFJ0182_MO_BS_accruedincometaxes</vt:lpstr>
      <vt:lpstr>z_YPOAFJ0182_MO_BS_AccumulatedOtherComprehensiveLoss</vt:lpstr>
      <vt:lpstr>z_YPOAFJ0182_MO_BS_AdditionalPaidinCapital</vt:lpstr>
      <vt:lpstr>z_YPOAFJ0182_MO_BS_Assetsheldforsale</vt:lpstr>
      <vt:lpstr>z_YPOAFJ0182_MO_BS_billingsinexcessofrecoverablecostsandaccruedprofitsonuncompletedcontracts</vt:lpstr>
      <vt:lpstr>z_YPOAFJ0182_MO_BS_BSCheck</vt:lpstr>
      <vt:lpstr>z_YPOAFJ0182_MO_BS_cashandcashequivalents</vt:lpstr>
      <vt:lpstr>z_YPOAFJ0182_MO_BS_commonstock</vt:lpstr>
      <vt:lpstr>z_YPOAFJ0182_MO_BS_CurrentAssets</vt:lpstr>
      <vt:lpstr>z_YPOAFJ0182_MO_BS_CurrentLiabilities</vt:lpstr>
      <vt:lpstr>z_YPOAFJ0182_MO_BS_CurrentMaturitiesofLongtermDebt</vt:lpstr>
      <vt:lpstr>z_YPOAFJ0182_MO_BS_CurrentOperatingLeaseLiabilities</vt:lpstr>
      <vt:lpstr>z_YPOAFJ0182_MO_BS_customeradvancepaymentsanddeferredrevenue</vt:lpstr>
      <vt:lpstr>z_YPOAFJ0182_MO_BS_deferredincometaxes</vt:lpstr>
      <vt:lpstr>z_YPOAFJ0182_MO_BS_deferredincometaxes_1</vt:lpstr>
      <vt:lpstr>z_YPOAFJ0182_MO_BS_deferredincometaxes_2</vt:lpstr>
      <vt:lpstr>z_YPOAFJ0182_MO_BS_deferredincometaxes_3</vt:lpstr>
      <vt:lpstr>z_YPOAFJ0182_MO_BS_Goodwill</vt:lpstr>
      <vt:lpstr>z_YPOAFJ0182_MO_BS_IntangibleAssets</vt:lpstr>
      <vt:lpstr>z_YPOAFJ0182_MO_BS_inventories</vt:lpstr>
      <vt:lpstr>z_YPOAFJ0182_MO_BS_Liabilitiesheldforsale</vt:lpstr>
      <vt:lpstr>z_YPOAFJ0182_MO_BS_LongtermDebt</vt:lpstr>
      <vt:lpstr>z_YPOAFJ0182_MO_BS_LongtermOperatingLeaseLiabilities</vt:lpstr>
      <vt:lpstr>z_YPOAFJ0182_MO_BS_NCI</vt:lpstr>
      <vt:lpstr>z_YPOAFJ0182_MO_BS_NetIncomeonReportedISNIonRevised</vt:lpstr>
      <vt:lpstr>z_YPOAFJ0182_MO_BS_NetIncomeonRevisedISNIonCFstatement</vt:lpstr>
      <vt:lpstr>z_YPOAFJ0182_MO_BS_NonCurrentAssets</vt:lpstr>
      <vt:lpstr>z_YPOAFJ0182_MO_BS_NonCurrentLiabilities</vt:lpstr>
      <vt:lpstr>z_YPOAFJ0182_MO_BS_OperatingRightofUseAssets</vt:lpstr>
      <vt:lpstr>z_YPOAFJ0182_MO_BS_OtherAccruedExpenses</vt:lpstr>
      <vt:lpstr>z_YPOAFJ0182_MO_BS_OtherAssets</vt:lpstr>
      <vt:lpstr>z_YPOAFJ0182_MO_BS_OtherCurrentAssets</vt:lpstr>
      <vt:lpstr>z_YPOAFJ0182_MO_BS_OtherLiabilities</vt:lpstr>
      <vt:lpstr>z_YPOAFJ0182_MO_BS_PrepaidExpensesandOtherCurrentAssets</vt:lpstr>
      <vt:lpstr>z_YPOAFJ0182_MO_BS_PropertyPlantandEquipment</vt:lpstr>
      <vt:lpstr>z_YPOAFJ0182_MO_BS_retainedearnings</vt:lpstr>
      <vt:lpstr>z_YPOAFJ0182_MO_BS_ShareholdersEquity</vt:lpstr>
      <vt:lpstr>z_YPOAFJ0182_MO_BS_SupplementalRetirementPlanandOtherLiabilitiesforPensionBenefits</vt:lpstr>
      <vt:lpstr>z_YPOAFJ0182_MO_BS_TotalAssets</vt:lpstr>
      <vt:lpstr>z_YPOAFJ0182_MO_BS_TotalCurrentAssets</vt:lpstr>
      <vt:lpstr>z_YPOAFJ0182_MO_BS_TotalCurrentLiabilities</vt:lpstr>
      <vt:lpstr>z_YPOAFJ0182_MO_BS_TotalLiabilities</vt:lpstr>
      <vt:lpstr>z_YPOAFJ0182_MO_BS_TotalLiabilitiesSE</vt:lpstr>
      <vt:lpstr>z_YPOAFJ0182_MO_BS_TotalNonCurrentAssets</vt:lpstr>
      <vt:lpstr>z_YPOAFJ0182_MO_BS_TotalNonCurrentliabilities</vt:lpstr>
      <vt:lpstr>z_YPOAFJ0182_MO_BS_TotalSE</vt:lpstr>
      <vt:lpstr>z_YPOAFJ0182_MO_BS_treasurystock</vt:lpstr>
      <vt:lpstr>z_YPOAFJ0182_MO_BSS_Cash</vt:lpstr>
      <vt:lpstr>z_YPOAFJ0182_MO_BSS_Debt</vt:lpstr>
      <vt:lpstr>z_YPOAFJ0182_MO_BSS_DebtCashFlow</vt:lpstr>
      <vt:lpstr>z_YPOAFJ0182_MO_BSS_DebtEBITDA</vt:lpstr>
      <vt:lpstr>z_YPOAFJ0182_MO_BSS_EBITDANetInterestExpense</vt:lpstr>
      <vt:lpstr>z_YPOAFJ0182_MO_BSS_EffectiveInterestRateonCash</vt:lpstr>
      <vt:lpstr>z_YPOAFJ0182_MO_BSS_EffectiveInterestRateonDebt</vt:lpstr>
      <vt:lpstr>z_YPOAFJ0182_MO_BSS_EffectiveNetInterestRateonDebt</vt:lpstr>
      <vt:lpstr>z_YPOAFJ0182_MO_BSS_InterestExpense</vt:lpstr>
      <vt:lpstr>z_YPOAFJ0182_MO_BSS_InterestIncome</vt:lpstr>
      <vt:lpstr>z_YPOAFJ0182_MO_BSS_LTDebt</vt:lpstr>
      <vt:lpstr>z_YPOAFJ0182_MO_BSS_NetDebt</vt:lpstr>
      <vt:lpstr>z_YPOAFJ0182_MO_BSS_NetInterestExpenseIncome</vt:lpstr>
      <vt:lpstr>z_YPOAFJ0182_MO_BSS_OperatingLeaseLiabilities</vt:lpstr>
      <vt:lpstr>z_YPOAFJ0182_MO_BSS_STDebt</vt:lpstr>
      <vt:lpstr>z_YPOAFJ0182_MO_CCFS_accountspayable</vt:lpstr>
      <vt:lpstr>z_YPOAFJ0182_MO_CCFS_accountsreceivable</vt:lpstr>
      <vt:lpstr>z_YPOAFJ0182_MO_CCFS_accruedexpenses</vt:lpstr>
      <vt:lpstr>z_YPOAFJ0182_MO_CCFS_AccruedLegalReserve</vt:lpstr>
      <vt:lpstr>z_YPOAFJ0182_MO_CCFS_AcquisitionEarnoutPayments</vt:lpstr>
      <vt:lpstr>z_YPOAFJ0182_MO_CCFS_AcquisitionofBusiness</vt:lpstr>
      <vt:lpstr>z_YPOAFJ0182_MO_CCFS_BeginningCashBalance</vt:lpstr>
      <vt:lpstr>z_YPOAFJ0182_MO_CCFS_billingsinexcessofrecoverablecostsandaccruedprofitsonuncompletedcontracts</vt:lpstr>
      <vt:lpstr>z_YPOAFJ0182_MO_CCFS_capitalexpenditures</vt:lpstr>
      <vt:lpstr>z_YPOAFJ0182_MO_CCFS_CFF</vt:lpstr>
      <vt:lpstr>z_YPOAFJ0182_MO_CCFS_CFI</vt:lpstr>
      <vt:lpstr>z_YPOAFJ0182_MO_CCFS_CFO</vt:lpstr>
      <vt:lpstr>z_YPOAFJ0182_MO_CCFS_CFObeforeWC</vt:lpstr>
      <vt:lpstr>z_YPOAFJ0182_MO_CCFS_customeradvancedpaymentsanddeferredrevenue</vt:lpstr>
      <vt:lpstr>z_YPOAFJ0182_MO_CCFS_DebtAcquisitionCosts</vt:lpstr>
      <vt:lpstr>z_YPOAFJ0182_MO_CCFS_deferredtaxbenefit</vt:lpstr>
      <vt:lpstr>z_YPOAFJ0182_MO_CCFS_depreciationandamortization</vt:lpstr>
      <vt:lpstr>z_YPOAFJ0182_MO_CCFS_DividendPaid</vt:lpstr>
      <vt:lpstr>z_YPOAFJ0182_MO_CCFS_EndingCashBalance</vt:lpstr>
      <vt:lpstr>z_YPOAFJ0182_MO_CCFS_EquityInvestmentImpairment</vt:lpstr>
      <vt:lpstr>z_YPOAFJ0182_MO_CCFS_FX</vt:lpstr>
      <vt:lpstr>z_YPOAFJ0182_MO_CCFS_GainonSaleofBusiness</vt:lpstr>
      <vt:lpstr>z_YPOAFJ0182_MO_CCFS_impairmentloss</vt:lpstr>
      <vt:lpstr>z_YPOAFJ0182_MO_CCFS_incometaxbenefitfromexerciseofstockoptions</vt:lpstr>
      <vt:lpstr>z_YPOAFJ0182_MO_CCFS_incometaxes</vt:lpstr>
      <vt:lpstr>z_YPOAFJ0182_MO_CCFS_inventories</vt:lpstr>
      <vt:lpstr>z_YPOAFJ0182_MO_CCFS_NetCFF</vt:lpstr>
      <vt:lpstr>z_YPOAFJ0182_MO_CCFS_NetCFI</vt:lpstr>
      <vt:lpstr>z_YPOAFJ0182_MO_CCFS_NetCFO</vt:lpstr>
      <vt:lpstr>z_YPOAFJ0182_MO_CCFS_NetChangeinCashBalance</vt:lpstr>
      <vt:lpstr>z_YPOAFJ0182_MO_CCFS_netincome</vt:lpstr>
      <vt:lpstr>z_YPOAFJ0182_MO_CCFS_noncashadjustmenttocontingentconsideration</vt:lpstr>
      <vt:lpstr>z_YPOAFJ0182_MO_CCFS_Noncashseverance</vt:lpstr>
      <vt:lpstr>z_YPOAFJ0182_MO_CCFS_Operatingleaseamortizationexpense</vt:lpstr>
      <vt:lpstr>z_YPOAFJ0182_MO_CCFS_Operatingleaseliabilities</vt:lpstr>
      <vt:lpstr>z_YPOAFJ0182_MO_CCFS_Other</vt:lpstr>
      <vt:lpstr>z_YPOAFJ0182_MO_CCFS_Other_4</vt:lpstr>
      <vt:lpstr>z_YPOAFJ0182_MO_CCFS_OtherCurrentAssetsandLiabilities</vt:lpstr>
      <vt:lpstr>z_YPOAFJ0182_MO_CCFS_OtherFinancingActivities</vt:lpstr>
      <vt:lpstr>z_YPOAFJ0182_MO_CCFS_OtherInvestingActivities</vt:lpstr>
      <vt:lpstr>z_YPOAFJ0182_MO_CCFS_PaymentsforLongtermDebt</vt:lpstr>
      <vt:lpstr>z_YPOAFJ0182_MO_CCFS_paymentsonnotepayable</vt:lpstr>
      <vt:lpstr>z_YPOAFJ0182_MO_CCFS_proceedsfromexerciseofstockoptions</vt:lpstr>
      <vt:lpstr>z_YPOAFJ0182_MO_CCFS_ProceedsfromLongtermDebt</vt:lpstr>
      <vt:lpstr>z_YPOAFJ0182_MO_CCFS_proceedsfromnotepayable</vt:lpstr>
      <vt:lpstr>z_YPOAFJ0182_MO_CCFS_proceedsfromsaleoffixedassets</vt:lpstr>
      <vt:lpstr>z_YPOAFJ0182_MO_CCFS_ProceedsonSaleofBusiness</vt:lpstr>
      <vt:lpstr>z_YPOAFJ0182_MO_CCFS_provisionsfornoncashlossesoninventoryandreceivables</vt:lpstr>
      <vt:lpstr>z_YPOAFJ0182_MO_CCFS_purchaseofoutstandingsharesfortreasury</vt:lpstr>
      <vt:lpstr>z_YPOAFJ0182_MO_CCFS_RestructuringActivities</vt:lpstr>
      <vt:lpstr>z_YPOAFJ0182_MO_CCFS_stockcompensationexpense</vt:lpstr>
      <vt:lpstr>z_YPOAFJ0182_MO_CCFS_SupplementalRetirementandOtherLiabilities</vt:lpstr>
      <vt:lpstr>z_YPOAFJ0182_MO_CCFS_useofindustrialbondproceeds</vt:lpstr>
      <vt:lpstr>z_YPOAFJ0182_MO_CFS_accountspayable</vt:lpstr>
      <vt:lpstr>z_YPOAFJ0182_MO_CFS_accountsreceivable</vt:lpstr>
      <vt:lpstr>z_YPOAFJ0182_MO_CFS_accruedexpenses</vt:lpstr>
      <vt:lpstr>z_YPOAFJ0182_MO_CFS_AccruedLegalReserve</vt:lpstr>
      <vt:lpstr>z_YPOAFJ0182_MO_CFS_AcquisitionEarnoutPayments</vt:lpstr>
      <vt:lpstr>z_YPOAFJ0182_MO_CFS_AcquisitionofBusiness</vt:lpstr>
      <vt:lpstr>z_YPOAFJ0182_MO_CFS_BeginningCashBalance</vt:lpstr>
      <vt:lpstr>z_YPOAFJ0182_MO_CFS_billingsinexcessofrecoverablecostsandaccruedprofitsonuncompletedcontracts</vt:lpstr>
      <vt:lpstr>z_YPOAFJ0182_MO_CFS_capitalexpenditures</vt:lpstr>
      <vt:lpstr>z_YPOAFJ0182_MO_CFS_CFCheck</vt:lpstr>
      <vt:lpstr>z_YPOAFJ0182_MO_CFS_CFF</vt:lpstr>
      <vt:lpstr>z_YPOAFJ0182_MO_CFS_CFI</vt:lpstr>
      <vt:lpstr>z_YPOAFJ0182_MO_CFS_CFO</vt:lpstr>
      <vt:lpstr>z_YPOAFJ0182_MO_CFS_CFObeforeWC</vt:lpstr>
      <vt:lpstr>z_YPOAFJ0182_MO_CFS_customeradvancedpaymentsanddeferredrevenue</vt:lpstr>
      <vt:lpstr>z_YPOAFJ0182_MO_CFS_DebtAcquisitionCosts</vt:lpstr>
      <vt:lpstr>z_YPOAFJ0182_MO_CFS_deferredtaxbenefit</vt:lpstr>
      <vt:lpstr>z_YPOAFJ0182_MO_CFS_depreciationandamortization</vt:lpstr>
      <vt:lpstr>z_YPOAFJ0182_MO_CFS_DividendPaid</vt:lpstr>
      <vt:lpstr>z_YPOAFJ0182_MO_CFS_EndingCashBalance</vt:lpstr>
      <vt:lpstr>z_YPOAFJ0182_MO_CFS_EquityInvestmentImpairment</vt:lpstr>
      <vt:lpstr>z_YPOAFJ0182_MO_CFS_FX</vt:lpstr>
      <vt:lpstr>z_YPOAFJ0182_MO_CFS_GainonSaleofBusiness</vt:lpstr>
      <vt:lpstr>z_YPOAFJ0182_MO_CFS_impairmentloss</vt:lpstr>
      <vt:lpstr>z_YPOAFJ0182_MO_CFS_incometaxbenefitfromexerciseofstockoptions</vt:lpstr>
      <vt:lpstr>z_YPOAFJ0182_MO_CFS_incometaxes</vt:lpstr>
      <vt:lpstr>z_YPOAFJ0182_MO_CFS_inventories</vt:lpstr>
      <vt:lpstr>z_YPOAFJ0182_MO_CFS_NetCFF</vt:lpstr>
      <vt:lpstr>z_YPOAFJ0182_MO_CFS_NetCFI</vt:lpstr>
      <vt:lpstr>z_YPOAFJ0182_MO_CFS_NetCFO</vt:lpstr>
      <vt:lpstr>z_YPOAFJ0182_MO_CFS_NetChangeinCashBalance</vt:lpstr>
      <vt:lpstr>z_YPOAFJ0182_MO_CFS_netincome</vt:lpstr>
      <vt:lpstr>z_YPOAFJ0182_MO_CFS_noncashadjustmenttocontingentconsideration</vt:lpstr>
      <vt:lpstr>z_YPOAFJ0182_MO_CFS_Noncashseverance</vt:lpstr>
      <vt:lpstr>z_YPOAFJ0182_MO_CFS_Operatingleaseamortizationexpense</vt:lpstr>
      <vt:lpstr>z_YPOAFJ0182_MO_CFS_Operatingleaseliabilities</vt:lpstr>
      <vt:lpstr>z_YPOAFJ0182_MO_CFS_Other</vt:lpstr>
      <vt:lpstr>z_YPOAFJ0182_MO_CFS_Other_4</vt:lpstr>
      <vt:lpstr>z_YPOAFJ0182_MO_CFS_OtherCurrentAssetsandLiabilities</vt:lpstr>
      <vt:lpstr>z_YPOAFJ0182_MO_CFS_OtherFinancingActivities</vt:lpstr>
      <vt:lpstr>z_YPOAFJ0182_MO_CFS_OtherInvestingActivities</vt:lpstr>
      <vt:lpstr>z_YPOAFJ0182_MO_CFS_PaymentsforLongtermDebt</vt:lpstr>
      <vt:lpstr>z_YPOAFJ0182_MO_CFS_paymentsonnotepayable</vt:lpstr>
      <vt:lpstr>z_YPOAFJ0182_MO_CFS_proceedsfromexerciseofstockoptions</vt:lpstr>
      <vt:lpstr>z_YPOAFJ0182_MO_CFS_ProceedsfromLongtermDebt</vt:lpstr>
      <vt:lpstr>z_YPOAFJ0182_MO_CFS_proceedsfromnotepayable</vt:lpstr>
      <vt:lpstr>z_YPOAFJ0182_MO_CFS_proceedsfromsaleoffixedassets</vt:lpstr>
      <vt:lpstr>z_YPOAFJ0182_MO_CFS_ProceedsonSaleofBusiness</vt:lpstr>
      <vt:lpstr>z_YPOAFJ0182_MO_CFS_provisionsfornoncashlossesoninventoryandreceivables</vt:lpstr>
      <vt:lpstr>z_YPOAFJ0182_MO_CFS_PurchaseofOutstandingSharesforTreasury</vt:lpstr>
      <vt:lpstr>z_YPOAFJ0182_MO_CFS_RestructuringActivities</vt:lpstr>
      <vt:lpstr>z_YPOAFJ0182_MO_CFS_stockcompensationexpense</vt:lpstr>
      <vt:lpstr>z_YPOAFJ0182_MO_CFS_SupplementalRetirementandOtherLiabilities</vt:lpstr>
      <vt:lpstr>z_YPOAFJ0182_MO_CFS_useofindustrialbondproceeds</vt:lpstr>
      <vt:lpstr>z_YPOAFJ0182_MO_CFSum_Acquisitions</vt:lpstr>
      <vt:lpstr>z_YPOAFJ0182_MO_CFSum_Capex</vt:lpstr>
      <vt:lpstr>z_YPOAFJ0182_MO_CFSum_CashFlowPerDilutedShare</vt:lpstr>
      <vt:lpstr>z_YPOAFJ0182_MO_CFSum_ConsensusEstimatesCapex</vt:lpstr>
      <vt:lpstr>z_YPOAFJ0182_MO_CFSum_consensusestimatescashflowperdilutedshare</vt:lpstr>
      <vt:lpstr>z_YPOAFJ0182_MO_CFSum_Divestiture</vt:lpstr>
      <vt:lpstr>z_YPOAFJ0182_MO_CFSum_DividendPaid</vt:lpstr>
      <vt:lpstr>z_YPOAFJ0182_MO_CFSum_DividendPerShare</vt:lpstr>
      <vt:lpstr>z_YPOAFJ0182_MO_CFSum_EstimatedSharePriceforIssuanceBuybacks</vt:lpstr>
      <vt:lpstr>z_YPOAFJ0182_MO_CFSum_FCF</vt:lpstr>
      <vt:lpstr>z_YPOAFJ0182_MO_CFSum_FCF_1</vt:lpstr>
      <vt:lpstr>z_YPOAFJ0182_MO_CFSum_FCF_2</vt:lpstr>
      <vt:lpstr>z_YPOAFJ0182_MO_CFSum_FCFPostDivDebtBuyback</vt:lpstr>
      <vt:lpstr>z_YPOAFJ0182_MO_CFSum_NetDebtIssuanceRepayment</vt:lpstr>
      <vt:lpstr>z_YPOAFJ0182_MO_CFSum_NetShareIssuanceBuybacks</vt:lpstr>
      <vt:lpstr>z_YPOAFJ0182_MO_CFSum_OperatingCashFlowbeforeWC</vt:lpstr>
      <vt:lpstr>z_YPOAFJ0182_MO_Header_ColumnHeader</vt:lpstr>
      <vt:lpstr>z_YPOAFJ0182_MO_Header_CompanySubTitle</vt:lpstr>
      <vt:lpstr>z_YPOAFJ0182_MO_Header_CompanyTitle</vt:lpstr>
      <vt:lpstr>z_YPOAFJ0182_MO_Header_FPDays</vt:lpstr>
      <vt:lpstr>z_YPOAFJ0182_MO_Header_QEndDate</vt:lpstr>
      <vt:lpstr>z_YPOAFJ0182_MO_IS_contingentliabilityfairvalueadjustment</vt:lpstr>
      <vt:lpstr>z_YPOAFJ0182_MO_IS_costofproductssold</vt:lpstr>
      <vt:lpstr>z_YPOAFJ0182_MO_IS_GainonSaleofBusiness</vt:lpstr>
      <vt:lpstr>z_YPOAFJ0182_MO_IS_grossprofit</vt:lpstr>
      <vt:lpstr>z_YPOAFJ0182_MO_IS_impairmentloss</vt:lpstr>
      <vt:lpstr>z_YPOAFJ0182_MO_IS_incomebeforeincometaxes</vt:lpstr>
      <vt:lpstr>z_YPOAFJ0182_MO_IS_incomefromoperations</vt:lpstr>
      <vt:lpstr>z_YPOAFJ0182_MO_IS_interestexpense</vt:lpstr>
      <vt:lpstr>z_YPOAFJ0182_MO_IS_ISCheck</vt:lpstr>
      <vt:lpstr>z_YPOAFJ0182_MO_IS_netincome</vt:lpstr>
      <vt:lpstr>z_YPOAFJ0182_MO_IS_OtherExpense</vt:lpstr>
      <vt:lpstr>z_YPOAFJ0182_MO_IS_provisionforincometaxes</vt:lpstr>
      <vt:lpstr>z_YPOAFJ0182_MO_IS_sales</vt:lpstr>
      <vt:lpstr>z_YPOAFJ0182_MO_IS_selling</vt:lpstr>
      <vt:lpstr>z_YPOAFJ0182_MO_MA_AdjustedEBITDAMargin</vt:lpstr>
      <vt:lpstr>z_YPOAFJ0182_MO_MA_AverageFXRate</vt:lpstr>
      <vt:lpstr>z_YPOAFJ0182_MO_MA_COGSMarginExcludingDA</vt:lpstr>
      <vt:lpstr>z_YPOAFJ0182_MO_MA_COGSMarginIncludingDA</vt:lpstr>
      <vt:lpstr>z_YPOAFJ0182_MO_MA_consensusestimatesadjustedebitdamargin</vt:lpstr>
      <vt:lpstr>z_YPOAFJ0182_MO_MA_consensusestimatesgrossmargin</vt:lpstr>
      <vt:lpstr>z_YPOAFJ0182_MO_MA_EBITDAMargin</vt:lpstr>
      <vt:lpstr>z_YPOAFJ0182_MO_MA_ebitmargin</vt:lpstr>
      <vt:lpstr>z_YPOAFJ0182_MO_MA_GrossMarginExcludingDA</vt:lpstr>
      <vt:lpstr>z_YPOAFJ0182_MO_MA_GrossMarginIncludingDA</vt:lpstr>
      <vt:lpstr>z_YPOAFJ0182_MO_MA_SGAMargin</vt:lpstr>
      <vt:lpstr>z_YPOAFJ0182_MO_MA_StockPriceTradingCurAvg</vt:lpstr>
      <vt:lpstr>z_YPOAFJ0182_MO_OS_AccountsPayable</vt:lpstr>
      <vt:lpstr>z_YPOAFJ0182_MO_OS_AccountsPayableYYChange</vt:lpstr>
      <vt:lpstr>z_YPOAFJ0182_MO_OS_AccountsReceivableNetofAllowanceforDoubtfulAccounts</vt:lpstr>
      <vt:lpstr>z_YPOAFJ0182_MO_OS_AccountsReceivableNetofAllowanceforDoubtfulAccountsYYChange</vt:lpstr>
      <vt:lpstr>z_YPOAFJ0182_MO_OS_Aerospaceadjustedincomefromoperations</vt:lpstr>
      <vt:lpstr>z_YPOAFJ0182_MO_OS_aerospacebookbillratio</vt:lpstr>
      <vt:lpstr>z_YPOAFJ0182_MO_OS_aerospacedefenserevenue</vt:lpstr>
      <vt:lpstr>z_YPOAFJ0182_MO_OS_aerospacedefenserevenuegrowth</vt:lpstr>
      <vt:lpstr>z_YPOAFJ0182_MO_OS_aerospaceoperatingprofit</vt:lpstr>
      <vt:lpstr>z_YPOAFJ0182_MO_OS_aerospaceoperatingprofitmargin</vt:lpstr>
      <vt:lpstr>z_YPOAFJ0182_MO_OS_aerospacerevenueasaofendingbacklog</vt:lpstr>
      <vt:lpstr>z_YPOAFJ0182_MO_OS_applerevenue</vt:lpstr>
      <vt:lpstr>z_YPOAFJ0182_MO_OS_asiarevenue</vt:lpstr>
      <vt:lpstr>z_YPOAFJ0182_MO_OS_Avionicsrevenue</vt:lpstr>
      <vt:lpstr>z_YPOAFJ0182_MO_OS_beginningaerospacebacklog</vt:lpstr>
      <vt:lpstr>z_YPOAFJ0182_MO_OS_beginningtestsystemsbacklog</vt:lpstr>
      <vt:lpstr>z_YPOAFJ0182_MO_OS_boeingrevenue</vt:lpstr>
      <vt:lpstr>z_YPOAFJ0182_MO_OS_bookings</vt:lpstr>
      <vt:lpstr>z_YPOAFJ0182_MO_OS_bookings_1</vt:lpstr>
      <vt:lpstr>z_YPOAFJ0182_MO_OS_businessjetrevenue</vt:lpstr>
      <vt:lpstr>z_YPOAFJ0182_MO_OS_businessjetrevenuegrowth</vt:lpstr>
      <vt:lpstr>z_YPOAFJ0182_MO_OS_commercialtransportrevenue</vt:lpstr>
      <vt:lpstr>z_YPOAFJ0182_MO_OS_commercialtransportrevenuegrowth</vt:lpstr>
      <vt:lpstr>z_YPOAFJ0182_MO_OS_Corporateandotherexpensesnet</vt:lpstr>
      <vt:lpstr>z_YPOAFJ0182_MO_OS_ElectricalPowerMotionrevenue</vt:lpstr>
      <vt:lpstr>z_YPOAFJ0182_MO_OS_endingaerospacebacklog</vt:lpstr>
      <vt:lpstr>z_YPOAFJ0182_MO_OS_endingtestsystemsbacklog</vt:lpstr>
      <vt:lpstr>z_YPOAFJ0182_MO_OS_europerevenue</vt:lpstr>
      <vt:lpstr>z_YPOAFJ0182_MO_OS_Inventories</vt:lpstr>
      <vt:lpstr>z_YPOAFJ0182_MO_OS_InventoriesYYChange</vt:lpstr>
      <vt:lpstr>z_YPOAFJ0182_MO_OS_LightingSafetyrevenue</vt:lpstr>
      <vt:lpstr>z_YPOAFJ0182_MO_OS_militaryrevenue</vt:lpstr>
      <vt:lpstr>z_YPOAFJ0182_MO_OS_militaryrevenuegrowth</vt:lpstr>
      <vt:lpstr>z_YPOAFJ0182_MO_OS_northamericaexcludingunitedstatesrevenue</vt:lpstr>
      <vt:lpstr>z_YPOAFJ0182_MO_OS_OperatingIncome</vt:lpstr>
      <vt:lpstr>z_YPOAFJ0182_MO_OS_Otheradjustedincomefromoperations</vt:lpstr>
      <vt:lpstr>z_YPOAFJ0182_MO_OS_Otherexpensenetofotherincome</vt:lpstr>
      <vt:lpstr>z_YPOAFJ0182_MO_OS_Otherproductrevenue</vt:lpstr>
      <vt:lpstr>z_YPOAFJ0182_MO_OS_Otherrevenue</vt:lpstr>
      <vt:lpstr>z_YPOAFJ0182_MO_OS_Otherrevenue_1</vt:lpstr>
      <vt:lpstr>z_YPOAFJ0182_MO_OS_Otherrevenuegrowth</vt:lpstr>
      <vt:lpstr>z_YPOAFJ0182_MO_OS_panasonicrevenue</vt:lpstr>
      <vt:lpstr>z_YPOAFJ0182_MO_OS_realizedrevenue</vt:lpstr>
      <vt:lpstr>z_YPOAFJ0182_MO_OS_realizedrevenue_1</vt:lpstr>
      <vt:lpstr>z_YPOAFJ0182_MO_OS_semiconductorrevenue</vt:lpstr>
      <vt:lpstr>z_YPOAFJ0182_MO_OS_semiconductorrevenuegrowth</vt:lpstr>
      <vt:lpstr>z_YPOAFJ0182_MO_OS_southamericarevenue</vt:lpstr>
      <vt:lpstr>z_YPOAFJ0182_MO_OS_Structuresrevenue</vt:lpstr>
      <vt:lpstr>z_YPOAFJ0182_MO_OS_SystemsCertificationrevenue</vt:lpstr>
      <vt:lpstr>z_YPOAFJ0182_MO_OS_TestSystems_5</vt:lpstr>
      <vt:lpstr>z_YPOAFJ0182_MO_OS_TestSystemsadjustedincomefromoperations</vt:lpstr>
      <vt:lpstr>z_YPOAFJ0182_MO_OS_testsystemsbookbillratio</vt:lpstr>
      <vt:lpstr>z_YPOAFJ0182_MO_OS_testsystemsoperatingprofit</vt:lpstr>
      <vt:lpstr>z_YPOAFJ0182_MO_OS_testsystemsoperatingprofitmargin</vt:lpstr>
      <vt:lpstr>z_YPOAFJ0182_MO_OS_testsystemsrevenueasaofendingbacklog</vt:lpstr>
      <vt:lpstr>z_YPOAFJ0182_MO_OS_Totaladjustedincomefromoperations</vt:lpstr>
      <vt:lpstr>z_YPOAFJ0182_MO_OS_totalaerospacerevenue</vt:lpstr>
      <vt:lpstr>z_YPOAFJ0182_MO_OS_TotalAerospacerevenue_2</vt:lpstr>
      <vt:lpstr>z_YPOAFJ0182_MO_OS_totalaerospacerevenuegrowth</vt:lpstr>
      <vt:lpstr>z_YPOAFJ0182_MO_OS_totalcompanybookbillratio</vt:lpstr>
      <vt:lpstr>z_YPOAFJ0182_MO_OS_totalnorthamericarevenue</vt:lpstr>
      <vt:lpstr>z_YPOAFJ0182_MO_OS_totaloperatingprofit</vt:lpstr>
      <vt:lpstr>z_YPOAFJ0182_MO_OS_totalrevenue</vt:lpstr>
      <vt:lpstr>z_YPOAFJ0182_MO_OS_totalrevenue_1</vt:lpstr>
      <vt:lpstr>z_YPOAFJ0182_MO_OS_TotalRevenue_3</vt:lpstr>
      <vt:lpstr>z_YPOAFJ0182_MO_OS_TotalRevenueGrowth</vt:lpstr>
      <vt:lpstr>z_YPOAFJ0182_MO_OS_totaltestsystemsrevenue</vt:lpstr>
      <vt:lpstr>z_YPOAFJ0182_MO_OS_totaltestsystemsrevenuegrowth</vt:lpstr>
      <vt:lpstr>z_YPOAFJ0182_MO_OS_unitedstates</vt:lpstr>
      <vt:lpstr>z_YPOAFJ0182_MO_RIS_AdjustedEarningsPerShareWAD</vt:lpstr>
      <vt:lpstr>z_YPOAFJ0182_MO_RIS_AdjustedEBITDANoAdjustments</vt:lpstr>
      <vt:lpstr>z_YPOAFJ0182_MO_RIS_AdjustedNetIncome</vt:lpstr>
      <vt:lpstr>z_YPOAFJ0182_MO_RIS_AdjustedSharesOutstandingWAD</vt:lpstr>
      <vt:lpstr>z_YPOAFJ0182_MO_RIS_AdjustmentsforConvertibleSecurities</vt:lpstr>
      <vt:lpstr>z_YPOAFJ0182_MO_RIS_COGSadjforDA</vt:lpstr>
      <vt:lpstr>z_YPOAFJ0182_MO_RIS_consensusestimatesadjustedearningspersharewad</vt:lpstr>
      <vt:lpstr>z_YPOAFJ0182_MO_RIS_consensusestimatesadjustedebitda</vt:lpstr>
      <vt:lpstr>z_YPOAFJ0182_MO_RIS_consensusestimatesnetrevenue</vt:lpstr>
      <vt:lpstr>z_YPOAFJ0182_MO_RIS_Currenttax</vt:lpstr>
      <vt:lpstr>z_YPOAFJ0182_MO_RIS_Currenttaxrate</vt:lpstr>
      <vt:lpstr>z_YPOAFJ0182_MO_RIS_DA</vt:lpstr>
      <vt:lpstr>z_YPOAFJ0182_MO_RIS_Deferredtax</vt:lpstr>
      <vt:lpstr>z_YPOAFJ0182_MO_RIS_Deferredtaxrate</vt:lpstr>
      <vt:lpstr>z_YPOAFJ0182_MO_RIS_DilutedNetIncometoCommonShareholders</vt:lpstr>
      <vt:lpstr>z_YPOAFJ0182_MO_RIS_DiscontinuedOperations</vt:lpstr>
      <vt:lpstr>z_YPOAFJ0182_MO_RIS_EarningsPerShareWAB</vt:lpstr>
      <vt:lpstr>z_YPOAFJ0182_MO_RIS_EarningsPerShareWAD</vt:lpstr>
      <vt:lpstr>z_YPOAFJ0182_MO_RIS_EBIT</vt:lpstr>
      <vt:lpstr>z_YPOAFJ0182_MO_RIS_EBITDA</vt:lpstr>
      <vt:lpstr>z_YPOAFJ0182_MO_RIS_EBT</vt:lpstr>
      <vt:lpstr>z_YPOAFJ0182_MO_RIS_GrossProfit</vt:lpstr>
      <vt:lpstr>z_YPOAFJ0182_MO_RIS_Interestexpense</vt:lpstr>
      <vt:lpstr>z_YPOAFJ0182_MO_RIS_NetIncomefromContinuedOperation</vt:lpstr>
      <vt:lpstr>z_YPOAFJ0182_MO_RIS_NetIncometoCommonShareholders</vt:lpstr>
      <vt:lpstr>z_YPOAFJ0182_MO_RIS_NetIncometoNCI</vt:lpstr>
      <vt:lpstr>z_YPOAFJ0182_MO_RIS_NetRevenue</vt:lpstr>
      <vt:lpstr>z_YPOAFJ0182_MO_RIS_NonGAAPAdjustments</vt:lpstr>
      <vt:lpstr>z_YPOAFJ0182_MO_RIS_NonGAAPAdjustmentsforDilutiveSecurities</vt:lpstr>
      <vt:lpstr>z_YPOAFJ0182_MO_RIS_Onetimeitem</vt:lpstr>
      <vt:lpstr>z_YPOAFJ0182_MO_RIS_Otheritems</vt:lpstr>
      <vt:lpstr>z_YPOAFJ0182_MO_RIS_Preferredstockdividends</vt:lpstr>
      <vt:lpstr>z_YPOAFJ0182_MO_RIS_SBC</vt:lpstr>
      <vt:lpstr>z_YPOAFJ0182_MO_RIS_SGAadjforSBC</vt:lpstr>
      <vt:lpstr>z_YPOAFJ0182_MO_RIS_SharesOutstandingWAB</vt:lpstr>
      <vt:lpstr>z_YPOAFJ0182_MO_RIS_SharesOutstandingWAD</vt:lpstr>
      <vt:lpstr>z_YPOAFJ0182_MO_Section_AN_AdjustedNumbers</vt:lpstr>
      <vt:lpstr>z_YPOAFJ0182_MO_Section_BS_BalanceSheet</vt:lpstr>
      <vt:lpstr>z_YPOAFJ0182_MO_Section_BS_ModelChecks</vt:lpstr>
      <vt:lpstr>z_YPOAFJ0182_MO_Section_BSS_BalanceSheetSummary</vt:lpstr>
      <vt:lpstr>z_YPOAFJ0182_MO_Section_CCFS_CumulativeCashFlowStatement</vt:lpstr>
      <vt:lpstr>z_YPOAFJ0182_MO_Section_CFS_CashFlowStatement</vt:lpstr>
      <vt:lpstr>z_YPOAFJ0182_MO_Section_CFSum_CashFlowSummary</vt:lpstr>
      <vt:lpstr>z_YPOAFJ0182_MO_Section_GA_GrowthAnalysis</vt:lpstr>
      <vt:lpstr>z_YPOAFJ0182_MO_Section_IS_IncomeStatement</vt:lpstr>
      <vt:lpstr>z_YPOAFJ0182_MO_Section_MA_MarginAnalysis</vt:lpstr>
      <vt:lpstr>z_YPOAFJ0182_MO_Section_OS_KeyMetricsMajorCustomerswithRevenues10FS</vt:lpstr>
      <vt:lpstr>z_YPOAFJ0182_MO_Section_OS_OperatingStatsBacklogAnalysisFS</vt:lpstr>
      <vt:lpstr>z_YPOAFJ0182_MO_Section_OS_SegmentedResultsGeographicBreakdownFS</vt:lpstr>
      <vt:lpstr>z_YPOAFJ0182_MO_Section_OS_SegmentedResultsOperatingProfitBreakdownFS</vt:lpstr>
      <vt:lpstr>z_YPOAFJ0182_MO_Section_OS_SegmentedResultsRevenueBreakdownbyProductLineFS</vt:lpstr>
      <vt:lpstr>z_YPOAFJ0182_MO_Section_OS_SegmentedResultsRevenueBreakdownFS</vt:lpstr>
      <vt:lpstr>z_YPOAFJ0182_MO_Section_OS_WorkingCapitalForecasting</vt:lpstr>
      <vt:lpstr>z_YPOAFJ0182_MO_Section_RIS_RevisedIncomeStatement</vt:lpstr>
      <vt:lpstr>z_YPOAFJ0182_MO_Section_TB_Tables</vt:lpstr>
      <vt:lpstr>z_YPOAFJ0182_MO_Section_VA_Valuation</vt:lpstr>
      <vt:lpstr>z_YPOAFJ0182_MO_VA_EnterpriseValueAverage</vt:lpstr>
      <vt:lpstr>z_YPOAFJ0182_MO_VA_enterprisevaluecomponents</vt:lpstr>
      <vt:lpstr>z_YPOAFJ0182_MO_VA_EVEBITDAAverage</vt:lpstr>
      <vt:lpstr>z_YPOAFJ0182_MO_VA_FCFYieldtoAverageEnterpriseValue</vt:lpstr>
      <vt:lpstr>z_YPOAFJ0182_MO_VA_FCFYieldtoAverageMarketCap</vt:lpstr>
      <vt:lpstr>z_YPOAFJ0182_MO_VA_MarketCapAverage</vt:lpstr>
      <vt:lpstr>z_YPOAFJ0182_MO_VA_NoncontrollingInterest</vt:lpstr>
      <vt:lpstr>z_YPOAFJ0182_MO_VA_OtherEVComponents</vt:lpstr>
      <vt:lpstr>z_YPOAFJ0182_MO_VA_PCFAverage</vt:lpstr>
      <vt:lpstr>z_YPOAFJ0182_MO_VA_PEAverage</vt:lpstr>
      <vt:lpstr>z_YPOAFJ0182_MO_VA_PreferredShares</vt:lpstr>
      <vt:lpstr>z_YPOAFJ0182_MO_VA_StockAvg</vt:lpstr>
      <vt:lpstr>z_YPOAFJ0182_MO_VA_StockHigh</vt:lpstr>
      <vt:lpstr>z_YPOAFJ0182_MO_VA_StockLow</vt:lpstr>
      <vt:lpstr>z_YPOAFJ0182_MO_VA_StockPriceAverage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Canalyst</dc:creator>
  <cp:keywords/>
  <dc:description/>
  <cp:lastModifiedBy>Anil Shrivastava</cp:lastModifiedBy>
  <cp:lastPrinted>2016-04-29T05:43:54Z</cp:lastPrinted>
  <dcterms:created xsi:type="dcterms:W3CDTF">2016-04-22T21:21:10Z</dcterms:created>
  <dcterms:modified xsi:type="dcterms:W3CDTF">2020-09-04T02:21:14Z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0x010100E4D4D9351165C443AF5654A6B92E7AC1</vt:lpwstr>
  </property>
</Properties>
</file>