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A-G4" sheetId="1" r:id="rId3"/>
    <sheet state="visible" name="VOO" sheetId="2" r:id="rId4"/>
    <sheet state="visible" name="VEA" sheetId="3" r:id="rId5"/>
    <sheet state="visible" name="VWO" sheetId="4" r:id="rId6"/>
    <sheet state="visible" name="BND" sheetId="5" r:id="rId7"/>
    <sheet state="visible" name="LQD" sheetId="6" r:id="rId8"/>
    <sheet state="visible" name="IEF" sheetId="7" r:id="rId9"/>
    <sheet state="visible" name="SHY" sheetId="8" r:id="rId10"/>
    <sheet state="visible" name="TOKEN" sheetId="9" r:id="rId11"/>
  </sheets>
  <definedNames/>
  <calcPr/>
</workbook>
</file>

<file path=xl/sharedStrings.xml><?xml version="1.0" encoding="utf-8"?>
<sst xmlns="http://schemas.openxmlformats.org/spreadsheetml/2006/main" count="113" uniqueCount="35">
  <si>
    <t>VAA-G4</t>
  </si>
  <si>
    <t>Monthly Prices (EOM)</t>
  </si>
  <si>
    <t>1-month return</t>
  </si>
  <si>
    <t>3-month return</t>
  </si>
  <si>
    <t>6-month return</t>
  </si>
  <si>
    <t>12-month return</t>
  </si>
  <si>
    <t>13612W Momentum</t>
  </si>
  <si>
    <t>Ranks "risky"</t>
  </si>
  <si>
    <t>Ranks "cash"</t>
  </si>
  <si>
    <t>Position Sizes T=2/B=1</t>
  </si>
  <si>
    <t>Sum</t>
  </si>
  <si>
    <t>#bad</t>
  </si>
  <si>
    <t>Position Sizes T=1/B=1</t>
  </si>
  <si>
    <t>Portfolio Performance T=2/B=1</t>
  </si>
  <si>
    <t>Portfolio Performance T=1/B=1</t>
  </si>
  <si>
    <t>Portfolio T=2/B=1</t>
  </si>
  <si>
    <t>Rolling 12m profit</t>
  </si>
  <si>
    <t>Rolling 36m profit</t>
  </si>
  <si>
    <t>Portfolio T=1/B=1</t>
  </si>
  <si>
    <t>EOM</t>
  </si>
  <si>
    <t>VOO</t>
  </si>
  <si>
    <t>VEA</t>
  </si>
  <si>
    <t>VWO</t>
  </si>
  <si>
    <t>BND</t>
  </si>
  <si>
    <t>SHY</t>
  </si>
  <si>
    <t>IEF</t>
  </si>
  <si>
    <t>LQD</t>
  </si>
  <si>
    <t>Monthly%</t>
  </si>
  <si>
    <t>Rank:</t>
  </si>
  <si>
    <t>Rolling 1y</t>
  </si>
  <si>
    <t xml:space="preserve">Position Size: </t>
  </si>
  <si>
    <t>NB! Signals are only valid after the Close of the Month (and until the next NYSE market session)</t>
  </si>
  <si>
    <t>Rolling 3y</t>
  </si>
  <si>
    <t>TOKEN:</t>
  </si>
  <si>
    <t>25d00dd12bf447b9a11e179d79873af3f283ad58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</si>
</sst>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mmm\-yy"/>
    <numFmt numFmtId="165" formatCode="yyyy&quot;, &quot;mmmm"/>
    <numFmt numFmtId="166" formatCode="h:mm:ss am/pm"/>
    <numFmt numFmtId="167" formatCode="yyyy&quot;-&quot;mm&quot;-&quot;dd"/>
  </numFmts>
  <fonts count="17">
    <font>
      <sz val="10.0"/>
      <color rgb="FF000000"/>
      <name val="Arial"/>
    </font>
    <font>
      <b/>
      <sz val="8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</font>
    <font>
      <sz val="8.0"/>
      <color rgb="FF000000"/>
      <name val="Arial"/>
    </font>
    <font>
      <b/>
      <sz val="8.0"/>
    </font>
    <font/>
    <font>
      <sz val="8.0"/>
      <name val="Arial"/>
    </font>
    <font>
      <name val="Arial"/>
    </font>
    <font>
      <i/>
      <sz val="8.0"/>
      <color rgb="FF000000"/>
      <name val="Arial"/>
    </font>
    <font>
      <sz val="8.0"/>
    </font>
    <font>
      <b/>
      <sz val="8.0"/>
      <name val="Arial"/>
    </font>
    <font>
      <b/>
      <sz val="11.0"/>
      <color rgb="FF000000"/>
      <name val="Arial"/>
    </font>
    <font>
      <sz val="11.0"/>
    </font>
    <font>
      <sz val="11.0"/>
      <color rgb="FF0D3244"/>
      <name val="Arial"/>
    </font>
    <font>
      <color rgb="FF222222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6666"/>
        <bgColor rgb="FFFF6666"/>
      </patternFill>
    </fill>
    <fill>
      <patternFill patternType="solid">
        <fgColor rgb="FF85BB65"/>
        <bgColor rgb="FF85BB65"/>
      </patternFill>
    </fill>
    <fill>
      <patternFill patternType="solid">
        <fgColor rgb="FF228B22"/>
        <bgColor rgb="FF228B22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left style="medium">
        <color rgb="FF000000"/>
      </left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shrinkToFit="0" wrapText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0"/>
    </xf>
    <xf borderId="0" fillId="3" fontId="1" numFmtId="0" xfId="0" applyAlignment="1" applyFill="1" applyFont="1">
      <alignment horizontal="center" shrinkToFit="0" wrapText="0"/>
    </xf>
    <xf quotePrefix="1"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shrinkToFit="0" vertical="bottom" wrapText="0"/>
    </xf>
    <xf borderId="1" fillId="8" fontId="1" numFmtId="4" xfId="0" applyAlignment="1" applyBorder="1" applyFill="1" applyFont="1" applyNumberForma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10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0" fontId="5" numFmtId="10" xfId="0" applyAlignment="1" applyFont="1" applyNumberFormat="1">
      <alignment shrinkToFit="0" wrapText="0"/>
    </xf>
    <xf borderId="0" fillId="0" fontId="6" numFmtId="0" xfId="0" applyAlignment="1" applyFont="1">
      <alignment horizontal="center" readingOrder="0" shrinkToFit="0" wrapText="1"/>
    </xf>
    <xf borderId="0" fillId="3" fontId="7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readingOrder="0" shrinkToFit="0" wrapText="0"/>
    </xf>
    <xf borderId="0" fillId="0" fontId="5" numFmtId="165" xfId="0" applyAlignment="1" applyFont="1" applyNumberFormat="1">
      <alignment horizontal="left" shrinkToFit="0" wrapText="1"/>
    </xf>
    <xf borderId="0" fillId="0" fontId="5" numFmtId="4" xfId="0" applyAlignment="1" applyFont="1" applyNumberFormat="1">
      <alignment horizontal="right" shrinkToFit="0" wrapText="1"/>
    </xf>
    <xf borderId="0" fillId="3" fontId="8" numFmtId="0" xfId="0" applyAlignment="1" applyFont="1">
      <alignment shrinkToFit="0" wrapText="1"/>
    </xf>
    <xf borderId="0" fillId="0" fontId="5" numFmtId="0" xfId="0" applyAlignment="1" applyFont="1">
      <alignment horizontal="right" shrinkToFit="0" wrapText="0"/>
    </xf>
    <xf borderId="0" fillId="0" fontId="5" numFmtId="10" xfId="0" applyAlignment="1" applyFont="1" applyNumberFormat="1">
      <alignment horizontal="right" shrinkToFit="0" wrapText="0"/>
    </xf>
    <xf borderId="1" fillId="0" fontId="5" numFmtId="10" xfId="0" applyAlignment="1" applyBorder="1" applyFont="1" applyNumberFormat="1">
      <alignment horizontal="right" shrinkToFit="0" wrapText="0"/>
    </xf>
    <xf borderId="0" fillId="0" fontId="5" numFmtId="3" xfId="0" applyAlignment="1" applyFont="1" applyNumberFormat="1">
      <alignment horizontal="center" shrinkToFit="0" wrapText="0"/>
    </xf>
    <xf borderId="1" fillId="0" fontId="5" numFmtId="3" xfId="0" applyAlignment="1" applyBorder="1" applyFont="1" applyNumberFormat="1">
      <alignment horizontal="center" shrinkToFit="0" wrapText="0"/>
    </xf>
    <xf borderId="0" fillId="0" fontId="5" numFmtId="10" xfId="0" applyAlignment="1" applyFont="1" applyNumberFormat="1">
      <alignment shrinkToFit="0" wrapText="1"/>
    </xf>
    <xf borderId="1" fillId="0" fontId="5" numFmtId="10" xfId="0" applyAlignment="1" applyBorder="1" applyFont="1" applyNumberFormat="1">
      <alignment shrinkToFit="0" wrapText="1"/>
    </xf>
    <xf borderId="0" fillId="3" fontId="8" numFmtId="0" xfId="0" applyAlignment="1" applyFont="1">
      <alignment shrinkToFit="0" wrapText="1"/>
    </xf>
    <xf borderId="0" fillId="0" fontId="5" numFmtId="3" xfId="0" applyAlignment="1" applyFont="1" applyNumberFormat="1">
      <alignment horizontal="center" shrinkToFit="0" wrapText="1"/>
    </xf>
    <xf borderId="0" fillId="0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0" fontId="8" numFmtId="0" xfId="0" applyAlignment="1" applyFont="1">
      <alignment shrinkToFit="0" wrapText="1"/>
    </xf>
    <xf borderId="2" fillId="2" fontId="5" numFmtId="3" xfId="0" applyAlignment="1" applyBorder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shrinkToFit="0" wrapText="0"/>
    </xf>
    <xf borderId="0" fillId="3" fontId="5" numFmtId="10" xfId="0" applyAlignment="1" applyFont="1" applyNumberFormat="1">
      <alignment shrinkToFit="0" wrapText="0"/>
    </xf>
    <xf borderId="0" fillId="0" fontId="5" numFmtId="9" xfId="0" applyAlignment="1" applyFont="1" applyNumberFormat="1">
      <alignment readingOrder="0" shrinkToFit="0" wrapText="0"/>
    </xf>
    <xf borderId="0" fillId="0" fontId="8" numFmtId="0" xfId="0" applyAlignment="1" applyFont="1">
      <alignment readingOrder="0" shrinkToFit="0" wrapText="1"/>
    </xf>
    <xf borderId="0" fillId="11" fontId="5" numFmtId="3" xfId="0" applyAlignment="1" applyFill="1" applyFont="1" applyNumberFormat="1">
      <alignment horizontal="right" shrinkToFit="0" vertical="bottom" wrapText="0"/>
    </xf>
    <xf borderId="0" fillId="0" fontId="1" numFmtId="10" xfId="0" applyAlignment="1" applyFont="1" applyNumberFormat="1">
      <alignment horizontal="right" shrinkToFit="0" vertical="bottom" wrapText="0"/>
    </xf>
    <xf borderId="0" fillId="0" fontId="9" numFmtId="0" xfId="0" applyAlignment="1" applyFont="1">
      <alignment shrinkToFit="0" vertical="bottom" wrapText="1"/>
    </xf>
    <xf borderId="0" fillId="11" fontId="8" numFmtId="3" xfId="0" applyAlignment="1" applyFont="1" applyNumberFormat="1">
      <alignment shrinkToFit="0" wrapText="1"/>
    </xf>
    <xf borderId="0" fillId="0" fontId="8" numFmtId="10" xfId="0" applyAlignment="1" applyFont="1" applyNumberFormat="1">
      <alignment shrinkToFit="0" wrapText="1"/>
    </xf>
    <xf borderId="3" fillId="11" fontId="5" numFmtId="3" xfId="0" applyAlignment="1" applyBorder="1" applyFont="1" applyNumberFormat="1">
      <alignment horizontal="right" shrinkToFit="0" vertical="bottom" wrapText="0"/>
    </xf>
    <xf borderId="3" fillId="0" fontId="1" numFmtId="10" xfId="0" applyAlignment="1" applyBorder="1" applyFont="1" applyNumberFormat="1">
      <alignment horizontal="right" shrinkToFit="0" vertical="bottom" wrapText="0"/>
    </xf>
    <xf borderId="2" fillId="0" fontId="10" numFmtId="10" xfId="0" applyAlignment="1" applyBorder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left" shrinkToFit="0" wrapText="1"/>
    </xf>
    <xf borderId="0" fillId="0" fontId="11" numFmtId="2" xfId="0" applyAlignment="1" applyFont="1" applyNumberFormat="1">
      <alignment horizontal="right" shrinkToFit="0" vertical="bottom" wrapText="1"/>
    </xf>
    <xf borderId="3" fillId="0" fontId="10" numFmtId="10" xfId="0" applyAlignment="1" applyBorder="1" applyFont="1" applyNumberFormat="1">
      <alignment horizontal="right" shrinkToFit="0" vertical="bottom" wrapText="0"/>
    </xf>
    <xf borderId="3" fillId="11" fontId="8" numFmtId="3" xfId="0" applyAlignment="1" applyBorder="1" applyFont="1" applyNumberFormat="1">
      <alignment shrinkToFit="0" wrapText="1"/>
    </xf>
    <xf borderId="3" fillId="0" fontId="8" numFmtId="10" xfId="0" applyAlignment="1" applyBorder="1" applyFont="1" applyNumberFormat="1">
      <alignment shrinkToFit="0" wrapText="1"/>
    </xf>
    <xf borderId="0" fillId="0" fontId="5" numFmtId="164" xfId="0" applyAlignment="1" applyFont="1" applyNumberForma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4" fillId="0" fontId="12" numFmtId="3" xfId="0" applyAlignment="1" applyBorder="1" applyFont="1" applyNumberFormat="1">
      <alignment horizontal="center" shrinkToFit="0" wrapText="1"/>
    </xf>
    <xf borderId="5" fillId="0" fontId="12" numFmtId="3" xfId="0" applyAlignment="1" applyBorder="1" applyFont="1" applyNumberFormat="1">
      <alignment horizontal="center" shrinkToFit="0" wrapText="1"/>
    </xf>
    <xf borderId="6" fillId="0" fontId="12" numFmtId="3" xfId="0" applyAlignment="1" applyBorder="1" applyFont="1" applyNumberFormat="1">
      <alignment horizontal="center" shrinkToFit="0" wrapText="1"/>
    </xf>
    <xf borderId="7" fillId="0" fontId="12" numFmtId="3" xfId="0" applyAlignment="1" applyBorder="1" applyFont="1" applyNumberFormat="1">
      <alignment horizontal="center" shrinkToFit="0" wrapText="1"/>
    </xf>
    <xf borderId="0" fillId="3" fontId="4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right" readingOrder="0" shrinkToFit="0" wrapText="1"/>
    </xf>
    <xf borderId="8" fillId="0" fontId="12" numFmtId="10" xfId="0" applyAlignment="1" applyBorder="1" applyFont="1" applyNumberFormat="1">
      <alignment horizontal="center" shrinkToFit="0" wrapText="1"/>
    </xf>
    <xf borderId="0" fillId="0" fontId="12" numFmtId="10" xfId="0" applyAlignment="1" applyFont="1" applyNumberFormat="1">
      <alignment horizontal="center" shrinkToFit="0" wrapText="1"/>
    </xf>
    <xf borderId="1" fillId="0" fontId="12" numFmtId="10" xfId="0" applyAlignment="1" applyBorder="1" applyFont="1" applyNumberFormat="1">
      <alignment horizontal="center" shrinkToFit="0" wrapText="1"/>
    </xf>
    <xf borderId="9" fillId="0" fontId="12" numFmtId="10" xfId="0" applyAlignment="1" applyBorder="1" applyFont="1" applyNumberFormat="1">
      <alignment horizontal="center" shrinkToFit="0" wrapText="1"/>
    </xf>
    <xf borderId="0" fillId="3" fontId="12" numFmtId="0" xfId="0" applyAlignment="1" applyFont="1">
      <alignment shrinkToFit="0" wrapText="1"/>
    </xf>
    <xf borderId="8" fillId="2" fontId="13" numFmtId="0" xfId="0" applyAlignment="1" applyBorder="1" applyFont="1">
      <alignment horizontal="center" readingOrder="0" shrinkToFit="0" wrapText="1"/>
    </xf>
    <xf borderId="9" fillId="0" fontId="7" numFmtId="0" xfId="0" applyAlignment="1" applyBorder="1" applyFont="1">
      <alignment shrinkToFit="0" wrapText="1"/>
    </xf>
    <xf borderId="0" fillId="0" fontId="12" numFmtId="0" xfId="0" applyAlignment="1" applyFont="1">
      <alignment horizontal="center" readingOrder="0" shrinkToFit="0" wrapText="1"/>
    </xf>
    <xf borderId="0" fillId="0" fontId="6" numFmtId="166" xfId="0" applyAlignment="1" applyFont="1" applyNumberFormat="1">
      <alignment shrinkToFit="0" wrapText="1"/>
    </xf>
    <xf borderId="10" fillId="0" fontId="7" numFmtId="0" xfId="0" applyAlignment="1" applyBorder="1" applyFont="1">
      <alignment shrinkToFit="0" wrapText="1"/>
    </xf>
    <xf borderId="11" fillId="0" fontId="7" numFmtId="0" xfId="0" applyAlignment="1" applyBorder="1" applyFont="1">
      <alignment shrinkToFit="0" wrapText="1"/>
    </xf>
    <xf borderId="12" fillId="0" fontId="7" numFmtId="0" xfId="0" applyAlignment="1" applyBorder="1" applyFont="1">
      <alignment shrinkToFit="0" wrapText="1"/>
    </xf>
    <xf borderId="0" fillId="12" fontId="14" numFmtId="164" xfId="0" applyAlignment="1" applyFill="1" applyFont="1" applyNumberFormat="1">
      <alignment shrinkToFit="0" wrapText="1"/>
    </xf>
    <xf borderId="0" fillId="0" fontId="3" numFmtId="167" xfId="0" applyAlignment="1" applyFont="1" applyNumberFormat="1">
      <alignment horizontal="right" shrinkToFit="0" wrapText="1"/>
    </xf>
    <xf borderId="0" fillId="0" fontId="3" numFmtId="4" xfId="0" applyAlignment="1" applyFont="1" applyNumberFormat="1">
      <alignment horizontal="right" shrinkToFit="0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right" readingOrder="0" shrinkToFit="0" wrapText="1"/>
    </xf>
    <xf borderId="0" fillId="0" fontId="7" numFmtId="167" xfId="0" applyAlignment="1" applyFont="1" applyNumberFormat="1">
      <alignment shrinkToFit="0" wrapText="1"/>
    </xf>
    <xf borderId="0" fillId="0" fontId="7" numFmtId="4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bottom" wrapText="1"/>
    </xf>
    <xf borderId="0" fillId="2" fontId="16" numFmtId="0" xfId="0" applyAlignment="1" applyFont="1">
      <alignment horizontal="center" readingOrder="0" shrinkToFit="0" wrapText="1"/>
    </xf>
  </cellXfs>
  <cellStyles count="1">
    <cellStyle xfId="0" name="Normal" builtinId="0"/>
  </cellStyles>
  <dxfs count="1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CC00"/>
          <bgColor rgb="FF00CC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6666"/>
          <bgColor rgb="FFFF6666"/>
        </patternFill>
      </fill>
      <border/>
    </dxf>
    <dxf>
      <font/>
      <fill>
        <patternFill patternType="solid">
          <fgColor rgb="FF85BB65"/>
          <bgColor rgb="FF85BB65"/>
        </patternFill>
      </fill>
      <border/>
    </dxf>
    <dxf>
      <font/>
      <fill>
        <patternFill patternType="solid">
          <fgColor rgb="FF228B22"/>
          <bgColor rgb="FF228B22"/>
        </patternFill>
      </fill>
      <border/>
    </dxf>
    <dxf>
      <font>
        <color rgb="FF000000"/>
      </font>
      <fill>
        <patternFill patternType="solid">
          <fgColor rgb="FFFF00FF"/>
          <bgColor rgb="FFFF00FF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 outlineLevelCol="1"/>
  <cols>
    <col customWidth="1" min="1" max="1" width="3.29"/>
    <col customWidth="1" min="2" max="2" width="13.14"/>
    <col customWidth="1" min="3" max="9" width="7.29"/>
    <col customWidth="1" min="10" max="10" width="2.43"/>
    <col customWidth="1" min="11" max="17" width="7.29"/>
    <col customWidth="1" min="18" max="18" width="2.43"/>
    <col customWidth="1" min="19" max="25" width="7.29"/>
    <col customWidth="1" min="26" max="26" width="2.43"/>
    <col customWidth="1" min="27" max="33" width="7.29"/>
    <col customWidth="1" min="34" max="34" width="2.43"/>
    <col customWidth="1" min="35" max="41" width="7.29"/>
    <col customWidth="1" min="42" max="42" width="7.57"/>
    <col customWidth="1" min="43" max="49" width="7.29"/>
    <col collapsed="1" customWidth="1" min="50" max="50" width="2.43"/>
    <col customWidth="1" hidden="1" min="51" max="57" width="7.29" outlineLevel="1"/>
    <col customWidth="1" hidden="1" min="58" max="58" width="2.43" outlineLevel="1"/>
    <col customWidth="1" hidden="1" min="59" max="65" width="7.29" outlineLevel="1"/>
    <col customWidth="1" hidden="1" min="66" max="66" width="2.43" outlineLevel="1"/>
    <col customWidth="1" hidden="1" min="67" max="67" width="7.29" outlineLevel="1"/>
    <col customWidth="1" hidden="1" min="68" max="68" width="2.43" outlineLevel="1"/>
    <col customWidth="1" hidden="1" min="69" max="69" width="7.29" outlineLevel="1"/>
    <col customWidth="1" hidden="1" min="70" max="70" width="2.43" outlineLevel="1"/>
    <col customWidth="1" hidden="1" min="71" max="77" width="7.29" outlineLevel="1"/>
    <col customWidth="1" hidden="1" min="78" max="78" width="2.43" outlineLevel="1"/>
    <col customWidth="1" hidden="1" min="79" max="79" width="7.29" outlineLevel="1"/>
    <col customWidth="1" hidden="1" min="80" max="80" width="2.43" outlineLevel="1"/>
    <col customWidth="1" hidden="1" min="81" max="87" width="7.29" outlineLevel="1"/>
    <col customWidth="1" min="88" max="88" width="2.43"/>
    <col customWidth="1" min="89" max="95" width="7.29" outlineLevel="1"/>
    <col customWidth="1" min="96" max="96" width="10.14"/>
    <col customWidth="1" min="97" max="97" width="0.86"/>
    <col customWidth="1" hidden="1" min="98" max="100" width="8.86"/>
    <col customWidth="1" min="101" max="101" width="0.86"/>
    <col customWidth="1" min="102" max="102" width="10.14"/>
    <col customWidth="1" hidden="1" min="103" max="105" width="8.86"/>
    <col customWidth="1" hidden="1" min="106" max="106" width="0.86"/>
    <col customWidth="1" min="107" max="125" width="8.86"/>
  </cols>
  <sheetData>
    <row r="1" ht="33.75" customHeight="1">
      <c r="A1" s="1"/>
      <c r="B1" s="2" t="s">
        <v>0</v>
      </c>
      <c r="C1" s="3" t="s">
        <v>1</v>
      </c>
      <c r="J1" s="4"/>
      <c r="K1" s="5" t="s">
        <v>2</v>
      </c>
      <c r="R1" s="4"/>
      <c r="S1" s="5" t="s">
        <v>3</v>
      </c>
      <c r="Z1" s="4"/>
      <c r="AA1" s="5" t="s">
        <v>4</v>
      </c>
      <c r="AH1" s="4"/>
      <c r="AI1" s="5" t="s">
        <v>5</v>
      </c>
      <c r="AP1" s="4"/>
      <c r="AQ1" s="6" t="s">
        <v>6</v>
      </c>
      <c r="AX1" s="4"/>
      <c r="AY1" s="3" t="s">
        <v>7</v>
      </c>
      <c r="BC1" s="7" t="s">
        <v>8</v>
      </c>
      <c r="BF1" s="4"/>
      <c r="BG1" s="3" t="s">
        <v>9</v>
      </c>
      <c r="BN1" s="4"/>
      <c r="BO1" s="3" t="s">
        <v>10</v>
      </c>
      <c r="BP1" s="4"/>
      <c r="BQ1" s="3" t="s">
        <v>11</v>
      </c>
      <c r="BR1" s="4"/>
      <c r="BS1" s="3" t="s">
        <v>12</v>
      </c>
      <c r="BZ1" s="4"/>
      <c r="CA1" s="3" t="s">
        <v>10</v>
      </c>
      <c r="CB1" s="4"/>
      <c r="CC1" s="3" t="s">
        <v>13</v>
      </c>
      <c r="CJ1" s="4"/>
      <c r="CK1" s="3" t="s">
        <v>14</v>
      </c>
      <c r="CR1" s="8" t="s">
        <v>15</v>
      </c>
      <c r="CS1" s="9"/>
      <c r="CT1" s="10" t="s">
        <v>16</v>
      </c>
      <c r="CU1" s="10" t="s">
        <v>17</v>
      </c>
      <c r="CW1" s="9"/>
      <c r="CX1" s="8" t="s">
        <v>18</v>
      </c>
      <c r="CY1" s="10" t="s">
        <v>16</v>
      </c>
      <c r="CZ1" s="10" t="s">
        <v>17</v>
      </c>
      <c r="DB1" s="9"/>
      <c r="DC1" s="11"/>
      <c r="DD1" s="8" t="s">
        <v>15</v>
      </c>
      <c r="DE1" s="11"/>
      <c r="DF1" s="11"/>
      <c r="DG1" s="11"/>
      <c r="DH1" s="8" t="s">
        <v>18</v>
      </c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</row>
    <row r="2" ht="24.0" customHeight="1">
      <c r="A2" s="12"/>
      <c r="B2" s="13" t="s">
        <v>19</v>
      </c>
      <c r="C2" s="14" t="s">
        <v>20</v>
      </c>
      <c r="D2" s="15" t="s">
        <v>21</v>
      </c>
      <c r="E2" s="16" t="s">
        <v>22</v>
      </c>
      <c r="F2" s="17" t="s">
        <v>23</v>
      </c>
      <c r="G2" s="18" t="s">
        <v>24</v>
      </c>
      <c r="H2" s="19" t="s">
        <v>25</v>
      </c>
      <c r="I2" s="20" t="s">
        <v>26</v>
      </c>
      <c r="J2" s="21"/>
      <c r="K2" s="14" t="s">
        <v>20</v>
      </c>
      <c r="L2" s="15" t="s">
        <v>21</v>
      </c>
      <c r="M2" s="16" t="s">
        <v>22</v>
      </c>
      <c r="N2" s="17" t="s">
        <v>23</v>
      </c>
      <c r="O2" s="18" t="s">
        <v>24</v>
      </c>
      <c r="P2" s="19" t="s">
        <v>25</v>
      </c>
      <c r="Q2" s="20" t="s">
        <v>26</v>
      </c>
      <c r="R2" s="21"/>
      <c r="S2" s="14" t="s">
        <v>20</v>
      </c>
      <c r="T2" s="15" t="s">
        <v>21</v>
      </c>
      <c r="U2" s="16" t="s">
        <v>22</v>
      </c>
      <c r="V2" s="17" t="s">
        <v>23</v>
      </c>
      <c r="W2" s="18" t="s">
        <v>24</v>
      </c>
      <c r="X2" s="19" t="s">
        <v>25</v>
      </c>
      <c r="Y2" s="20" t="s">
        <v>26</v>
      </c>
      <c r="Z2" s="4"/>
      <c r="AA2" s="14" t="s">
        <v>20</v>
      </c>
      <c r="AB2" s="15" t="s">
        <v>21</v>
      </c>
      <c r="AC2" s="16" t="s">
        <v>22</v>
      </c>
      <c r="AD2" s="17" t="s">
        <v>23</v>
      </c>
      <c r="AE2" s="18" t="s">
        <v>24</v>
      </c>
      <c r="AF2" s="19" t="s">
        <v>25</v>
      </c>
      <c r="AG2" s="20" t="s">
        <v>26</v>
      </c>
      <c r="AH2" s="21"/>
      <c r="AI2" s="14" t="s">
        <v>20</v>
      </c>
      <c r="AJ2" s="15" t="s">
        <v>21</v>
      </c>
      <c r="AK2" s="16" t="s">
        <v>22</v>
      </c>
      <c r="AL2" s="17" t="s">
        <v>23</v>
      </c>
      <c r="AM2" s="18" t="s">
        <v>24</v>
      </c>
      <c r="AN2" s="19" t="s">
        <v>25</v>
      </c>
      <c r="AO2" s="20" t="s">
        <v>26</v>
      </c>
      <c r="AP2" s="21"/>
      <c r="AQ2" s="14" t="s">
        <v>20</v>
      </c>
      <c r="AR2" s="15" t="s">
        <v>21</v>
      </c>
      <c r="AS2" s="16" t="s">
        <v>22</v>
      </c>
      <c r="AT2" s="17" t="s">
        <v>23</v>
      </c>
      <c r="AU2" s="18" t="s">
        <v>24</v>
      </c>
      <c r="AV2" s="19" t="s">
        <v>25</v>
      </c>
      <c r="AW2" s="20" t="s">
        <v>26</v>
      </c>
      <c r="AX2" s="21"/>
      <c r="AY2" s="14" t="s">
        <v>20</v>
      </c>
      <c r="AZ2" s="15" t="s">
        <v>21</v>
      </c>
      <c r="BA2" s="16" t="s">
        <v>22</v>
      </c>
      <c r="BB2" s="17" t="s">
        <v>23</v>
      </c>
      <c r="BC2" s="18" t="s">
        <v>24</v>
      </c>
      <c r="BD2" s="19" t="s">
        <v>25</v>
      </c>
      <c r="BE2" s="20" t="s">
        <v>26</v>
      </c>
      <c r="BF2" s="21"/>
      <c r="BG2" s="14" t="s">
        <v>20</v>
      </c>
      <c r="BH2" s="15" t="s">
        <v>21</v>
      </c>
      <c r="BI2" s="16" t="s">
        <v>22</v>
      </c>
      <c r="BJ2" s="17" t="s">
        <v>23</v>
      </c>
      <c r="BK2" s="18" t="s">
        <v>24</v>
      </c>
      <c r="BL2" s="19" t="s">
        <v>25</v>
      </c>
      <c r="BM2" s="20" t="s">
        <v>26</v>
      </c>
      <c r="BN2" s="21"/>
      <c r="BO2" s="22"/>
      <c r="BP2" s="21"/>
      <c r="BQ2" s="22"/>
      <c r="BR2" s="21"/>
      <c r="BS2" s="14" t="s">
        <v>20</v>
      </c>
      <c r="BT2" s="15" t="s">
        <v>21</v>
      </c>
      <c r="BU2" s="16" t="s">
        <v>22</v>
      </c>
      <c r="BV2" s="17" t="s">
        <v>23</v>
      </c>
      <c r="BW2" s="18" t="s">
        <v>24</v>
      </c>
      <c r="BX2" s="19" t="s">
        <v>25</v>
      </c>
      <c r="BY2" s="20" t="s">
        <v>26</v>
      </c>
      <c r="BZ2" s="21"/>
      <c r="CA2" s="22"/>
      <c r="CB2" s="21"/>
      <c r="CC2" s="14" t="s">
        <v>20</v>
      </c>
      <c r="CD2" s="15" t="s">
        <v>21</v>
      </c>
      <c r="CE2" s="16" t="s">
        <v>22</v>
      </c>
      <c r="CF2" s="17" t="s">
        <v>23</v>
      </c>
      <c r="CG2" s="18" t="s">
        <v>24</v>
      </c>
      <c r="CH2" s="19" t="s">
        <v>25</v>
      </c>
      <c r="CI2" s="20" t="s">
        <v>26</v>
      </c>
      <c r="CJ2" s="21"/>
      <c r="CK2" s="14" t="s">
        <v>20</v>
      </c>
      <c r="CL2" s="15" t="s">
        <v>21</v>
      </c>
      <c r="CM2" s="16" t="s">
        <v>22</v>
      </c>
      <c r="CN2" s="17" t="s">
        <v>23</v>
      </c>
      <c r="CO2" s="18" t="s">
        <v>24</v>
      </c>
      <c r="CP2" s="19" t="s">
        <v>25</v>
      </c>
      <c r="CQ2" s="20" t="s">
        <v>26</v>
      </c>
      <c r="CR2" s="23" t="s">
        <v>27</v>
      </c>
      <c r="CS2" s="24"/>
      <c r="CT2" s="25"/>
      <c r="CU2" s="26"/>
      <c r="CV2" s="26"/>
      <c r="CW2" s="24"/>
      <c r="CX2" s="23" t="s">
        <v>27</v>
      </c>
      <c r="CY2" s="25"/>
      <c r="CZ2" s="26"/>
      <c r="DA2" s="26"/>
      <c r="DB2" s="24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26"/>
      <c r="DO2" s="26"/>
      <c r="DP2" s="26"/>
      <c r="DQ2" s="26"/>
      <c r="DR2" s="26"/>
      <c r="DS2" s="26"/>
      <c r="DT2" s="26"/>
      <c r="DU2" s="26"/>
    </row>
    <row r="3" ht="13.5" customHeight="1">
      <c r="A3" s="27">
        <v>93.0</v>
      </c>
      <c r="B3" s="28">
        <f t="shared" ref="B3:B94" si="2">indirect(CONCATENATE("VOO!$A$",$A3))</f>
        <v>41547</v>
      </c>
      <c r="C3" s="29">
        <f t="shared" ref="C3:I3" si="1">indirect(CONCATENATE(C$2,"!$G$",$A3))</f>
        <v>133.0053584</v>
      </c>
      <c r="D3" s="29">
        <f t="shared" si="1"/>
        <v>31.82853245</v>
      </c>
      <c r="E3" s="29">
        <f t="shared" si="1"/>
        <v>32.99691544</v>
      </c>
      <c r="F3" s="29">
        <f t="shared" si="1"/>
        <v>66.34845347</v>
      </c>
      <c r="G3" s="29">
        <f t="shared" si="1"/>
        <v>78.32632828</v>
      </c>
      <c r="H3" s="29">
        <f t="shared" si="1"/>
        <v>88.93618853</v>
      </c>
      <c r="I3" s="29">
        <f t="shared" si="1"/>
        <v>88.52032534</v>
      </c>
      <c r="J3" s="30"/>
      <c r="K3" s="31"/>
      <c r="L3" s="31"/>
      <c r="M3" s="31"/>
      <c r="N3" s="31"/>
      <c r="O3" s="31"/>
      <c r="P3" s="31"/>
      <c r="Q3" s="31"/>
      <c r="R3" s="30"/>
      <c r="S3" s="31"/>
      <c r="T3" s="31"/>
      <c r="U3" s="31"/>
      <c r="V3" s="31"/>
      <c r="W3" s="31"/>
      <c r="X3" s="31"/>
      <c r="Y3" s="31"/>
      <c r="Z3" s="30"/>
      <c r="AA3" s="31"/>
      <c r="AB3" s="31"/>
      <c r="AC3" s="31"/>
      <c r="AD3" s="31"/>
      <c r="AE3" s="31"/>
      <c r="AF3" s="31"/>
      <c r="AG3" s="31"/>
      <c r="AH3" s="30"/>
      <c r="AI3" s="31"/>
      <c r="AJ3" s="31"/>
      <c r="AK3" s="31"/>
      <c r="AL3" s="31"/>
      <c r="AM3" s="31"/>
      <c r="AN3" s="31"/>
      <c r="AO3" s="31"/>
      <c r="AP3" s="30"/>
      <c r="AQ3" s="32"/>
      <c r="AR3" s="32"/>
      <c r="AS3" s="32"/>
      <c r="AT3" s="32"/>
      <c r="AU3" s="33"/>
      <c r="AV3" s="32"/>
      <c r="AW3" s="32"/>
      <c r="AX3" s="30"/>
      <c r="AY3" s="34"/>
      <c r="AZ3" s="34"/>
      <c r="BA3" s="34"/>
      <c r="BB3" s="34"/>
      <c r="BC3" s="35"/>
      <c r="BD3" s="34"/>
      <c r="BE3" s="34"/>
      <c r="BF3" s="30"/>
      <c r="BG3" s="36"/>
      <c r="BH3" s="36"/>
      <c r="BI3" s="36"/>
      <c r="BJ3" s="36"/>
      <c r="BK3" s="37"/>
      <c r="BL3" s="36"/>
      <c r="BM3" s="36"/>
      <c r="BN3" s="38"/>
      <c r="BO3" s="22"/>
      <c r="BP3" s="38"/>
      <c r="BQ3" s="39"/>
      <c r="BR3" s="30"/>
      <c r="BS3" s="36"/>
      <c r="BT3" s="36"/>
      <c r="BU3" s="36"/>
      <c r="BV3" s="36"/>
      <c r="BW3" s="37"/>
      <c r="BX3" s="36"/>
      <c r="BY3" s="36"/>
      <c r="BZ3" s="38"/>
      <c r="CA3" s="22"/>
      <c r="CB3" s="30"/>
      <c r="CC3" s="40"/>
      <c r="CD3" s="40"/>
      <c r="CE3" s="40"/>
      <c r="CF3" s="40"/>
      <c r="CG3" s="40"/>
      <c r="CH3" s="40"/>
      <c r="CI3" s="40"/>
      <c r="CJ3" s="30"/>
      <c r="CK3" s="40"/>
      <c r="CL3" s="40"/>
      <c r="CM3" s="40"/>
      <c r="CN3" s="40"/>
      <c r="CO3" s="40"/>
      <c r="CP3" s="40"/>
      <c r="CQ3" s="40"/>
      <c r="CR3" s="40"/>
      <c r="CS3" s="41"/>
      <c r="CT3" s="40"/>
      <c r="CU3" s="40"/>
      <c r="CV3" s="42"/>
      <c r="CW3" s="41"/>
      <c r="CX3" s="40"/>
      <c r="CY3" s="40"/>
      <c r="CZ3" s="40"/>
      <c r="DA3" s="42"/>
      <c r="DB3" s="41"/>
      <c r="DC3" s="40"/>
      <c r="DD3" s="43">
        <v>100000.0</v>
      </c>
      <c r="DE3" s="40"/>
      <c r="DF3" s="40"/>
      <c r="DG3" s="40"/>
      <c r="DH3" s="43">
        <v>100000.0</v>
      </c>
      <c r="DI3" s="42"/>
      <c r="DJ3" s="42"/>
      <c r="DK3" s="40"/>
      <c r="DL3" s="40"/>
      <c r="DM3" s="40"/>
      <c r="DN3" s="42"/>
      <c r="DO3" s="40"/>
      <c r="DP3" s="40"/>
      <c r="DQ3" s="42"/>
      <c r="DR3" s="40"/>
      <c r="DS3" s="40"/>
      <c r="DT3" s="40"/>
      <c r="DU3" s="40"/>
    </row>
    <row r="4" ht="13.5" customHeight="1">
      <c r="A4" s="27">
        <v>92.0</v>
      </c>
      <c r="B4" s="28">
        <f t="shared" si="2"/>
        <v>41578</v>
      </c>
      <c r="C4" s="29">
        <f t="shared" ref="C4:I4" si="3">indirect(CONCATENATE(C$2,"!$G$",$A4))</f>
        <v>138.947416</v>
      </c>
      <c r="D4" s="29">
        <f t="shared" si="3"/>
        <v>32.84981179</v>
      </c>
      <c r="E4" s="29">
        <f t="shared" si="3"/>
        <v>34.41923172</v>
      </c>
      <c r="F4" s="29">
        <f t="shared" si="3"/>
        <v>66.91779263</v>
      </c>
      <c r="G4" s="29">
        <f t="shared" si="3"/>
        <v>78.38055351</v>
      </c>
      <c r="H4" s="29">
        <f t="shared" si="3"/>
        <v>89.62850363</v>
      </c>
      <c r="I4" s="29">
        <f t="shared" si="3"/>
        <v>90.12087588</v>
      </c>
      <c r="J4" s="30"/>
      <c r="K4" s="32">
        <f t="shared" ref="K4:Q4" si="4">C4/C3-1</f>
        <v>0.04467532468</v>
      </c>
      <c r="L4" s="32">
        <f t="shared" si="4"/>
        <v>0.03208691258</v>
      </c>
      <c r="M4" s="32">
        <f t="shared" si="4"/>
        <v>0.04310452224</v>
      </c>
      <c r="N4" s="32">
        <f t="shared" si="4"/>
        <v>0.008581046462</v>
      </c>
      <c r="O4" s="32">
        <f t="shared" si="4"/>
        <v>0.0006922989506</v>
      </c>
      <c r="P4" s="32">
        <f t="shared" si="4"/>
        <v>0.0077844026</v>
      </c>
      <c r="Q4" s="32">
        <f t="shared" si="4"/>
        <v>0.01808116418</v>
      </c>
      <c r="R4" s="30"/>
      <c r="S4" s="32"/>
      <c r="T4" s="32"/>
      <c r="U4" s="32"/>
      <c r="V4" s="32"/>
      <c r="W4" s="32"/>
      <c r="X4" s="32"/>
      <c r="Y4" s="32"/>
      <c r="Z4" s="30"/>
      <c r="AA4" s="31"/>
      <c r="AB4" s="31"/>
      <c r="AC4" s="31"/>
      <c r="AD4" s="31"/>
      <c r="AE4" s="31"/>
      <c r="AF4" s="31"/>
      <c r="AG4" s="31"/>
      <c r="AH4" s="30"/>
      <c r="AI4" s="32"/>
      <c r="AJ4" s="32"/>
      <c r="AK4" s="32"/>
      <c r="AL4" s="32"/>
      <c r="AM4" s="32"/>
      <c r="AN4" s="32"/>
      <c r="AO4" s="32"/>
      <c r="AP4" s="30"/>
      <c r="AQ4" s="32">
        <f t="shared" ref="AQ4:AW4" si="5">(12*K4+4*S4+2*AA4+AI4)/4</f>
        <v>0.134025974</v>
      </c>
      <c r="AR4" s="32">
        <f t="shared" si="5"/>
        <v>0.09626073775</v>
      </c>
      <c r="AS4" s="32">
        <f t="shared" si="5"/>
        <v>0.1293135667</v>
      </c>
      <c r="AT4" s="32">
        <f t="shared" si="5"/>
        <v>0.02574313939</v>
      </c>
      <c r="AU4" s="33">
        <f t="shared" si="5"/>
        <v>0.002076896852</v>
      </c>
      <c r="AV4" s="32">
        <f t="shared" si="5"/>
        <v>0.0233532078</v>
      </c>
      <c r="AW4" s="32">
        <f t="shared" si="5"/>
        <v>0.05424349255</v>
      </c>
      <c r="AX4" s="30"/>
      <c r="AY4" s="34">
        <f t="shared" ref="AY4:BB4" si="6">rank(AQ4,$AQ4:$AT4)</f>
        <v>1</v>
      </c>
      <c r="AZ4" s="34">
        <f t="shared" si="6"/>
        <v>3</v>
      </c>
      <c r="BA4" s="34">
        <f t="shared" si="6"/>
        <v>2</v>
      </c>
      <c r="BB4" s="34">
        <f t="shared" si="6"/>
        <v>4</v>
      </c>
      <c r="BC4" s="35">
        <f t="shared" ref="BC4:BE4" si="7">rank(AU4,$AU4:$AW4)</f>
        <v>3</v>
      </c>
      <c r="BD4" s="34">
        <f t="shared" si="7"/>
        <v>2</v>
      </c>
      <c r="BE4" s="34">
        <f t="shared" si="7"/>
        <v>1</v>
      </c>
      <c r="BF4" s="30"/>
      <c r="BG4" s="36">
        <f t="shared" ref="BG4:BJ4" si="8">if(and($BQ4=0,AY4&lt;=2),0.5,0)</f>
        <v>0.5</v>
      </c>
      <c r="BH4" s="36">
        <f t="shared" si="8"/>
        <v>0</v>
      </c>
      <c r="BI4" s="36">
        <f t="shared" si="8"/>
        <v>0.5</v>
      </c>
      <c r="BJ4" s="36">
        <f t="shared" si="8"/>
        <v>0</v>
      </c>
      <c r="BK4" s="37">
        <f t="shared" ref="BK4:BM4" si="9">if(and($BQ4&gt;0,BC4=1),1,0)</f>
        <v>0</v>
      </c>
      <c r="BL4" s="36">
        <f t="shared" si="9"/>
        <v>0</v>
      </c>
      <c r="BM4" s="36">
        <f t="shared" si="9"/>
        <v>0</v>
      </c>
      <c r="BN4" s="38"/>
      <c r="BO4" s="22">
        <f t="shared" ref="BO4:BO94" si="21">sum(BG4:BM4)</f>
        <v>1</v>
      </c>
      <c r="BP4" s="38"/>
      <c r="BQ4" s="39">
        <f t="shared" ref="BQ4:BQ94" si="22">COUNTIF(AQ4:AT4,"&lt;=0")</f>
        <v>0</v>
      </c>
      <c r="BR4" s="30"/>
      <c r="BS4" s="36">
        <f t="shared" ref="BS4:BV4" si="10">if(and($BQ4=0,AY4=1),1,0)</f>
        <v>1</v>
      </c>
      <c r="BT4" s="36">
        <f t="shared" si="10"/>
        <v>0</v>
      </c>
      <c r="BU4" s="36">
        <f t="shared" si="10"/>
        <v>0</v>
      </c>
      <c r="BV4" s="36">
        <f t="shared" si="10"/>
        <v>0</v>
      </c>
      <c r="BW4" s="37">
        <f t="shared" ref="BW4:BY4" si="11">if(and($BQ4&gt;0,BC4=1),1,0)</f>
        <v>0</v>
      </c>
      <c r="BX4" s="36">
        <f t="shared" si="11"/>
        <v>0</v>
      </c>
      <c r="BY4" s="36">
        <f t="shared" si="11"/>
        <v>0</v>
      </c>
      <c r="BZ4" s="38"/>
      <c r="CA4" s="22">
        <f t="shared" ref="CA4:CA94" si="25">sum(BS4:BY4)</f>
        <v>1</v>
      </c>
      <c r="CB4" s="30"/>
      <c r="CC4" s="22">
        <f t="shared" ref="CC4:CI4" si="12">BG3*K4</f>
        <v>0</v>
      </c>
      <c r="CD4" s="22">
        <f t="shared" si="12"/>
        <v>0</v>
      </c>
      <c r="CE4" s="22">
        <f t="shared" si="12"/>
        <v>0</v>
      </c>
      <c r="CF4" s="22">
        <f t="shared" si="12"/>
        <v>0</v>
      </c>
      <c r="CG4" s="22">
        <f t="shared" si="12"/>
        <v>0</v>
      </c>
      <c r="CH4" s="22">
        <f t="shared" si="12"/>
        <v>0</v>
      </c>
      <c r="CI4" s="22">
        <f t="shared" si="12"/>
        <v>0</v>
      </c>
      <c r="CJ4" s="38"/>
      <c r="CK4" s="22">
        <f t="shared" ref="CK4:CQ4" si="13">BS3*K4</f>
        <v>0</v>
      </c>
      <c r="CL4" s="22">
        <f t="shared" si="13"/>
        <v>0</v>
      </c>
      <c r="CM4" s="22">
        <f t="shared" si="13"/>
        <v>0</v>
      </c>
      <c r="CN4" s="22">
        <f t="shared" si="13"/>
        <v>0</v>
      </c>
      <c r="CO4" s="22">
        <f t="shared" si="13"/>
        <v>0</v>
      </c>
      <c r="CP4" s="22">
        <f t="shared" si="13"/>
        <v>0</v>
      </c>
      <c r="CQ4" s="22">
        <f t="shared" si="13"/>
        <v>0</v>
      </c>
      <c r="CR4" s="44">
        <f t="shared" ref="CR4:CR94" si="28">sum(CC4:CI4)</f>
        <v>0</v>
      </c>
      <c r="CS4" s="45"/>
      <c r="CT4" s="40"/>
      <c r="CU4" s="46">
        <v>1.0</v>
      </c>
      <c r="CV4" s="47">
        <v>0.0</v>
      </c>
      <c r="CW4" s="45"/>
      <c r="CX4" s="44">
        <f t="shared" ref="CX4:CX94" si="29">sum(CK4:CQ4)</f>
        <v>0</v>
      </c>
      <c r="CY4" s="40"/>
      <c r="CZ4" s="40"/>
      <c r="DA4" s="42"/>
      <c r="DB4" s="41"/>
      <c r="DC4" s="40"/>
      <c r="DD4" s="48">
        <f t="shared" ref="DD4:DD94" si="30">DD3*(1+CR4)</f>
        <v>100000</v>
      </c>
      <c r="DE4" s="49">
        <f t="shared" ref="DE4:DE94" si="31">DD4/DD3-1</f>
        <v>0</v>
      </c>
      <c r="DF4" s="50"/>
      <c r="DG4" s="40"/>
      <c r="DH4" s="51">
        <f t="shared" ref="DH4:DH94" si="32">DH3*(1+CX4)</f>
        <v>100000</v>
      </c>
      <c r="DI4" s="52">
        <f t="shared" ref="DI4:DI94" si="33">CX4</f>
        <v>0</v>
      </c>
      <c r="DJ4" s="50"/>
      <c r="DK4" s="40"/>
      <c r="DL4" s="40"/>
      <c r="DM4" s="40"/>
      <c r="DN4" s="42"/>
      <c r="DO4" s="40"/>
      <c r="DP4" s="40"/>
      <c r="DQ4" s="42"/>
      <c r="DR4" s="40"/>
      <c r="DS4" s="40"/>
      <c r="DT4" s="40"/>
      <c r="DU4" s="40"/>
    </row>
    <row r="5" ht="13.5" customHeight="1">
      <c r="A5" s="27">
        <v>91.0</v>
      </c>
      <c r="B5" s="28">
        <f t="shared" si="2"/>
        <v>41607</v>
      </c>
      <c r="C5" s="29">
        <f t="shared" ref="C5:I5" si="14">indirect(CONCATENATE(C$2,"!$G$",$A5))</f>
        <v>143.110311</v>
      </c>
      <c r="D5" s="29">
        <f t="shared" si="14"/>
        <v>33.06693416</v>
      </c>
      <c r="E5" s="29">
        <f t="shared" si="14"/>
        <v>34.10270469</v>
      </c>
      <c r="F5" s="29">
        <f t="shared" si="14"/>
        <v>66.72103737</v>
      </c>
      <c r="G5" s="29">
        <f t="shared" si="14"/>
        <v>78.45390702</v>
      </c>
      <c r="H5" s="29">
        <f t="shared" si="14"/>
        <v>88.84425356</v>
      </c>
      <c r="I5" s="29">
        <f t="shared" si="14"/>
        <v>89.99609114</v>
      </c>
      <c r="J5" s="30"/>
      <c r="K5" s="32">
        <f t="shared" ref="K5:Q5" si="15">C5/C4-1</f>
        <v>0.0299602188</v>
      </c>
      <c r="L5" s="32">
        <f t="shared" si="15"/>
        <v>0.006609547124</v>
      </c>
      <c r="M5" s="32">
        <f t="shared" si="15"/>
        <v>-0.009196225964</v>
      </c>
      <c r="N5" s="32">
        <f t="shared" si="15"/>
        <v>-0.002940253308</v>
      </c>
      <c r="O5" s="32">
        <f t="shared" si="15"/>
        <v>0.0009358635676</v>
      </c>
      <c r="P5" s="32">
        <f t="shared" si="15"/>
        <v>-0.008750007445</v>
      </c>
      <c r="Q5" s="32">
        <f t="shared" si="15"/>
        <v>-0.001384637477</v>
      </c>
      <c r="R5" s="30"/>
      <c r="S5" s="32"/>
      <c r="T5" s="32"/>
      <c r="U5" s="32"/>
      <c r="V5" s="32"/>
      <c r="W5" s="32"/>
      <c r="X5" s="32"/>
      <c r="Y5" s="32"/>
      <c r="Z5" s="30"/>
      <c r="AA5" s="31"/>
      <c r="AB5" s="31"/>
      <c r="AC5" s="31"/>
      <c r="AD5" s="31"/>
      <c r="AE5" s="31"/>
      <c r="AF5" s="31"/>
      <c r="AG5" s="31"/>
      <c r="AH5" s="30"/>
      <c r="AI5" s="32"/>
      <c r="AJ5" s="32"/>
      <c r="AK5" s="32"/>
      <c r="AL5" s="32"/>
      <c r="AM5" s="32"/>
      <c r="AN5" s="32"/>
      <c r="AO5" s="32"/>
      <c r="AP5" s="30"/>
      <c r="AQ5" s="32">
        <f t="shared" ref="AQ5:AW5" si="16">(12*K5+4*S5+2*AA5+AI5)/4</f>
        <v>0.08988065639</v>
      </c>
      <c r="AR5" s="32">
        <f t="shared" si="16"/>
        <v>0.01982864137</v>
      </c>
      <c r="AS5" s="32">
        <f t="shared" si="16"/>
        <v>-0.02758867789</v>
      </c>
      <c r="AT5" s="32">
        <f t="shared" si="16"/>
        <v>-0.008820759924</v>
      </c>
      <c r="AU5" s="33">
        <f t="shared" si="16"/>
        <v>0.002807590703</v>
      </c>
      <c r="AV5" s="32">
        <f t="shared" si="16"/>
        <v>-0.02625002233</v>
      </c>
      <c r="AW5" s="32">
        <f t="shared" si="16"/>
        <v>-0.004153912431</v>
      </c>
      <c r="AX5" s="30"/>
      <c r="AY5" s="34">
        <f t="shared" ref="AY5:BB5" si="17">rank(AQ5,$AQ5:$AT5)</f>
        <v>1</v>
      </c>
      <c r="AZ5" s="34">
        <f t="shared" si="17"/>
        <v>2</v>
      </c>
      <c r="BA5" s="34">
        <f t="shared" si="17"/>
        <v>4</v>
      </c>
      <c r="BB5" s="34">
        <f t="shared" si="17"/>
        <v>3</v>
      </c>
      <c r="BC5" s="35">
        <f t="shared" ref="BC5:BE5" si="18">rank(AU5,$AU5:$AW5)</f>
        <v>1</v>
      </c>
      <c r="BD5" s="34">
        <f t="shared" si="18"/>
        <v>3</v>
      </c>
      <c r="BE5" s="34">
        <f t="shared" si="18"/>
        <v>2</v>
      </c>
      <c r="BF5" s="30"/>
      <c r="BG5" s="36">
        <f t="shared" ref="BG5:BJ5" si="19">if(and($BQ5=0,AY5&lt;=2),0.5,0)</f>
        <v>0</v>
      </c>
      <c r="BH5" s="36">
        <f t="shared" si="19"/>
        <v>0</v>
      </c>
      <c r="BI5" s="36">
        <f t="shared" si="19"/>
        <v>0</v>
      </c>
      <c r="BJ5" s="36">
        <f t="shared" si="19"/>
        <v>0</v>
      </c>
      <c r="BK5" s="37">
        <f t="shared" ref="BK5:BM5" si="20">if(and($BQ5&gt;0,BC5=1),1,0)</f>
        <v>1</v>
      </c>
      <c r="BL5" s="36">
        <f t="shared" si="20"/>
        <v>0</v>
      </c>
      <c r="BM5" s="36">
        <f t="shared" si="20"/>
        <v>0</v>
      </c>
      <c r="BN5" s="38"/>
      <c r="BO5" s="22">
        <f t="shared" si="21"/>
        <v>1</v>
      </c>
      <c r="BP5" s="38"/>
      <c r="BQ5" s="39">
        <f t="shared" si="22"/>
        <v>2</v>
      </c>
      <c r="BR5" s="30"/>
      <c r="BS5" s="36">
        <f t="shared" ref="BS5:BV5" si="23">if(and($BQ5=0,AY5=1),1,0)</f>
        <v>0</v>
      </c>
      <c r="BT5" s="36">
        <f t="shared" si="23"/>
        <v>0</v>
      </c>
      <c r="BU5" s="36">
        <f t="shared" si="23"/>
        <v>0</v>
      </c>
      <c r="BV5" s="36">
        <f t="shared" si="23"/>
        <v>0</v>
      </c>
      <c r="BW5" s="37">
        <f t="shared" ref="BW5:BY5" si="24">if(and($BQ5&gt;0,BC5=1),1,0)</f>
        <v>1</v>
      </c>
      <c r="BX5" s="36">
        <f t="shared" si="24"/>
        <v>0</v>
      </c>
      <c r="BY5" s="36">
        <f t="shared" si="24"/>
        <v>0</v>
      </c>
      <c r="BZ5" s="38"/>
      <c r="CA5" s="22">
        <f t="shared" si="25"/>
        <v>1</v>
      </c>
      <c r="CB5" s="30"/>
      <c r="CC5" s="22">
        <f t="shared" ref="CC5:CI5" si="26">BG4*K5</f>
        <v>0.0149801094</v>
      </c>
      <c r="CD5" s="22">
        <f t="shared" si="26"/>
        <v>0</v>
      </c>
      <c r="CE5" s="22">
        <f t="shared" si="26"/>
        <v>-0.004598112982</v>
      </c>
      <c r="CF5" s="22">
        <f t="shared" si="26"/>
        <v>0</v>
      </c>
      <c r="CG5" s="22">
        <f t="shared" si="26"/>
        <v>0</v>
      </c>
      <c r="CH5" s="22">
        <f t="shared" si="26"/>
        <v>0</v>
      </c>
      <c r="CI5" s="22">
        <f t="shared" si="26"/>
        <v>0</v>
      </c>
      <c r="CJ5" s="38"/>
      <c r="CK5" s="22">
        <f t="shared" ref="CK5:CQ5" si="27">BS4*K5</f>
        <v>0.0299602188</v>
      </c>
      <c r="CL5" s="22">
        <f t="shared" si="27"/>
        <v>0</v>
      </c>
      <c r="CM5" s="22">
        <f t="shared" si="27"/>
        <v>0</v>
      </c>
      <c r="CN5" s="22">
        <f t="shared" si="27"/>
        <v>0</v>
      </c>
      <c r="CO5" s="22">
        <f t="shared" si="27"/>
        <v>0</v>
      </c>
      <c r="CP5" s="22">
        <f t="shared" si="27"/>
        <v>0</v>
      </c>
      <c r="CQ5" s="22">
        <f t="shared" si="27"/>
        <v>0</v>
      </c>
      <c r="CR5" s="44">
        <f t="shared" si="28"/>
        <v>0.01038199642</v>
      </c>
      <c r="CS5" s="45"/>
      <c r="CT5" s="40"/>
      <c r="CU5" s="46">
        <v>1.0</v>
      </c>
      <c r="CV5" s="47">
        <v>0.0</v>
      </c>
      <c r="CW5" s="45"/>
      <c r="CX5" s="44">
        <f t="shared" si="29"/>
        <v>0.0299602188</v>
      </c>
      <c r="CY5" s="40"/>
      <c r="CZ5" s="40"/>
      <c r="DA5" s="42"/>
      <c r="DB5" s="41"/>
      <c r="DC5" s="40"/>
      <c r="DD5" s="48">
        <f t="shared" si="30"/>
        <v>101038.1996</v>
      </c>
      <c r="DE5" s="49">
        <f t="shared" si="31"/>
        <v>0.01038199642</v>
      </c>
      <c r="DF5" s="50"/>
      <c r="DG5" s="40"/>
      <c r="DH5" s="51">
        <f t="shared" si="32"/>
        <v>102996.0219</v>
      </c>
      <c r="DI5" s="52">
        <f t="shared" si="33"/>
        <v>0.0299602188</v>
      </c>
      <c r="DJ5" s="50"/>
      <c r="DK5" s="40"/>
      <c r="DL5" s="40"/>
      <c r="DM5" s="40"/>
      <c r="DN5" s="42"/>
      <c r="DO5" s="40"/>
      <c r="DP5" s="40"/>
      <c r="DQ5" s="42"/>
      <c r="DR5" s="40"/>
      <c r="DS5" s="40"/>
      <c r="DT5" s="40"/>
      <c r="DU5" s="40"/>
    </row>
    <row r="6" ht="13.5" customHeight="1">
      <c r="A6" s="27">
        <v>90.0</v>
      </c>
      <c r="B6" s="28">
        <f t="shared" si="2"/>
        <v>41639</v>
      </c>
      <c r="C6" s="29">
        <f t="shared" ref="C6:I6" si="34">indirect(CONCATENATE(C$2,"!$G$",$A6))</f>
        <v>146.8864348</v>
      </c>
      <c r="D6" s="29">
        <f t="shared" si="34"/>
        <v>33.6936687</v>
      </c>
      <c r="E6" s="29">
        <f t="shared" si="34"/>
        <v>34.00604805</v>
      </c>
      <c r="F6" s="29">
        <f t="shared" si="34"/>
        <v>66.29773476</v>
      </c>
      <c r="G6" s="29">
        <f t="shared" si="34"/>
        <v>78.31458198</v>
      </c>
      <c r="H6" s="29">
        <f t="shared" si="34"/>
        <v>86.98746837</v>
      </c>
      <c r="I6" s="29">
        <f t="shared" si="34"/>
        <v>90.18899167</v>
      </c>
      <c r="J6" s="30"/>
      <c r="K6" s="32">
        <f t="shared" ref="K6:Q6" si="35">C6/C5-1</f>
        <v>0.02638610592</v>
      </c>
      <c r="L6" s="32">
        <f t="shared" si="35"/>
        <v>0.01895351219</v>
      </c>
      <c r="M6" s="32">
        <f t="shared" si="35"/>
        <v>-0.002834280556</v>
      </c>
      <c r="N6" s="32">
        <f t="shared" si="35"/>
        <v>-0.006344364942</v>
      </c>
      <c r="O6" s="32">
        <f t="shared" si="35"/>
        <v>-0.001775884024</v>
      </c>
      <c r="P6" s="32">
        <f t="shared" si="35"/>
        <v>-0.02089932789</v>
      </c>
      <c r="Q6" s="32">
        <f t="shared" si="35"/>
        <v>0.002143432411</v>
      </c>
      <c r="R6" s="30"/>
      <c r="S6" s="32">
        <f t="shared" ref="S6:Y6" si="36">C6/C3-1</f>
        <v>0.1043647906</v>
      </c>
      <c r="T6" s="32">
        <f t="shared" si="36"/>
        <v>0.05859950533</v>
      </c>
      <c r="U6" s="32">
        <f t="shared" si="36"/>
        <v>0.03058263467</v>
      </c>
      <c r="V6" s="32">
        <f t="shared" si="36"/>
        <v>-0.0007644294177</v>
      </c>
      <c r="W6" s="32">
        <f t="shared" si="36"/>
        <v>-0.0001499661866</v>
      </c>
      <c r="X6" s="32">
        <f t="shared" si="36"/>
        <v>-0.0219114423</v>
      </c>
      <c r="Y6" s="32">
        <f t="shared" si="36"/>
        <v>0.01885065747</v>
      </c>
      <c r="Z6" s="30"/>
      <c r="AA6" s="32"/>
      <c r="AB6" s="32"/>
      <c r="AC6" s="32"/>
      <c r="AD6" s="32"/>
      <c r="AE6" s="32"/>
      <c r="AF6" s="32"/>
      <c r="AG6" s="32"/>
      <c r="AH6" s="30"/>
      <c r="AI6" s="32"/>
      <c r="AJ6" s="32"/>
      <c r="AK6" s="32"/>
      <c r="AL6" s="32"/>
      <c r="AM6" s="32"/>
      <c r="AN6" s="32"/>
      <c r="AO6" s="32"/>
      <c r="AP6" s="30"/>
      <c r="AQ6" s="32">
        <f t="shared" ref="AQ6:AW6" si="37">(12*K6+4*S6+2*AA6+AI6)/4</f>
        <v>0.1835231084</v>
      </c>
      <c r="AR6" s="32">
        <f t="shared" si="37"/>
        <v>0.1154600419</v>
      </c>
      <c r="AS6" s="32">
        <f t="shared" si="37"/>
        <v>0.022079793</v>
      </c>
      <c r="AT6" s="32">
        <f t="shared" si="37"/>
        <v>-0.01979752424</v>
      </c>
      <c r="AU6" s="33">
        <f t="shared" si="37"/>
        <v>-0.005477618258</v>
      </c>
      <c r="AV6" s="32">
        <f t="shared" si="37"/>
        <v>-0.08460942598</v>
      </c>
      <c r="AW6" s="32">
        <f t="shared" si="37"/>
        <v>0.02528095471</v>
      </c>
      <c r="AX6" s="30"/>
      <c r="AY6" s="34">
        <f t="shared" ref="AY6:BB6" si="38">rank(AQ6,$AQ6:$AT6)</f>
        <v>1</v>
      </c>
      <c r="AZ6" s="34">
        <f t="shared" si="38"/>
        <v>2</v>
      </c>
      <c r="BA6" s="34">
        <f t="shared" si="38"/>
        <v>3</v>
      </c>
      <c r="BB6" s="34">
        <f t="shared" si="38"/>
        <v>4</v>
      </c>
      <c r="BC6" s="35">
        <f t="shared" ref="BC6:BE6" si="39">rank(AU6,$AU6:$AW6)</f>
        <v>2</v>
      </c>
      <c r="BD6" s="34">
        <f t="shared" si="39"/>
        <v>3</v>
      </c>
      <c r="BE6" s="34">
        <f t="shared" si="39"/>
        <v>1</v>
      </c>
      <c r="BF6" s="30"/>
      <c r="BG6" s="36">
        <f t="shared" ref="BG6:BJ6" si="40">if(and($BQ6=0,AY6&lt;=2),0.5,0)</f>
        <v>0</v>
      </c>
      <c r="BH6" s="36">
        <f t="shared" si="40"/>
        <v>0</v>
      </c>
      <c r="BI6" s="36">
        <f t="shared" si="40"/>
        <v>0</v>
      </c>
      <c r="BJ6" s="36">
        <f t="shared" si="40"/>
        <v>0</v>
      </c>
      <c r="BK6" s="37">
        <f t="shared" ref="BK6:BM6" si="41">if(and($BQ6&gt;0,BC6=1),1,0)</f>
        <v>0</v>
      </c>
      <c r="BL6" s="36">
        <f t="shared" si="41"/>
        <v>0</v>
      </c>
      <c r="BM6" s="36">
        <f t="shared" si="41"/>
        <v>1</v>
      </c>
      <c r="BN6" s="38"/>
      <c r="BO6" s="22">
        <f t="shared" si="21"/>
        <v>1</v>
      </c>
      <c r="BP6" s="38"/>
      <c r="BQ6" s="39">
        <f t="shared" si="22"/>
        <v>1</v>
      </c>
      <c r="BR6" s="30"/>
      <c r="BS6" s="36">
        <f t="shared" ref="BS6:BV6" si="42">if(and($BQ6=0,AY6=1),1,0)</f>
        <v>0</v>
      </c>
      <c r="BT6" s="36">
        <f t="shared" si="42"/>
        <v>0</v>
      </c>
      <c r="BU6" s="36">
        <f t="shared" si="42"/>
        <v>0</v>
      </c>
      <c r="BV6" s="36">
        <f t="shared" si="42"/>
        <v>0</v>
      </c>
      <c r="BW6" s="37">
        <f t="shared" ref="BW6:BY6" si="43">if(and($BQ6&gt;0,BC6=1),1,0)</f>
        <v>0</v>
      </c>
      <c r="BX6" s="36">
        <f t="shared" si="43"/>
        <v>0</v>
      </c>
      <c r="BY6" s="36">
        <f t="shared" si="43"/>
        <v>1</v>
      </c>
      <c r="BZ6" s="38"/>
      <c r="CA6" s="22">
        <f t="shared" si="25"/>
        <v>1</v>
      </c>
      <c r="CB6" s="30"/>
      <c r="CC6" s="22">
        <f t="shared" ref="CC6:CI6" si="44">BG5*K6</f>
        <v>0</v>
      </c>
      <c r="CD6" s="22">
        <f t="shared" si="44"/>
        <v>0</v>
      </c>
      <c r="CE6" s="22">
        <f t="shared" si="44"/>
        <v>0</v>
      </c>
      <c r="CF6" s="22">
        <f t="shared" si="44"/>
        <v>0</v>
      </c>
      <c r="CG6" s="22">
        <f t="shared" si="44"/>
        <v>-0.001775884024</v>
      </c>
      <c r="CH6" s="22">
        <f t="shared" si="44"/>
        <v>0</v>
      </c>
      <c r="CI6" s="22">
        <f t="shared" si="44"/>
        <v>0</v>
      </c>
      <c r="CJ6" s="38"/>
      <c r="CK6" s="22">
        <f t="shared" ref="CK6:CQ6" si="45">BS5*K6</f>
        <v>0</v>
      </c>
      <c r="CL6" s="22">
        <f t="shared" si="45"/>
        <v>0</v>
      </c>
      <c r="CM6" s="22">
        <f t="shared" si="45"/>
        <v>0</v>
      </c>
      <c r="CN6" s="22">
        <f t="shared" si="45"/>
        <v>0</v>
      </c>
      <c r="CO6" s="22">
        <f t="shared" si="45"/>
        <v>-0.001775884024</v>
      </c>
      <c r="CP6" s="22">
        <f t="shared" si="45"/>
        <v>0</v>
      </c>
      <c r="CQ6" s="22">
        <f t="shared" si="45"/>
        <v>0</v>
      </c>
      <c r="CR6" s="44">
        <f t="shared" si="28"/>
        <v>-0.001775884024</v>
      </c>
      <c r="CS6" s="45"/>
      <c r="CT6" s="40"/>
      <c r="CU6" s="46">
        <v>1.0</v>
      </c>
      <c r="CV6" s="47">
        <v>0.0</v>
      </c>
      <c r="CW6" s="45"/>
      <c r="CX6" s="44">
        <f t="shared" si="29"/>
        <v>-0.001775884024</v>
      </c>
      <c r="CY6" s="40"/>
      <c r="CZ6" s="40"/>
      <c r="DA6" s="42"/>
      <c r="DB6" s="41"/>
      <c r="DC6" s="40"/>
      <c r="DD6" s="48">
        <f t="shared" si="30"/>
        <v>100858.7675</v>
      </c>
      <c r="DE6" s="49">
        <f t="shared" si="31"/>
        <v>-0.001775884024</v>
      </c>
      <c r="DF6" s="50"/>
      <c r="DG6" s="40"/>
      <c r="DH6" s="51">
        <f t="shared" si="32"/>
        <v>102813.1129</v>
      </c>
      <c r="DI6" s="52">
        <f t="shared" si="33"/>
        <v>-0.001775884024</v>
      </c>
      <c r="DJ6" s="50"/>
      <c r="DK6" s="40"/>
      <c r="DL6" s="40"/>
      <c r="DM6" s="40"/>
      <c r="DN6" s="42"/>
      <c r="DO6" s="40"/>
      <c r="DP6" s="40"/>
      <c r="DQ6" s="42"/>
      <c r="DR6" s="40"/>
      <c r="DS6" s="40"/>
      <c r="DT6" s="40"/>
      <c r="DU6" s="40"/>
    </row>
    <row r="7" ht="13.5" customHeight="1">
      <c r="A7" s="27">
        <v>89.0</v>
      </c>
      <c r="B7" s="28">
        <f t="shared" si="2"/>
        <v>41670</v>
      </c>
      <c r="C7" s="29">
        <f t="shared" ref="C7:I7" si="46">indirect(CONCATENATE(C$2,"!$G$",$A7))</f>
        <v>141.7022077</v>
      </c>
      <c r="D7" s="29">
        <f t="shared" si="46"/>
        <v>31.93946378</v>
      </c>
      <c r="E7" s="29">
        <f t="shared" si="46"/>
        <v>31.13776933</v>
      </c>
      <c r="F7" s="29">
        <f t="shared" si="46"/>
        <v>67.32470779</v>
      </c>
      <c r="G7" s="29">
        <f t="shared" si="46"/>
        <v>78.47236201</v>
      </c>
      <c r="H7" s="29">
        <f t="shared" si="46"/>
        <v>89.6521389</v>
      </c>
      <c r="I7" s="29">
        <f t="shared" si="46"/>
        <v>91.88870364</v>
      </c>
      <c r="J7" s="30"/>
      <c r="K7" s="32">
        <f t="shared" ref="K7:Q7" si="47">C7/C6-1</f>
        <v>-0.03529411765</v>
      </c>
      <c r="L7" s="32">
        <f t="shared" si="47"/>
        <v>-0.05206333973</v>
      </c>
      <c r="M7" s="32">
        <f t="shared" si="47"/>
        <v>-0.08434613515</v>
      </c>
      <c r="N7" s="32">
        <f t="shared" si="47"/>
        <v>0.01549031855</v>
      </c>
      <c r="O7" s="32">
        <f t="shared" si="47"/>
        <v>0.002014695425</v>
      </c>
      <c r="P7" s="32">
        <f t="shared" si="47"/>
        <v>0.03063280935</v>
      </c>
      <c r="Q7" s="32">
        <f t="shared" si="47"/>
        <v>0.01884611343</v>
      </c>
      <c r="R7" s="30"/>
      <c r="S7" s="32">
        <f t="shared" ref="S7:Y7" si="48">C7/C4-1</f>
        <v>0.01982614558</v>
      </c>
      <c r="T7" s="32">
        <f t="shared" si="48"/>
        <v>-0.02771242672</v>
      </c>
      <c r="U7" s="32">
        <f t="shared" si="48"/>
        <v>-0.09533804871</v>
      </c>
      <c r="V7" s="32">
        <f t="shared" si="48"/>
        <v>0.006080821603</v>
      </c>
      <c r="W7" s="32">
        <f t="shared" si="48"/>
        <v>0.00117131725</v>
      </c>
      <c r="X7" s="32">
        <f t="shared" si="48"/>
        <v>0.0002637026496</v>
      </c>
      <c r="Y7" s="32">
        <f t="shared" si="48"/>
        <v>0.01961618489</v>
      </c>
      <c r="Z7" s="30"/>
      <c r="AA7" s="32"/>
      <c r="AB7" s="32"/>
      <c r="AC7" s="32"/>
      <c r="AD7" s="32"/>
      <c r="AE7" s="32"/>
      <c r="AF7" s="32"/>
      <c r="AG7" s="32"/>
      <c r="AH7" s="30"/>
      <c r="AI7" s="32"/>
      <c r="AJ7" s="32"/>
      <c r="AK7" s="32"/>
      <c r="AL7" s="32"/>
      <c r="AM7" s="32"/>
      <c r="AN7" s="32"/>
      <c r="AO7" s="32"/>
      <c r="AP7" s="30"/>
      <c r="AQ7" s="32">
        <f t="shared" ref="AQ7:AW7" si="49">(12*K7+4*S7+2*AA7+AI7)/4</f>
        <v>-0.08605620736</v>
      </c>
      <c r="AR7" s="32">
        <f t="shared" si="49"/>
        <v>-0.1839024459</v>
      </c>
      <c r="AS7" s="32">
        <f t="shared" si="49"/>
        <v>-0.3483764542</v>
      </c>
      <c r="AT7" s="32">
        <f t="shared" si="49"/>
        <v>0.05255177726</v>
      </c>
      <c r="AU7" s="33">
        <f t="shared" si="49"/>
        <v>0.007215403527</v>
      </c>
      <c r="AV7" s="32">
        <f t="shared" si="49"/>
        <v>0.0921621307</v>
      </c>
      <c r="AW7" s="32">
        <f t="shared" si="49"/>
        <v>0.07615452517</v>
      </c>
      <c r="AX7" s="30"/>
      <c r="AY7" s="34">
        <f t="shared" ref="AY7:BB7" si="50">rank(AQ7,$AQ7:$AT7)</f>
        <v>2</v>
      </c>
      <c r="AZ7" s="34">
        <f t="shared" si="50"/>
        <v>3</v>
      </c>
      <c r="BA7" s="34">
        <f t="shared" si="50"/>
        <v>4</v>
      </c>
      <c r="BB7" s="34">
        <f t="shared" si="50"/>
        <v>1</v>
      </c>
      <c r="BC7" s="35">
        <f t="shared" ref="BC7:BE7" si="51">rank(AU7,$AU7:$AW7)</f>
        <v>3</v>
      </c>
      <c r="BD7" s="34">
        <f t="shared" si="51"/>
        <v>1</v>
      </c>
      <c r="BE7" s="34">
        <f t="shared" si="51"/>
        <v>2</v>
      </c>
      <c r="BF7" s="30"/>
      <c r="BG7" s="36">
        <f t="shared" ref="BG7:BJ7" si="52">if(and($BQ7=0,AY7&lt;=2),0.5,0)</f>
        <v>0</v>
      </c>
      <c r="BH7" s="36">
        <f t="shared" si="52"/>
        <v>0</v>
      </c>
      <c r="BI7" s="36">
        <f t="shared" si="52"/>
        <v>0</v>
      </c>
      <c r="BJ7" s="36">
        <f t="shared" si="52"/>
        <v>0</v>
      </c>
      <c r="BK7" s="37">
        <f t="shared" ref="BK7:BM7" si="53">if(and($BQ7&gt;0,BC7=1),1,0)</f>
        <v>0</v>
      </c>
      <c r="BL7" s="36">
        <f t="shared" si="53"/>
        <v>1</v>
      </c>
      <c r="BM7" s="36">
        <f t="shared" si="53"/>
        <v>0</v>
      </c>
      <c r="BN7" s="38"/>
      <c r="BO7" s="22">
        <f t="shared" si="21"/>
        <v>1</v>
      </c>
      <c r="BP7" s="38"/>
      <c r="BQ7" s="39">
        <f t="shared" si="22"/>
        <v>3</v>
      </c>
      <c r="BR7" s="30"/>
      <c r="BS7" s="36">
        <f t="shared" ref="BS7:BV7" si="54">if(and($BQ7=0,AY7=1),1,0)</f>
        <v>0</v>
      </c>
      <c r="BT7" s="36">
        <f t="shared" si="54"/>
        <v>0</v>
      </c>
      <c r="BU7" s="36">
        <f t="shared" si="54"/>
        <v>0</v>
      </c>
      <c r="BV7" s="36">
        <f t="shared" si="54"/>
        <v>0</v>
      </c>
      <c r="BW7" s="37">
        <f t="shared" ref="BW7:BY7" si="55">if(and($BQ7&gt;0,BC7=1),1,0)</f>
        <v>0</v>
      </c>
      <c r="BX7" s="36">
        <f t="shared" si="55"/>
        <v>1</v>
      </c>
      <c r="BY7" s="36">
        <f t="shared" si="55"/>
        <v>0</v>
      </c>
      <c r="BZ7" s="38"/>
      <c r="CA7" s="22">
        <f t="shared" si="25"/>
        <v>1</v>
      </c>
      <c r="CB7" s="30"/>
      <c r="CC7" s="22">
        <f t="shared" ref="CC7:CI7" si="56">BG6*K7</f>
        <v>0</v>
      </c>
      <c r="CD7" s="22">
        <f t="shared" si="56"/>
        <v>0</v>
      </c>
      <c r="CE7" s="22">
        <f t="shared" si="56"/>
        <v>0</v>
      </c>
      <c r="CF7" s="22">
        <f t="shared" si="56"/>
        <v>0</v>
      </c>
      <c r="CG7" s="22">
        <f t="shared" si="56"/>
        <v>0</v>
      </c>
      <c r="CH7" s="22">
        <f t="shared" si="56"/>
        <v>0</v>
      </c>
      <c r="CI7" s="22">
        <f t="shared" si="56"/>
        <v>0.01884611343</v>
      </c>
      <c r="CJ7" s="38"/>
      <c r="CK7" s="22">
        <f t="shared" ref="CK7:CQ7" si="57">BS6*K7</f>
        <v>0</v>
      </c>
      <c r="CL7" s="22">
        <f t="shared" si="57"/>
        <v>0</v>
      </c>
      <c r="CM7" s="22">
        <f t="shared" si="57"/>
        <v>0</v>
      </c>
      <c r="CN7" s="22">
        <f t="shared" si="57"/>
        <v>0</v>
      </c>
      <c r="CO7" s="22">
        <f t="shared" si="57"/>
        <v>0</v>
      </c>
      <c r="CP7" s="22">
        <f t="shared" si="57"/>
        <v>0</v>
      </c>
      <c r="CQ7" s="22">
        <f t="shared" si="57"/>
        <v>0.01884611343</v>
      </c>
      <c r="CR7" s="44">
        <f t="shared" si="28"/>
        <v>0.01884611343</v>
      </c>
      <c r="CS7" s="45"/>
      <c r="CT7" s="40"/>
      <c r="CU7" s="46">
        <v>1.0</v>
      </c>
      <c r="CV7" s="47">
        <v>0.0</v>
      </c>
      <c r="CW7" s="45"/>
      <c r="CX7" s="44">
        <f t="shared" si="29"/>
        <v>0.01884611343</v>
      </c>
      <c r="CY7" s="40"/>
      <c r="CZ7" s="40"/>
      <c r="DA7" s="42"/>
      <c r="DB7" s="41"/>
      <c r="DC7" s="40"/>
      <c r="DD7" s="48">
        <f t="shared" si="30"/>
        <v>102759.5633</v>
      </c>
      <c r="DE7" s="49">
        <f t="shared" si="31"/>
        <v>0.01884611343</v>
      </c>
      <c r="DF7" s="50"/>
      <c r="DG7" s="40"/>
      <c r="DH7" s="51">
        <f t="shared" si="32"/>
        <v>104750.7405</v>
      </c>
      <c r="DI7" s="52">
        <f t="shared" si="33"/>
        <v>0.01884611343</v>
      </c>
      <c r="DJ7" s="50"/>
      <c r="DK7" s="40"/>
      <c r="DL7" s="40"/>
      <c r="DM7" s="40"/>
      <c r="DN7" s="42"/>
      <c r="DO7" s="40"/>
      <c r="DP7" s="40"/>
      <c r="DQ7" s="42"/>
      <c r="DR7" s="40"/>
      <c r="DS7" s="40"/>
      <c r="DT7" s="40"/>
      <c r="DU7" s="40"/>
    </row>
    <row r="8" ht="13.5" customHeight="1">
      <c r="A8" s="27">
        <v>88.0</v>
      </c>
      <c r="B8" s="28">
        <f t="shared" si="2"/>
        <v>41698</v>
      </c>
      <c r="C8" s="29">
        <f t="shared" ref="C8:I8" si="58">indirect(CONCATENATE(C$2,"!$G$",$A8))</f>
        <v>148.1716368</v>
      </c>
      <c r="D8" s="29">
        <f t="shared" si="58"/>
        <v>33.83917879</v>
      </c>
      <c r="E8" s="29">
        <f t="shared" si="58"/>
        <v>32.14621315</v>
      </c>
      <c r="F8" s="29">
        <f t="shared" si="58"/>
        <v>67.64074769</v>
      </c>
      <c r="G8" s="29">
        <f t="shared" si="58"/>
        <v>78.50287268</v>
      </c>
      <c r="H8" s="29">
        <f t="shared" si="58"/>
        <v>89.97200863</v>
      </c>
      <c r="I8" s="29">
        <f t="shared" si="58"/>
        <v>92.93887322</v>
      </c>
      <c r="J8" s="30"/>
      <c r="K8" s="32">
        <f t="shared" ref="K8:Q8" si="59">C8/C7-1</f>
        <v>0.04565510479</v>
      </c>
      <c r="L8" s="32">
        <f t="shared" si="59"/>
        <v>0.05947861301</v>
      </c>
      <c r="M8" s="32">
        <f t="shared" si="59"/>
        <v>0.03238651447</v>
      </c>
      <c r="N8" s="32">
        <f t="shared" si="59"/>
        <v>0.004694263226</v>
      </c>
      <c r="O8" s="32">
        <f t="shared" si="59"/>
        <v>0.0003888078655</v>
      </c>
      <c r="P8" s="32">
        <f t="shared" si="59"/>
        <v>0.00356789846</v>
      </c>
      <c r="Q8" s="32">
        <f t="shared" si="59"/>
        <v>0.01142871251</v>
      </c>
      <c r="R8" s="30"/>
      <c r="S8" s="32">
        <f t="shared" ref="S8:Y8" si="60">C8/C5-1</f>
        <v>0.0353666051</v>
      </c>
      <c r="T8" s="32">
        <f t="shared" si="60"/>
        <v>0.02335398321</v>
      </c>
      <c r="U8" s="32">
        <f t="shared" si="60"/>
        <v>-0.05737056808</v>
      </c>
      <c r="V8" s="32">
        <f t="shared" si="60"/>
        <v>0.01378441278</v>
      </c>
      <c r="W8" s="32">
        <f t="shared" si="60"/>
        <v>0.0006241328624</v>
      </c>
      <c r="X8" s="32">
        <f t="shared" si="60"/>
        <v>0.01269361868</v>
      </c>
      <c r="Y8" s="32">
        <f t="shared" si="60"/>
        <v>0.03269899888</v>
      </c>
      <c r="Z8" s="30"/>
      <c r="AA8" s="32"/>
      <c r="AB8" s="32"/>
      <c r="AC8" s="32"/>
      <c r="AD8" s="32"/>
      <c r="AE8" s="32"/>
      <c r="AF8" s="32"/>
      <c r="AG8" s="32"/>
      <c r="AH8" s="30"/>
      <c r="AI8" s="32"/>
      <c r="AJ8" s="32"/>
      <c r="AK8" s="32"/>
      <c r="AL8" s="32"/>
      <c r="AM8" s="32"/>
      <c r="AN8" s="32"/>
      <c r="AO8" s="32"/>
      <c r="AP8" s="30"/>
      <c r="AQ8" s="32">
        <f t="shared" ref="AQ8:AW8" si="61">(12*K8+4*S8+2*AA8+AI8)/4</f>
        <v>0.1723319195</v>
      </c>
      <c r="AR8" s="32">
        <f t="shared" si="61"/>
        <v>0.2017898222</v>
      </c>
      <c r="AS8" s="32">
        <f t="shared" si="61"/>
        <v>0.03978897532</v>
      </c>
      <c r="AT8" s="32">
        <f t="shared" si="61"/>
        <v>0.02786720246</v>
      </c>
      <c r="AU8" s="33">
        <f t="shared" si="61"/>
        <v>0.001790556459</v>
      </c>
      <c r="AV8" s="32">
        <f t="shared" si="61"/>
        <v>0.02339731406</v>
      </c>
      <c r="AW8" s="32">
        <f t="shared" si="61"/>
        <v>0.06698513642</v>
      </c>
      <c r="AX8" s="30"/>
      <c r="AY8" s="34">
        <f t="shared" ref="AY8:BB8" si="62">rank(AQ8,$AQ8:$AT8)</f>
        <v>2</v>
      </c>
      <c r="AZ8" s="34">
        <f t="shared" si="62"/>
        <v>1</v>
      </c>
      <c r="BA8" s="34">
        <f t="shared" si="62"/>
        <v>3</v>
      </c>
      <c r="BB8" s="34">
        <f t="shared" si="62"/>
        <v>4</v>
      </c>
      <c r="BC8" s="35">
        <f t="shared" ref="BC8:BE8" si="63">rank(AU8,$AU8:$AW8)</f>
        <v>3</v>
      </c>
      <c r="BD8" s="34">
        <f t="shared" si="63"/>
        <v>2</v>
      </c>
      <c r="BE8" s="34">
        <f t="shared" si="63"/>
        <v>1</v>
      </c>
      <c r="BF8" s="30"/>
      <c r="BG8" s="36">
        <f t="shared" ref="BG8:BJ8" si="64">if(and($BQ8=0,AY8&lt;=2),0.5,0)</f>
        <v>0.5</v>
      </c>
      <c r="BH8" s="36">
        <f t="shared" si="64"/>
        <v>0.5</v>
      </c>
      <c r="BI8" s="36">
        <f t="shared" si="64"/>
        <v>0</v>
      </c>
      <c r="BJ8" s="36">
        <f t="shared" si="64"/>
        <v>0</v>
      </c>
      <c r="BK8" s="37">
        <f t="shared" ref="BK8:BM8" si="65">if(and($BQ8&gt;0,BC8=1),1,0)</f>
        <v>0</v>
      </c>
      <c r="BL8" s="36">
        <f t="shared" si="65"/>
        <v>0</v>
      </c>
      <c r="BM8" s="36">
        <f t="shared" si="65"/>
        <v>0</v>
      </c>
      <c r="BN8" s="38"/>
      <c r="BO8" s="22">
        <f t="shared" si="21"/>
        <v>1</v>
      </c>
      <c r="BP8" s="38"/>
      <c r="BQ8" s="39">
        <f t="shared" si="22"/>
        <v>0</v>
      </c>
      <c r="BR8" s="30"/>
      <c r="BS8" s="36">
        <f t="shared" ref="BS8:BV8" si="66">if(and($BQ8=0,AY8=1),1,0)</f>
        <v>0</v>
      </c>
      <c r="BT8" s="36">
        <f t="shared" si="66"/>
        <v>1</v>
      </c>
      <c r="BU8" s="36">
        <f t="shared" si="66"/>
        <v>0</v>
      </c>
      <c r="BV8" s="36">
        <f t="shared" si="66"/>
        <v>0</v>
      </c>
      <c r="BW8" s="37">
        <f t="shared" ref="BW8:BY8" si="67">if(and($BQ8&gt;0,BC8=1),1,0)</f>
        <v>0</v>
      </c>
      <c r="BX8" s="36">
        <f t="shared" si="67"/>
        <v>0</v>
      </c>
      <c r="BY8" s="36">
        <f t="shared" si="67"/>
        <v>0</v>
      </c>
      <c r="BZ8" s="38"/>
      <c r="CA8" s="22">
        <f t="shared" si="25"/>
        <v>1</v>
      </c>
      <c r="CB8" s="30"/>
      <c r="CC8" s="22">
        <f t="shared" ref="CC8:CI8" si="68">BG7*K8</f>
        <v>0</v>
      </c>
      <c r="CD8" s="22">
        <f t="shared" si="68"/>
        <v>0</v>
      </c>
      <c r="CE8" s="22">
        <f t="shared" si="68"/>
        <v>0</v>
      </c>
      <c r="CF8" s="22">
        <f t="shared" si="68"/>
        <v>0</v>
      </c>
      <c r="CG8" s="22">
        <f t="shared" si="68"/>
        <v>0</v>
      </c>
      <c r="CH8" s="22">
        <f t="shared" si="68"/>
        <v>0.00356789846</v>
      </c>
      <c r="CI8" s="22">
        <f t="shared" si="68"/>
        <v>0</v>
      </c>
      <c r="CJ8" s="38"/>
      <c r="CK8" s="22">
        <f t="shared" ref="CK8:CQ8" si="69">BS7*K8</f>
        <v>0</v>
      </c>
      <c r="CL8" s="22">
        <f t="shared" si="69"/>
        <v>0</v>
      </c>
      <c r="CM8" s="22">
        <f t="shared" si="69"/>
        <v>0</v>
      </c>
      <c r="CN8" s="22">
        <f t="shared" si="69"/>
        <v>0</v>
      </c>
      <c r="CO8" s="22">
        <f t="shared" si="69"/>
        <v>0</v>
      </c>
      <c r="CP8" s="22">
        <f t="shared" si="69"/>
        <v>0.00356789846</v>
      </c>
      <c r="CQ8" s="22">
        <f t="shared" si="69"/>
        <v>0</v>
      </c>
      <c r="CR8" s="44">
        <f t="shared" si="28"/>
        <v>0.00356789846</v>
      </c>
      <c r="CS8" s="45"/>
      <c r="CT8" s="40"/>
      <c r="CU8" s="46">
        <v>1.0</v>
      </c>
      <c r="CV8" s="47">
        <v>0.0</v>
      </c>
      <c r="CW8" s="45"/>
      <c r="CX8" s="44">
        <f t="shared" si="29"/>
        <v>0.00356789846</v>
      </c>
      <c r="CY8" s="40"/>
      <c r="CZ8" s="40"/>
      <c r="DA8" s="42"/>
      <c r="DB8" s="41"/>
      <c r="DC8" s="40"/>
      <c r="DD8" s="48">
        <f t="shared" si="30"/>
        <v>103126.199</v>
      </c>
      <c r="DE8" s="49">
        <f t="shared" si="31"/>
        <v>0.00356789846</v>
      </c>
      <c r="DF8" s="50"/>
      <c r="DG8" s="40"/>
      <c r="DH8" s="51">
        <f t="shared" si="32"/>
        <v>105124.4805</v>
      </c>
      <c r="DI8" s="52">
        <f t="shared" si="33"/>
        <v>0.00356789846</v>
      </c>
      <c r="DJ8" s="50"/>
      <c r="DK8" s="40"/>
      <c r="DL8" s="40"/>
      <c r="DM8" s="40"/>
      <c r="DN8" s="42"/>
      <c r="DO8" s="40"/>
      <c r="DP8" s="40"/>
      <c r="DQ8" s="42"/>
      <c r="DR8" s="40"/>
      <c r="DS8" s="40"/>
      <c r="DT8" s="40"/>
      <c r="DU8" s="40"/>
    </row>
    <row r="9" ht="13.5" customHeight="1">
      <c r="A9" s="27">
        <v>87.0</v>
      </c>
      <c r="B9" s="28">
        <f t="shared" si="2"/>
        <v>41729</v>
      </c>
      <c r="C9" s="29">
        <f t="shared" ref="C9:I9" si="70">indirect(CONCATENATE(C$2,"!$G$",$A9))</f>
        <v>149.479031</v>
      </c>
      <c r="D9" s="29">
        <f t="shared" si="70"/>
        <v>33.71553433</v>
      </c>
      <c r="E9" s="29">
        <f t="shared" si="70"/>
        <v>33.63234374</v>
      </c>
      <c r="F9" s="29">
        <f t="shared" si="70"/>
        <v>67.52573557</v>
      </c>
      <c r="G9" s="29">
        <f t="shared" si="70"/>
        <v>78.38990422</v>
      </c>
      <c r="H9" s="29">
        <f t="shared" si="70"/>
        <v>89.46630953</v>
      </c>
      <c r="I9" s="29">
        <f t="shared" si="70"/>
        <v>92.64074461</v>
      </c>
      <c r="J9" s="30"/>
      <c r="K9" s="32">
        <f t="shared" ref="K9:Q9" si="71">C9/C8-1</f>
        <v>0.008823511984</v>
      </c>
      <c r="L9" s="32">
        <f t="shared" si="71"/>
        <v>-0.00365388478</v>
      </c>
      <c r="M9" s="32">
        <f t="shared" si="71"/>
        <v>0.04623034719</v>
      </c>
      <c r="N9" s="32">
        <f t="shared" si="71"/>
        <v>-0.001700337742</v>
      </c>
      <c r="O9" s="32">
        <f t="shared" si="71"/>
        <v>-0.001439035973</v>
      </c>
      <c r="P9" s="32">
        <f t="shared" si="71"/>
        <v>-0.005620627074</v>
      </c>
      <c r="Q9" s="32">
        <f t="shared" si="71"/>
        <v>-0.003207792385</v>
      </c>
      <c r="R9" s="30"/>
      <c r="S9" s="32">
        <f t="shared" ref="S9:Y9" si="72">C9/C6-1</f>
        <v>0.01765034496</v>
      </c>
      <c r="T9" s="32">
        <f t="shared" si="72"/>
        <v>0.0006489535296</v>
      </c>
      <c r="U9" s="32">
        <f t="shared" si="72"/>
        <v>-0.01098934852</v>
      </c>
      <c r="V9" s="32">
        <f t="shared" si="72"/>
        <v>0.01852251542</v>
      </c>
      <c r="W9" s="32">
        <f t="shared" si="72"/>
        <v>0.0009617907921</v>
      </c>
      <c r="X9" s="32">
        <f t="shared" si="72"/>
        <v>0.02849653176</v>
      </c>
      <c r="Y9" s="32">
        <f t="shared" si="72"/>
        <v>0.0271846141</v>
      </c>
      <c r="Z9" s="30"/>
      <c r="AA9" s="32">
        <f t="shared" ref="AA9:AG9" si="73">C9/C3-1</f>
        <v>0.1238572101</v>
      </c>
      <c r="AB9" s="32">
        <f t="shared" si="73"/>
        <v>0.05928648722</v>
      </c>
      <c r="AC9" s="32">
        <f t="shared" si="73"/>
        <v>0.01925720293</v>
      </c>
      <c r="AD9" s="32">
        <f t="shared" si="73"/>
        <v>0.01774392685</v>
      </c>
      <c r="AE9" s="32">
        <f t="shared" si="73"/>
        <v>0.0008116803695</v>
      </c>
      <c r="AF9" s="32">
        <f t="shared" si="73"/>
        <v>0.00596068935</v>
      </c>
      <c r="AG9" s="32">
        <f t="shared" si="73"/>
        <v>0.04654771942</v>
      </c>
      <c r="AH9" s="30"/>
      <c r="AI9" s="32"/>
      <c r="AJ9" s="32"/>
      <c r="AK9" s="32"/>
      <c r="AL9" s="32"/>
      <c r="AM9" s="32"/>
      <c r="AN9" s="32"/>
      <c r="AO9" s="32"/>
      <c r="AP9" s="30"/>
      <c r="AQ9" s="32">
        <f t="shared" ref="AQ9:AW9" si="74">(12*K9+4*S9+2*AA9+AI9)/4</f>
        <v>0.106049486</v>
      </c>
      <c r="AR9" s="32">
        <f t="shared" si="74"/>
        <v>0.0193305428</v>
      </c>
      <c r="AS9" s="32">
        <f t="shared" si="74"/>
        <v>0.1373302945</v>
      </c>
      <c r="AT9" s="32">
        <f t="shared" si="74"/>
        <v>0.02229346562</v>
      </c>
      <c r="AU9" s="33">
        <f t="shared" si="74"/>
        <v>-0.002949476943</v>
      </c>
      <c r="AV9" s="32">
        <f t="shared" si="74"/>
        <v>0.01461499521</v>
      </c>
      <c r="AW9" s="32">
        <f t="shared" si="74"/>
        <v>0.04083509665</v>
      </c>
      <c r="AX9" s="30"/>
      <c r="AY9" s="34">
        <f t="shared" ref="AY9:BB9" si="75">rank(AQ9,$AQ9:$AT9)</f>
        <v>2</v>
      </c>
      <c r="AZ9" s="34">
        <f t="shared" si="75"/>
        <v>4</v>
      </c>
      <c r="BA9" s="34">
        <f t="shared" si="75"/>
        <v>1</v>
      </c>
      <c r="BB9" s="34">
        <f t="shared" si="75"/>
        <v>3</v>
      </c>
      <c r="BC9" s="35">
        <f t="shared" ref="BC9:BE9" si="76">rank(AU9,$AU9:$AW9)</f>
        <v>3</v>
      </c>
      <c r="BD9" s="34">
        <f t="shared" si="76"/>
        <v>2</v>
      </c>
      <c r="BE9" s="34">
        <f t="shared" si="76"/>
        <v>1</v>
      </c>
      <c r="BF9" s="30"/>
      <c r="BG9" s="36">
        <f t="shared" ref="BG9:BJ9" si="77">if(and($BQ9=0,AY9&lt;=2),0.5,0)</f>
        <v>0.5</v>
      </c>
      <c r="BH9" s="36">
        <f t="shared" si="77"/>
        <v>0</v>
      </c>
      <c r="BI9" s="36">
        <f t="shared" si="77"/>
        <v>0.5</v>
      </c>
      <c r="BJ9" s="36">
        <f t="shared" si="77"/>
        <v>0</v>
      </c>
      <c r="BK9" s="37">
        <f t="shared" ref="BK9:BM9" si="78">if(and($BQ9&gt;0,BC9=1),1,0)</f>
        <v>0</v>
      </c>
      <c r="BL9" s="36">
        <f t="shared" si="78"/>
        <v>0</v>
      </c>
      <c r="BM9" s="36">
        <f t="shared" si="78"/>
        <v>0</v>
      </c>
      <c r="BN9" s="38"/>
      <c r="BO9" s="22">
        <f t="shared" si="21"/>
        <v>1</v>
      </c>
      <c r="BP9" s="38"/>
      <c r="BQ9" s="39">
        <f t="shared" si="22"/>
        <v>0</v>
      </c>
      <c r="BR9" s="30"/>
      <c r="BS9" s="36">
        <f t="shared" ref="BS9:BV9" si="79">if(and($BQ9=0,AY9=1),1,0)</f>
        <v>0</v>
      </c>
      <c r="BT9" s="36">
        <f t="shared" si="79"/>
        <v>0</v>
      </c>
      <c r="BU9" s="36">
        <f t="shared" si="79"/>
        <v>1</v>
      </c>
      <c r="BV9" s="36">
        <f t="shared" si="79"/>
        <v>0</v>
      </c>
      <c r="BW9" s="37">
        <f t="shared" ref="BW9:BY9" si="80">if(and($BQ9&gt;0,BC9=1),1,0)</f>
        <v>0</v>
      </c>
      <c r="BX9" s="36">
        <f t="shared" si="80"/>
        <v>0</v>
      </c>
      <c r="BY9" s="36">
        <f t="shared" si="80"/>
        <v>0</v>
      </c>
      <c r="BZ9" s="38"/>
      <c r="CA9" s="22">
        <f t="shared" si="25"/>
        <v>1</v>
      </c>
      <c r="CB9" s="30"/>
      <c r="CC9" s="22">
        <f t="shared" ref="CC9:CI9" si="81">BG8*K9</f>
        <v>0.004411755992</v>
      </c>
      <c r="CD9" s="22">
        <f t="shared" si="81"/>
        <v>-0.00182694239</v>
      </c>
      <c r="CE9" s="22">
        <f t="shared" si="81"/>
        <v>0</v>
      </c>
      <c r="CF9" s="22">
        <f t="shared" si="81"/>
        <v>0</v>
      </c>
      <c r="CG9" s="22">
        <f t="shared" si="81"/>
        <v>0</v>
      </c>
      <c r="CH9" s="22">
        <f t="shared" si="81"/>
        <v>0</v>
      </c>
      <c r="CI9" s="22">
        <f t="shared" si="81"/>
        <v>0</v>
      </c>
      <c r="CJ9" s="38"/>
      <c r="CK9" s="22">
        <f t="shared" ref="CK9:CQ9" si="82">BS8*K9</f>
        <v>0</v>
      </c>
      <c r="CL9" s="22">
        <f t="shared" si="82"/>
        <v>-0.00365388478</v>
      </c>
      <c r="CM9" s="22">
        <f t="shared" si="82"/>
        <v>0</v>
      </c>
      <c r="CN9" s="22">
        <f t="shared" si="82"/>
        <v>0</v>
      </c>
      <c r="CO9" s="22">
        <f t="shared" si="82"/>
        <v>0</v>
      </c>
      <c r="CP9" s="22">
        <f t="shared" si="82"/>
        <v>0</v>
      </c>
      <c r="CQ9" s="22">
        <f t="shared" si="82"/>
        <v>0</v>
      </c>
      <c r="CR9" s="44">
        <f t="shared" si="28"/>
        <v>0.002584813602</v>
      </c>
      <c r="CS9" s="45"/>
      <c r="CT9" s="40"/>
      <c r="CU9" s="46">
        <v>1.0</v>
      </c>
      <c r="CV9" s="47">
        <v>0.0</v>
      </c>
      <c r="CW9" s="45"/>
      <c r="CX9" s="44">
        <f t="shared" si="29"/>
        <v>-0.00365388478</v>
      </c>
      <c r="CY9" s="40"/>
      <c r="CZ9" s="40"/>
      <c r="DA9" s="42"/>
      <c r="DB9" s="41"/>
      <c r="DC9" s="40"/>
      <c r="DD9" s="48">
        <f t="shared" si="30"/>
        <v>103392.761</v>
      </c>
      <c r="DE9" s="49">
        <f t="shared" si="31"/>
        <v>0.002584813602</v>
      </c>
      <c r="DF9" s="50"/>
      <c r="DG9" s="40"/>
      <c r="DH9" s="51">
        <f t="shared" si="32"/>
        <v>104740.3677</v>
      </c>
      <c r="DI9" s="52">
        <f t="shared" si="33"/>
        <v>-0.00365388478</v>
      </c>
      <c r="DJ9" s="50"/>
      <c r="DK9" s="40"/>
      <c r="DL9" s="40"/>
      <c r="DM9" s="40"/>
      <c r="DN9" s="42"/>
      <c r="DO9" s="40"/>
      <c r="DP9" s="40"/>
      <c r="DQ9" s="42"/>
      <c r="DR9" s="40"/>
      <c r="DS9" s="40"/>
      <c r="DT9" s="40"/>
      <c r="DU9" s="40"/>
    </row>
    <row r="10" ht="13.5" customHeight="1">
      <c r="A10" s="27">
        <v>86.0</v>
      </c>
      <c r="B10" s="28">
        <f t="shared" si="2"/>
        <v>41759</v>
      </c>
      <c r="C10" s="29">
        <f t="shared" ref="C10:I10" si="83">indirect(CONCATENATE(C$2,"!$G$",$A10))</f>
        <v>150.5607585</v>
      </c>
      <c r="D10" s="29">
        <f t="shared" si="83"/>
        <v>34.24655195</v>
      </c>
      <c r="E10" s="29">
        <f t="shared" si="83"/>
        <v>33.93070855</v>
      </c>
      <c r="F10" s="29">
        <f t="shared" si="83"/>
        <v>68.06759291</v>
      </c>
      <c r="G10" s="29">
        <f t="shared" si="83"/>
        <v>78.50248053</v>
      </c>
      <c r="H10" s="29">
        <f t="shared" si="83"/>
        <v>90.14475205</v>
      </c>
      <c r="I10" s="29">
        <f t="shared" si="83"/>
        <v>93.8675369</v>
      </c>
      <c r="J10" s="30"/>
      <c r="K10" s="32">
        <f t="shared" ref="K10:Q10" si="84">C10/C9-1</f>
        <v>0.007236650131</v>
      </c>
      <c r="L10" s="32">
        <f t="shared" si="84"/>
        <v>0.01574993942</v>
      </c>
      <c r="M10" s="32">
        <f t="shared" si="84"/>
        <v>0.008871365205</v>
      </c>
      <c r="N10" s="32">
        <f t="shared" si="84"/>
        <v>0.00802445658</v>
      </c>
      <c r="O10" s="32">
        <f t="shared" si="84"/>
        <v>0.001436107272</v>
      </c>
      <c r="P10" s="32">
        <f t="shared" si="84"/>
        <v>0.007583217926</v>
      </c>
      <c r="Q10" s="32">
        <f t="shared" si="84"/>
        <v>0.01324247011</v>
      </c>
      <c r="R10" s="30"/>
      <c r="S10" s="32">
        <f t="shared" ref="S10:Y10" si="85">C10/C7-1</f>
        <v>0.06251526316</v>
      </c>
      <c r="T10" s="32">
        <f t="shared" si="85"/>
        <v>0.07223315284</v>
      </c>
      <c r="U10" s="32">
        <f t="shared" si="85"/>
        <v>0.08969618812</v>
      </c>
      <c r="V10" s="32">
        <f t="shared" si="85"/>
        <v>0.01103436081</v>
      </c>
      <c r="W10" s="32">
        <f t="shared" si="85"/>
        <v>0.0003838106116</v>
      </c>
      <c r="X10" s="32">
        <f t="shared" si="85"/>
        <v>0.005494717124</v>
      </c>
      <c r="Y10" s="32">
        <f t="shared" si="85"/>
        <v>0.02153510911</v>
      </c>
      <c r="Z10" s="30"/>
      <c r="AA10" s="32">
        <f t="shared" ref="AA10:AG10" si="86">C10/C4-1</f>
        <v>0.08358084545</v>
      </c>
      <c r="AB10" s="32">
        <f t="shared" si="86"/>
        <v>0.04251897016</v>
      </c>
      <c r="AC10" s="32">
        <f t="shared" si="86"/>
        <v>-0.01419332014</v>
      </c>
      <c r="AD10" s="32">
        <f t="shared" si="86"/>
        <v>0.01718228039</v>
      </c>
      <c r="AE10" s="32">
        <f t="shared" si="86"/>
        <v>0.001555577426</v>
      </c>
      <c r="AF10" s="32">
        <f t="shared" si="86"/>
        <v>0.005759868745</v>
      </c>
      <c r="AG10" s="32">
        <f t="shared" si="86"/>
        <v>0.04157373068</v>
      </c>
      <c r="AH10" s="30"/>
      <c r="AI10" s="32"/>
      <c r="AJ10" s="32"/>
      <c r="AK10" s="32"/>
      <c r="AL10" s="32"/>
      <c r="AM10" s="32"/>
      <c r="AN10" s="32"/>
      <c r="AO10" s="32"/>
      <c r="AP10" s="30"/>
      <c r="AQ10" s="32">
        <f t="shared" ref="AQ10:AW10" si="87">(12*K10+4*S10+2*AA10+AI10)/4</f>
        <v>0.1260156363</v>
      </c>
      <c r="AR10" s="32">
        <f t="shared" si="87"/>
        <v>0.1407424562</v>
      </c>
      <c r="AS10" s="32">
        <f t="shared" si="87"/>
        <v>0.1092136237</v>
      </c>
      <c r="AT10" s="32">
        <f t="shared" si="87"/>
        <v>0.04369887074</v>
      </c>
      <c r="AU10" s="33">
        <f t="shared" si="87"/>
        <v>0.005469921139</v>
      </c>
      <c r="AV10" s="32">
        <f t="shared" si="87"/>
        <v>0.03112430527</v>
      </c>
      <c r="AW10" s="32">
        <f t="shared" si="87"/>
        <v>0.08204938476</v>
      </c>
      <c r="AX10" s="30"/>
      <c r="AY10" s="34">
        <f t="shared" ref="AY10:BB10" si="88">rank(AQ10,$AQ10:$AT10)</f>
        <v>2</v>
      </c>
      <c r="AZ10" s="34">
        <f t="shared" si="88"/>
        <v>1</v>
      </c>
      <c r="BA10" s="34">
        <f t="shared" si="88"/>
        <v>3</v>
      </c>
      <c r="BB10" s="34">
        <f t="shared" si="88"/>
        <v>4</v>
      </c>
      <c r="BC10" s="35">
        <f t="shared" ref="BC10:BE10" si="89">rank(AU10,$AU10:$AW10)</f>
        <v>3</v>
      </c>
      <c r="BD10" s="34">
        <f t="shared" si="89"/>
        <v>2</v>
      </c>
      <c r="BE10" s="34">
        <f t="shared" si="89"/>
        <v>1</v>
      </c>
      <c r="BF10" s="30"/>
      <c r="BG10" s="36">
        <f t="shared" ref="BG10:BJ10" si="90">if(and($BQ10=0,AY10&lt;=2),0.5,0)</f>
        <v>0.5</v>
      </c>
      <c r="BH10" s="36">
        <f t="shared" si="90"/>
        <v>0.5</v>
      </c>
      <c r="BI10" s="36">
        <f t="shared" si="90"/>
        <v>0</v>
      </c>
      <c r="BJ10" s="36">
        <f t="shared" si="90"/>
        <v>0</v>
      </c>
      <c r="BK10" s="37">
        <f t="shared" ref="BK10:BM10" si="91">if(and($BQ10&gt;0,BC10=1),1,0)</f>
        <v>0</v>
      </c>
      <c r="BL10" s="36">
        <f t="shared" si="91"/>
        <v>0</v>
      </c>
      <c r="BM10" s="36">
        <f t="shared" si="91"/>
        <v>0</v>
      </c>
      <c r="BN10" s="38"/>
      <c r="BO10" s="22">
        <f t="shared" si="21"/>
        <v>1</v>
      </c>
      <c r="BP10" s="38"/>
      <c r="BQ10" s="39">
        <f t="shared" si="22"/>
        <v>0</v>
      </c>
      <c r="BR10" s="30"/>
      <c r="BS10" s="36">
        <f t="shared" ref="BS10:BV10" si="92">if(and($BQ10=0,AY10=1),1,0)</f>
        <v>0</v>
      </c>
      <c r="BT10" s="36">
        <f t="shared" si="92"/>
        <v>1</v>
      </c>
      <c r="BU10" s="36">
        <f t="shared" si="92"/>
        <v>0</v>
      </c>
      <c r="BV10" s="36">
        <f t="shared" si="92"/>
        <v>0</v>
      </c>
      <c r="BW10" s="37">
        <f t="shared" ref="BW10:BY10" si="93">if(and($BQ10&gt;0,BC10=1),1,0)</f>
        <v>0</v>
      </c>
      <c r="BX10" s="36">
        <f t="shared" si="93"/>
        <v>0</v>
      </c>
      <c r="BY10" s="36">
        <f t="shared" si="93"/>
        <v>0</v>
      </c>
      <c r="BZ10" s="38"/>
      <c r="CA10" s="22">
        <f t="shared" si="25"/>
        <v>1</v>
      </c>
      <c r="CB10" s="30"/>
      <c r="CC10" s="22">
        <f t="shared" ref="CC10:CI10" si="94">BG9*K10</f>
        <v>0.003618325066</v>
      </c>
      <c r="CD10" s="22">
        <f t="shared" si="94"/>
        <v>0</v>
      </c>
      <c r="CE10" s="22">
        <f t="shared" si="94"/>
        <v>0.004435682602</v>
      </c>
      <c r="CF10" s="22">
        <f t="shared" si="94"/>
        <v>0</v>
      </c>
      <c r="CG10" s="22">
        <f t="shared" si="94"/>
        <v>0</v>
      </c>
      <c r="CH10" s="22">
        <f t="shared" si="94"/>
        <v>0</v>
      </c>
      <c r="CI10" s="22">
        <f t="shared" si="94"/>
        <v>0</v>
      </c>
      <c r="CJ10" s="38"/>
      <c r="CK10" s="22">
        <f t="shared" ref="CK10:CQ10" si="95">BS9*K10</f>
        <v>0</v>
      </c>
      <c r="CL10" s="22">
        <f t="shared" si="95"/>
        <v>0</v>
      </c>
      <c r="CM10" s="22">
        <f t="shared" si="95"/>
        <v>0.008871365205</v>
      </c>
      <c r="CN10" s="22">
        <f t="shared" si="95"/>
        <v>0</v>
      </c>
      <c r="CO10" s="22">
        <f t="shared" si="95"/>
        <v>0</v>
      </c>
      <c r="CP10" s="22">
        <f t="shared" si="95"/>
        <v>0</v>
      </c>
      <c r="CQ10" s="22">
        <f t="shared" si="95"/>
        <v>0</v>
      </c>
      <c r="CR10" s="44">
        <f t="shared" si="28"/>
        <v>0.008054007668</v>
      </c>
      <c r="CS10" s="45"/>
      <c r="CT10" s="40"/>
      <c r="CU10" s="46">
        <v>1.0</v>
      </c>
      <c r="CV10" s="47">
        <v>0.0</v>
      </c>
      <c r="CW10" s="45"/>
      <c r="CX10" s="44">
        <f t="shared" si="29"/>
        <v>0.008871365205</v>
      </c>
      <c r="CY10" s="40"/>
      <c r="CZ10" s="40"/>
      <c r="DA10" s="42"/>
      <c r="DB10" s="41"/>
      <c r="DC10" s="40"/>
      <c r="DD10" s="48">
        <f t="shared" si="30"/>
        <v>104225.4871</v>
      </c>
      <c r="DE10" s="49">
        <f t="shared" si="31"/>
        <v>0.008054007668</v>
      </c>
      <c r="DF10" s="50"/>
      <c r="DG10" s="40"/>
      <c r="DH10" s="51">
        <f t="shared" si="32"/>
        <v>105669.5578</v>
      </c>
      <c r="DI10" s="52">
        <f t="shared" si="33"/>
        <v>0.008871365205</v>
      </c>
      <c r="DJ10" s="50"/>
      <c r="DK10" s="40"/>
      <c r="DL10" s="40"/>
      <c r="DM10" s="40"/>
      <c r="DN10" s="42"/>
      <c r="DO10" s="40"/>
      <c r="DP10" s="40"/>
      <c r="DQ10" s="42"/>
      <c r="DR10" s="40"/>
      <c r="DS10" s="40"/>
      <c r="DT10" s="40"/>
      <c r="DU10" s="40"/>
    </row>
    <row r="11" ht="13.5" customHeight="1">
      <c r="A11" s="27">
        <v>85.0</v>
      </c>
      <c r="B11" s="28">
        <f t="shared" si="2"/>
        <v>41789</v>
      </c>
      <c r="C11" s="29">
        <f t="shared" ref="C11:I11" si="96">indirect(CONCATENATE(C$2,"!$G$",$A11))</f>
        <v>154.0153074</v>
      </c>
      <c r="D11" s="29">
        <f t="shared" si="96"/>
        <v>34.85109509</v>
      </c>
      <c r="E11" s="29">
        <f t="shared" si="96"/>
        <v>34.98327327</v>
      </c>
      <c r="F11" s="29">
        <f t="shared" si="96"/>
        <v>68.78435278</v>
      </c>
      <c r="G11" s="29">
        <f t="shared" si="96"/>
        <v>78.61491672</v>
      </c>
      <c r="H11" s="29">
        <f t="shared" si="96"/>
        <v>91.78980198</v>
      </c>
      <c r="I11" s="29">
        <f t="shared" si="96"/>
        <v>95.57082557</v>
      </c>
      <c r="J11" s="30"/>
      <c r="K11" s="32">
        <f t="shared" ref="K11:Q11" si="97">C11/C10-1</f>
        <v>0.02294455067</v>
      </c>
      <c r="L11" s="32">
        <f t="shared" si="97"/>
        <v>0.01765267176</v>
      </c>
      <c r="M11" s="32">
        <f t="shared" si="97"/>
        <v>0.03102100635</v>
      </c>
      <c r="N11" s="32">
        <f t="shared" si="97"/>
        <v>0.01053011934</v>
      </c>
      <c r="O11" s="32">
        <f t="shared" si="97"/>
        <v>0.001432262873</v>
      </c>
      <c r="P11" s="32">
        <f t="shared" si="97"/>
        <v>0.01824898172</v>
      </c>
      <c r="Q11" s="32">
        <f t="shared" si="97"/>
        <v>0.01814566273</v>
      </c>
      <c r="R11" s="30"/>
      <c r="S11" s="32">
        <f t="shared" ref="S11:Y11" si="98">C11/C8-1</f>
        <v>0.03943852373</v>
      </c>
      <c r="T11" s="32">
        <f t="shared" si="98"/>
        <v>0.02990368973</v>
      </c>
      <c r="U11" s="32">
        <f t="shared" si="98"/>
        <v>0.08825487814</v>
      </c>
      <c r="V11" s="32">
        <f t="shared" si="98"/>
        <v>0.01690704394</v>
      </c>
      <c r="W11" s="32">
        <f t="shared" si="98"/>
        <v>0.001427260406</v>
      </c>
      <c r="X11" s="32">
        <f t="shared" si="98"/>
        <v>0.0202039876</v>
      </c>
      <c r="Y11" s="32">
        <f t="shared" si="98"/>
        <v>0.02831917642</v>
      </c>
      <c r="Z11" s="30"/>
      <c r="AA11" s="32">
        <f t="shared" ref="AA11:AG11" si="99">C11/C5-1</f>
        <v>0.07619993553</v>
      </c>
      <c r="AB11" s="32">
        <f t="shared" si="99"/>
        <v>0.05395604321</v>
      </c>
      <c r="AC11" s="32">
        <f t="shared" si="99"/>
        <v>0.02582107756</v>
      </c>
      <c r="AD11" s="32">
        <f t="shared" si="99"/>
        <v>0.03092451039</v>
      </c>
      <c r="AE11" s="32">
        <f t="shared" si="99"/>
        <v>0.002052284069</v>
      </c>
      <c r="AF11" s="32">
        <f t="shared" si="99"/>
        <v>0.03315406799</v>
      </c>
      <c r="AG11" s="32">
        <f t="shared" si="99"/>
        <v>0.06194418401</v>
      </c>
      <c r="AH11" s="30"/>
      <c r="AI11" s="32"/>
      <c r="AJ11" s="32"/>
      <c r="AK11" s="32"/>
      <c r="AL11" s="32"/>
      <c r="AM11" s="32"/>
      <c r="AN11" s="32"/>
      <c r="AO11" s="32"/>
      <c r="AP11" s="30"/>
      <c r="AQ11" s="32">
        <f t="shared" ref="AQ11:AW11" si="100">(12*K11+4*S11+2*AA11+AI11)/4</f>
        <v>0.1463721435</v>
      </c>
      <c r="AR11" s="32">
        <f t="shared" si="100"/>
        <v>0.1098397266</v>
      </c>
      <c r="AS11" s="32">
        <f t="shared" si="100"/>
        <v>0.194228436</v>
      </c>
      <c r="AT11" s="32">
        <f t="shared" si="100"/>
        <v>0.06395965714</v>
      </c>
      <c r="AU11" s="33">
        <f t="shared" si="100"/>
        <v>0.006750191058</v>
      </c>
      <c r="AV11" s="32">
        <f t="shared" si="100"/>
        <v>0.09152796674</v>
      </c>
      <c r="AW11" s="32">
        <f t="shared" si="100"/>
        <v>0.1137282566</v>
      </c>
      <c r="AX11" s="30"/>
      <c r="AY11" s="34">
        <f t="shared" ref="AY11:BB11" si="101">rank(AQ11,$AQ11:$AT11)</f>
        <v>2</v>
      </c>
      <c r="AZ11" s="34">
        <f t="shared" si="101"/>
        <v>3</v>
      </c>
      <c r="BA11" s="34">
        <f t="shared" si="101"/>
        <v>1</v>
      </c>
      <c r="BB11" s="34">
        <f t="shared" si="101"/>
        <v>4</v>
      </c>
      <c r="BC11" s="35">
        <f t="shared" ref="BC11:BE11" si="102">rank(AU11,$AU11:$AW11)</f>
        <v>3</v>
      </c>
      <c r="BD11" s="34">
        <f t="shared" si="102"/>
        <v>2</v>
      </c>
      <c r="BE11" s="34">
        <f t="shared" si="102"/>
        <v>1</v>
      </c>
      <c r="BF11" s="30"/>
      <c r="BG11" s="36">
        <f t="shared" ref="BG11:BJ11" si="103">if(and($BQ11=0,AY11&lt;=2),0.5,0)</f>
        <v>0.5</v>
      </c>
      <c r="BH11" s="36">
        <f t="shared" si="103"/>
        <v>0</v>
      </c>
      <c r="BI11" s="36">
        <f t="shared" si="103"/>
        <v>0.5</v>
      </c>
      <c r="BJ11" s="36">
        <f t="shared" si="103"/>
        <v>0</v>
      </c>
      <c r="BK11" s="37">
        <f t="shared" ref="BK11:BM11" si="104">if(and($BQ11&gt;0,BC11=1),1,0)</f>
        <v>0</v>
      </c>
      <c r="BL11" s="36">
        <f t="shared" si="104"/>
        <v>0</v>
      </c>
      <c r="BM11" s="36">
        <f t="shared" si="104"/>
        <v>0</v>
      </c>
      <c r="BN11" s="38"/>
      <c r="BO11" s="22">
        <f t="shared" si="21"/>
        <v>1</v>
      </c>
      <c r="BP11" s="38"/>
      <c r="BQ11" s="39">
        <f t="shared" si="22"/>
        <v>0</v>
      </c>
      <c r="BR11" s="30"/>
      <c r="BS11" s="36">
        <f t="shared" ref="BS11:BV11" si="105">if(and($BQ11=0,AY11=1),1,0)</f>
        <v>0</v>
      </c>
      <c r="BT11" s="36">
        <f t="shared" si="105"/>
        <v>0</v>
      </c>
      <c r="BU11" s="36">
        <f t="shared" si="105"/>
        <v>1</v>
      </c>
      <c r="BV11" s="36">
        <f t="shared" si="105"/>
        <v>0</v>
      </c>
      <c r="BW11" s="37">
        <f t="shared" ref="BW11:BY11" si="106">if(and($BQ11&gt;0,BC11=1),1,0)</f>
        <v>0</v>
      </c>
      <c r="BX11" s="36">
        <f t="shared" si="106"/>
        <v>0</v>
      </c>
      <c r="BY11" s="36">
        <f t="shared" si="106"/>
        <v>0</v>
      </c>
      <c r="BZ11" s="38"/>
      <c r="CA11" s="22">
        <f t="shared" si="25"/>
        <v>1</v>
      </c>
      <c r="CB11" s="30"/>
      <c r="CC11" s="22">
        <f t="shared" ref="CC11:CI11" si="107">BG10*K11</f>
        <v>0.01147227533</v>
      </c>
      <c r="CD11" s="22">
        <f t="shared" si="107"/>
        <v>0.008826335878</v>
      </c>
      <c r="CE11" s="22">
        <f t="shared" si="107"/>
        <v>0</v>
      </c>
      <c r="CF11" s="22">
        <f t="shared" si="107"/>
        <v>0</v>
      </c>
      <c r="CG11" s="22">
        <f t="shared" si="107"/>
        <v>0</v>
      </c>
      <c r="CH11" s="22">
        <f t="shared" si="107"/>
        <v>0</v>
      </c>
      <c r="CI11" s="22">
        <f t="shared" si="107"/>
        <v>0</v>
      </c>
      <c r="CJ11" s="38"/>
      <c r="CK11" s="22">
        <f t="shared" ref="CK11:CQ11" si="108">BS10*K11</f>
        <v>0</v>
      </c>
      <c r="CL11" s="22">
        <f t="shared" si="108"/>
        <v>0.01765267176</v>
      </c>
      <c r="CM11" s="22">
        <f t="shared" si="108"/>
        <v>0</v>
      </c>
      <c r="CN11" s="22">
        <f t="shared" si="108"/>
        <v>0</v>
      </c>
      <c r="CO11" s="22">
        <f t="shared" si="108"/>
        <v>0</v>
      </c>
      <c r="CP11" s="22">
        <f t="shared" si="108"/>
        <v>0</v>
      </c>
      <c r="CQ11" s="22">
        <f t="shared" si="108"/>
        <v>0</v>
      </c>
      <c r="CR11" s="44">
        <f t="shared" si="28"/>
        <v>0.02029861121</v>
      </c>
      <c r="CS11" s="45"/>
      <c r="CT11" s="40"/>
      <c r="CU11" s="46">
        <v>1.0</v>
      </c>
      <c r="CV11" s="47">
        <v>0.0</v>
      </c>
      <c r="CW11" s="45"/>
      <c r="CX11" s="44">
        <f t="shared" si="29"/>
        <v>0.01765267176</v>
      </c>
      <c r="CY11" s="40"/>
      <c r="CZ11" s="40"/>
      <c r="DA11" s="42"/>
      <c r="DB11" s="41"/>
      <c r="DC11" s="40"/>
      <c r="DD11" s="48">
        <f t="shared" si="30"/>
        <v>106341.1197</v>
      </c>
      <c r="DE11" s="49">
        <f t="shared" si="31"/>
        <v>0.02029861121</v>
      </c>
      <c r="DF11" s="50"/>
      <c r="DG11" s="40"/>
      <c r="DH11" s="51">
        <f t="shared" si="32"/>
        <v>107534.9078</v>
      </c>
      <c r="DI11" s="52">
        <f t="shared" si="33"/>
        <v>0.01765267176</v>
      </c>
      <c r="DJ11" s="50"/>
      <c r="DK11" s="40"/>
      <c r="DL11" s="40"/>
      <c r="DM11" s="40"/>
      <c r="DN11" s="42"/>
      <c r="DO11" s="40"/>
      <c r="DP11" s="40"/>
      <c r="DQ11" s="42"/>
      <c r="DR11" s="40"/>
      <c r="DS11" s="40"/>
      <c r="DT11" s="40"/>
      <c r="DU11" s="40"/>
    </row>
    <row r="12" ht="13.5" customHeight="1">
      <c r="A12" s="27">
        <v>84.0</v>
      </c>
      <c r="B12" s="28">
        <f t="shared" si="2"/>
        <v>41820</v>
      </c>
      <c r="C12" s="29">
        <f t="shared" ref="C12:I12" si="109">indirect(CONCATENATE(C$2,"!$G$",$A12))</f>
        <v>157.2329357</v>
      </c>
      <c r="D12" s="29">
        <f t="shared" si="109"/>
        <v>35.21448528</v>
      </c>
      <c r="E12" s="29">
        <f t="shared" si="109"/>
        <v>36.09380974</v>
      </c>
      <c r="F12" s="29">
        <f t="shared" si="109"/>
        <v>68.84211666</v>
      </c>
      <c r="G12" s="29">
        <f t="shared" si="109"/>
        <v>78.58016648</v>
      </c>
      <c r="H12" s="29">
        <f t="shared" si="109"/>
        <v>91.59192992</v>
      </c>
      <c r="I12" s="29">
        <f t="shared" si="109"/>
        <v>95.57838482</v>
      </c>
      <c r="J12" s="30"/>
      <c r="K12" s="32">
        <f t="shared" ref="K12:Q12" si="110">C12/C11-1</f>
        <v>0.02089161309</v>
      </c>
      <c r="L12" s="32">
        <f t="shared" si="110"/>
        <v>0.01042693736</v>
      </c>
      <c r="M12" s="32">
        <f t="shared" si="110"/>
        <v>0.03174478456</v>
      </c>
      <c r="N12" s="32">
        <f t="shared" si="110"/>
        <v>0.0008397822244</v>
      </c>
      <c r="O12" s="32">
        <f t="shared" si="110"/>
        <v>-0.000442031105</v>
      </c>
      <c r="P12" s="32">
        <f t="shared" si="110"/>
        <v>-0.002155708511</v>
      </c>
      <c r="Q12" s="32">
        <f t="shared" si="110"/>
        <v>0.00007909585623</v>
      </c>
      <c r="R12" s="30"/>
      <c r="S12" s="32">
        <f t="shared" ref="S12:Y12" si="111">C12/C9-1</f>
        <v>0.05187285842</v>
      </c>
      <c r="T12" s="32">
        <f t="shared" si="111"/>
        <v>0.04445876297</v>
      </c>
      <c r="U12" s="32">
        <f t="shared" si="111"/>
        <v>0.07318746565</v>
      </c>
      <c r="V12" s="32">
        <f t="shared" si="111"/>
        <v>0.01949450939</v>
      </c>
      <c r="W12" s="32">
        <f t="shared" si="111"/>
        <v>0.002427127104</v>
      </c>
      <c r="X12" s="32">
        <f t="shared" si="111"/>
        <v>0.02375889212</v>
      </c>
      <c r="Y12" s="32">
        <f t="shared" si="111"/>
        <v>0.03171002376</v>
      </c>
      <c r="Z12" s="30"/>
      <c r="AA12" s="32">
        <f t="shared" ref="AA12:AG12" si="112">C12/C6-1</f>
        <v>0.07043877723</v>
      </c>
      <c r="AB12" s="32">
        <f t="shared" si="112"/>
        <v>0.04513656818</v>
      </c>
      <c r="AC12" s="32">
        <f t="shared" si="112"/>
        <v>0.06139383457</v>
      </c>
      <c r="AD12" s="32">
        <f t="shared" si="112"/>
        <v>0.03837811216</v>
      </c>
      <c r="AE12" s="32">
        <f t="shared" si="112"/>
        <v>0.003391252285</v>
      </c>
      <c r="AF12" s="32">
        <f t="shared" si="112"/>
        <v>0.05293246991</v>
      </c>
      <c r="AG12" s="32">
        <f t="shared" si="112"/>
        <v>0.05975666262</v>
      </c>
      <c r="AH12" s="30"/>
      <c r="AI12" s="32"/>
      <c r="AJ12" s="32"/>
      <c r="AK12" s="32"/>
      <c r="AL12" s="32"/>
      <c r="AM12" s="32"/>
      <c r="AN12" s="32"/>
      <c r="AO12" s="32"/>
      <c r="AP12" s="30"/>
      <c r="AQ12" s="32">
        <f t="shared" ref="AQ12:AW12" si="113">(12*K12+4*S12+2*AA12+AI12)/4</f>
        <v>0.1497670863</v>
      </c>
      <c r="AR12" s="32">
        <f t="shared" si="113"/>
        <v>0.09830785916</v>
      </c>
      <c r="AS12" s="32">
        <f t="shared" si="113"/>
        <v>0.1991187366</v>
      </c>
      <c r="AT12" s="32">
        <f t="shared" si="113"/>
        <v>0.04120291214</v>
      </c>
      <c r="AU12" s="33">
        <f t="shared" si="113"/>
        <v>0.002796659932</v>
      </c>
      <c r="AV12" s="32">
        <f t="shared" si="113"/>
        <v>0.04375800155</v>
      </c>
      <c r="AW12" s="32">
        <f t="shared" si="113"/>
        <v>0.06182564264</v>
      </c>
      <c r="AX12" s="30"/>
      <c r="AY12" s="34">
        <f t="shared" ref="AY12:BB12" si="114">rank(AQ12,$AQ12:$AT12)</f>
        <v>2</v>
      </c>
      <c r="AZ12" s="34">
        <f t="shared" si="114"/>
        <v>3</v>
      </c>
      <c r="BA12" s="34">
        <f t="shared" si="114"/>
        <v>1</v>
      </c>
      <c r="BB12" s="34">
        <f t="shared" si="114"/>
        <v>4</v>
      </c>
      <c r="BC12" s="35">
        <f t="shared" ref="BC12:BE12" si="115">rank(AU12,$AU12:$AW12)</f>
        <v>3</v>
      </c>
      <c r="BD12" s="34">
        <f t="shared" si="115"/>
        <v>2</v>
      </c>
      <c r="BE12" s="34">
        <f t="shared" si="115"/>
        <v>1</v>
      </c>
      <c r="BF12" s="30"/>
      <c r="BG12" s="36">
        <f t="shared" ref="BG12:BJ12" si="116">if(and($BQ12=0,AY12&lt;=2),0.5,0)</f>
        <v>0.5</v>
      </c>
      <c r="BH12" s="36">
        <f t="shared" si="116"/>
        <v>0</v>
      </c>
      <c r="BI12" s="36">
        <f t="shared" si="116"/>
        <v>0.5</v>
      </c>
      <c r="BJ12" s="36">
        <f t="shared" si="116"/>
        <v>0</v>
      </c>
      <c r="BK12" s="37">
        <f t="shared" ref="BK12:BM12" si="117">if(and($BQ12&gt;0,BC12=1),1,0)</f>
        <v>0</v>
      </c>
      <c r="BL12" s="36">
        <f t="shared" si="117"/>
        <v>0</v>
      </c>
      <c r="BM12" s="36">
        <f t="shared" si="117"/>
        <v>0</v>
      </c>
      <c r="BN12" s="38"/>
      <c r="BO12" s="22">
        <f t="shared" si="21"/>
        <v>1</v>
      </c>
      <c r="BP12" s="38"/>
      <c r="BQ12" s="39">
        <f t="shared" si="22"/>
        <v>0</v>
      </c>
      <c r="BR12" s="30"/>
      <c r="BS12" s="36">
        <f t="shared" ref="BS12:BV12" si="118">if(and($BQ12=0,AY12=1),1,0)</f>
        <v>0</v>
      </c>
      <c r="BT12" s="36">
        <f t="shared" si="118"/>
        <v>0</v>
      </c>
      <c r="BU12" s="36">
        <f t="shared" si="118"/>
        <v>1</v>
      </c>
      <c r="BV12" s="36">
        <f t="shared" si="118"/>
        <v>0</v>
      </c>
      <c r="BW12" s="37">
        <f t="shared" ref="BW12:BY12" si="119">if(and($BQ12&gt;0,BC12=1),1,0)</f>
        <v>0</v>
      </c>
      <c r="BX12" s="36">
        <f t="shared" si="119"/>
        <v>0</v>
      </c>
      <c r="BY12" s="36">
        <f t="shared" si="119"/>
        <v>0</v>
      </c>
      <c r="BZ12" s="38"/>
      <c r="CA12" s="22">
        <f t="shared" si="25"/>
        <v>1</v>
      </c>
      <c r="CB12" s="30"/>
      <c r="CC12" s="22">
        <f t="shared" ref="CC12:CI12" si="120">BG11*K12</f>
        <v>0.01044580654</v>
      </c>
      <c r="CD12" s="22">
        <f t="shared" si="120"/>
        <v>0</v>
      </c>
      <c r="CE12" s="22">
        <f t="shared" si="120"/>
        <v>0.01587239228</v>
      </c>
      <c r="CF12" s="22">
        <f t="shared" si="120"/>
        <v>0</v>
      </c>
      <c r="CG12" s="22">
        <f t="shared" si="120"/>
        <v>0</v>
      </c>
      <c r="CH12" s="22">
        <f t="shared" si="120"/>
        <v>0</v>
      </c>
      <c r="CI12" s="22">
        <f t="shared" si="120"/>
        <v>0</v>
      </c>
      <c r="CJ12" s="38"/>
      <c r="CK12" s="22">
        <f t="shared" ref="CK12:CQ12" si="121">BS11*K12</f>
        <v>0</v>
      </c>
      <c r="CL12" s="22">
        <f t="shared" si="121"/>
        <v>0</v>
      </c>
      <c r="CM12" s="22">
        <f t="shared" si="121"/>
        <v>0.03174478456</v>
      </c>
      <c r="CN12" s="22">
        <f t="shared" si="121"/>
        <v>0</v>
      </c>
      <c r="CO12" s="22">
        <f t="shared" si="121"/>
        <v>0</v>
      </c>
      <c r="CP12" s="22">
        <f t="shared" si="121"/>
        <v>0</v>
      </c>
      <c r="CQ12" s="22">
        <f t="shared" si="121"/>
        <v>0</v>
      </c>
      <c r="CR12" s="44">
        <f t="shared" si="28"/>
        <v>0.02631819882</v>
      </c>
      <c r="CS12" s="45"/>
      <c r="CT12" s="40"/>
      <c r="CU12" s="46">
        <v>1.0</v>
      </c>
      <c r="CV12" s="47">
        <v>0.0</v>
      </c>
      <c r="CW12" s="45"/>
      <c r="CX12" s="44">
        <f t="shared" si="29"/>
        <v>0.03174478456</v>
      </c>
      <c r="CY12" s="40"/>
      <c r="CZ12" s="40"/>
      <c r="DA12" s="42"/>
      <c r="DB12" s="41"/>
      <c r="DC12" s="40"/>
      <c r="DD12" s="48">
        <f t="shared" si="30"/>
        <v>109139.8264</v>
      </c>
      <c r="DE12" s="49">
        <f t="shared" si="31"/>
        <v>0.02631819882</v>
      </c>
      <c r="DF12" s="50"/>
      <c r="DG12" s="40"/>
      <c r="DH12" s="51">
        <f t="shared" si="32"/>
        <v>110948.5803</v>
      </c>
      <c r="DI12" s="52">
        <f t="shared" si="33"/>
        <v>0.03174478456</v>
      </c>
      <c r="DJ12" s="50"/>
      <c r="DK12" s="40"/>
      <c r="DL12" s="40"/>
      <c r="DM12" s="40"/>
      <c r="DN12" s="42"/>
      <c r="DO12" s="40"/>
      <c r="DP12" s="40"/>
      <c r="DQ12" s="42"/>
      <c r="DR12" s="40"/>
      <c r="DS12" s="40"/>
      <c r="DT12" s="40"/>
      <c r="DU12" s="40"/>
    </row>
    <row r="13" ht="13.5" customHeight="1">
      <c r="A13" s="27">
        <v>83.0</v>
      </c>
      <c r="B13" s="28">
        <f t="shared" si="2"/>
        <v>41851</v>
      </c>
      <c r="C13" s="29">
        <f t="shared" ref="C13:I13" si="122">indirect(CONCATENATE(C$2,"!$G$",$A13))</f>
        <v>155.0684963</v>
      </c>
      <c r="D13" s="29">
        <f t="shared" si="122"/>
        <v>34.37939183</v>
      </c>
      <c r="E13" s="29">
        <f t="shared" si="122"/>
        <v>36.58755766</v>
      </c>
      <c r="F13" s="29">
        <f t="shared" si="122"/>
        <v>68.65129435</v>
      </c>
      <c r="G13" s="29">
        <f t="shared" si="122"/>
        <v>78.49170467</v>
      </c>
      <c r="H13" s="29">
        <f t="shared" si="122"/>
        <v>91.39061964</v>
      </c>
      <c r="I13" s="29">
        <f t="shared" si="122"/>
        <v>95.27409269</v>
      </c>
      <c r="J13" s="30"/>
      <c r="K13" s="32">
        <f t="shared" ref="K13:Q13" si="123">C13/C12-1</f>
        <v>-0.01376581397</v>
      </c>
      <c r="L13" s="32">
        <f t="shared" si="123"/>
        <v>-0.02371448697</v>
      </c>
      <c r="M13" s="32">
        <f t="shared" si="123"/>
        <v>0.01367957338</v>
      </c>
      <c r="N13" s="32">
        <f t="shared" si="123"/>
        <v>-0.00277188317</v>
      </c>
      <c r="O13" s="32">
        <f t="shared" si="123"/>
        <v>-0.001125752442</v>
      </c>
      <c r="P13" s="32">
        <f t="shared" si="123"/>
        <v>-0.002197904091</v>
      </c>
      <c r="Q13" s="32">
        <f t="shared" si="123"/>
        <v>-0.003183691917</v>
      </c>
      <c r="R13" s="30"/>
      <c r="S13" s="32">
        <f t="shared" ref="S13:Y13" si="124">C13/C10-1</f>
        <v>0.02993965936</v>
      </c>
      <c r="T13" s="32">
        <f t="shared" si="124"/>
        <v>0.003878926963</v>
      </c>
      <c r="U13" s="32">
        <f t="shared" si="124"/>
        <v>0.07830219973</v>
      </c>
      <c r="V13" s="32">
        <f t="shared" si="124"/>
        <v>0.008575320847</v>
      </c>
      <c r="W13" s="32">
        <f t="shared" si="124"/>
        <v>-0.0001372678225</v>
      </c>
      <c r="X13" s="32">
        <f t="shared" si="124"/>
        <v>0.01382074462</v>
      </c>
      <c r="Y13" s="32">
        <f t="shared" si="124"/>
        <v>0.01498447533</v>
      </c>
      <c r="Z13" s="30"/>
      <c r="AA13" s="32">
        <f t="shared" ref="AA13:AG13" si="125">C13/C7-1</f>
        <v>0.09432660821</v>
      </c>
      <c r="AB13" s="32">
        <f t="shared" si="125"/>
        <v>0.07639226693</v>
      </c>
      <c r="AC13" s="32">
        <f t="shared" si="125"/>
        <v>0.1750217967</v>
      </c>
      <c r="AD13" s="32">
        <f t="shared" si="125"/>
        <v>0.01970430484</v>
      </c>
      <c r="AE13" s="32">
        <f t="shared" si="125"/>
        <v>0.0002464901043</v>
      </c>
      <c r="AF13" s="32">
        <f t="shared" si="125"/>
        <v>0.01939140283</v>
      </c>
      <c r="AG13" s="32">
        <f t="shared" si="125"/>
        <v>0.03684227675</v>
      </c>
      <c r="AH13" s="30"/>
      <c r="AI13" s="32"/>
      <c r="AJ13" s="32"/>
      <c r="AK13" s="32"/>
      <c r="AL13" s="32"/>
      <c r="AM13" s="32"/>
      <c r="AN13" s="32"/>
      <c r="AO13" s="32"/>
      <c r="AP13" s="30"/>
      <c r="AQ13" s="32">
        <f t="shared" ref="AQ13:AW13" si="126">(12*K13+4*S13+2*AA13+AI13)/4</f>
        <v>0.03580552157</v>
      </c>
      <c r="AR13" s="32">
        <f t="shared" si="126"/>
        <v>-0.02906840048</v>
      </c>
      <c r="AS13" s="32">
        <f t="shared" si="126"/>
        <v>0.2068518182</v>
      </c>
      <c r="AT13" s="32">
        <f t="shared" si="126"/>
        <v>0.01011182376</v>
      </c>
      <c r="AU13" s="33">
        <f t="shared" si="126"/>
        <v>-0.003391280097</v>
      </c>
      <c r="AV13" s="32">
        <f t="shared" si="126"/>
        <v>0.01692273376</v>
      </c>
      <c r="AW13" s="32">
        <f t="shared" si="126"/>
        <v>0.02385453795</v>
      </c>
      <c r="AX13" s="30"/>
      <c r="AY13" s="34">
        <f t="shared" ref="AY13:BB13" si="127">rank(AQ13,$AQ13:$AT13)</f>
        <v>2</v>
      </c>
      <c r="AZ13" s="34">
        <f t="shared" si="127"/>
        <v>4</v>
      </c>
      <c r="BA13" s="34">
        <f t="shared" si="127"/>
        <v>1</v>
      </c>
      <c r="BB13" s="34">
        <f t="shared" si="127"/>
        <v>3</v>
      </c>
      <c r="BC13" s="35">
        <f t="shared" ref="BC13:BE13" si="128">rank(AU13,$AU13:$AW13)</f>
        <v>3</v>
      </c>
      <c r="BD13" s="34">
        <f t="shared" si="128"/>
        <v>2</v>
      </c>
      <c r="BE13" s="34">
        <f t="shared" si="128"/>
        <v>1</v>
      </c>
      <c r="BF13" s="30"/>
      <c r="BG13" s="36">
        <f t="shared" ref="BG13:BJ13" si="129">if(and($BQ13=0,AY13&lt;=2),0.5,0)</f>
        <v>0</v>
      </c>
      <c r="BH13" s="36">
        <f t="shared" si="129"/>
        <v>0</v>
      </c>
      <c r="BI13" s="36">
        <f t="shared" si="129"/>
        <v>0</v>
      </c>
      <c r="BJ13" s="36">
        <f t="shared" si="129"/>
        <v>0</v>
      </c>
      <c r="BK13" s="37">
        <f t="shared" ref="BK13:BM13" si="130">if(and($BQ13&gt;0,BC13=1),1,0)</f>
        <v>0</v>
      </c>
      <c r="BL13" s="36">
        <f t="shared" si="130"/>
        <v>0</v>
      </c>
      <c r="BM13" s="36">
        <f t="shared" si="130"/>
        <v>1</v>
      </c>
      <c r="BN13" s="38"/>
      <c r="BO13" s="22">
        <f t="shared" si="21"/>
        <v>1</v>
      </c>
      <c r="BP13" s="38"/>
      <c r="BQ13" s="39">
        <f t="shared" si="22"/>
        <v>1</v>
      </c>
      <c r="BR13" s="30"/>
      <c r="BS13" s="36">
        <f t="shared" ref="BS13:BV13" si="131">if(and($BQ13=0,AY13=1),1,0)</f>
        <v>0</v>
      </c>
      <c r="BT13" s="36">
        <f t="shared" si="131"/>
        <v>0</v>
      </c>
      <c r="BU13" s="36">
        <f t="shared" si="131"/>
        <v>0</v>
      </c>
      <c r="BV13" s="36">
        <f t="shared" si="131"/>
        <v>0</v>
      </c>
      <c r="BW13" s="37">
        <f t="shared" ref="BW13:BY13" si="132">if(and($BQ13&gt;0,BC13=1),1,0)</f>
        <v>0</v>
      </c>
      <c r="BX13" s="36">
        <f t="shared" si="132"/>
        <v>0</v>
      </c>
      <c r="BY13" s="36">
        <f t="shared" si="132"/>
        <v>1</v>
      </c>
      <c r="BZ13" s="38"/>
      <c r="CA13" s="22">
        <f t="shared" si="25"/>
        <v>1</v>
      </c>
      <c r="CB13" s="30"/>
      <c r="CC13" s="22">
        <f t="shared" ref="CC13:CI13" si="133">BG12*K13</f>
        <v>-0.006882906983</v>
      </c>
      <c r="CD13" s="22">
        <f t="shared" si="133"/>
        <v>0</v>
      </c>
      <c r="CE13" s="22">
        <f t="shared" si="133"/>
        <v>0.006839786691</v>
      </c>
      <c r="CF13" s="22">
        <f t="shared" si="133"/>
        <v>0</v>
      </c>
      <c r="CG13" s="22">
        <f t="shared" si="133"/>
        <v>0</v>
      </c>
      <c r="CH13" s="22">
        <f t="shared" si="133"/>
        <v>0</v>
      </c>
      <c r="CI13" s="22">
        <f t="shared" si="133"/>
        <v>0</v>
      </c>
      <c r="CJ13" s="38"/>
      <c r="CK13" s="22">
        <f t="shared" ref="CK13:CQ13" si="134">BS12*K13</f>
        <v>0</v>
      </c>
      <c r="CL13" s="22">
        <f t="shared" si="134"/>
        <v>0</v>
      </c>
      <c r="CM13" s="22">
        <f t="shared" si="134"/>
        <v>0.01367957338</v>
      </c>
      <c r="CN13" s="22">
        <f t="shared" si="134"/>
        <v>0</v>
      </c>
      <c r="CO13" s="22">
        <f t="shared" si="134"/>
        <v>0</v>
      </c>
      <c r="CP13" s="22">
        <f t="shared" si="134"/>
        <v>0</v>
      </c>
      <c r="CQ13" s="22">
        <f t="shared" si="134"/>
        <v>0</v>
      </c>
      <c r="CR13" s="44">
        <f t="shared" si="28"/>
        <v>-0.00004312029183</v>
      </c>
      <c r="CS13" s="45"/>
      <c r="CT13" s="40"/>
      <c r="CU13" s="46">
        <v>1.0</v>
      </c>
      <c r="CV13" s="47">
        <v>0.0</v>
      </c>
      <c r="CW13" s="45"/>
      <c r="CX13" s="44">
        <f t="shared" si="29"/>
        <v>0.01367957338</v>
      </c>
      <c r="CY13" s="40"/>
      <c r="CZ13" s="40"/>
      <c r="DA13" s="42"/>
      <c r="DB13" s="41"/>
      <c r="DC13" s="40"/>
      <c r="DD13" s="48">
        <f t="shared" si="30"/>
        <v>109135.1203</v>
      </c>
      <c r="DE13" s="49">
        <f t="shared" si="31"/>
        <v>-0.00004312029183</v>
      </c>
      <c r="DF13" s="50"/>
      <c r="DG13" s="40"/>
      <c r="DH13" s="51">
        <f t="shared" si="32"/>
        <v>112466.3095</v>
      </c>
      <c r="DI13" s="52">
        <f t="shared" si="33"/>
        <v>0.01367957338</v>
      </c>
      <c r="DJ13" s="50"/>
      <c r="DK13" s="40"/>
      <c r="DL13" s="40"/>
      <c r="DM13" s="40"/>
      <c r="DN13" s="42"/>
      <c r="DO13" s="40"/>
      <c r="DP13" s="40"/>
      <c r="DQ13" s="42"/>
      <c r="DR13" s="40"/>
      <c r="DS13" s="40"/>
      <c r="DT13" s="40"/>
      <c r="DU13" s="40"/>
    </row>
    <row r="14" ht="13.5" customHeight="1">
      <c r="A14" s="27">
        <v>82.0</v>
      </c>
      <c r="B14" s="28">
        <f t="shared" si="2"/>
        <v>41880</v>
      </c>
      <c r="C14" s="29">
        <f t="shared" ref="C14:I14" si="135">indirect(CONCATENATE(C$2,"!$G$",$A14))</f>
        <v>161.2288237</v>
      </c>
      <c r="D14" s="29">
        <f t="shared" si="135"/>
        <v>34.4703426</v>
      </c>
      <c r="E14" s="29">
        <f t="shared" si="135"/>
        <v>37.99348394</v>
      </c>
      <c r="F14" s="29">
        <f t="shared" si="135"/>
        <v>69.43353451</v>
      </c>
      <c r="G14" s="29">
        <f t="shared" si="135"/>
        <v>78.63752444</v>
      </c>
      <c r="H14" s="29">
        <f t="shared" si="135"/>
        <v>93.10759076</v>
      </c>
      <c r="I14" s="29">
        <f t="shared" si="135"/>
        <v>97.18208263</v>
      </c>
      <c r="J14" s="30"/>
      <c r="K14" s="32">
        <f t="shared" ref="K14:Q14" si="136">C14/C13-1</f>
        <v>0.03972649186</v>
      </c>
      <c r="L14" s="32">
        <f t="shared" si="136"/>
        <v>0.002645502646</v>
      </c>
      <c r="M14" s="32">
        <f t="shared" si="136"/>
        <v>0.0384263495</v>
      </c>
      <c r="N14" s="32">
        <f t="shared" si="136"/>
        <v>0.01139439779</v>
      </c>
      <c r="O14" s="32">
        <f t="shared" si="136"/>
        <v>0.001857773029</v>
      </c>
      <c r="P14" s="32">
        <f t="shared" si="136"/>
        <v>0.01878717004</v>
      </c>
      <c r="Q14" s="32">
        <f t="shared" si="136"/>
        <v>0.020026325</v>
      </c>
      <c r="R14" s="30"/>
      <c r="S14" s="32">
        <f t="shared" ref="S14:Y14" si="137">C14/C11-1</f>
        <v>0.04683635898</v>
      </c>
      <c r="T14" s="32">
        <f t="shared" si="137"/>
        <v>-0.01092512283</v>
      </c>
      <c r="U14" s="32">
        <f t="shared" si="137"/>
        <v>0.08604714164</v>
      </c>
      <c r="V14" s="32">
        <f t="shared" si="137"/>
        <v>0.00943792742</v>
      </c>
      <c r="W14" s="32">
        <f t="shared" si="137"/>
        <v>0.0002875754381</v>
      </c>
      <c r="X14" s="32">
        <f t="shared" si="137"/>
        <v>0.01435659244</v>
      </c>
      <c r="Y14" s="32">
        <f t="shared" si="137"/>
        <v>0.01685929843</v>
      </c>
      <c r="Z14" s="30"/>
      <c r="AA14" s="32">
        <f t="shared" ref="AA14:AG14" si="138">C14/C8-1</f>
        <v>0.08812203956</v>
      </c>
      <c r="AB14" s="32">
        <f t="shared" si="138"/>
        <v>0.01865186542</v>
      </c>
      <c r="AC14" s="32">
        <f t="shared" si="138"/>
        <v>0.1818960998</v>
      </c>
      <c r="AD14" s="32">
        <f t="shared" si="138"/>
        <v>0.02650453881</v>
      </c>
      <c r="AE14" s="32">
        <f t="shared" si="138"/>
        <v>0.001715246289</v>
      </c>
      <c r="AF14" s="32">
        <f t="shared" si="138"/>
        <v>0.03485064045</v>
      </c>
      <c r="AG14" s="32">
        <f t="shared" si="138"/>
        <v>0.0456559163</v>
      </c>
      <c r="AH14" s="30"/>
      <c r="AI14" s="32"/>
      <c r="AJ14" s="32"/>
      <c r="AK14" s="32"/>
      <c r="AL14" s="32"/>
      <c r="AM14" s="32"/>
      <c r="AN14" s="32"/>
      <c r="AO14" s="32"/>
      <c r="AP14" s="30"/>
      <c r="AQ14" s="32">
        <f t="shared" ref="AQ14:AW14" si="139">(12*K14+4*S14+2*AA14+AI14)/4</f>
        <v>0.2100768543</v>
      </c>
      <c r="AR14" s="32">
        <f t="shared" si="139"/>
        <v>0.006337317819</v>
      </c>
      <c r="AS14" s="32">
        <f t="shared" si="139"/>
        <v>0.29227424</v>
      </c>
      <c r="AT14" s="32">
        <f t="shared" si="139"/>
        <v>0.05687339021</v>
      </c>
      <c r="AU14" s="33">
        <f t="shared" si="139"/>
        <v>0.00671851767</v>
      </c>
      <c r="AV14" s="32">
        <f t="shared" si="139"/>
        <v>0.08814342279</v>
      </c>
      <c r="AW14" s="32">
        <f t="shared" si="139"/>
        <v>0.09976623157</v>
      </c>
      <c r="AX14" s="30"/>
      <c r="AY14" s="34">
        <f t="shared" ref="AY14:BB14" si="140">rank(AQ14,$AQ14:$AT14)</f>
        <v>2</v>
      </c>
      <c r="AZ14" s="34">
        <f t="shared" si="140"/>
        <v>4</v>
      </c>
      <c r="BA14" s="34">
        <f t="shared" si="140"/>
        <v>1</v>
      </c>
      <c r="BB14" s="34">
        <f t="shared" si="140"/>
        <v>3</v>
      </c>
      <c r="BC14" s="35">
        <f t="shared" ref="BC14:BE14" si="141">rank(AU14,$AU14:$AW14)</f>
        <v>3</v>
      </c>
      <c r="BD14" s="34">
        <f t="shared" si="141"/>
        <v>2</v>
      </c>
      <c r="BE14" s="34">
        <f t="shared" si="141"/>
        <v>1</v>
      </c>
      <c r="BF14" s="30"/>
      <c r="BG14" s="36">
        <f t="shared" ref="BG14:BJ14" si="142">if(and($BQ14=0,AY14&lt;=2),0.5,0)</f>
        <v>0.5</v>
      </c>
      <c r="BH14" s="36">
        <f t="shared" si="142"/>
        <v>0</v>
      </c>
      <c r="BI14" s="36">
        <f t="shared" si="142"/>
        <v>0.5</v>
      </c>
      <c r="BJ14" s="36">
        <f t="shared" si="142"/>
        <v>0</v>
      </c>
      <c r="BK14" s="37">
        <f t="shared" ref="BK14:BM14" si="143">if(and($BQ14&gt;0,BC14=1),1,0)</f>
        <v>0</v>
      </c>
      <c r="BL14" s="36">
        <f t="shared" si="143"/>
        <v>0</v>
      </c>
      <c r="BM14" s="36">
        <f t="shared" si="143"/>
        <v>0</v>
      </c>
      <c r="BN14" s="38"/>
      <c r="BO14" s="22">
        <f t="shared" si="21"/>
        <v>1</v>
      </c>
      <c r="BP14" s="38"/>
      <c r="BQ14" s="39">
        <f t="shared" si="22"/>
        <v>0</v>
      </c>
      <c r="BR14" s="30"/>
      <c r="BS14" s="36">
        <f t="shared" ref="BS14:BV14" si="144">if(and($BQ14=0,AY14=1),1,0)</f>
        <v>0</v>
      </c>
      <c r="BT14" s="36">
        <f t="shared" si="144"/>
        <v>0</v>
      </c>
      <c r="BU14" s="36">
        <f t="shared" si="144"/>
        <v>1</v>
      </c>
      <c r="BV14" s="36">
        <f t="shared" si="144"/>
        <v>0</v>
      </c>
      <c r="BW14" s="37">
        <f t="shared" ref="BW14:BY14" si="145">if(and($BQ14&gt;0,BC14=1),1,0)</f>
        <v>0</v>
      </c>
      <c r="BX14" s="36">
        <f t="shared" si="145"/>
        <v>0</v>
      </c>
      <c r="BY14" s="36">
        <f t="shared" si="145"/>
        <v>0</v>
      </c>
      <c r="BZ14" s="38"/>
      <c r="CA14" s="22">
        <f t="shared" si="25"/>
        <v>1</v>
      </c>
      <c r="CB14" s="30"/>
      <c r="CC14" s="22">
        <f t="shared" ref="CC14:CI14" si="146">BG13*K14</f>
        <v>0</v>
      </c>
      <c r="CD14" s="22">
        <f t="shared" si="146"/>
        <v>0</v>
      </c>
      <c r="CE14" s="22">
        <f t="shared" si="146"/>
        <v>0</v>
      </c>
      <c r="CF14" s="22">
        <f t="shared" si="146"/>
        <v>0</v>
      </c>
      <c r="CG14" s="22">
        <f t="shared" si="146"/>
        <v>0</v>
      </c>
      <c r="CH14" s="22">
        <f t="shared" si="146"/>
        <v>0</v>
      </c>
      <c r="CI14" s="22">
        <f t="shared" si="146"/>
        <v>0.020026325</v>
      </c>
      <c r="CJ14" s="38"/>
      <c r="CK14" s="22">
        <f t="shared" ref="CK14:CQ14" si="147">BS13*K14</f>
        <v>0</v>
      </c>
      <c r="CL14" s="22">
        <f t="shared" si="147"/>
        <v>0</v>
      </c>
      <c r="CM14" s="22">
        <f t="shared" si="147"/>
        <v>0</v>
      </c>
      <c r="CN14" s="22">
        <f t="shared" si="147"/>
        <v>0</v>
      </c>
      <c r="CO14" s="22">
        <f t="shared" si="147"/>
        <v>0</v>
      </c>
      <c r="CP14" s="22">
        <f t="shared" si="147"/>
        <v>0</v>
      </c>
      <c r="CQ14" s="22">
        <f t="shared" si="147"/>
        <v>0.020026325</v>
      </c>
      <c r="CR14" s="44">
        <f t="shared" si="28"/>
        <v>0.020026325</v>
      </c>
      <c r="CS14" s="45"/>
      <c r="CT14" s="40"/>
      <c r="CU14" s="46">
        <v>1.0</v>
      </c>
      <c r="CV14" s="47">
        <v>0.0</v>
      </c>
      <c r="CW14" s="45"/>
      <c r="CX14" s="44">
        <f t="shared" si="29"/>
        <v>0.020026325</v>
      </c>
      <c r="CY14" s="40"/>
      <c r="CZ14" s="40"/>
      <c r="DA14" s="42"/>
      <c r="DB14" s="41"/>
      <c r="DC14" s="40"/>
      <c r="DD14" s="53">
        <f t="shared" si="30"/>
        <v>111320.6957</v>
      </c>
      <c r="DE14" s="54">
        <f t="shared" si="31"/>
        <v>0.020026325</v>
      </c>
      <c r="DF14" s="55">
        <f>DD14/DD4-1</f>
        <v>0.1132069569</v>
      </c>
      <c r="DG14" s="40"/>
      <c r="DH14" s="51">
        <f t="shared" si="32"/>
        <v>114718.5964</v>
      </c>
      <c r="DI14" s="52">
        <f t="shared" si="33"/>
        <v>0.020026325</v>
      </c>
      <c r="DJ14" s="55">
        <f>DH14/DH4-1</f>
        <v>0.1471859641</v>
      </c>
      <c r="DK14" s="40"/>
      <c r="DL14" s="40"/>
      <c r="DM14" s="40"/>
      <c r="DN14" s="42"/>
      <c r="DO14" s="40"/>
      <c r="DP14" s="40"/>
      <c r="DQ14" s="42"/>
      <c r="DR14" s="40"/>
      <c r="DS14" s="40"/>
      <c r="DT14" s="40"/>
      <c r="DU14" s="40"/>
    </row>
    <row r="15" ht="13.5" customHeight="1">
      <c r="A15" s="27">
        <v>81.0</v>
      </c>
      <c r="B15" s="28">
        <f t="shared" si="2"/>
        <v>41912</v>
      </c>
      <c r="C15" s="29">
        <f t="shared" ref="C15:I15" si="148">indirect(CONCATENATE(C$2,"!$G$",$A15))</f>
        <v>159.0087811</v>
      </c>
      <c r="D15" s="29">
        <f t="shared" si="148"/>
        <v>33.03791885</v>
      </c>
      <c r="E15" s="29">
        <f t="shared" si="148"/>
        <v>35.26533411</v>
      </c>
      <c r="F15" s="29">
        <f t="shared" si="148"/>
        <v>69.03692216</v>
      </c>
      <c r="G15" s="29">
        <f t="shared" si="148"/>
        <v>78.60786435</v>
      </c>
      <c r="H15" s="29">
        <f t="shared" si="148"/>
        <v>92.1314284</v>
      </c>
      <c r="I15" s="29">
        <f t="shared" si="148"/>
        <v>95.54914519</v>
      </c>
      <c r="J15" s="30"/>
      <c r="K15" s="32">
        <f t="shared" ref="K15:Q15" si="149">C15/C14-1</f>
        <v>-0.01376951406</v>
      </c>
      <c r="L15" s="32">
        <f t="shared" si="149"/>
        <v>-0.04155525123</v>
      </c>
      <c r="M15" s="32">
        <f t="shared" si="149"/>
        <v>-0.07180572952</v>
      </c>
      <c r="N15" s="32">
        <f t="shared" si="149"/>
        <v>-0.005712115187</v>
      </c>
      <c r="O15" s="32">
        <f t="shared" si="149"/>
        <v>-0.0003771748217</v>
      </c>
      <c r="P15" s="32">
        <f t="shared" si="149"/>
        <v>-0.01048424026</v>
      </c>
      <c r="Q15" s="32">
        <f t="shared" si="149"/>
        <v>-0.01680286533</v>
      </c>
      <c r="R15" s="30"/>
      <c r="S15" s="32">
        <f t="shared" ref="S15:Y15" si="150">C15/C12-1</f>
        <v>0.01129436052</v>
      </c>
      <c r="T15" s="32">
        <f t="shared" si="150"/>
        <v>-0.06180883831</v>
      </c>
      <c r="U15" s="32">
        <f t="shared" si="150"/>
        <v>-0.02295339949</v>
      </c>
      <c r="V15" s="32">
        <f t="shared" si="150"/>
        <v>0.002829743113</v>
      </c>
      <c r="W15" s="32">
        <f t="shared" si="150"/>
        <v>0.0003524790618</v>
      </c>
      <c r="X15" s="32">
        <f t="shared" si="150"/>
        <v>0.005890240364</v>
      </c>
      <c r="Y15" s="32">
        <f t="shared" si="150"/>
        <v>-0.000305923085</v>
      </c>
      <c r="Z15" s="30"/>
      <c r="AA15" s="32">
        <f t="shared" ref="AA15:AG15" si="151">C15/C9-1</f>
        <v>0.0637530897</v>
      </c>
      <c r="AB15" s="32">
        <f t="shared" si="151"/>
        <v>-0.02009801983</v>
      </c>
      <c r="AC15" s="32">
        <f t="shared" si="151"/>
        <v>0.04855416502</v>
      </c>
      <c r="AD15" s="32">
        <f t="shared" si="151"/>
        <v>0.02237941696</v>
      </c>
      <c r="AE15" s="32">
        <f t="shared" si="151"/>
        <v>0.002780461678</v>
      </c>
      <c r="AF15" s="32">
        <f t="shared" si="151"/>
        <v>0.02978907807</v>
      </c>
      <c r="AG15" s="32">
        <f t="shared" si="151"/>
        <v>0.03139439985</v>
      </c>
      <c r="AH15" s="30"/>
      <c r="AI15" s="32">
        <f t="shared" ref="AI15:AO15" si="152">C15/C3-1</f>
        <v>0.1955065796</v>
      </c>
      <c r="AJ15" s="32">
        <f t="shared" si="152"/>
        <v>0.03799692639</v>
      </c>
      <c r="AK15" s="32">
        <f t="shared" si="152"/>
        <v>0.06874638535</v>
      </c>
      <c r="AL15" s="32">
        <f t="shared" si="152"/>
        <v>0.04052044254</v>
      </c>
      <c r="AM15" s="32">
        <f t="shared" si="152"/>
        <v>0.003594398893</v>
      </c>
      <c r="AN15" s="32">
        <f t="shared" si="152"/>
        <v>0.03592733086</v>
      </c>
      <c r="AO15" s="32">
        <f t="shared" si="152"/>
        <v>0.07940345698</v>
      </c>
      <c r="AP15" s="30"/>
      <c r="AQ15" s="32">
        <f t="shared" ref="AQ15:AW15" si="153">(12*K15+4*S15+2*AA15+AI15)/4</f>
        <v>0.05073900809</v>
      </c>
      <c r="AR15" s="32">
        <f t="shared" si="153"/>
        <v>-0.1870243703</v>
      </c>
      <c r="AS15" s="32">
        <f t="shared" si="153"/>
        <v>-0.1969069092</v>
      </c>
      <c r="AT15" s="32">
        <f t="shared" si="153"/>
        <v>0.007013216665</v>
      </c>
      <c r="AU15" s="33">
        <f t="shared" si="153"/>
        <v>0.001509785159</v>
      </c>
      <c r="AV15" s="32">
        <f t="shared" si="153"/>
        <v>-0.001686108663</v>
      </c>
      <c r="AW15" s="32">
        <f t="shared" si="153"/>
        <v>-0.01516645491</v>
      </c>
      <c r="AX15" s="30"/>
      <c r="AY15" s="34">
        <f t="shared" ref="AY15:BB15" si="154">rank(AQ15,$AQ15:$AT15)</f>
        <v>1</v>
      </c>
      <c r="AZ15" s="34">
        <f t="shared" si="154"/>
        <v>3</v>
      </c>
      <c r="BA15" s="34">
        <f t="shared" si="154"/>
        <v>4</v>
      </c>
      <c r="BB15" s="34">
        <f t="shared" si="154"/>
        <v>2</v>
      </c>
      <c r="BC15" s="35">
        <f t="shared" ref="BC15:BE15" si="155">rank(AU15,$AU15:$AW15)</f>
        <v>1</v>
      </c>
      <c r="BD15" s="34">
        <f t="shared" si="155"/>
        <v>2</v>
      </c>
      <c r="BE15" s="34">
        <f t="shared" si="155"/>
        <v>3</v>
      </c>
      <c r="BF15" s="30"/>
      <c r="BG15" s="36">
        <f t="shared" ref="BG15:BJ15" si="156">if(and($BQ15=0,AY15&lt;=2),0.5,0)</f>
        <v>0</v>
      </c>
      <c r="BH15" s="36">
        <f t="shared" si="156"/>
        <v>0</v>
      </c>
      <c r="BI15" s="36">
        <f t="shared" si="156"/>
        <v>0</v>
      </c>
      <c r="BJ15" s="36">
        <f t="shared" si="156"/>
        <v>0</v>
      </c>
      <c r="BK15" s="37">
        <f t="shared" ref="BK15:BM15" si="157">if(and($BQ15&gt;0,BC15=1),1,0)</f>
        <v>1</v>
      </c>
      <c r="BL15" s="36">
        <f t="shared" si="157"/>
        <v>0</v>
      </c>
      <c r="BM15" s="36">
        <f t="shared" si="157"/>
        <v>0</v>
      </c>
      <c r="BN15" s="38"/>
      <c r="BO15" s="22">
        <f t="shared" si="21"/>
        <v>1</v>
      </c>
      <c r="BP15" s="38"/>
      <c r="BQ15" s="39">
        <f t="shared" si="22"/>
        <v>2</v>
      </c>
      <c r="BR15" s="30"/>
      <c r="BS15" s="36">
        <f t="shared" ref="BS15:BV15" si="158">if(and($BQ15=0,AY15=1),1,0)</f>
        <v>0</v>
      </c>
      <c r="BT15" s="36">
        <f t="shared" si="158"/>
        <v>0</v>
      </c>
      <c r="BU15" s="36">
        <f t="shared" si="158"/>
        <v>0</v>
      </c>
      <c r="BV15" s="36">
        <f t="shared" si="158"/>
        <v>0</v>
      </c>
      <c r="BW15" s="37">
        <f t="shared" ref="BW15:BY15" si="159">if(and($BQ15&gt;0,BC15=1),1,0)</f>
        <v>1</v>
      </c>
      <c r="BX15" s="36">
        <f t="shared" si="159"/>
        <v>0</v>
      </c>
      <c r="BY15" s="36">
        <f t="shared" si="159"/>
        <v>0</v>
      </c>
      <c r="BZ15" s="38"/>
      <c r="CA15" s="22">
        <f t="shared" si="25"/>
        <v>1</v>
      </c>
      <c r="CB15" s="30"/>
      <c r="CC15" s="22">
        <f t="shared" ref="CC15:CI15" si="160">BG14*K15</f>
        <v>-0.006884757031</v>
      </c>
      <c r="CD15" s="22">
        <f t="shared" si="160"/>
        <v>0</v>
      </c>
      <c r="CE15" s="22">
        <f t="shared" si="160"/>
        <v>-0.03590286476</v>
      </c>
      <c r="CF15" s="22">
        <f t="shared" si="160"/>
        <v>0</v>
      </c>
      <c r="CG15" s="22">
        <f t="shared" si="160"/>
        <v>0</v>
      </c>
      <c r="CH15" s="22">
        <f t="shared" si="160"/>
        <v>0</v>
      </c>
      <c r="CI15" s="22">
        <f t="shared" si="160"/>
        <v>0</v>
      </c>
      <c r="CJ15" s="38"/>
      <c r="CK15" s="22">
        <f t="shared" ref="CK15:CQ15" si="161">BS14*K15</f>
        <v>0</v>
      </c>
      <c r="CL15" s="22">
        <f t="shared" si="161"/>
        <v>0</v>
      </c>
      <c r="CM15" s="22">
        <f t="shared" si="161"/>
        <v>-0.07180572952</v>
      </c>
      <c r="CN15" s="22">
        <f t="shared" si="161"/>
        <v>0</v>
      </c>
      <c r="CO15" s="22">
        <f t="shared" si="161"/>
        <v>0</v>
      </c>
      <c r="CP15" s="22">
        <f t="shared" si="161"/>
        <v>0</v>
      </c>
      <c r="CQ15" s="22">
        <f t="shared" si="161"/>
        <v>0</v>
      </c>
      <c r="CR15" s="44">
        <f t="shared" si="28"/>
        <v>-0.04278762179</v>
      </c>
      <c r="CS15" s="45"/>
      <c r="CT15" s="40"/>
      <c r="CU15" s="46">
        <v>1.0</v>
      </c>
      <c r="CV15" s="47">
        <v>0.0</v>
      </c>
      <c r="CW15" s="45"/>
      <c r="CX15" s="44">
        <f t="shared" si="29"/>
        <v>-0.07180572952</v>
      </c>
      <c r="CY15" s="40"/>
      <c r="CZ15" s="40"/>
      <c r="DA15" s="42"/>
      <c r="DB15" s="41"/>
      <c r="DC15" s="40"/>
      <c r="DD15" s="48">
        <f t="shared" si="30"/>
        <v>106557.5479</v>
      </c>
      <c r="DE15" s="49">
        <f t="shared" si="31"/>
        <v>-0.04278762179</v>
      </c>
      <c r="DF15" s="50"/>
      <c r="DG15" s="40"/>
      <c r="DH15" s="51">
        <f t="shared" si="32"/>
        <v>106481.1439</v>
      </c>
      <c r="DI15" s="52">
        <f t="shared" si="33"/>
        <v>-0.07180572952</v>
      </c>
      <c r="DJ15" s="50"/>
      <c r="DK15" s="40"/>
      <c r="DL15" s="40"/>
      <c r="DM15" s="40"/>
      <c r="DN15" s="42"/>
      <c r="DO15" s="40"/>
      <c r="DP15" s="40"/>
      <c r="DQ15" s="42"/>
      <c r="DR15" s="40"/>
      <c r="DS15" s="40"/>
      <c r="DT15" s="40"/>
      <c r="DU15" s="40"/>
    </row>
    <row r="16" ht="13.5" customHeight="1">
      <c r="A16" s="27">
        <v>80.0</v>
      </c>
      <c r="B16" s="28">
        <f t="shared" si="2"/>
        <v>41943</v>
      </c>
      <c r="C16" s="29">
        <f t="shared" ref="C16:I16" si="162">indirect(CONCATENATE(C$2,"!$G$",$A16))</f>
        <v>162.830134</v>
      </c>
      <c r="D16" s="29">
        <f t="shared" si="162"/>
        <v>32.92155889</v>
      </c>
      <c r="E16" s="29">
        <f t="shared" si="162"/>
        <v>36.05163861</v>
      </c>
      <c r="F16" s="29">
        <f t="shared" si="162"/>
        <v>69.38973537</v>
      </c>
      <c r="G16" s="29">
        <f t="shared" si="162"/>
        <v>78.7862983</v>
      </c>
      <c r="H16" s="29">
        <f t="shared" si="162"/>
        <v>93.54535084</v>
      </c>
      <c r="I16" s="29">
        <f t="shared" si="162"/>
        <v>96.45519758</v>
      </c>
      <c r="J16" s="30"/>
      <c r="K16" s="32">
        <f t="shared" ref="K16:Q16" si="163">C16/C15-1</f>
        <v>0.02403233845</v>
      </c>
      <c r="L16" s="32">
        <f t="shared" si="163"/>
        <v>-0.003522012579</v>
      </c>
      <c r="M16" s="32">
        <f t="shared" si="163"/>
        <v>0.02229681132</v>
      </c>
      <c r="N16" s="32">
        <f t="shared" si="163"/>
        <v>0.005110500197</v>
      </c>
      <c r="O16" s="32">
        <f t="shared" si="163"/>
        <v>0.002269924976</v>
      </c>
      <c r="P16" s="32">
        <f t="shared" si="163"/>
        <v>0.01534679812</v>
      </c>
      <c r="Q16" s="32">
        <f t="shared" si="163"/>
        <v>0.009482579813</v>
      </c>
      <c r="R16" s="30"/>
      <c r="S16" s="32">
        <f t="shared" ref="S16:Y16" si="164">C16/C13-1</f>
        <v>0.0500529626</v>
      </c>
      <c r="T16" s="32">
        <f t="shared" si="164"/>
        <v>-0.04240426787</v>
      </c>
      <c r="U16" s="32">
        <f t="shared" si="164"/>
        <v>-0.01464757658</v>
      </c>
      <c r="V16" s="32">
        <f t="shared" si="164"/>
        <v>0.01075640338</v>
      </c>
      <c r="W16" s="32">
        <f t="shared" si="164"/>
        <v>0.003753181735</v>
      </c>
      <c r="X16" s="32">
        <f t="shared" si="164"/>
        <v>0.02357715924</v>
      </c>
      <c r="Y16" s="32">
        <f t="shared" si="164"/>
        <v>0.01239691566</v>
      </c>
      <c r="Z16" s="30"/>
      <c r="AA16" s="32">
        <f t="shared" ref="AA16:AG16" si="165">C16/C10-1</f>
        <v>0.08149119061</v>
      </c>
      <c r="AB16" s="32">
        <f t="shared" si="165"/>
        <v>-0.03868982397</v>
      </c>
      <c r="AC16" s="32">
        <f t="shared" si="165"/>
        <v>0.06250768568</v>
      </c>
      <c r="AD16" s="32">
        <f t="shared" si="165"/>
        <v>0.01942396383</v>
      </c>
      <c r="AE16" s="32">
        <f t="shared" si="165"/>
        <v>0.003615398721</v>
      </c>
      <c r="AF16" s="32">
        <f t="shared" si="165"/>
        <v>0.03772375776</v>
      </c>
      <c r="AG16" s="32">
        <f t="shared" si="165"/>
        <v>0.02756715227</v>
      </c>
      <c r="AH16" s="30"/>
      <c r="AI16" s="32">
        <f t="shared" ref="AI16:AO16" si="166">C16/C4-1</f>
        <v>0.1718831387</v>
      </c>
      <c r="AJ16" s="32">
        <f t="shared" si="166"/>
        <v>0.002184094724</v>
      </c>
      <c r="AK16" s="32">
        <f t="shared" si="166"/>
        <v>0.04742717394</v>
      </c>
      <c r="AL16" s="32">
        <f t="shared" si="166"/>
        <v>0.03693999221</v>
      </c>
      <c r="AM16" s="32">
        <f t="shared" si="166"/>
        <v>0.00517660018</v>
      </c>
      <c r="AN16" s="32">
        <f t="shared" si="166"/>
        <v>0.0437009104</v>
      </c>
      <c r="AO16" s="32">
        <f t="shared" si="166"/>
        <v>0.07028695231</v>
      </c>
      <c r="AP16" s="30"/>
      <c r="AQ16" s="32">
        <f t="shared" ref="AQ16:AW16" si="167">(12*K16+4*S16+2*AA16+AI16)/4</f>
        <v>0.2058663579</v>
      </c>
      <c r="AR16" s="32">
        <f t="shared" si="167"/>
        <v>-0.07176919391</v>
      </c>
      <c r="AS16" s="32">
        <f t="shared" si="167"/>
        <v>0.09535349369</v>
      </c>
      <c r="AT16" s="32">
        <f t="shared" si="167"/>
        <v>0.04503488394</v>
      </c>
      <c r="AU16" s="33">
        <f t="shared" si="167"/>
        <v>0.01366480607</v>
      </c>
      <c r="AV16" s="32">
        <f t="shared" si="167"/>
        <v>0.0994046601</v>
      </c>
      <c r="AW16" s="32">
        <f t="shared" si="167"/>
        <v>0.07219996931</v>
      </c>
      <c r="AX16" s="30"/>
      <c r="AY16" s="34">
        <f t="shared" ref="AY16:BB16" si="168">rank(AQ16,$AQ16:$AT16)</f>
        <v>1</v>
      </c>
      <c r="AZ16" s="34">
        <f t="shared" si="168"/>
        <v>4</v>
      </c>
      <c r="BA16" s="34">
        <f t="shared" si="168"/>
        <v>2</v>
      </c>
      <c r="BB16" s="34">
        <f t="shared" si="168"/>
        <v>3</v>
      </c>
      <c r="BC16" s="35">
        <f t="shared" ref="BC16:BE16" si="169">rank(AU16,$AU16:$AW16)</f>
        <v>3</v>
      </c>
      <c r="BD16" s="34">
        <f t="shared" si="169"/>
        <v>1</v>
      </c>
      <c r="BE16" s="34">
        <f t="shared" si="169"/>
        <v>2</v>
      </c>
      <c r="BF16" s="30"/>
      <c r="BG16" s="36">
        <f t="shared" ref="BG16:BJ16" si="170">if(and($BQ16=0,AY16&lt;=2),0.5,0)</f>
        <v>0</v>
      </c>
      <c r="BH16" s="36">
        <f t="shared" si="170"/>
        <v>0</v>
      </c>
      <c r="BI16" s="36">
        <f t="shared" si="170"/>
        <v>0</v>
      </c>
      <c r="BJ16" s="36">
        <f t="shared" si="170"/>
        <v>0</v>
      </c>
      <c r="BK16" s="37">
        <f t="shared" ref="BK16:BM16" si="171">if(and($BQ16&gt;0,BC16=1),1,0)</f>
        <v>0</v>
      </c>
      <c r="BL16" s="36">
        <f t="shared" si="171"/>
        <v>1</v>
      </c>
      <c r="BM16" s="36">
        <f t="shared" si="171"/>
        <v>0</v>
      </c>
      <c r="BN16" s="38"/>
      <c r="BO16" s="22">
        <f t="shared" si="21"/>
        <v>1</v>
      </c>
      <c r="BP16" s="38"/>
      <c r="BQ16" s="39">
        <f t="shared" si="22"/>
        <v>1</v>
      </c>
      <c r="BR16" s="30"/>
      <c r="BS16" s="36">
        <f t="shared" ref="BS16:BV16" si="172">if(and($BQ16=0,AY16=1),1,0)</f>
        <v>0</v>
      </c>
      <c r="BT16" s="36">
        <f t="shared" si="172"/>
        <v>0</v>
      </c>
      <c r="BU16" s="36">
        <f t="shared" si="172"/>
        <v>0</v>
      </c>
      <c r="BV16" s="36">
        <f t="shared" si="172"/>
        <v>0</v>
      </c>
      <c r="BW16" s="37">
        <f t="shared" ref="BW16:BY16" si="173">if(and($BQ16&gt;0,BC16=1),1,0)</f>
        <v>0</v>
      </c>
      <c r="BX16" s="36">
        <f t="shared" si="173"/>
        <v>1</v>
      </c>
      <c r="BY16" s="36">
        <f t="shared" si="173"/>
        <v>0</v>
      </c>
      <c r="BZ16" s="38"/>
      <c r="CA16" s="22">
        <f t="shared" si="25"/>
        <v>1</v>
      </c>
      <c r="CB16" s="30"/>
      <c r="CC16" s="22">
        <f t="shared" ref="CC16:CI16" si="174">BG15*K16</f>
        <v>0</v>
      </c>
      <c r="CD16" s="22">
        <f t="shared" si="174"/>
        <v>0</v>
      </c>
      <c r="CE16" s="22">
        <f t="shared" si="174"/>
        <v>0</v>
      </c>
      <c r="CF16" s="22">
        <f t="shared" si="174"/>
        <v>0</v>
      </c>
      <c r="CG16" s="22">
        <f t="shared" si="174"/>
        <v>0.002269924976</v>
      </c>
      <c r="CH16" s="22">
        <f t="shared" si="174"/>
        <v>0</v>
      </c>
      <c r="CI16" s="22">
        <f t="shared" si="174"/>
        <v>0</v>
      </c>
      <c r="CJ16" s="38"/>
      <c r="CK16" s="22">
        <f t="shared" ref="CK16:CQ16" si="175">BS15*K16</f>
        <v>0</v>
      </c>
      <c r="CL16" s="22">
        <f t="shared" si="175"/>
        <v>0</v>
      </c>
      <c r="CM16" s="22">
        <f t="shared" si="175"/>
        <v>0</v>
      </c>
      <c r="CN16" s="22">
        <f t="shared" si="175"/>
        <v>0</v>
      </c>
      <c r="CO16" s="22">
        <f t="shared" si="175"/>
        <v>0.002269924976</v>
      </c>
      <c r="CP16" s="22">
        <f t="shared" si="175"/>
        <v>0</v>
      </c>
      <c r="CQ16" s="22">
        <f t="shared" si="175"/>
        <v>0</v>
      </c>
      <c r="CR16" s="44">
        <f t="shared" si="28"/>
        <v>0.002269924976</v>
      </c>
      <c r="CS16" s="45"/>
      <c r="CT16" s="40"/>
      <c r="CU16" s="46">
        <v>1.0</v>
      </c>
      <c r="CV16" s="47">
        <v>0.0</v>
      </c>
      <c r="CW16" s="45"/>
      <c r="CX16" s="44">
        <f t="shared" si="29"/>
        <v>0.002269924976</v>
      </c>
      <c r="CY16" s="40"/>
      <c r="CZ16" s="40"/>
      <c r="DA16" s="42"/>
      <c r="DB16" s="41"/>
      <c r="DC16" s="40"/>
      <c r="DD16" s="48">
        <f t="shared" si="30"/>
        <v>106799.4255</v>
      </c>
      <c r="DE16" s="49">
        <f t="shared" si="31"/>
        <v>0.002269924976</v>
      </c>
      <c r="DF16" s="50"/>
      <c r="DG16" s="40"/>
      <c r="DH16" s="51">
        <f t="shared" si="32"/>
        <v>106722.8481</v>
      </c>
      <c r="DI16" s="52">
        <f t="shared" si="33"/>
        <v>0.002269924976</v>
      </c>
      <c r="DJ16" s="50"/>
      <c r="DK16" s="40"/>
      <c r="DL16" s="40"/>
      <c r="DM16" s="40"/>
      <c r="DN16" s="42"/>
      <c r="DO16" s="40"/>
      <c r="DP16" s="40"/>
      <c r="DQ16" s="42"/>
      <c r="DR16" s="40"/>
      <c r="DS16" s="40"/>
      <c r="DT16" s="40"/>
      <c r="DU16" s="40"/>
    </row>
    <row r="17" ht="13.5" customHeight="1">
      <c r="A17" s="27">
        <v>79.0</v>
      </c>
      <c r="B17" s="28">
        <f t="shared" si="2"/>
        <v>41971</v>
      </c>
      <c r="C17" s="29">
        <f t="shared" ref="C17:I17" si="176">indirect(CONCATENATE(C$2,"!$G$",$A17))</f>
        <v>167.3206638</v>
      </c>
      <c r="D17" s="29">
        <f t="shared" si="176"/>
        <v>32.92155889</v>
      </c>
      <c r="E17" s="29">
        <f t="shared" si="176"/>
        <v>35.65425892</v>
      </c>
      <c r="F17" s="29">
        <f t="shared" si="176"/>
        <v>70.11307217</v>
      </c>
      <c r="G17" s="29">
        <f t="shared" si="176"/>
        <v>78.89519925</v>
      </c>
      <c r="H17" s="29">
        <f t="shared" si="176"/>
        <v>94.75044361</v>
      </c>
      <c r="I17" s="29">
        <f t="shared" si="176"/>
        <v>97.60916456</v>
      </c>
      <c r="J17" s="30"/>
      <c r="K17" s="32">
        <f t="shared" ref="K17:Q17" si="177">C17/C16-1</f>
        <v>0.02757800249</v>
      </c>
      <c r="L17" s="32">
        <f t="shared" si="177"/>
        <v>0</v>
      </c>
      <c r="M17" s="32">
        <f t="shared" si="177"/>
        <v>-0.01102251407</v>
      </c>
      <c r="N17" s="32">
        <f t="shared" si="177"/>
        <v>0.01042426221</v>
      </c>
      <c r="O17" s="32">
        <f t="shared" si="177"/>
        <v>0.001382232114</v>
      </c>
      <c r="P17" s="32">
        <f t="shared" si="177"/>
        <v>0.01288244431</v>
      </c>
      <c r="Q17" s="32">
        <f t="shared" si="177"/>
        <v>0.01196376143</v>
      </c>
      <c r="R17" s="30"/>
      <c r="S17" s="32">
        <f t="shared" ref="S17:Y17" si="178">C17/C14-1</f>
        <v>0.03778381551</v>
      </c>
      <c r="T17" s="32">
        <f t="shared" si="178"/>
        <v>-0.04493090569</v>
      </c>
      <c r="U17" s="32">
        <f t="shared" si="178"/>
        <v>-0.06156911086</v>
      </c>
      <c r="V17" s="32">
        <f t="shared" si="178"/>
        <v>0.009786879759</v>
      </c>
      <c r="W17" s="32">
        <f t="shared" si="178"/>
        <v>0.003276741146</v>
      </c>
      <c r="X17" s="32">
        <f t="shared" si="178"/>
        <v>0.01764467151</v>
      </c>
      <c r="Y17" s="32">
        <f t="shared" si="178"/>
        <v>0.00439465701</v>
      </c>
      <c r="Z17" s="30"/>
      <c r="AA17" s="32">
        <f t="shared" ref="AA17:AG17" si="179">C17/C11-1</f>
        <v>0.08638983084</v>
      </c>
      <c r="AB17" s="32">
        <f t="shared" si="179"/>
        <v>-0.05536515285</v>
      </c>
      <c r="AC17" s="32">
        <f t="shared" si="179"/>
        <v>0.01918018478</v>
      </c>
      <c r="AD17" s="32">
        <f t="shared" si="179"/>
        <v>0.01931717504</v>
      </c>
      <c r="AE17" s="32">
        <f t="shared" si="179"/>
        <v>0.003565258895</v>
      </c>
      <c r="AF17" s="32">
        <f t="shared" si="179"/>
        <v>0.0322545813</v>
      </c>
      <c r="AG17" s="32">
        <f t="shared" si="179"/>
        <v>0.02132804627</v>
      </c>
      <c r="AH17" s="30"/>
      <c r="AI17" s="32">
        <f t="shared" ref="AI17:AO17" si="180">C17/C5-1</f>
        <v>0.1691726659</v>
      </c>
      <c r="AJ17" s="32">
        <f t="shared" si="180"/>
        <v>-0.004396394224</v>
      </c>
      <c r="AK17" s="32">
        <f t="shared" si="180"/>
        <v>0.04549651538</v>
      </c>
      <c r="AL17" s="32">
        <f t="shared" si="180"/>
        <v>0.05083905961</v>
      </c>
      <c r="AM17" s="32">
        <f t="shared" si="180"/>
        <v>0.005624859888</v>
      </c>
      <c r="AN17" s="32">
        <f t="shared" si="180"/>
        <v>0.06647801987</v>
      </c>
      <c r="AO17" s="32">
        <f t="shared" si="180"/>
        <v>0.08459337871</v>
      </c>
      <c r="AP17" s="30"/>
      <c r="AQ17" s="32">
        <f t="shared" ref="AQ17:AW17" si="181">(12*K17+4*S17+2*AA17+AI17)/4</f>
        <v>0.2060059049</v>
      </c>
      <c r="AR17" s="32">
        <f t="shared" si="181"/>
        <v>-0.07371258067</v>
      </c>
      <c r="AS17" s="32">
        <f t="shared" si="181"/>
        <v>-0.07367243184</v>
      </c>
      <c r="AT17" s="32">
        <f t="shared" si="181"/>
        <v>0.06342801881</v>
      </c>
      <c r="AU17" s="33">
        <f t="shared" si="181"/>
        <v>0.01061228191</v>
      </c>
      <c r="AV17" s="32">
        <f t="shared" si="181"/>
        <v>0.08903880006</v>
      </c>
      <c r="AW17" s="32">
        <f t="shared" si="181"/>
        <v>0.07209830912</v>
      </c>
      <c r="AX17" s="30"/>
      <c r="AY17" s="34">
        <f t="shared" ref="AY17:BB17" si="182">rank(AQ17,$AQ17:$AT17)</f>
        <v>1</v>
      </c>
      <c r="AZ17" s="34">
        <f t="shared" si="182"/>
        <v>4</v>
      </c>
      <c r="BA17" s="34">
        <f t="shared" si="182"/>
        <v>3</v>
      </c>
      <c r="BB17" s="34">
        <f t="shared" si="182"/>
        <v>2</v>
      </c>
      <c r="BC17" s="35">
        <f t="shared" ref="BC17:BE17" si="183">rank(AU17,$AU17:$AW17)</f>
        <v>3</v>
      </c>
      <c r="BD17" s="34">
        <f t="shared" si="183"/>
        <v>1</v>
      </c>
      <c r="BE17" s="34">
        <f t="shared" si="183"/>
        <v>2</v>
      </c>
      <c r="BF17" s="30"/>
      <c r="BG17" s="36">
        <f t="shared" ref="BG17:BJ17" si="184">if(and($BQ17=0,AY17&lt;=2),0.5,0)</f>
        <v>0</v>
      </c>
      <c r="BH17" s="36">
        <f t="shared" si="184"/>
        <v>0</v>
      </c>
      <c r="BI17" s="36">
        <f t="shared" si="184"/>
        <v>0</v>
      </c>
      <c r="BJ17" s="36">
        <f t="shared" si="184"/>
        <v>0</v>
      </c>
      <c r="BK17" s="37">
        <f t="shared" ref="BK17:BM17" si="185">if(and($BQ17&gt;0,BC17=1),1,0)</f>
        <v>0</v>
      </c>
      <c r="BL17" s="36">
        <f t="shared" si="185"/>
        <v>1</v>
      </c>
      <c r="BM17" s="36">
        <f t="shared" si="185"/>
        <v>0</v>
      </c>
      <c r="BN17" s="38"/>
      <c r="BO17" s="22">
        <f t="shared" si="21"/>
        <v>1</v>
      </c>
      <c r="BP17" s="38"/>
      <c r="BQ17" s="39">
        <f t="shared" si="22"/>
        <v>2</v>
      </c>
      <c r="BR17" s="30"/>
      <c r="BS17" s="36">
        <f t="shared" ref="BS17:BV17" si="186">if(and($BQ17=0,AY17=1),1,0)</f>
        <v>0</v>
      </c>
      <c r="BT17" s="36">
        <f t="shared" si="186"/>
        <v>0</v>
      </c>
      <c r="BU17" s="36">
        <f t="shared" si="186"/>
        <v>0</v>
      </c>
      <c r="BV17" s="36">
        <f t="shared" si="186"/>
        <v>0</v>
      </c>
      <c r="BW17" s="37">
        <f t="shared" ref="BW17:BY17" si="187">if(and($BQ17&gt;0,BC17=1),1,0)</f>
        <v>0</v>
      </c>
      <c r="BX17" s="36">
        <f t="shared" si="187"/>
        <v>1</v>
      </c>
      <c r="BY17" s="36">
        <f t="shared" si="187"/>
        <v>0</v>
      </c>
      <c r="BZ17" s="38"/>
      <c r="CA17" s="22">
        <f t="shared" si="25"/>
        <v>1</v>
      </c>
      <c r="CB17" s="30"/>
      <c r="CC17" s="22">
        <f t="shared" ref="CC17:CI17" si="188">BG16*K17</f>
        <v>0</v>
      </c>
      <c r="CD17" s="22">
        <f t="shared" si="188"/>
        <v>0</v>
      </c>
      <c r="CE17" s="22">
        <f t="shared" si="188"/>
        <v>0</v>
      </c>
      <c r="CF17" s="22">
        <f t="shared" si="188"/>
        <v>0</v>
      </c>
      <c r="CG17" s="22">
        <f t="shared" si="188"/>
        <v>0</v>
      </c>
      <c r="CH17" s="22">
        <f t="shared" si="188"/>
        <v>0.01288244431</v>
      </c>
      <c r="CI17" s="22">
        <f t="shared" si="188"/>
        <v>0</v>
      </c>
      <c r="CJ17" s="38"/>
      <c r="CK17" s="22">
        <f t="shared" ref="CK17:CQ17" si="189">BS16*K17</f>
        <v>0</v>
      </c>
      <c r="CL17" s="22">
        <f t="shared" si="189"/>
        <v>0</v>
      </c>
      <c r="CM17" s="22">
        <f t="shared" si="189"/>
        <v>0</v>
      </c>
      <c r="CN17" s="22">
        <f t="shared" si="189"/>
        <v>0</v>
      </c>
      <c r="CO17" s="22">
        <f t="shared" si="189"/>
        <v>0</v>
      </c>
      <c r="CP17" s="22">
        <f t="shared" si="189"/>
        <v>0.01288244431</v>
      </c>
      <c r="CQ17" s="22">
        <f t="shared" si="189"/>
        <v>0</v>
      </c>
      <c r="CR17" s="44">
        <f t="shared" si="28"/>
        <v>0.01288244431</v>
      </c>
      <c r="CS17" s="45"/>
      <c r="CT17" s="40"/>
      <c r="CU17" s="46">
        <v>1.0</v>
      </c>
      <c r="CV17" s="47">
        <v>0.0</v>
      </c>
      <c r="CW17" s="45"/>
      <c r="CX17" s="44">
        <f t="shared" si="29"/>
        <v>0.01288244431</v>
      </c>
      <c r="CY17" s="40"/>
      <c r="CZ17" s="40"/>
      <c r="DA17" s="42"/>
      <c r="DB17" s="41"/>
      <c r="DC17" s="40"/>
      <c r="DD17" s="48">
        <f t="shared" si="30"/>
        <v>108175.2632</v>
      </c>
      <c r="DE17" s="49">
        <f t="shared" si="31"/>
        <v>0.01288244431</v>
      </c>
      <c r="DF17" s="50"/>
      <c r="DG17" s="40"/>
      <c r="DH17" s="51">
        <f t="shared" si="32"/>
        <v>108097.6993</v>
      </c>
      <c r="DI17" s="52">
        <f t="shared" si="33"/>
        <v>0.01288244431</v>
      </c>
      <c r="DJ17" s="50"/>
      <c r="DK17" s="40"/>
      <c r="DL17" s="40"/>
      <c r="DM17" s="40"/>
      <c r="DN17" s="42"/>
      <c r="DO17" s="40"/>
      <c r="DP17" s="40"/>
      <c r="DQ17" s="42"/>
      <c r="DR17" s="40"/>
      <c r="DS17" s="40"/>
      <c r="DT17" s="40"/>
      <c r="DU17" s="40"/>
    </row>
    <row r="18" ht="13.5" customHeight="1">
      <c r="A18" s="27">
        <v>78.0</v>
      </c>
      <c r="B18" s="28">
        <f t="shared" si="2"/>
        <v>42004</v>
      </c>
      <c r="C18" s="29">
        <f t="shared" ref="C18:I18" si="190">indirect(CONCATENATE(C$2,"!$G$",$A18))</f>
        <v>166.7881255</v>
      </c>
      <c r="D18" s="29">
        <f t="shared" si="190"/>
        <v>31.67948636</v>
      </c>
      <c r="E18" s="29">
        <f t="shared" si="190"/>
        <v>33.98360999</v>
      </c>
      <c r="F18" s="29">
        <f t="shared" si="190"/>
        <v>70.15515041</v>
      </c>
      <c r="G18" s="29">
        <f t="shared" si="190"/>
        <v>78.664387</v>
      </c>
      <c r="H18" s="29">
        <f t="shared" si="190"/>
        <v>94.8729488</v>
      </c>
      <c r="I18" s="29">
        <f t="shared" si="190"/>
        <v>97.59272312</v>
      </c>
      <c r="J18" s="30"/>
      <c r="K18" s="32">
        <f t="shared" ref="K18:Q18" si="191">C18/C17-1</f>
        <v>-0.003182740773</v>
      </c>
      <c r="L18" s="32">
        <f t="shared" si="191"/>
        <v>-0.03772824165</v>
      </c>
      <c r="M18" s="32">
        <f t="shared" si="191"/>
        <v>-0.04685692461</v>
      </c>
      <c r="N18" s="32">
        <f t="shared" si="191"/>
        <v>0.0006001483348</v>
      </c>
      <c r="O18" s="32">
        <f t="shared" si="191"/>
        <v>-0.002925555071</v>
      </c>
      <c r="P18" s="32">
        <f t="shared" si="191"/>
        <v>0.001292924711</v>
      </c>
      <c r="Q18" s="32">
        <f t="shared" si="191"/>
        <v>-0.0001684415468</v>
      </c>
      <c r="R18" s="30"/>
      <c r="S18" s="32">
        <f t="shared" ref="S18:Y18" si="192">C18/C15-1</f>
        <v>0.04892399231</v>
      </c>
      <c r="T18" s="32">
        <f t="shared" si="192"/>
        <v>-0.04111737489</v>
      </c>
      <c r="U18" s="32">
        <f t="shared" si="192"/>
        <v>-0.0363451573</v>
      </c>
      <c r="V18" s="32">
        <f t="shared" si="192"/>
        <v>0.01619753907</v>
      </c>
      <c r="W18" s="32">
        <f t="shared" si="192"/>
        <v>0.0007190458163</v>
      </c>
      <c r="X18" s="32">
        <f t="shared" si="192"/>
        <v>0.02975662532</v>
      </c>
      <c r="Y18" s="32">
        <f t="shared" si="192"/>
        <v>0.02138771546</v>
      </c>
      <c r="Z18" s="30"/>
      <c r="AA18" s="32">
        <f t="shared" ref="AA18:AG18" si="193">C18/C12-1</f>
        <v>0.06077091803</v>
      </c>
      <c r="AB18" s="32">
        <f t="shared" si="193"/>
        <v>-0.100384796</v>
      </c>
      <c r="AC18" s="32">
        <f t="shared" si="193"/>
        <v>-0.05846431188</v>
      </c>
      <c r="AD18" s="32">
        <f t="shared" si="193"/>
        <v>0.01907311706</v>
      </c>
      <c r="AE18" s="32">
        <f t="shared" si="193"/>
        <v>0.001071778327</v>
      </c>
      <c r="AF18" s="32">
        <f t="shared" si="193"/>
        <v>0.03582213936</v>
      </c>
      <c r="AG18" s="32">
        <f t="shared" si="193"/>
        <v>0.02107524938</v>
      </c>
      <c r="AH18" s="30"/>
      <c r="AI18" s="32">
        <f t="shared" ref="AI18:AO18" si="194">C18/C6-1</f>
        <v>0.1354903244</v>
      </c>
      <c r="AJ18" s="32">
        <f t="shared" si="194"/>
        <v>-0.05977925303</v>
      </c>
      <c r="AK18" s="32">
        <f t="shared" si="194"/>
        <v>-0.0006598255988</v>
      </c>
      <c r="AL18" s="32">
        <f t="shared" si="194"/>
        <v>0.05818321944</v>
      </c>
      <c r="AM18" s="32">
        <f t="shared" si="194"/>
        <v>0.004466665282</v>
      </c>
      <c r="AN18" s="32">
        <f t="shared" si="194"/>
        <v>0.09065076358</v>
      </c>
      <c r="AO18" s="32">
        <f t="shared" si="194"/>
        <v>0.08209129856</v>
      </c>
      <c r="AP18" s="30"/>
      <c r="AQ18" s="32">
        <f t="shared" ref="AQ18:AW18" si="195">(12*K18+4*S18+2*AA18+AI18)/4</f>
        <v>0.1036338101</v>
      </c>
      <c r="AR18" s="32">
        <f t="shared" si="195"/>
        <v>-0.2194393111</v>
      </c>
      <c r="AS18" s="32">
        <f t="shared" si="195"/>
        <v>-0.2063130435</v>
      </c>
      <c r="AT18" s="32">
        <f t="shared" si="195"/>
        <v>0.04208034746</v>
      </c>
      <c r="AU18" s="33">
        <f t="shared" si="195"/>
        <v>-0.006405063913</v>
      </c>
      <c r="AV18" s="32">
        <f t="shared" si="195"/>
        <v>0.07420916003</v>
      </c>
      <c r="AW18" s="32">
        <f t="shared" si="195"/>
        <v>0.05194284014</v>
      </c>
      <c r="AX18" s="30"/>
      <c r="AY18" s="34">
        <f t="shared" ref="AY18:BB18" si="196">rank(AQ18,$AQ18:$AT18)</f>
        <v>1</v>
      </c>
      <c r="AZ18" s="34">
        <f t="shared" si="196"/>
        <v>4</v>
      </c>
      <c r="BA18" s="34">
        <f t="shared" si="196"/>
        <v>3</v>
      </c>
      <c r="BB18" s="34">
        <f t="shared" si="196"/>
        <v>2</v>
      </c>
      <c r="BC18" s="35">
        <f t="shared" ref="BC18:BE18" si="197">rank(AU18,$AU18:$AW18)</f>
        <v>3</v>
      </c>
      <c r="BD18" s="34">
        <f t="shared" si="197"/>
        <v>1</v>
      </c>
      <c r="BE18" s="34">
        <f t="shared" si="197"/>
        <v>2</v>
      </c>
      <c r="BF18" s="30"/>
      <c r="BG18" s="36">
        <f t="shared" ref="BG18:BJ18" si="198">if(and($BQ18=0,AY18&lt;=2),0.5,0)</f>
        <v>0</v>
      </c>
      <c r="BH18" s="36">
        <f t="shared" si="198"/>
        <v>0</v>
      </c>
      <c r="BI18" s="36">
        <f t="shared" si="198"/>
        <v>0</v>
      </c>
      <c r="BJ18" s="36">
        <f t="shared" si="198"/>
        <v>0</v>
      </c>
      <c r="BK18" s="37">
        <f t="shared" ref="BK18:BM18" si="199">if(and($BQ18&gt;0,BC18=1),1,0)</f>
        <v>0</v>
      </c>
      <c r="BL18" s="36">
        <f t="shared" si="199"/>
        <v>1</v>
      </c>
      <c r="BM18" s="36">
        <f t="shared" si="199"/>
        <v>0</v>
      </c>
      <c r="BN18" s="38"/>
      <c r="BO18" s="22">
        <f t="shared" si="21"/>
        <v>1</v>
      </c>
      <c r="BP18" s="38"/>
      <c r="BQ18" s="39">
        <f t="shared" si="22"/>
        <v>2</v>
      </c>
      <c r="BR18" s="30"/>
      <c r="BS18" s="36">
        <f t="shared" ref="BS18:BV18" si="200">if(and($BQ18=0,AY18=1),1,0)</f>
        <v>0</v>
      </c>
      <c r="BT18" s="36">
        <f t="shared" si="200"/>
        <v>0</v>
      </c>
      <c r="BU18" s="36">
        <f t="shared" si="200"/>
        <v>0</v>
      </c>
      <c r="BV18" s="36">
        <f t="shared" si="200"/>
        <v>0</v>
      </c>
      <c r="BW18" s="37">
        <f t="shared" ref="BW18:BY18" si="201">if(and($BQ18&gt;0,BC18=1),1,0)</f>
        <v>0</v>
      </c>
      <c r="BX18" s="36">
        <f t="shared" si="201"/>
        <v>1</v>
      </c>
      <c r="BY18" s="36">
        <f t="shared" si="201"/>
        <v>0</v>
      </c>
      <c r="BZ18" s="38"/>
      <c r="CA18" s="22">
        <f t="shared" si="25"/>
        <v>1</v>
      </c>
      <c r="CB18" s="30"/>
      <c r="CC18" s="22">
        <f t="shared" ref="CC18:CI18" si="202">BG17*K18</f>
        <v>0</v>
      </c>
      <c r="CD18" s="22">
        <f t="shared" si="202"/>
        <v>0</v>
      </c>
      <c r="CE18" s="22">
        <f t="shared" si="202"/>
        <v>0</v>
      </c>
      <c r="CF18" s="22">
        <f t="shared" si="202"/>
        <v>0</v>
      </c>
      <c r="CG18" s="22">
        <f t="shared" si="202"/>
        <v>0</v>
      </c>
      <c r="CH18" s="22">
        <f t="shared" si="202"/>
        <v>0.001292924711</v>
      </c>
      <c r="CI18" s="22">
        <f t="shared" si="202"/>
        <v>0</v>
      </c>
      <c r="CJ18" s="38"/>
      <c r="CK18" s="22">
        <f t="shared" ref="CK18:CQ18" si="203">BS17*K18</f>
        <v>0</v>
      </c>
      <c r="CL18" s="22">
        <f t="shared" si="203"/>
        <v>0</v>
      </c>
      <c r="CM18" s="22">
        <f t="shared" si="203"/>
        <v>0</v>
      </c>
      <c r="CN18" s="22">
        <f t="shared" si="203"/>
        <v>0</v>
      </c>
      <c r="CO18" s="22">
        <f t="shared" si="203"/>
        <v>0</v>
      </c>
      <c r="CP18" s="22">
        <f t="shared" si="203"/>
        <v>0.001292924711</v>
      </c>
      <c r="CQ18" s="22">
        <f t="shared" si="203"/>
        <v>0</v>
      </c>
      <c r="CR18" s="44">
        <f t="shared" si="28"/>
        <v>0.001292924711</v>
      </c>
      <c r="CS18" s="45"/>
      <c r="CT18" s="40"/>
      <c r="CU18" s="46">
        <v>1.0</v>
      </c>
      <c r="CV18" s="47">
        <v>0.0</v>
      </c>
      <c r="CW18" s="45"/>
      <c r="CX18" s="44">
        <f t="shared" si="29"/>
        <v>0.001292924711</v>
      </c>
      <c r="CY18" s="40"/>
      <c r="CZ18" s="40"/>
      <c r="DA18" s="42"/>
      <c r="DB18" s="41"/>
      <c r="DC18" s="40"/>
      <c r="DD18" s="48">
        <f t="shared" si="30"/>
        <v>108315.1256</v>
      </c>
      <c r="DE18" s="49">
        <f t="shared" si="31"/>
        <v>0.001292924711</v>
      </c>
      <c r="DF18" s="50"/>
      <c r="DG18" s="40"/>
      <c r="DH18" s="51">
        <f t="shared" si="32"/>
        <v>108237.4614</v>
      </c>
      <c r="DI18" s="52">
        <f t="shared" si="33"/>
        <v>0.001292924711</v>
      </c>
      <c r="DJ18" s="50"/>
      <c r="DK18" s="40"/>
      <c r="DL18" s="40"/>
      <c r="DM18" s="40"/>
      <c r="DN18" s="42"/>
      <c r="DO18" s="40"/>
      <c r="DP18" s="40"/>
      <c r="DQ18" s="42"/>
      <c r="DR18" s="40"/>
      <c r="DS18" s="40"/>
      <c r="DT18" s="40"/>
      <c r="DU18" s="40"/>
    </row>
    <row r="19" ht="13.5" customHeight="1">
      <c r="A19" s="27">
        <v>77.0</v>
      </c>
      <c r="B19" s="28">
        <f t="shared" si="2"/>
        <v>42034</v>
      </c>
      <c r="C19" s="29">
        <f t="shared" ref="C19:I19" si="204">indirect(CONCATENATE(C$2,"!$G$",$A19))</f>
        <v>161.9987213</v>
      </c>
      <c r="D19" s="29">
        <f t="shared" si="204"/>
        <v>31.90529051</v>
      </c>
      <c r="E19" s="29">
        <f t="shared" si="204"/>
        <v>33.91567674</v>
      </c>
      <c r="F19" s="29">
        <f t="shared" si="204"/>
        <v>71.84153135</v>
      </c>
      <c r="G19" s="29">
        <f t="shared" si="204"/>
        <v>79.15807706</v>
      </c>
      <c r="H19" s="29">
        <f t="shared" si="204"/>
        <v>98.95466072</v>
      </c>
      <c r="I19" s="29">
        <f t="shared" si="204"/>
        <v>101.254187</v>
      </c>
      <c r="J19" s="30"/>
      <c r="K19" s="32">
        <f t="shared" ref="K19:Q19" si="205">C19/C18-1</f>
        <v>-0.02871549894</v>
      </c>
      <c r="L19" s="32">
        <f t="shared" si="205"/>
        <v>0.007127771911</v>
      </c>
      <c r="M19" s="32">
        <f t="shared" si="205"/>
        <v>-0.0019990005</v>
      </c>
      <c r="N19" s="32">
        <f t="shared" si="205"/>
        <v>0.02403787787</v>
      </c>
      <c r="O19" s="32">
        <f t="shared" si="205"/>
        <v>0.006275902901</v>
      </c>
      <c r="P19" s="32">
        <f t="shared" si="205"/>
        <v>0.04302292669</v>
      </c>
      <c r="Q19" s="32">
        <f t="shared" si="205"/>
        <v>0.03751779583</v>
      </c>
      <c r="R19" s="30"/>
      <c r="S19" s="32">
        <f t="shared" ref="S19:Y19" si="206">C19/C16-1</f>
        <v>-0.005106012505</v>
      </c>
      <c r="T19" s="32">
        <f t="shared" si="206"/>
        <v>-0.03086938804</v>
      </c>
      <c r="U19" s="32">
        <f t="shared" si="206"/>
        <v>-0.05924728949</v>
      </c>
      <c r="V19" s="32">
        <f t="shared" si="206"/>
        <v>0.03533369833</v>
      </c>
      <c r="W19" s="32">
        <f t="shared" si="206"/>
        <v>0.004718825024</v>
      </c>
      <c r="X19" s="32">
        <f t="shared" si="206"/>
        <v>0.0578255342</v>
      </c>
      <c r="Y19" s="32">
        <f t="shared" si="206"/>
        <v>0.04975355932</v>
      </c>
      <c r="Z19" s="30"/>
      <c r="AA19" s="32">
        <f t="shared" ref="AA19:AG19" si="207">C19/C13-1</f>
        <v>0.04469137904</v>
      </c>
      <c r="AB19" s="32">
        <f t="shared" si="207"/>
        <v>-0.07196466211</v>
      </c>
      <c r="AC19" s="32">
        <f t="shared" si="207"/>
        <v>-0.07302703686</v>
      </c>
      <c r="AD19" s="32">
        <f t="shared" si="207"/>
        <v>0.04647016522</v>
      </c>
      <c r="AE19" s="32">
        <f t="shared" si="207"/>
        <v>0.008489717367</v>
      </c>
      <c r="AF19" s="32">
        <f t="shared" si="207"/>
        <v>0.08276605527</v>
      </c>
      <c r="AG19" s="32">
        <f t="shared" si="207"/>
        <v>0.06276726566</v>
      </c>
      <c r="AH19" s="30"/>
      <c r="AI19" s="32">
        <f t="shared" ref="AI19:AO19" si="208">C19/C7-1</f>
        <v>0.1432335734</v>
      </c>
      <c r="AJ19" s="32">
        <f t="shared" si="208"/>
        <v>-0.001069938863</v>
      </c>
      <c r="AK19" s="32">
        <f t="shared" si="208"/>
        <v>0.08921343662</v>
      </c>
      <c r="AL19" s="32">
        <f t="shared" si="208"/>
        <v>0.06709013236</v>
      </c>
      <c r="AM19" s="32">
        <f t="shared" si="208"/>
        <v>0.008738300102</v>
      </c>
      <c r="AN19" s="32">
        <f t="shared" si="208"/>
        <v>0.103762408</v>
      </c>
      <c r="AO19" s="32">
        <f t="shared" si="208"/>
        <v>0.1019220314</v>
      </c>
      <c r="AP19" s="30"/>
      <c r="AQ19" s="32">
        <f t="shared" ref="AQ19:AW19" si="209">(12*K19+4*S19+2*AA19+AI19)/4</f>
        <v>-0.03309842644</v>
      </c>
      <c r="AR19" s="32">
        <f t="shared" si="209"/>
        <v>-0.04573588808</v>
      </c>
      <c r="AS19" s="32">
        <f t="shared" si="209"/>
        <v>-0.07945445026</v>
      </c>
      <c r="AT19" s="32">
        <f t="shared" si="209"/>
        <v>0.1474549476</v>
      </c>
      <c r="AU19" s="33">
        <f t="shared" si="209"/>
        <v>0.02997596744</v>
      </c>
      <c r="AV19" s="32">
        <f t="shared" si="209"/>
        <v>0.2542179439</v>
      </c>
      <c r="AW19" s="32">
        <f t="shared" si="209"/>
        <v>0.2191710875</v>
      </c>
      <c r="AX19" s="30"/>
      <c r="AY19" s="34">
        <f t="shared" ref="AY19:BB19" si="210">rank(AQ19,$AQ19:$AT19)</f>
        <v>2</v>
      </c>
      <c r="AZ19" s="34">
        <f t="shared" si="210"/>
        <v>3</v>
      </c>
      <c r="BA19" s="34">
        <f t="shared" si="210"/>
        <v>4</v>
      </c>
      <c r="BB19" s="34">
        <f t="shared" si="210"/>
        <v>1</v>
      </c>
      <c r="BC19" s="35">
        <f t="shared" ref="BC19:BE19" si="211">rank(AU19,$AU19:$AW19)</f>
        <v>3</v>
      </c>
      <c r="BD19" s="34">
        <f t="shared" si="211"/>
        <v>1</v>
      </c>
      <c r="BE19" s="34">
        <f t="shared" si="211"/>
        <v>2</v>
      </c>
      <c r="BF19" s="30"/>
      <c r="BG19" s="36">
        <f t="shared" ref="BG19:BJ19" si="212">if(and($BQ19=0,AY19&lt;=2),0.5,0)</f>
        <v>0</v>
      </c>
      <c r="BH19" s="36">
        <f t="shared" si="212"/>
        <v>0</v>
      </c>
      <c r="BI19" s="36">
        <f t="shared" si="212"/>
        <v>0</v>
      </c>
      <c r="BJ19" s="36">
        <f t="shared" si="212"/>
        <v>0</v>
      </c>
      <c r="BK19" s="37">
        <f t="shared" ref="BK19:BM19" si="213">if(and($BQ19&gt;0,BC19=1),1,0)</f>
        <v>0</v>
      </c>
      <c r="BL19" s="36">
        <f t="shared" si="213"/>
        <v>1</v>
      </c>
      <c r="BM19" s="36">
        <f t="shared" si="213"/>
        <v>0</v>
      </c>
      <c r="BN19" s="38"/>
      <c r="BO19" s="22">
        <f t="shared" si="21"/>
        <v>1</v>
      </c>
      <c r="BP19" s="38"/>
      <c r="BQ19" s="39">
        <f t="shared" si="22"/>
        <v>3</v>
      </c>
      <c r="BR19" s="30"/>
      <c r="BS19" s="36">
        <f t="shared" ref="BS19:BV19" si="214">if(and($BQ19=0,AY19=1),1,0)</f>
        <v>0</v>
      </c>
      <c r="BT19" s="36">
        <f t="shared" si="214"/>
        <v>0</v>
      </c>
      <c r="BU19" s="36">
        <f t="shared" si="214"/>
        <v>0</v>
      </c>
      <c r="BV19" s="36">
        <f t="shared" si="214"/>
        <v>0</v>
      </c>
      <c r="BW19" s="37">
        <f t="shared" ref="BW19:BY19" si="215">if(and($BQ19&gt;0,BC19=1),1,0)</f>
        <v>0</v>
      </c>
      <c r="BX19" s="36">
        <f t="shared" si="215"/>
        <v>1</v>
      </c>
      <c r="BY19" s="36">
        <f t="shared" si="215"/>
        <v>0</v>
      </c>
      <c r="BZ19" s="38"/>
      <c r="CA19" s="22">
        <f t="shared" si="25"/>
        <v>1</v>
      </c>
      <c r="CB19" s="30"/>
      <c r="CC19" s="22">
        <f t="shared" ref="CC19:CI19" si="216">BG18*K19</f>
        <v>0</v>
      </c>
      <c r="CD19" s="22">
        <f t="shared" si="216"/>
        <v>0</v>
      </c>
      <c r="CE19" s="22">
        <f t="shared" si="216"/>
        <v>0</v>
      </c>
      <c r="CF19" s="22">
        <f t="shared" si="216"/>
        <v>0</v>
      </c>
      <c r="CG19" s="22">
        <f t="shared" si="216"/>
        <v>0</v>
      </c>
      <c r="CH19" s="22">
        <f t="shared" si="216"/>
        <v>0.04302292669</v>
      </c>
      <c r="CI19" s="22">
        <f t="shared" si="216"/>
        <v>0</v>
      </c>
      <c r="CJ19" s="38"/>
      <c r="CK19" s="22">
        <f t="shared" ref="CK19:CQ19" si="217">BS18*K19</f>
        <v>0</v>
      </c>
      <c r="CL19" s="22">
        <f t="shared" si="217"/>
        <v>0</v>
      </c>
      <c r="CM19" s="22">
        <f t="shared" si="217"/>
        <v>0</v>
      </c>
      <c r="CN19" s="22">
        <f t="shared" si="217"/>
        <v>0</v>
      </c>
      <c r="CO19" s="22">
        <f t="shared" si="217"/>
        <v>0</v>
      </c>
      <c r="CP19" s="22">
        <f t="shared" si="217"/>
        <v>0.04302292669</v>
      </c>
      <c r="CQ19" s="22">
        <f t="shared" si="217"/>
        <v>0</v>
      </c>
      <c r="CR19" s="44">
        <f t="shared" si="28"/>
        <v>0.04302292669</v>
      </c>
      <c r="CS19" s="45"/>
      <c r="CT19" s="40"/>
      <c r="CU19" s="46">
        <v>1.0</v>
      </c>
      <c r="CV19" s="47">
        <v>0.0</v>
      </c>
      <c r="CW19" s="45"/>
      <c r="CX19" s="44">
        <f t="shared" si="29"/>
        <v>0.04302292669</v>
      </c>
      <c r="CY19" s="40"/>
      <c r="CZ19" s="40"/>
      <c r="DA19" s="42"/>
      <c r="DB19" s="41"/>
      <c r="DC19" s="40"/>
      <c r="DD19" s="48">
        <f t="shared" si="30"/>
        <v>112975.1593</v>
      </c>
      <c r="DE19" s="49">
        <f t="shared" si="31"/>
        <v>0.04302292669</v>
      </c>
      <c r="DF19" s="50"/>
      <c r="DG19" s="40"/>
      <c r="DH19" s="51">
        <f t="shared" si="32"/>
        <v>112894.1538</v>
      </c>
      <c r="DI19" s="52">
        <f t="shared" si="33"/>
        <v>0.04302292669</v>
      </c>
      <c r="DJ19" s="50"/>
      <c r="DK19" s="40"/>
      <c r="DL19" s="40"/>
      <c r="DM19" s="40"/>
      <c r="DN19" s="42"/>
      <c r="DO19" s="40"/>
      <c r="DP19" s="40"/>
      <c r="DQ19" s="42"/>
      <c r="DR19" s="40"/>
      <c r="DS19" s="40"/>
      <c r="DT19" s="40"/>
      <c r="DU19" s="40"/>
    </row>
    <row r="20" ht="13.5" customHeight="1">
      <c r="A20" s="27">
        <v>76.0</v>
      </c>
      <c r="B20" s="28">
        <f t="shared" si="2"/>
        <v>42062</v>
      </c>
      <c r="C20" s="29">
        <f t="shared" ref="C20:I20" si="218">indirect(CONCATENATE(C$2,"!$G$",$A20))</f>
        <v>171.0375045</v>
      </c>
      <c r="D20" s="29">
        <f t="shared" si="218"/>
        <v>33.87062295</v>
      </c>
      <c r="E20" s="29">
        <f t="shared" si="218"/>
        <v>35.49512488</v>
      </c>
      <c r="F20" s="29">
        <f t="shared" si="218"/>
        <v>70.90298738</v>
      </c>
      <c r="G20" s="29">
        <f t="shared" si="218"/>
        <v>78.92792294</v>
      </c>
      <c r="H20" s="29">
        <f t="shared" si="218"/>
        <v>96.50890811</v>
      </c>
      <c r="I20" s="29">
        <f t="shared" si="218"/>
        <v>99.81585898</v>
      </c>
      <c r="J20" s="30"/>
      <c r="K20" s="32">
        <f t="shared" ref="K20:Q20" si="219">C20/C19-1</f>
        <v>0.05579539866</v>
      </c>
      <c r="L20" s="32">
        <f t="shared" si="219"/>
        <v>0.06159895151</v>
      </c>
      <c r="M20" s="32">
        <f t="shared" si="219"/>
        <v>0.04656985478</v>
      </c>
      <c r="N20" s="32">
        <f t="shared" si="219"/>
        <v>-0.01306408632</v>
      </c>
      <c r="O20" s="32">
        <f t="shared" si="219"/>
        <v>-0.002907525331</v>
      </c>
      <c r="P20" s="32">
        <f t="shared" si="219"/>
        <v>-0.02471589106</v>
      </c>
      <c r="Q20" s="32">
        <f t="shared" si="219"/>
        <v>-0.01420512116</v>
      </c>
      <c r="R20" s="30"/>
      <c r="S20" s="32">
        <f t="shared" ref="S20:Y20" si="220">C20/C17-1</f>
        <v>0.0222138773</v>
      </c>
      <c r="T20" s="32">
        <f t="shared" si="220"/>
        <v>0.02882804153</v>
      </c>
      <c r="U20" s="32">
        <f t="shared" si="220"/>
        <v>-0.004463254592</v>
      </c>
      <c r="V20" s="32">
        <f t="shared" si="220"/>
        <v>0.01126630441</v>
      </c>
      <c r="W20" s="32">
        <f t="shared" si="220"/>
        <v>0.0004147741624</v>
      </c>
      <c r="X20" s="32">
        <f t="shared" si="220"/>
        <v>0.01855890516</v>
      </c>
      <c r="Y20" s="32">
        <f t="shared" si="220"/>
        <v>0.02260745123</v>
      </c>
      <c r="Z20" s="30"/>
      <c r="AA20" s="32">
        <f t="shared" ref="AA20:AG20" si="221">C20/C14-1</f>
        <v>0.06083701785</v>
      </c>
      <c r="AB20" s="32">
        <f t="shared" si="221"/>
        <v>-0.01739813417</v>
      </c>
      <c r="AC20" s="32">
        <f t="shared" si="221"/>
        <v>-0.06575756683</v>
      </c>
      <c r="AD20" s="32">
        <f t="shared" si="221"/>
        <v>0.02116344614</v>
      </c>
      <c r="AE20" s="32">
        <f t="shared" si="221"/>
        <v>0.003692874416</v>
      </c>
      <c r="AF20" s="32">
        <f t="shared" si="221"/>
        <v>0.03653104245</v>
      </c>
      <c r="AG20" s="32">
        <f t="shared" si="221"/>
        <v>0.02710146024</v>
      </c>
      <c r="AH20" s="30"/>
      <c r="AI20" s="32">
        <f t="shared" ref="AI20:AO20" si="222">C20/C8-1</f>
        <v>0.1543201395</v>
      </c>
      <c r="AJ20" s="32">
        <f t="shared" si="222"/>
        <v>0.0009292235924</v>
      </c>
      <c r="AK20" s="32">
        <f t="shared" si="222"/>
        <v>0.104177488</v>
      </c>
      <c r="AL20" s="32">
        <f t="shared" si="222"/>
        <v>0.04822891233</v>
      </c>
      <c r="AM20" s="32">
        <f t="shared" si="222"/>
        <v>0.005414454895</v>
      </c>
      <c r="AN20" s="32">
        <f t="shared" si="222"/>
        <v>0.07265481312</v>
      </c>
      <c r="AO20" s="32">
        <f t="shared" si="222"/>
        <v>0.07399471853</v>
      </c>
      <c r="AP20" s="30"/>
      <c r="AQ20" s="32">
        <f t="shared" ref="AQ20:AW20" si="223">(12*K20+4*S20+2*AA20+AI20)/4</f>
        <v>0.2585986171</v>
      </c>
      <c r="AR20" s="32">
        <f t="shared" si="223"/>
        <v>0.2051581349</v>
      </c>
      <c r="AS20" s="32">
        <f t="shared" si="223"/>
        <v>0.1284118983</v>
      </c>
      <c r="AT20" s="32">
        <f t="shared" si="223"/>
        <v>-0.005287003387</v>
      </c>
      <c r="AU20" s="33">
        <f t="shared" si="223"/>
        <v>-0.005107750897</v>
      </c>
      <c r="AV20" s="32">
        <f t="shared" si="223"/>
        <v>-0.01915954353</v>
      </c>
      <c r="AW20" s="32">
        <f t="shared" si="223"/>
        <v>0.0120414975</v>
      </c>
      <c r="AX20" s="30"/>
      <c r="AY20" s="34">
        <f t="shared" ref="AY20:BB20" si="224">rank(AQ20,$AQ20:$AT20)</f>
        <v>1</v>
      </c>
      <c r="AZ20" s="34">
        <f t="shared" si="224"/>
        <v>2</v>
      </c>
      <c r="BA20" s="34">
        <f t="shared" si="224"/>
        <v>3</v>
      </c>
      <c r="BB20" s="34">
        <f t="shared" si="224"/>
        <v>4</v>
      </c>
      <c r="BC20" s="35">
        <f t="shared" ref="BC20:BE20" si="225">rank(AU20,$AU20:$AW20)</f>
        <v>2</v>
      </c>
      <c r="BD20" s="34">
        <f t="shared" si="225"/>
        <v>3</v>
      </c>
      <c r="BE20" s="34">
        <f t="shared" si="225"/>
        <v>1</v>
      </c>
      <c r="BF20" s="30"/>
      <c r="BG20" s="36">
        <f t="shared" ref="BG20:BJ20" si="226">if(and($BQ20=0,AY20&lt;=2),0.5,0)</f>
        <v>0</v>
      </c>
      <c r="BH20" s="36">
        <f t="shared" si="226"/>
        <v>0</v>
      </c>
      <c r="BI20" s="36">
        <f t="shared" si="226"/>
        <v>0</v>
      </c>
      <c r="BJ20" s="36">
        <f t="shared" si="226"/>
        <v>0</v>
      </c>
      <c r="BK20" s="37">
        <f t="shared" ref="BK20:BM20" si="227">if(and($BQ20&gt;0,BC20=1),1,0)</f>
        <v>0</v>
      </c>
      <c r="BL20" s="36">
        <f t="shared" si="227"/>
        <v>0</v>
      </c>
      <c r="BM20" s="36">
        <f t="shared" si="227"/>
        <v>1</v>
      </c>
      <c r="BN20" s="38"/>
      <c r="BO20" s="22">
        <f t="shared" si="21"/>
        <v>1</v>
      </c>
      <c r="BP20" s="38"/>
      <c r="BQ20" s="39">
        <f t="shared" si="22"/>
        <v>1</v>
      </c>
      <c r="BR20" s="30"/>
      <c r="BS20" s="36">
        <f t="shared" ref="BS20:BV20" si="228">if(and($BQ20=0,AY20=1),1,0)</f>
        <v>0</v>
      </c>
      <c r="BT20" s="36">
        <f t="shared" si="228"/>
        <v>0</v>
      </c>
      <c r="BU20" s="36">
        <f t="shared" si="228"/>
        <v>0</v>
      </c>
      <c r="BV20" s="36">
        <f t="shared" si="228"/>
        <v>0</v>
      </c>
      <c r="BW20" s="37">
        <f t="shared" ref="BW20:BY20" si="229">if(and($BQ20&gt;0,BC20=1),1,0)</f>
        <v>0</v>
      </c>
      <c r="BX20" s="36">
        <f t="shared" si="229"/>
        <v>0</v>
      </c>
      <c r="BY20" s="36">
        <f t="shared" si="229"/>
        <v>1</v>
      </c>
      <c r="BZ20" s="38"/>
      <c r="CA20" s="22">
        <f t="shared" si="25"/>
        <v>1</v>
      </c>
      <c r="CB20" s="30"/>
      <c r="CC20" s="22">
        <f t="shared" ref="CC20:CI20" si="230">BG19*K20</f>
        <v>0</v>
      </c>
      <c r="CD20" s="22">
        <f t="shared" si="230"/>
        <v>0</v>
      </c>
      <c r="CE20" s="22">
        <f t="shared" si="230"/>
        <v>0</v>
      </c>
      <c r="CF20" s="22">
        <f t="shared" si="230"/>
        <v>0</v>
      </c>
      <c r="CG20" s="22">
        <f t="shared" si="230"/>
        <v>0</v>
      </c>
      <c r="CH20" s="22">
        <f t="shared" si="230"/>
        <v>-0.02471589106</v>
      </c>
      <c r="CI20" s="22">
        <f t="shared" si="230"/>
        <v>0</v>
      </c>
      <c r="CJ20" s="38"/>
      <c r="CK20" s="22">
        <f t="shared" ref="CK20:CQ20" si="231">BS19*K20</f>
        <v>0</v>
      </c>
      <c r="CL20" s="22">
        <f t="shared" si="231"/>
        <v>0</v>
      </c>
      <c r="CM20" s="22">
        <f t="shared" si="231"/>
        <v>0</v>
      </c>
      <c r="CN20" s="22">
        <f t="shared" si="231"/>
        <v>0</v>
      </c>
      <c r="CO20" s="22">
        <f t="shared" si="231"/>
        <v>0</v>
      </c>
      <c r="CP20" s="22">
        <f t="shared" si="231"/>
        <v>-0.02471589106</v>
      </c>
      <c r="CQ20" s="22">
        <f t="shared" si="231"/>
        <v>0</v>
      </c>
      <c r="CR20" s="44">
        <f t="shared" si="28"/>
        <v>-0.02471589106</v>
      </c>
      <c r="CS20" s="45"/>
      <c r="CT20" s="40"/>
      <c r="CU20" s="46">
        <v>1.0</v>
      </c>
      <c r="CV20" s="47">
        <v>0.0</v>
      </c>
      <c r="CW20" s="45"/>
      <c r="CX20" s="44">
        <f t="shared" si="29"/>
        <v>-0.02471589106</v>
      </c>
      <c r="CY20" s="40"/>
      <c r="CZ20" s="40"/>
      <c r="DA20" s="42"/>
      <c r="DB20" s="41"/>
      <c r="DC20" s="40"/>
      <c r="DD20" s="48">
        <f t="shared" si="30"/>
        <v>110182.8776</v>
      </c>
      <c r="DE20" s="49">
        <f t="shared" si="31"/>
        <v>-0.02471589106</v>
      </c>
      <c r="DF20" s="50"/>
      <c r="DG20" s="40"/>
      <c r="DH20" s="51">
        <f t="shared" si="32"/>
        <v>110103.8742</v>
      </c>
      <c r="DI20" s="52">
        <f t="shared" si="33"/>
        <v>-0.02471589106</v>
      </c>
      <c r="DJ20" s="50"/>
      <c r="DK20" s="40"/>
      <c r="DL20" s="40"/>
      <c r="DM20" s="40"/>
      <c r="DN20" s="42"/>
      <c r="DO20" s="40"/>
      <c r="DP20" s="40"/>
      <c r="DQ20" s="42"/>
      <c r="DR20" s="40"/>
      <c r="DS20" s="40"/>
      <c r="DT20" s="40"/>
      <c r="DU20" s="40"/>
    </row>
    <row r="21" ht="13.5" customHeight="1">
      <c r="A21" s="27">
        <v>75.0</v>
      </c>
      <c r="B21" s="28">
        <f t="shared" si="2"/>
        <v>42094</v>
      </c>
      <c r="C21" s="29">
        <f t="shared" ref="C21:I21" si="232">indirect(CONCATENATE(C$2,"!$G$",$A21))</f>
        <v>168.3524555</v>
      </c>
      <c r="D21" s="29">
        <f t="shared" si="232"/>
        <v>33.45875912</v>
      </c>
      <c r="E21" s="29">
        <f t="shared" si="232"/>
        <v>34.76666594</v>
      </c>
      <c r="F21" s="29">
        <f t="shared" si="232"/>
        <v>71.28988029</v>
      </c>
      <c r="G21" s="29">
        <f t="shared" si="232"/>
        <v>79.12467219</v>
      </c>
      <c r="H21" s="29">
        <f t="shared" si="232"/>
        <v>97.33628658</v>
      </c>
      <c r="I21" s="29">
        <f t="shared" si="232"/>
        <v>100.0132857</v>
      </c>
      <c r="J21" s="30"/>
      <c r="K21" s="32">
        <f t="shared" ref="K21:Q21" si="233">C21/C20-1</f>
        <v>-0.01569859753</v>
      </c>
      <c r="L21" s="32">
        <f t="shared" si="233"/>
        <v>-0.01215991318</v>
      </c>
      <c r="M21" s="32">
        <f t="shared" si="233"/>
        <v>-0.02052278854</v>
      </c>
      <c r="N21" s="32">
        <f t="shared" si="233"/>
        <v>0.005456651722</v>
      </c>
      <c r="O21" s="32">
        <f t="shared" si="233"/>
        <v>0.002492771149</v>
      </c>
      <c r="P21" s="32">
        <f t="shared" si="233"/>
        <v>0.008573078747</v>
      </c>
      <c r="Q21" s="32">
        <f t="shared" si="233"/>
        <v>0.001977908834</v>
      </c>
      <c r="R21" s="30"/>
      <c r="S21" s="32">
        <f t="shared" ref="S21:Y21" si="234">C21/C18-1</f>
        <v>0.009379145211</v>
      </c>
      <c r="T21" s="32">
        <f t="shared" si="234"/>
        <v>0.05616482356</v>
      </c>
      <c r="U21" s="32">
        <f t="shared" si="234"/>
        <v>0.02304216489</v>
      </c>
      <c r="V21" s="32">
        <f t="shared" si="234"/>
        <v>0.01617457695</v>
      </c>
      <c r="W21" s="32">
        <f t="shared" si="234"/>
        <v>0.005851252481</v>
      </c>
      <c r="X21" s="32">
        <f t="shared" si="234"/>
        <v>0.02596459588</v>
      </c>
      <c r="Y21" s="32">
        <f t="shared" si="234"/>
        <v>0.0248026949</v>
      </c>
      <c r="Z21" s="30"/>
      <c r="AA21" s="32">
        <f t="shared" ref="AA21:AG21" si="235">C21/C15-1</f>
        <v>0.05876200275</v>
      </c>
      <c r="AB21" s="32">
        <f t="shared" si="235"/>
        <v>0.01273809857</v>
      </c>
      <c r="AC21" s="32">
        <f t="shared" si="235"/>
        <v>-0.01414046351</v>
      </c>
      <c r="AD21" s="32">
        <f t="shared" si="235"/>
        <v>0.03263410436</v>
      </c>
      <c r="AE21" s="32">
        <f t="shared" si="235"/>
        <v>0.006574505616</v>
      </c>
      <c r="AF21" s="32">
        <f t="shared" si="235"/>
        <v>0.05649383995</v>
      </c>
      <c r="AG21" s="32">
        <f t="shared" si="235"/>
        <v>0.04672088333</v>
      </c>
      <c r="AH21" s="30"/>
      <c r="AI21" s="32">
        <f t="shared" ref="AI21:AO21" si="236">C21/C9-1</f>
        <v>0.1262613517</v>
      </c>
      <c r="AJ21" s="32">
        <f t="shared" si="236"/>
        <v>-0.007615931819</v>
      </c>
      <c r="AK21" s="32">
        <f t="shared" si="236"/>
        <v>0.03372712311</v>
      </c>
      <c r="AL21" s="32">
        <f t="shared" si="236"/>
        <v>0.05574385355</v>
      </c>
      <c r="AM21" s="32">
        <f t="shared" si="236"/>
        <v>0.009373247454</v>
      </c>
      <c r="AN21" s="32">
        <f t="shared" si="236"/>
        <v>0.08796581743</v>
      </c>
      <c r="AO21" s="32">
        <f t="shared" si="236"/>
        <v>0.07958205728</v>
      </c>
      <c r="AP21" s="30"/>
      <c r="AQ21" s="32">
        <f t="shared" ref="AQ21:AW21" si="237">(12*K21+4*S21+2*AA21+AI21)/4</f>
        <v>0.02322969193</v>
      </c>
      <c r="AR21" s="32">
        <f t="shared" si="237"/>
        <v>0.02415015036</v>
      </c>
      <c r="AS21" s="32">
        <f t="shared" si="237"/>
        <v>-0.0371646517</v>
      </c>
      <c r="AT21" s="32">
        <f t="shared" si="237"/>
        <v>0.06279754769</v>
      </c>
      <c r="AU21" s="33">
        <f t="shared" si="237"/>
        <v>0.0189601306</v>
      </c>
      <c r="AV21" s="32">
        <f t="shared" si="237"/>
        <v>0.1019222065</v>
      </c>
      <c r="AW21" s="32">
        <f t="shared" si="237"/>
        <v>0.07399237738</v>
      </c>
      <c r="AX21" s="30"/>
      <c r="AY21" s="34">
        <f t="shared" ref="AY21:BB21" si="238">rank(AQ21,$AQ21:$AT21)</f>
        <v>3</v>
      </c>
      <c r="AZ21" s="34">
        <f t="shared" si="238"/>
        <v>2</v>
      </c>
      <c r="BA21" s="34">
        <f t="shared" si="238"/>
        <v>4</v>
      </c>
      <c r="BB21" s="34">
        <f t="shared" si="238"/>
        <v>1</v>
      </c>
      <c r="BC21" s="35">
        <f t="shared" ref="BC21:BE21" si="239">rank(AU21,$AU21:$AW21)</f>
        <v>3</v>
      </c>
      <c r="BD21" s="34">
        <f t="shared" si="239"/>
        <v>1</v>
      </c>
      <c r="BE21" s="34">
        <f t="shared" si="239"/>
        <v>2</v>
      </c>
      <c r="BF21" s="30"/>
      <c r="BG21" s="36">
        <f t="shared" ref="BG21:BJ21" si="240">if(and($BQ21=0,AY21&lt;=2),0.5,0)</f>
        <v>0</v>
      </c>
      <c r="BH21" s="36">
        <f t="shared" si="240"/>
        <v>0</v>
      </c>
      <c r="BI21" s="36">
        <f t="shared" si="240"/>
        <v>0</v>
      </c>
      <c r="BJ21" s="36">
        <f t="shared" si="240"/>
        <v>0</v>
      </c>
      <c r="BK21" s="37">
        <f t="shared" ref="BK21:BM21" si="241">if(and($BQ21&gt;0,BC21=1),1,0)</f>
        <v>0</v>
      </c>
      <c r="BL21" s="36">
        <f t="shared" si="241"/>
        <v>1</v>
      </c>
      <c r="BM21" s="36">
        <f t="shared" si="241"/>
        <v>0</v>
      </c>
      <c r="BN21" s="38"/>
      <c r="BO21" s="22">
        <f t="shared" si="21"/>
        <v>1</v>
      </c>
      <c r="BP21" s="38"/>
      <c r="BQ21" s="39">
        <f t="shared" si="22"/>
        <v>1</v>
      </c>
      <c r="BR21" s="30"/>
      <c r="BS21" s="36">
        <f t="shared" ref="BS21:BV21" si="242">if(and($BQ21=0,AY21=1),1,0)</f>
        <v>0</v>
      </c>
      <c r="BT21" s="36">
        <f t="shared" si="242"/>
        <v>0</v>
      </c>
      <c r="BU21" s="36">
        <f t="shared" si="242"/>
        <v>0</v>
      </c>
      <c r="BV21" s="36">
        <f t="shared" si="242"/>
        <v>0</v>
      </c>
      <c r="BW21" s="37">
        <f t="shared" ref="BW21:BY21" si="243">if(and($BQ21&gt;0,BC21=1),1,0)</f>
        <v>0</v>
      </c>
      <c r="BX21" s="36">
        <f t="shared" si="243"/>
        <v>1</v>
      </c>
      <c r="BY21" s="36">
        <f t="shared" si="243"/>
        <v>0</v>
      </c>
      <c r="BZ21" s="38"/>
      <c r="CA21" s="22">
        <f t="shared" si="25"/>
        <v>1</v>
      </c>
      <c r="CB21" s="30"/>
      <c r="CC21" s="22">
        <f t="shared" ref="CC21:CI21" si="244">BG20*K21</f>
        <v>0</v>
      </c>
      <c r="CD21" s="22">
        <f t="shared" si="244"/>
        <v>0</v>
      </c>
      <c r="CE21" s="22">
        <f t="shared" si="244"/>
        <v>0</v>
      </c>
      <c r="CF21" s="22">
        <f t="shared" si="244"/>
        <v>0</v>
      </c>
      <c r="CG21" s="22">
        <f t="shared" si="244"/>
        <v>0</v>
      </c>
      <c r="CH21" s="22">
        <f t="shared" si="244"/>
        <v>0</v>
      </c>
      <c r="CI21" s="22">
        <f t="shared" si="244"/>
        <v>0.001977908834</v>
      </c>
      <c r="CJ21" s="38"/>
      <c r="CK21" s="22">
        <f t="shared" ref="CK21:CQ21" si="245">BS20*K21</f>
        <v>0</v>
      </c>
      <c r="CL21" s="22">
        <f t="shared" si="245"/>
        <v>0</v>
      </c>
      <c r="CM21" s="22">
        <f t="shared" si="245"/>
        <v>0</v>
      </c>
      <c r="CN21" s="22">
        <f t="shared" si="245"/>
        <v>0</v>
      </c>
      <c r="CO21" s="22">
        <f t="shared" si="245"/>
        <v>0</v>
      </c>
      <c r="CP21" s="22">
        <f t="shared" si="245"/>
        <v>0</v>
      </c>
      <c r="CQ21" s="22">
        <f t="shared" si="245"/>
        <v>0.001977908834</v>
      </c>
      <c r="CR21" s="44">
        <f t="shared" si="28"/>
        <v>0.001977908834</v>
      </c>
      <c r="CS21" s="45"/>
      <c r="CT21" s="40"/>
      <c r="CU21" s="46">
        <v>1.0</v>
      </c>
      <c r="CV21" s="47">
        <v>0.0</v>
      </c>
      <c r="CW21" s="45"/>
      <c r="CX21" s="44">
        <f t="shared" si="29"/>
        <v>0.001977908834</v>
      </c>
      <c r="CY21" s="40"/>
      <c r="CZ21" s="40"/>
      <c r="DA21" s="42"/>
      <c r="DB21" s="41"/>
      <c r="DC21" s="40"/>
      <c r="DD21" s="48">
        <f t="shared" si="30"/>
        <v>110400.8093</v>
      </c>
      <c r="DE21" s="49">
        <f t="shared" si="31"/>
        <v>0.001977908834</v>
      </c>
      <c r="DF21" s="50"/>
      <c r="DG21" s="40"/>
      <c r="DH21" s="51">
        <f t="shared" si="32"/>
        <v>110321.6496</v>
      </c>
      <c r="DI21" s="52">
        <f t="shared" si="33"/>
        <v>0.001977908834</v>
      </c>
      <c r="DJ21" s="50"/>
      <c r="DK21" s="40"/>
      <c r="DL21" s="40"/>
      <c r="DM21" s="40"/>
      <c r="DN21" s="42"/>
      <c r="DO21" s="40"/>
      <c r="DP21" s="40"/>
      <c r="DQ21" s="42"/>
      <c r="DR21" s="40"/>
      <c r="DS21" s="40"/>
      <c r="DT21" s="40"/>
      <c r="DU21" s="40"/>
    </row>
    <row r="22" ht="13.5" customHeight="1">
      <c r="A22" s="27">
        <v>74.0</v>
      </c>
      <c r="B22" s="28">
        <f t="shared" si="2"/>
        <v>42124</v>
      </c>
      <c r="C22" s="29">
        <f t="shared" ref="C22:I22" si="246">indirect(CONCATENATE(C$2,"!$G$",$A22))</f>
        <v>170.0430986</v>
      </c>
      <c r="D22" s="29">
        <f t="shared" si="246"/>
        <v>34.7524194</v>
      </c>
      <c r="E22" s="29">
        <f t="shared" si="246"/>
        <v>37.34417995</v>
      </c>
      <c r="F22" s="29">
        <f t="shared" si="246"/>
        <v>71.05831756</v>
      </c>
      <c r="G22" s="29">
        <f t="shared" si="246"/>
        <v>79.14954377</v>
      </c>
      <c r="H22" s="29">
        <f t="shared" si="246"/>
        <v>96.71925545</v>
      </c>
      <c r="I22" s="29">
        <f t="shared" si="246"/>
        <v>98.82522183</v>
      </c>
      <c r="J22" s="30"/>
      <c r="K22" s="32">
        <f t="shared" ref="K22:Q22" si="247">C22/C21-1</f>
        <v>0.0100422833</v>
      </c>
      <c r="L22" s="32">
        <f t="shared" si="247"/>
        <v>0.03866432337</v>
      </c>
      <c r="M22" s="32">
        <f t="shared" si="247"/>
        <v>0.07413750918</v>
      </c>
      <c r="N22" s="32">
        <f t="shared" si="247"/>
        <v>-0.003248185042</v>
      </c>
      <c r="O22" s="32">
        <f t="shared" si="247"/>
        <v>0.0003143340954</v>
      </c>
      <c r="P22" s="32">
        <f t="shared" si="247"/>
        <v>-0.006339168561</v>
      </c>
      <c r="Q22" s="32">
        <f t="shared" si="247"/>
        <v>-0.01187906003</v>
      </c>
      <c r="R22" s="30"/>
      <c r="S22" s="32">
        <f t="shared" ref="S22:Y22" si="248">C22/C19-1</f>
        <v>0.04965704222</v>
      </c>
      <c r="T22" s="32">
        <f t="shared" si="248"/>
        <v>0.08923688973</v>
      </c>
      <c r="U22" s="32">
        <f t="shared" si="248"/>
        <v>0.1010890403</v>
      </c>
      <c r="V22" s="32">
        <f t="shared" si="248"/>
        <v>-0.0109019639</v>
      </c>
      <c r="W22" s="32">
        <f t="shared" si="248"/>
        <v>-0.0001078005311</v>
      </c>
      <c r="X22" s="32">
        <f t="shared" si="248"/>
        <v>-0.02259019694</v>
      </c>
      <c r="Y22" s="32">
        <f t="shared" si="248"/>
        <v>-0.02398878725</v>
      </c>
      <c r="Z22" s="30"/>
      <c r="AA22" s="32">
        <f t="shared" ref="AA22:AG22" si="249">C22/C16-1</f>
        <v>0.04429748024</v>
      </c>
      <c r="AB22" s="32">
        <f t="shared" si="249"/>
        <v>0.05561281351</v>
      </c>
      <c r="AC22" s="32">
        <f t="shared" si="249"/>
        <v>0.0358524992</v>
      </c>
      <c r="AD22" s="32">
        <f t="shared" si="249"/>
        <v>0.02404652773</v>
      </c>
      <c r="AE22" s="32">
        <f t="shared" si="249"/>
        <v>0.004610515801</v>
      </c>
      <c r="AF22" s="32">
        <f t="shared" si="249"/>
        <v>0.03392904706</v>
      </c>
      <c r="AG22" s="32">
        <f t="shared" si="249"/>
        <v>0.02457124452</v>
      </c>
      <c r="AH22" s="30"/>
      <c r="AI22" s="32">
        <f t="shared" ref="AI22:AO22" si="250">C22/C10-1</f>
        <v>0.1293985253</v>
      </c>
      <c r="AJ22" s="32">
        <f t="shared" si="250"/>
        <v>0.01477133958</v>
      </c>
      <c r="AK22" s="32">
        <f t="shared" si="250"/>
        <v>0.1006012416</v>
      </c>
      <c r="AL22" s="32">
        <f t="shared" si="250"/>
        <v>0.04393757045</v>
      </c>
      <c r="AM22" s="32">
        <f t="shared" si="250"/>
        <v>0.008242583375</v>
      </c>
      <c r="AN22" s="32">
        <f t="shared" si="250"/>
        <v>0.07293273597</v>
      </c>
      <c r="AO22" s="32">
        <f t="shared" si="250"/>
        <v>0.05281575603</v>
      </c>
      <c r="AP22" s="30"/>
      <c r="AQ22" s="32">
        <f t="shared" ref="AQ22:AW22" si="251">(12*K22+4*S22+2*AA22+AI22)/4</f>
        <v>0.1342822636</v>
      </c>
      <c r="AR22" s="32">
        <f t="shared" si="251"/>
        <v>0.2367291015</v>
      </c>
      <c r="AS22" s="32">
        <f t="shared" si="251"/>
        <v>0.3665781279</v>
      </c>
      <c r="AT22" s="32">
        <f t="shared" si="251"/>
        <v>0.002361137453</v>
      </c>
      <c r="AU22" s="33">
        <f t="shared" si="251"/>
        <v>0.005201105499</v>
      </c>
      <c r="AV22" s="32">
        <f t="shared" si="251"/>
        <v>-0.006409995098</v>
      </c>
      <c r="AW22" s="32">
        <f t="shared" si="251"/>
        <v>-0.03413640608</v>
      </c>
      <c r="AX22" s="30"/>
      <c r="AY22" s="34">
        <f t="shared" ref="AY22:BB22" si="252">rank(AQ22,$AQ22:$AT22)</f>
        <v>3</v>
      </c>
      <c r="AZ22" s="34">
        <f t="shared" si="252"/>
        <v>2</v>
      </c>
      <c r="BA22" s="34">
        <f t="shared" si="252"/>
        <v>1</v>
      </c>
      <c r="BB22" s="34">
        <f t="shared" si="252"/>
        <v>4</v>
      </c>
      <c r="BC22" s="35">
        <f t="shared" ref="BC22:BE22" si="253">rank(AU22,$AU22:$AW22)</f>
        <v>1</v>
      </c>
      <c r="BD22" s="34">
        <f t="shared" si="253"/>
        <v>2</v>
      </c>
      <c r="BE22" s="34">
        <f t="shared" si="253"/>
        <v>3</v>
      </c>
      <c r="BF22" s="30"/>
      <c r="BG22" s="36">
        <f t="shared" ref="BG22:BJ22" si="254">if(and($BQ22=0,AY22&lt;=2),0.5,0)</f>
        <v>0</v>
      </c>
      <c r="BH22" s="36">
        <f t="shared" si="254"/>
        <v>0.5</v>
      </c>
      <c r="BI22" s="36">
        <f t="shared" si="254"/>
        <v>0.5</v>
      </c>
      <c r="BJ22" s="36">
        <f t="shared" si="254"/>
        <v>0</v>
      </c>
      <c r="BK22" s="37">
        <f t="shared" ref="BK22:BM22" si="255">if(and($BQ22&gt;0,BC22=1),1,0)</f>
        <v>0</v>
      </c>
      <c r="BL22" s="36">
        <f t="shared" si="255"/>
        <v>0</v>
      </c>
      <c r="BM22" s="36">
        <f t="shared" si="255"/>
        <v>0</v>
      </c>
      <c r="BN22" s="38"/>
      <c r="BO22" s="22">
        <f t="shared" si="21"/>
        <v>1</v>
      </c>
      <c r="BP22" s="38"/>
      <c r="BQ22" s="39">
        <f t="shared" si="22"/>
        <v>0</v>
      </c>
      <c r="BR22" s="30"/>
      <c r="BS22" s="36">
        <f t="shared" ref="BS22:BV22" si="256">if(and($BQ22=0,AY22=1),1,0)</f>
        <v>0</v>
      </c>
      <c r="BT22" s="36">
        <f t="shared" si="256"/>
        <v>0</v>
      </c>
      <c r="BU22" s="36">
        <f t="shared" si="256"/>
        <v>1</v>
      </c>
      <c r="BV22" s="36">
        <f t="shared" si="256"/>
        <v>0</v>
      </c>
      <c r="BW22" s="37">
        <f t="shared" ref="BW22:BY22" si="257">if(and($BQ22&gt;0,BC22=1),1,0)</f>
        <v>0</v>
      </c>
      <c r="BX22" s="36">
        <f t="shared" si="257"/>
        <v>0</v>
      </c>
      <c r="BY22" s="36">
        <f t="shared" si="257"/>
        <v>0</v>
      </c>
      <c r="BZ22" s="38"/>
      <c r="CA22" s="22">
        <f t="shared" si="25"/>
        <v>1</v>
      </c>
      <c r="CB22" s="30"/>
      <c r="CC22" s="22">
        <f t="shared" ref="CC22:CI22" si="258">BG21*K22</f>
        <v>0</v>
      </c>
      <c r="CD22" s="22">
        <f t="shared" si="258"/>
        <v>0</v>
      </c>
      <c r="CE22" s="22">
        <f t="shared" si="258"/>
        <v>0</v>
      </c>
      <c r="CF22" s="22">
        <f t="shared" si="258"/>
        <v>0</v>
      </c>
      <c r="CG22" s="22">
        <f t="shared" si="258"/>
        <v>0</v>
      </c>
      <c r="CH22" s="22">
        <f t="shared" si="258"/>
        <v>-0.006339168561</v>
      </c>
      <c r="CI22" s="22">
        <f t="shared" si="258"/>
        <v>0</v>
      </c>
      <c r="CJ22" s="38"/>
      <c r="CK22" s="22">
        <f t="shared" ref="CK22:CQ22" si="259">BS21*K22</f>
        <v>0</v>
      </c>
      <c r="CL22" s="22">
        <f t="shared" si="259"/>
        <v>0</v>
      </c>
      <c r="CM22" s="22">
        <f t="shared" si="259"/>
        <v>0</v>
      </c>
      <c r="CN22" s="22">
        <f t="shared" si="259"/>
        <v>0</v>
      </c>
      <c r="CO22" s="22">
        <f t="shared" si="259"/>
        <v>0</v>
      </c>
      <c r="CP22" s="22">
        <f t="shared" si="259"/>
        <v>-0.006339168561</v>
      </c>
      <c r="CQ22" s="22">
        <f t="shared" si="259"/>
        <v>0</v>
      </c>
      <c r="CR22" s="44">
        <f t="shared" si="28"/>
        <v>-0.006339168561</v>
      </c>
      <c r="CS22" s="45"/>
      <c r="CT22" s="40"/>
      <c r="CU22" s="46">
        <v>1.0</v>
      </c>
      <c r="CV22" s="47">
        <v>0.0</v>
      </c>
      <c r="CW22" s="45"/>
      <c r="CX22" s="44">
        <f t="shared" si="29"/>
        <v>-0.006339168561</v>
      </c>
      <c r="CY22" s="40"/>
      <c r="CZ22" s="40"/>
      <c r="DA22" s="42"/>
      <c r="DB22" s="41"/>
      <c r="DC22" s="40"/>
      <c r="DD22" s="48">
        <f t="shared" si="30"/>
        <v>109700.96</v>
      </c>
      <c r="DE22" s="49">
        <f t="shared" si="31"/>
        <v>-0.006339168561</v>
      </c>
      <c r="DF22" s="50"/>
      <c r="DG22" s="40"/>
      <c r="DH22" s="51">
        <f t="shared" si="32"/>
        <v>109622.3021</v>
      </c>
      <c r="DI22" s="52">
        <f t="shared" si="33"/>
        <v>-0.006339168561</v>
      </c>
      <c r="DJ22" s="50"/>
      <c r="DK22" s="40"/>
      <c r="DL22" s="40"/>
      <c r="DM22" s="40"/>
      <c r="DN22" s="42"/>
      <c r="DO22" s="40"/>
      <c r="DP22" s="40"/>
      <c r="DQ22" s="42"/>
      <c r="DR22" s="40"/>
      <c r="DS22" s="40"/>
      <c r="DT22" s="40"/>
      <c r="DU22" s="40"/>
    </row>
    <row r="23" ht="13.5" customHeight="1">
      <c r="A23" s="27">
        <v>73.0</v>
      </c>
      <c r="B23" s="28">
        <f t="shared" si="2"/>
        <v>42153</v>
      </c>
      <c r="C23" s="29">
        <f t="shared" ref="C23:I23" si="260">indirect(CONCATENATE(C$2,"!$G$",$A23))</f>
        <v>172.1697496</v>
      </c>
      <c r="D23" s="29">
        <f t="shared" si="260"/>
        <v>34.73561862</v>
      </c>
      <c r="E23" s="29">
        <f t="shared" si="260"/>
        <v>36.01714304</v>
      </c>
      <c r="F23" s="29">
        <f t="shared" si="260"/>
        <v>70.70563144</v>
      </c>
      <c r="G23" s="29">
        <f t="shared" si="260"/>
        <v>79.1824543</v>
      </c>
      <c r="H23" s="29">
        <f t="shared" si="260"/>
        <v>96.31759937</v>
      </c>
      <c r="I23" s="29">
        <f t="shared" si="260"/>
        <v>97.71965882</v>
      </c>
      <c r="J23" s="30"/>
      <c r="K23" s="32">
        <f t="shared" ref="K23:Q23" si="261">C23/C22-1</f>
        <v>0.01250654108</v>
      </c>
      <c r="L23" s="32">
        <f t="shared" si="261"/>
        <v>-0.0004834421078</v>
      </c>
      <c r="M23" s="32">
        <f t="shared" si="261"/>
        <v>-0.03553530752</v>
      </c>
      <c r="N23" s="32">
        <f t="shared" si="261"/>
        <v>-0.004963333396</v>
      </c>
      <c r="O23" s="32">
        <f t="shared" si="261"/>
        <v>0.0004158018868</v>
      </c>
      <c r="P23" s="32">
        <f t="shared" si="261"/>
        <v>-0.004152803696</v>
      </c>
      <c r="Q23" s="32">
        <f t="shared" si="261"/>
        <v>-0.01118705309</v>
      </c>
      <c r="R23" s="30"/>
      <c r="S23" s="32">
        <f t="shared" ref="S23:Y23" si="262">C23/C20-1</f>
        <v>0.006619864506</v>
      </c>
      <c r="T23" s="32">
        <f t="shared" si="262"/>
        <v>0.02553822722</v>
      </c>
      <c r="U23" s="32">
        <f t="shared" si="262"/>
        <v>0.01470675638</v>
      </c>
      <c r="V23" s="32">
        <f t="shared" si="262"/>
        <v>-0.002783464316</v>
      </c>
      <c r="W23" s="32">
        <f t="shared" si="262"/>
        <v>0.00322485822</v>
      </c>
      <c r="X23" s="32">
        <f t="shared" si="262"/>
        <v>-0.001982291003</v>
      </c>
      <c r="Y23" s="32">
        <f t="shared" si="262"/>
        <v>-0.02100067243</v>
      </c>
      <c r="Z23" s="30"/>
      <c r="AA23" s="32">
        <f t="shared" ref="AA23:AG23" si="263">C23/C17-1</f>
        <v>0.02898079466</v>
      </c>
      <c r="AB23" s="32">
        <f t="shared" si="263"/>
        <v>0.05510248583</v>
      </c>
      <c r="AC23" s="32">
        <f t="shared" si="263"/>
        <v>0.01017786179</v>
      </c>
      <c r="AD23" s="32">
        <f t="shared" si="263"/>
        <v>0.00845148074</v>
      </c>
      <c r="AE23" s="32">
        <f t="shared" si="263"/>
        <v>0.00364096997</v>
      </c>
      <c r="AF23" s="32">
        <f t="shared" si="263"/>
        <v>0.016539825</v>
      </c>
      <c r="AG23" s="32">
        <f t="shared" si="263"/>
        <v>0.001132007124</v>
      </c>
      <c r="AH23" s="30"/>
      <c r="AI23" s="32">
        <f t="shared" ref="AI23:AO23" si="264">C23/C11-1</f>
        <v>0.1178742714</v>
      </c>
      <c r="AJ23" s="32">
        <f t="shared" si="264"/>
        <v>-0.003313424577</v>
      </c>
      <c r="AK23" s="32">
        <f t="shared" si="264"/>
        <v>0.02955325984</v>
      </c>
      <c r="AL23" s="32">
        <f t="shared" si="264"/>
        <v>0.02793191451</v>
      </c>
      <c r="AM23" s="32">
        <f t="shared" si="264"/>
        <v>0.007219209865</v>
      </c>
      <c r="AN23" s="32">
        <f t="shared" si="264"/>
        <v>0.04932789144</v>
      </c>
      <c r="AO23" s="32">
        <f t="shared" si="264"/>
        <v>0.0224841969</v>
      </c>
      <c r="AP23" s="30"/>
      <c r="AQ23" s="32">
        <f t="shared" ref="AQ23:AW23" si="265">(12*K23+4*S23+2*AA23+AI23)/4</f>
        <v>0.08809845293</v>
      </c>
      <c r="AR23" s="32">
        <f t="shared" si="265"/>
        <v>0.05081078767</v>
      </c>
      <c r="AS23" s="32">
        <f t="shared" si="265"/>
        <v>-0.07942192032</v>
      </c>
      <c r="AT23" s="32">
        <f t="shared" si="265"/>
        <v>-0.006464745507</v>
      </c>
      <c r="AU23" s="33">
        <f t="shared" si="265"/>
        <v>0.008097551331</v>
      </c>
      <c r="AV23" s="32">
        <f t="shared" si="265"/>
        <v>0.006161183268</v>
      </c>
      <c r="AW23" s="32">
        <f t="shared" si="265"/>
        <v>-0.04837477891</v>
      </c>
      <c r="AX23" s="30"/>
      <c r="AY23" s="34">
        <f t="shared" ref="AY23:BB23" si="266">rank(AQ23,$AQ23:$AT23)</f>
        <v>1</v>
      </c>
      <c r="AZ23" s="34">
        <f t="shared" si="266"/>
        <v>2</v>
      </c>
      <c r="BA23" s="34">
        <f t="shared" si="266"/>
        <v>4</v>
      </c>
      <c r="BB23" s="34">
        <f t="shared" si="266"/>
        <v>3</v>
      </c>
      <c r="BC23" s="35">
        <f t="shared" ref="BC23:BE23" si="267">rank(AU23,$AU23:$AW23)</f>
        <v>1</v>
      </c>
      <c r="BD23" s="34">
        <f t="shared" si="267"/>
        <v>2</v>
      </c>
      <c r="BE23" s="34">
        <f t="shared" si="267"/>
        <v>3</v>
      </c>
      <c r="BF23" s="30"/>
      <c r="BG23" s="36">
        <f t="shared" ref="BG23:BJ23" si="268">if(and($BQ23=0,AY23&lt;=2),0.5,0)</f>
        <v>0</v>
      </c>
      <c r="BH23" s="36">
        <f t="shared" si="268"/>
        <v>0</v>
      </c>
      <c r="BI23" s="36">
        <f t="shared" si="268"/>
        <v>0</v>
      </c>
      <c r="BJ23" s="36">
        <f t="shared" si="268"/>
        <v>0</v>
      </c>
      <c r="BK23" s="37">
        <f t="shared" ref="BK23:BM23" si="269">if(and($BQ23&gt;0,BC23=1),1,0)</f>
        <v>1</v>
      </c>
      <c r="BL23" s="36">
        <f t="shared" si="269"/>
        <v>0</v>
      </c>
      <c r="BM23" s="36">
        <f t="shared" si="269"/>
        <v>0</v>
      </c>
      <c r="BN23" s="38"/>
      <c r="BO23" s="22">
        <f t="shared" si="21"/>
        <v>1</v>
      </c>
      <c r="BP23" s="38"/>
      <c r="BQ23" s="39">
        <f t="shared" si="22"/>
        <v>2</v>
      </c>
      <c r="BR23" s="30"/>
      <c r="BS23" s="36">
        <f t="shared" ref="BS23:BV23" si="270">if(and($BQ23=0,AY23=1),1,0)</f>
        <v>0</v>
      </c>
      <c r="BT23" s="36">
        <f t="shared" si="270"/>
        <v>0</v>
      </c>
      <c r="BU23" s="36">
        <f t="shared" si="270"/>
        <v>0</v>
      </c>
      <c r="BV23" s="36">
        <f t="shared" si="270"/>
        <v>0</v>
      </c>
      <c r="BW23" s="37">
        <f t="shared" ref="BW23:BY23" si="271">if(and($BQ23&gt;0,BC23=1),1,0)</f>
        <v>1</v>
      </c>
      <c r="BX23" s="36">
        <f t="shared" si="271"/>
        <v>0</v>
      </c>
      <c r="BY23" s="36">
        <f t="shared" si="271"/>
        <v>0</v>
      </c>
      <c r="BZ23" s="38"/>
      <c r="CA23" s="22">
        <f t="shared" si="25"/>
        <v>1</v>
      </c>
      <c r="CB23" s="30"/>
      <c r="CC23" s="22">
        <f t="shared" ref="CC23:CI23" si="272">BG22*K23</f>
        <v>0</v>
      </c>
      <c r="CD23" s="22">
        <f t="shared" si="272"/>
        <v>-0.0002417210539</v>
      </c>
      <c r="CE23" s="22">
        <f t="shared" si="272"/>
        <v>-0.01776765376</v>
      </c>
      <c r="CF23" s="22">
        <f t="shared" si="272"/>
        <v>0</v>
      </c>
      <c r="CG23" s="22">
        <f t="shared" si="272"/>
        <v>0</v>
      </c>
      <c r="CH23" s="22">
        <f t="shared" si="272"/>
        <v>0</v>
      </c>
      <c r="CI23" s="22">
        <f t="shared" si="272"/>
        <v>0</v>
      </c>
      <c r="CJ23" s="38"/>
      <c r="CK23" s="22">
        <f t="shared" ref="CK23:CQ23" si="273">BS22*K23</f>
        <v>0</v>
      </c>
      <c r="CL23" s="22">
        <f t="shared" si="273"/>
        <v>0</v>
      </c>
      <c r="CM23" s="22">
        <f t="shared" si="273"/>
        <v>-0.03553530752</v>
      </c>
      <c r="CN23" s="22">
        <f t="shared" si="273"/>
        <v>0</v>
      </c>
      <c r="CO23" s="22">
        <f t="shared" si="273"/>
        <v>0</v>
      </c>
      <c r="CP23" s="22">
        <f t="shared" si="273"/>
        <v>0</v>
      </c>
      <c r="CQ23" s="22">
        <f t="shared" si="273"/>
        <v>0</v>
      </c>
      <c r="CR23" s="44">
        <f t="shared" si="28"/>
        <v>-0.01800937481</v>
      </c>
      <c r="CS23" s="45"/>
      <c r="CT23" s="40"/>
      <c r="CU23" s="46">
        <v>1.0</v>
      </c>
      <c r="CV23" s="47">
        <v>0.0</v>
      </c>
      <c r="CW23" s="45"/>
      <c r="CX23" s="44">
        <f t="shared" si="29"/>
        <v>-0.03553530752</v>
      </c>
      <c r="CY23" s="40"/>
      <c r="CZ23" s="40"/>
      <c r="DA23" s="42"/>
      <c r="DB23" s="41"/>
      <c r="DC23" s="40"/>
      <c r="DD23" s="48">
        <f t="shared" si="30"/>
        <v>107725.3142</v>
      </c>
      <c r="DE23" s="49">
        <f t="shared" si="31"/>
        <v>-0.01800937481</v>
      </c>
      <c r="DF23" s="50"/>
      <c r="DG23" s="40"/>
      <c r="DH23" s="51">
        <f t="shared" si="32"/>
        <v>105726.8399</v>
      </c>
      <c r="DI23" s="52">
        <f t="shared" si="33"/>
        <v>-0.03553530752</v>
      </c>
      <c r="DJ23" s="50"/>
      <c r="DK23" s="40"/>
      <c r="DL23" s="40"/>
      <c r="DM23" s="40"/>
      <c r="DN23" s="42"/>
      <c r="DO23" s="40"/>
      <c r="DP23" s="40"/>
      <c r="DQ23" s="42"/>
      <c r="DR23" s="40"/>
      <c r="DS23" s="40"/>
      <c r="DT23" s="40"/>
      <c r="DU23" s="40"/>
    </row>
    <row r="24" ht="13.5" customHeight="1">
      <c r="A24" s="27">
        <v>72.0</v>
      </c>
      <c r="B24" s="28">
        <f t="shared" si="2"/>
        <v>42185</v>
      </c>
      <c r="C24" s="29">
        <f t="shared" ref="C24:I24" si="274">indirect(CONCATENATE(C$2,"!$G$",$A24))</f>
        <v>168.8123001</v>
      </c>
      <c r="D24" s="29">
        <f t="shared" si="274"/>
        <v>33.72491344</v>
      </c>
      <c r="E24" s="29">
        <f t="shared" si="274"/>
        <v>35.1005839</v>
      </c>
      <c r="F24" s="29">
        <f t="shared" si="274"/>
        <v>69.91990126</v>
      </c>
      <c r="G24" s="29">
        <f t="shared" si="274"/>
        <v>79.20749911</v>
      </c>
      <c r="H24" s="29">
        <f t="shared" si="274"/>
        <v>94.74749951</v>
      </c>
      <c r="I24" s="29">
        <f t="shared" si="274"/>
        <v>95.88067388</v>
      </c>
      <c r="J24" s="30"/>
      <c r="K24" s="32">
        <f t="shared" ref="K24:Q24" si="275">C24/C23-1</f>
        <v>-0.01950080941</v>
      </c>
      <c r="L24" s="32">
        <f t="shared" si="275"/>
        <v>-0.02909708312</v>
      </c>
      <c r="M24" s="32">
        <f t="shared" si="275"/>
        <v>-0.02544785789</v>
      </c>
      <c r="N24" s="32">
        <f t="shared" si="275"/>
        <v>-0.01111269589</v>
      </c>
      <c r="O24" s="32">
        <f t="shared" si="275"/>
        <v>0.0003162923726</v>
      </c>
      <c r="P24" s="32">
        <f t="shared" si="275"/>
        <v>-0.01630127692</v>
      </c>
      <c r="Q24" s="32">
        <f t="shared" si="275"/>
        <v>-0.01881898654</v>
      </c>
      <c r="R24" s="30"/>
      <c r="S24" s="32">
        <f t="shared" ref="S24:Y24" si="276">C24/C21-1</f>
        <v>0.002731439679</v>
      </c>
      <c r="T24" s="32">
        <f t="shared" si="276"/>
        <v>0.007954697793</v>
      </c>
      <c r="U24" s="32">
        <f t="shared" si="276"/>
        <v>0.009604543601</v>
      </c>
      <c r="V24" s="32">
        <f t="shared" si="276"/>
        <v>-0.01921701955</v>
      </c>
      <c r="W24" s="32">
        <f t="shared" si="276"/>
        <v>0.001046790033</v>
      </c>
      <c r="X24" s="32">
        <f t="shared" si="276"/>
        <v>-0.02659632045</v>
      </c>
      <c r="Y24" s="32">
        <f t="shared" si="276"/>
        <v>-0.041320628</v>
      </c>
      <c r="Z24" s="30"/>
      <c r="AA24" s="32">
        <f t="shared" ref="AA24:AG24" si="277">C24/C18-1</f>
        <v>0.01213620346</v>
      </c>
      <c r="AB24" s="32">
        <f t="shared" si="277"/>
        <v>0.06456629555</v>
      </c>
      <c r="AC24" s="32">
        <f t="shared" si="277"/>
        <v>0.03286801797</v>
      </c>
      <c r="AD24" s="32">
        <f t="shared" si="277"/>
        <v>-0.003353269763</v>
      </c>
      <c r="AE24" s="32">
        <f t="shared" si="277"/>
        <v>0.006904167547</v>
      </c>
      <c r="AF24" s="32">
        <f t="shared" si="277"/>
        <v>-0.001322287279</v>
      </c>
      <c r="AG24" s="32">
        <f t="shared" si="277"/>
        <v>-0.01754279603</v>
      </c>
      <c r="AH24" s="30"/>
      <c r="AI24" s="32">
        <f t="shared" ref="AI24:AO24" si="278">C24/C12-1</f>
        <v>0.07364464972</v>
      </c>
      <c r="AJ24" s="32">
        <f t="shared" si="278"/>
        <v>-0.04229997488</v>
      </c>
      <c r="AK24" s="32">
        <f t="shared" si="278"/>
        <v>-0.02751789996</v>
      </c>
      <c r="AL24" s="32">
        <f t="shared" si="278"/>
        <v>0.01565588999</v>
      </c>
      <c r="AM24" s="32">
        <f t="shared" si="278"/>
        <v>0.007983345611</v>
      </c>
      <c r="AN24" s="32">
        <f t="shared" si="278"/>
        <v>0.03445248492</v>
      </c>
      <c r="AO24" s="32">
        <f t="shared" si="278"/>
        <v>0.003162734541</v>
      </c>
      <c r="AP24" s="30"/>
      <c r="AQ24" s="32">
        <f t="shared" ref="AQ24:AW24" si="279">(12*K24+4*S24+2*AA24+AI24)/4</f>
        <v>-0.03129172439</v>
      </c>
      <c r="AR24" s="32">
        <f t="shared" si="279"/>
        <v>-0.05762839751</v>
      </c>
      <c r="AS24" s="32">
        <f t="shared" si="279"/>
        <v>-0.05718449607</v>
      </c>
      <c r="AT24" s="32">
        <f t="shared" si="279"/>
        <v>-0.05031776961</v>
      </c>
      <c r="AU24" s="33">
        <f t="shared" si="279"/>
        <v>0.007443587327</v>
      </c>
      <c r="AV24" s="32">
        <f t="shared" si="279"/>
        <v>-0.06754817362</v>
      </c>
      <c r="AW24" s="32">
        <f t="shared" si="279"/>
        <v>-0.105758302</v>
      </c>
      <c r="AX24" s="30"/>
      <c r="AY24" s="34">
        <f t="shared" ref="AY24:BB24" si="280">rank(AQ24,$AQ24:$AT24)</f>
        <v>1</v>
      </c>
      <c r="AZ24" s="34">
        <f t="shared" si="280"/>
        <v>4</v>
      </c>
      <c r="BA24" s="34">
        <f t="shared" si="280"/>
        <v>3</v>
      </c>
      <c r="BB24" s="34">
        <f t="shared" si="280"/>
        <v>2</v>
      </c>
      <c r="BC24" s="35">
        <f t="shared" ref="BC24:BE24" si="281">rank(AU24,$AU24:$AW24)</f>
        <v>1</v>
      </c>
      <c r="BD24" s="34">
        <f t="shared" si="281"/>
        <v>2</v>
      </c>
      <c r="BE24" s="34">
        <f t="shared" si="281"/>
        <v>3</v>
      </c>
      <c r="BF24" s="30"/>
      <c r="BG24" s="36">
        <f t="shared" ref="BG24:BJ24" si="282">if(and($BQ24=0,AY24&lt;=2),0.5,0)</f>
        <v>0</v>
      </c>
      <c r="BH24" s="36">
        <f t="shared" si="282"/>
        <v>0</v>
      </c>
      <c r="BI24" s="36">
        <f t="shared" si="282"/>
        <v>0</v>
      </c>
      <c r="BJ24" s="36">
        <f t="shared" si="282"/>
        <v>0</v>
      </c>
      <c r="BK24" s="37">
        <f t="shared" ref="BK24:BM24" si="283">if(and($BQ24&gt;0,BC24=1),1,0)</f>
        <v>1</v>
      </c>
      <c r="BL24" s="36">
        <f t="shared" si="283"/>
        <v>0</v>
      </c>
      <c r="BM24" s="36">
        <f t="shared" si="283"/>
        <v>0</v>
      </c>
      <c r="BN24" s="38"/>
      <c r="BO24" s="22">
        <f t="shared" si="21"/>
        <v>1</v>
      </c>
      <c r="BP24" s="38"/>
      <c r="BQ24" s="39">
        <f t="shared" si="22"/>
        <v>4</v>
      </c>
      <c r="BR24" s="30"/>
      <c r="BS24" s="36">
        <f t="shared" ref="BS24:BV24" si="284">if(and($BQ24=0,AY24=1),1,0)</f>
        <v>0</v>
      </c>
      <c r="BT24" s="36">
        <f t="shared" si="284"/>
        <v>0</v>
      </c>
      <c r="BU24" s="36">
        <f t="shared" si="284"/>
        <v>0</v>
      </c>
      <c r="BV24" s="36">
        <f t="shared" si="284"/>
        <v>0</v>
      </c>
      <c r="BW24" s="37">
        <f t="shared" ref="BW24:BY24" si="285">if(and($BQ24&gt;0,BC24=1),1,0)</f>
        <v>1</v>
      </c>
      <c r="BX24" s="36">
        <f t="shared" si="285"/>
        <v>0</v>
      </c>
      <c r="BY24" s="36">
        <f t="shared" si="285"/>
        <v>0</v>
      </c>
      <c r="BZ24" s="38"/>
      <c r="CA24" s="22">
        <f t="shared" si="25"/>
        <v>1</v>
      </c>
      <c r="CB24" s="30"/>
      <c r="CC24" s="22">
        <f t="shared" ref="CC24:CI24" si="286">BG23*K24</f>
        <v>0</v>
      </c>
      <c r="CD24" s="22">
        <f t="shared" si="286"/>
        <v>0</v>
      </c>
      <c r="CE24" s="22">
        <f t="shared" si="286"/>
        <v>0</v>
      </c>
      <c r="CF24" s="22">
        <f t="shared" si="286"/>
        <v>0</v>
      </c>
      <c r="CG24" s="22">
        <f t="shared" si="286"/>
        <v>0.0003162923726</v>
      </c>
      <c r="CH24" s="22">
        <f t="shared" si="286"/>
        <v>0</v>
      </c>
      <c r="CI24" s="22">
        <f t="shared" si="286"/>
        <v>0</v>
      </c>
      <c r="CJ24" s="38"/>
      <c r="CK24" s="22">
        <f t="shared" ref="CK24:CQ24" si="287">BS23*K24</f>
        <v>0</v>
      </c>
      <c r="CL24" s="22">
        <f t="shared" si="287"/>
        <v>0</v>
      </c>
      <c r="CM24" s="22">
        <f t="shared" si="287"/>
        <v>0</v>
      </c>
      <c r="CN24" s="22">
        <f t="shared" si="287"/>
        <v>0</v>
      </c>
      <c r="CO24" s="22">
        <f t="shared" si="287"/>
        <v>0.0003162923726</v>
      </c>
      <c r="CP24" s="22">
        <f t="shared" si="287"/>
        <v>0</v>
      </c>
      <c r="CQ24" s="22">
        <f t="shared" si="287"/>
        <v>0</v>
      </c>
      <c r="CR24" s="44">
        <f t="shared" si="28"/>
        <v>0.0003162923726</v>
      </c>
      <c r="CS24" s="45"/>
      <c r="CT24" s="40"/>
      <c r="CU24" s="46">
        <v>1.0</v>
      </c>
      <c r="CV24" s="47">
        <v>0.0</v>
      </c>
      <c r="CW24" s="45"/>
      <c r="CX24" s="44">
        <f t="shared" si="29"/>
        <v>0.0003162923726</v>
      </c>
      <c r="CY24" s="40"/>
      <c r="CZ24" s="40"/>
      <c r="DA24" s="42"/>
      <c r="DB24" s="41"/>
      <c r="DC24" s="40"/>
      <c r="DD24" s="48">
        <f t="shared" si="30"/>
        <v>107759.3869</v>
      </c>
      <c r="DE24" s="49">
        <f t="shared" si="31"/>
        <v>0.0003162923726</v>
      </c>
      <c r="DF24" s="50"/>
      <c r="DG24" s="40"/>
      <c r="DH24" s="51">
        <f t="shared" si="32"/>
        <v>105760.2805</v>
      </c>
      <c r="DI24" s="52">
        <f t="shared" si="33"/>
        <v>0.0003162923726</v>
      </c>
      <c r="DJ24" s="50"/>
      <c r="DK24" s="40"/>
      <c r="DL24" s="40"/>
      <c r="DM24" s="40"/>
      <c r="DN24" s="42"/>
      <c r="DO24" s="40"/>
      <c r="DP24" s="40"/>
      <c r="DQ24" s="42"/>
      <c r="DR24" s="40"/>
      <c r="DS24" s="40"/>
      <c r="DT24" s="40"/>
      <c r="DU24" s="40"/>
    </row>
    <row r="25" ht="13.5" customHeight="1">
      <c r="A25" s="27">
        <v>71.0</v>
      </c>
      <c r="B25" s="28">
        <f t="shared" si="2"/>
        <v>42216</v>
      </c>
      <c r="C25" s="29">
        <f t="shared" ref="C25:I25" si="288">indirect(CONCATENATE(C$2,"!$G$",$A25))</f>
        <v>172.4864081</v>
      </c>
      <c r="D25" s="29">
        <f t="shared" si="288"/>
        <v>34.2182413</v>
      </c>
      <c r="E25" s="29">
        <f t="shared" si="288"/>
        <v>32.90250428</v>
      </c>
      <c r="F25" s="29">
        <f t="shared" si="288"/>
        <v>70.53535591</v>
      </c>
      <c r="G25" s="29">
        <f t="shared" si="288"/>
        <v>79.24269434</v>
      </c>
      <c r="H25" s="29">
        <f t="shared" si="288"/>
        <v>96.18734339</v>
      </c>
      <c r="I25" s="29">
        <f t="shared" si="288"/>
        <v>96.67958264</v>
      </c>
      <c r="J25" s="30"/>
      <c r="K25" s="32">
        <f t="shared" ref="K25:Q25" si="289">C25/C24-1</f>
        <v>0.02176445668</v>
      </c>
      <c r="L25" s="32">
        <f t="shared" si="289"/>
        <v>0.01462799496</v>
      </c>
      <c r="M25" s="32">
        <f t="shared" si="289"/>
        <v>-0.0626223092</v>
      </c>
      <c r="N25" s="32">
        <f t="shared" si="289"/>
        <v>0.008802281457</v>
      </c>
      <c r="O25" s="32">
        <f t="shared" si="289"/>
        <v>0.0004443421829</v>
      </c>
      <c r="P25" s="32">
        <f t="shared" si="289"/>
        <v>0.01519664256</v>
      </c>
      <c r="Q25" s="32">
        <f t="shared" si="289"/>
        <v>0.008332323169</v>
      </c>
      <c r="R25" s="30"/>
      <c r="S25" s="32">
        <f t="shared" ref="S25:Y25" si="290">C25/C22-1</f>
        <v>0.01436876614</v>
      </c>
      <c r="T25" s="32">
        <f t="shared" si="290"/>
        <v>-0.01537096152</v>
      </c>
      <c r="U25" s="32">
        <f t="shared" si="290"/>
        <v>-0.1189388997</v>
      </c>
      <c r="V25" s="32">
        <f t="shared" si="290"/>
        <v>-0.007359612052</v>
      </c>
      <c r="W25" s="32">
        <f t="shared" si="290"/>
        <v>0.001176893316</v>
      </c>
      <c r="X25" s="32">
        <f t="shared" si="290"/>
        <v>-0.005499546659</v>
      </c>
      <c r="Y25" s="32">
        <f t="shared" si="290"/>
        <v>-0.02171145328</v>
      </c>
      <c r="Z25" s="30"/>
      <c r="AA25" s="32">
        <f t="shared" ref="AA25:AG25" si="291">C25/C19-1</f>
        <v>0.0647393188</v>
      </c>
      <c r="AB25" s="32">
        <f t="shared" si="291"/>
        <v>0.07249427141</v>
      </c>
      <c r="AC25" s="32">
        <f t="shared" si="291"/>
        <v>-0.02987327861</v>
      </c>
      <c r="AD25" s="32">
        <f t="shared" si="291"/>
        <v>-0.01818134173</v>
      </c>
      <c r="AE25" s="32">
        <f t="shared" si="291"/>
        <v>0.001068965915</v>
      </c>
      <c r="AF25" s="32">
        <f t="shared" si="291"/>
        <v>-0.02796550775</v>
      </c>
      <c r="AG25" s="32">
        <f t="shared" si="291"/>
        <v>-0.04517940909</v>
      </c>
      <c r="AH25" s="30"/>
      <c r="AI25" s="32">
        <f t="shared" ref="AI25:AO25" si="292">C25/C13-1</f>
        <v>0.1123239873</v>
      </c>
      <c r="AJ25" s="32">
        <f t="shared" si="292"/>
        <v>-0.004687416451</v>
      </c>
      <c r="AK25" s="32">
        <f t="shared" si="292"/>
        <v>-0.1007187585</v>
      </c>
      <c r="AL25" s="32">
        <f t="shared" si="292"/>
        <v>0.02744393354</v>
      </c>
      <c r="AM25" s="32">
        <f t="shared" si="292"/>
        <v>0.009567758501</v>
      </c>
      <c r="AN25" s="32">
        <f t="shared" si="292"/>
        <v>0.05248595276</v>
      </c>
      <c r="AO25" s="32">
        <f t="shared" si="292"/>
        <v>0.0147520686</v>
      </c>
      <c r="AP25" s="30"/>
      <c r="AQ25" s="32">
        <f t="shared" ref="AQ25:AW25" si="293">(12*K25+4*S25+2*AA25+AI25)/4</f>
        <v>0.1401127924</v>
      </c>
      <c r="AR25" s="32">
        <f t="shared" si="293"/>
        <v>0.06358830494</v>
      </c>
      <c r="AS25" s="32">
        <f t="shared" si="293"/>
        <v>-0.3469221562</v>
      </c>
      <c r="AT25" s="32">
        <f t="shared" si="293"/>
        <v>0.01681754484</v>
      </c>
      <c r="AU25" s="33">
        <f t="shared" si="293"/>
        <v>0.005436342447</v>
      </c>
      <c r="AV25" s="32">
        <f t="shared" si="293"/>
        <v>0.03922911532</v>
      </c>
      <c r="AW25" s="32">
        <f t="shared" si="293"/>
        <v>-0.01561617117</v>
      </c>
      <c r="AX25" s="30"/>
      <c r="AY25" s="34">
        <f t="shared" ref="AY25:BB25" si="294">rank(AQ25,$AQ25:$AT25)</f>
        <v>1</v>
      </c>
      <c r="AZ25" s="34">
        <f t="shared" si="294"/>
        <v>2</v>
      </c>
      <c r="BA25" s="34">
        <f t="shared" si="294"/>
        <v>4</v>
      </c>
      <c r="BB25" s="34">
        <f t="shared" si="294"/>
        <v>3</v>
      </c>
      <c r="BC25" s="35">
        <f t="shared" ref="BC25:BE25" si="295">rank(AU25,$AU25:$AW25)</f>
        <v>2</v>
      </c>
      <c r="BD25" s="34">
        <f t="shared" si="295"/>
        <v>1</v>
      </c>
      <c r="BE25" s="34">
        <f t="shared" si="295"/>
        <v>3</v>
      </c>
      <c r="BF25" s="30"/>
      <c r="BG25" s="36">
        <f t="shared" ref="BG25:BJ25" si="296">if(and($BQ25=0,AY25&lt;=2),0.5,0)</f>
        <v>0</v>
      </c>
      <c r="BH25" s="36">
        <f t="shared" si="296"/>
        <v>0</v>
      </c>
      <c r="BI25" s="36">
        <f t="shared" si="296"/>
        <v>0</v>
      </c>
      <c r="BJ25" s="36">
        <f t="shared" si="296"/>
        <v>0</v>
      </c>
      <c r="BK25" s="37">
        <f t="shared" ref="BK25:BM25" si="297">if(and($BQ25&gt;0,BC25=1),1,0)</f>
        <v>0</v>
      </c>
      <c r="BL25" s="36">
        <f t="shared" si="297"/>
        <v>1</v>
      </c>
      <c r="BM25" s="36">
        <f t="shared" si="297"/>
        <v>0</v>
      </c>
      <c r="BN25" s="38"/>
      <c r="BO25" s="22">
        <f t="shared" si="21"/>
        <v>1</v>
      </c>
      <c r="BP25" s="38"/>
      <c r="BQ25" s="39">
        <f t="shared" si="22"/>
        <v>1</v>
      </c>
      <c r="BR25" s="30"/>
      <c r="BS25" s="36">
        <f t="shared" ref="BS25:BV25" si="298">if(and($BQ25=0,AY25=1),1,0)</f>
        <v>0</v>
      </c>
      <c r="BT25" s="36">
        <f t="shared" si="298"/>
        <v>0</v>
      </c>
      <c r="BU25" s="36">
        <f t="shared" si="298"/>
        <v>0</v>
      </c>
      <c r="BV25" s="36">
        <f t="shared" si="298"/>
        <v>0</v>
      </c>
      <c r="BW25" s="37">
        <f t="shared" ref="BW25:BY25" si="299">if(and($BQ25&gt;0,BC25=1),1,0)</f>
        <v>0</v>
      </c>
      <c r="BX25" s="36">
        <f t="shared" si="299"/>
        <v>1</v>
      </c>
      <c r="BY25" s="36">
        <f t="shared" si="299"/>
        <v>0</v>
      </c>
      <c r="BZ25" s="38"/>
      <c r="CA25" s="22">
        <f t="shared" si="25"/>
        <v>1</v>
      </c>
      <c r="CB25" s="30"/>
      <c r="CC25" s="22">
        <f t="shared" ref="CC25:CI25" si="300">BG24*K25</f>
        <v>0</v>
      </c>
      <c r="CD25" s="22">
        <f t="shared" si="300"/>
        <v>0</v>
      </c>
      <c r="CE25" s="22">
        <f t="shared" si="300"/>
        <v>0</v>
      </c>
      <c r="CF25" s="22">
        <f t="shared" si="300"/>
        <v>0</v>
      </c>
      <c r="CG25" s="22">
        <f t="shared" si="300"/>
        <v>0.0004443421829</v>
      </c>
      <c r="CH25" s="22">
        <f t="shared" si="300"/>
        <v>0</v>
      </c>
      <c r="CI25" s="22">
        <f t="shared" si="300"/>
        <v>0</v>
      </c>
      <c r="CJ25" s="38"/>
      <c r="CK25" s="22">
        <f t="shared" ref="CK25:CQ25" si="301">BS24*K25</f>
        <v>0</v>
      </c>
      <c r="CL25" s="22">
        <f t="shared" si="301"/>
        <v>0</v>
      </c>
      <c r="CM25" s="22">
        <f t="shared" si="301"/>
        <v>0</v>
      </c>
      <c r="CN25" s="22">
        <f t="shared" si="301"/>
        <v>0</v>
      </c>
      <c r="CO25" s="22">
        <f t="shared" si="301"/>
        <v>0.0004443421829</v>
      </c>
      <c r="CP25" s="22">
        <f t="shared" si="301"/>
        <v>0</v>
      </c>
      <c r="CQ25" s="22">
        <f t="shared" si="301"/>
        <v>0</v>
      </c>
      <c r="CR25" s="44">
        <f t="shared" si="28"/>
        <v>0.0004443421829</v>
      </c>
      <c r="CS25" s="45"/>
      <c r="CT25" s="40"/>
      <c r="CU25" s="46">
        <v>1.0</v>
      </c>
      <c r="CV25" s="47">
        <v>0.0</v>
      </c>
      <c r="CW25" s="45"/>
      <c r="CX25" s="44">
        <f t="shared" si="29"/>
        <v>0.0004443421829</v>
      </c>
      <c r="CY25" s="40"/>
      <c r="CZ25" s="40"/>
      <c r="DA25" s="42"/>
      <c r="DB25" s="41"/>
      <c r="DC25" s="40"/>
      <c r="DD25" s="48">
        <f t="shared" si="30"/>
        <v>107807.269</v>
      </c>
      <c r="DE25" s="49">
        <f t="shared" si="31"/>
        <v>0.0004443421829</v>
      </c>
      <c r="DF25" s="50"/>
      <c r="DG25" s="40"/>
      <c r="DH25" s="51">
        <f t="shared" si="32"/>
        <v>105807.2742</v>
      </c>
      <c r="DI25" s="52">
        <f t="shared" si="33"/>
        <v>0.0004443421829</v>
      </c>
      <c r="DJ25" s="50"/>
      <c r="DK25" s="40"/>
      <c r="DL25" s="40"/>
      <c r="DM25" s="40"/>
      <c r="DN25" s="42"/>
      <c r="DO25" s="40"/>
      <c r="DP25" s="40"/>
      <c r="DQ25" s="42"/>
      <c r="DR25" s="40"/>
      <c r="DS25" s="40"/>
      <c r="DT25" s="40"/>
      <c r="DU25" s="40"/>
    </row>
    <row r="26" ht="13.5" customHeight="1">
      <c r="A26" s="27">
        <v>70.0</v>
      </c>
      <c r="B26" s="28">
        <f t="shared" si="2"/>
        <v>42247</v>
      </c>
      <c r="C26" s="29">
        <f t="shared" ref="C26:I26" si="302">indirect(CONCATENATE(C$2,"!$G$",$A26))</f>
        <v>161.9021165</v>
      </c>
      <c r="D26" s="29">
        <f t="shared" si="302"/>
        <v>31.74309633</v>
      </c>
      <c r="E26" s="29">
        <f t="shared" si="302"/>
        <v>29.65690234</v>
      </c>
      <c r="F26" s="29">
        <f t="shared" si="302"/>
        <v>70.36116921</v>
      </c>
      <c r="G26" s="29">
        <f t="shared" si="302"/>
        <v>79.20348724</v>
      </c>
      <c r="H26" s="29">
        <f t="shared" si="302"/>
        <v>96.26310701</v>
      </c>
      <c r="I26" s="29">
        <f t="shared" si="302"/>
        <v>95.87858848</v>
      </c>
      <c r="J26" s="30"/>
      <c r="K26" s="32">
        <f t="shared" ref="K26:Q26" si="303">C26/C25-1</f>
        <v>-0.06136304742</v>
      </c>
      <c r="L26" s="32">
        <f t="shared" si="303"/>
        <v>-0.07233407905</v>
      </c>
      <c r="M26" s="32">
        <f t="shared" si="303"/>
        <v>-0.09864300626</v>
      </c>
      <c r="N26" s="32">
        <f t="shared" si="303"/>
        <v>-0.002469494903</v>
      </c>
      <c r="O26" s="32">
        <f t="shared" si="303"/>
        <v>-0.0004947724083</v>
      </c>
      <c r="P26" s="32">
        <f t="shared" si="303"/>
        <v>0.000787667218</v>
      </c>
      <c r="Q26" s="32">
        <f t="shared" si="303"/>
        <v>-0.008285039497</v>
      </c>
      <c r="R26" s="30"/>
      <c r="S26" s="32">
        <f t="shared" ref="S26:Y26" si="304">C26/C23-1</f>
        <v>-0.05963668498</v>
      </c>
      <c r="T26" s="32">
        <f t="shared" si="304"/>
        <v>-0.08615140333</v>
      </c>
      <c r="U26" s="32">
        <f t="shared" si="304"/>
        <v>-0.1765892615</v>
      </c>
      <c r="V26" s="32">
        <f t="shared" si="304"/>
        <v>-0.004871779299</v>
      </c>
      <c r="W26" s="32">
        <f t="shared" si="304"/>
        <v>0.0002656262788</v>
      </c>
      <c r="X26" s="32">
        <f t="shared" si="304"/>
        <v>-0.0005657570356</v>
      </c>
      <c r="Y26" s="32">
        <f t="shared" si="304"/>
        <v>-0.01884032718</v>
      </c>
      <c r="Z26" s="30"/>
      <c r="AA26" s="32">
        <f t="shared" ref="AA26:AG26" si="305">C26/C20-1</f>
        <v>-0.05341160725</v>
      </c>
      <c r="AB26" s="32">
        <f t="shared" si="305"/>
        <v>-0.06281333022</v>
      </c>
      <c r="AC26" s="32">
        <f t="shared" si="305"/>
        <v>-0.1644795604</v>
      </c>
      <c r="AD26" s="32">
        <f t="shared" si="305"/>
        <v>-0.007641683191</v>
      </c>
      <c r="AE26" s="32">
        <f t="shared" si="305"/>
        <v>0.003491341105</v>
      </c>
      <c r="AF26" s="32">
        <f t="shared" si="305"/>
        <v>-0.002546926544</v>
      </c>
      <c r="AG26" s="32">
        <f t="shared" si="305"/>
        <v>-0.03944534008</v>
      </c>
      <c r="AH26" s="30"/>
      <c r="AI26" s="32">
        <f t="shared" ref="AI26:AO26" si="306">C26/C14-1</f>
        <v>0.004176007693</v>
      </c>
      <c r="AJ26" s="32">
        <f t="shared" si="306"/>
        <v>-0.07911862965</v>
      </c>
      <c r="AK26" s="32">
        <f t="shared" si="306"/>
        <v>-0.2194213515</v>
      </c>
      <c r="AL26" s="32">
        <f t="shared" si="306"/>
        <v>0.0133600386</v>
      </c>
      <c r="AM26" s="32">
        <f t="shared" si="306"/>
        <v>0.007197108606</v>
      </c>
      <c r="AN26" s="32">
        <f t="shared" si="306"/>
        <v>0.03389107403</v>
      </c>
      <c r="AO26" s="32">
        <f t="shared" si="306"/>
        <v>-0.01341290615</v>
      </c>
      <c r="AP26" s="30"/>
      <c r="AQ26" s="32">
        <f t="shared" ref="AQ26:AW26" si="307">(12*K26+4*S26+2*AA26+AI26)/4</f>
        <v>-0.269387629</v>
      </c>
      <c r="AR26" s="32">
        <f t="shared" si="307"/>
        <v>-0.354339963</v>
      </c>
      <c r="AS26" s="32">
        <f t="shared" si="307"/>
        <v>-0.6096133984</v>
      </c>
      <c r="AT26" s="32">
        <f t="shared" si="307"/>
        <v>-0.01276109595</v>
      </c>
      <c r="AU26" s="33">
        <f t="shared" si="307"/>
        <v>0.002326256758</v>
      </c>
      <c r="AV26" s="32">
        <f t="shared" si="307"/>
        <v>0.008996549853</v>
      </c>
      <c r="AW26" s="32">
        <f t="shared" si="307"/>
        <v>-0.06677134225</v>
      </c>
      <c r="AX26" s="30"/>
      <c r="AY26" s="34">
        <f t="shared" ref="AY26:BB26" si="308">rank(AQ26,$AQ26:$AT26)</f>
        <v>2</v>
      </c>
      <c r="AZ26" s="34">
        <f t="shared" si="308"/>
        <v>3</v>
      </c>
      <c r="BA26" s="34">
        <f t="shared" si="308"/>
        <v>4</v>
      </c>
      <c r="BB26" s="34">
        <f t="shared" si="308"/>
        <v>1</v>
      </c>
      <c r="BC26" s="35">
        <f t="shared" ref="BC26:BE26" si="309">rank(AU26,$AU26:$AW26)</f>
        <v>2</v>
      </c>
      <c r="BD26" s="34">
        <f t="shared" si="309"/>
        <v>1</v>
      </c>
      <c r="BE26" s="34">
        <f t="shared" si="309"/>
        <v>3</v>
      </c>
      <c r="BF26" s="30"/>
      <c r="BG26" s="36">
        <f t="shared" ref="BG26:BJ26" si="310">if(and($BQ26=0,AY26&lt;=2),0.5,0)</f>
        <v>0</v>
      </c>
      <c r="BH26" s="36">
        <f t="shared" si="310"/>
        <v>0</v>
      </c>
      <c r="BI26" s="36">
        <f t="shared" si="310"/>
        <v>0</v>
      </c>
      <c r="BJ26" s="36">
        <f t="shared" si="310"/>
        <v>0</v>
      </c>
      <c r="BK26" s="37">
        <f t="shared" ref="BK26:BM26" si="311">if(and($BQ26&gt;0,BC26=1),1,0)</f>
        <v>0</v>
      </c>
      <c r="BL26" s="36">
        <f t="shared" si="311"/>
        <v>1</v>
      </c>
      <c r="BM26" s="36">
        <f t="shared" si="311"/>
        <v>0</v>
      </c>
      <c r="BN26" s="38"/>
      <c r="BO26" s="22">
        <f t="shared" si="21"/>
        <v>1</v>
      </c>
      <c r="BP26" s="38"/>
      <c r="BQ26" s="39">
        <f t="shared" si="22"/>
        <v>4</v>
      </c>
      <c r="BR26" s="30"/>
      <c r="BS26" s="36">
        <f t="shared" ref="BS26:BV26" si="312">if(and($BQ26=0,AY26=1),1,0)</f>
        <v>0</v>
      </c>
      <c r="BT26" s="36">
        <f t="shared" si="312"/>
        <v>0</v>
      </c>
      <c r="BU26" s="36">
        <f t="shared" si="312"/>
        <v>0</v>
      </c>
      <c r="BV26" s="36">
        <f t="shared" si="312"/>
        <v>0</v>
      </c>
      <c r="BW26" s="37">
        <f t="shared" ref="BW26:BY26" si="313">if(and($BQ26&gt;0,BC26=1),1,0)</f>
        <v>0</v>
      </c>
      <c r="BX26" s="36">
        <f t="shared" si="313"/>
        <v>1</v>
      </c>
      <c r="BY26" s="36">
        <f t="shared" si="313"/>
        <v>0</v>
      </c>
      <c r="BZ26" s="38"/>
      <c r="CA26" s="22">
        <f t="shared" si="25"/>
        <v>1</v>
      </c>
      <c r="CB26" s="30"/>
      <c r="CC26" s="22">
        <f t="shared" ref="CC26:CI26" si="314">BG25*K26</f>
        <v>0</v>
      </c>
      <c r="CD26" s="22">
        <f t="shared" si="314"/>
        <v>0</v>
      </c>
      <c r="CE26" s="22">
        <f t="shared" si="314"/>
        <v>0</v>
      </c>
      <c r="CF26" s="22">
        <f t="shared" si="314"/>
        <v>0</v>
      </c>
      <c r="CG26" s="22">
        <f t="shared" si="314"/>
        <v>0</v>
      </c>
      <c r="CH26" s="22">
        <f t="shared" si="314"/>
        <v>0.000787667218</v>
      </c>
      <c r="CI26" s="22">
        <f t="shared" si="314"/>
        <v>0</v>
      </c>
      <c r="CJ26" s="38"/>
      <c r="CK26" s="22">
        <f t="shared" ref="CK26:CQ26" si="315">BS25*K26</f>
        <v>0</v>
      </c>
      <c r="CL26" s="22">
        <f t="shared" si="315"/>
        <v>0</v>
      </c>
      <c r="CM26" s="22">
        <f t="shared" si="315"/>
        <v>0</v>
      </c>
      <c r="CN26" s="22">
        <f t="shared" si="315"/>
        <v>0</v>
      </c>
      <c r="CO26" s="22">
        <f t="shared" si="315"/>
        <v>0</v>
      </c>
      <c r="CP26" s="22">
        <f t="shared" si="315"/>
        <v>0.000787667218</v>
      </c>
      <c r="CQ26" s="22">
        <f t="shared" si="315"/>
        <v>0</v>
      </c>
      <c r="CR26" s="44">
        <f t="shared" si="28"/>
        <v>0.000787667218</v>
      </c>
      <c r="CS26" s="45"/>
      <c r="CT26" s="40"/>
      <c r="CU26" s="46">
        <v>1.0</v>
      </c>
      <c r="CV26" s="47">
        <v>0.0</v>
      </c>
      <c r="CW26" s="45"/>
      <c r="CX26" s="44">
        <f t="shared" si="29"/>
        <v>0.000787667218</v>
      </c>
      <c r="CY26" s="40"/>
      <c r="CZ26" s="40"/>
      <c r="DA26" s="42"/>
      <c r="DB26" s="41"/>
      <c r="DC26" s="40"/>
      <c r="DD26" s="53">
        <f t="shared" si="30"/>
        <v>107892.1852</v>
      </c>
      <c r="DE26" s="54">
        <f t="shared" si="31"/>
        <v>0.000787667218</v>
      </c>
      <c r="DF26" s="55">
        <f>DD26/DD14-1</f>
        <v>-0.03079850007</v>
      </c>
      <c r="DG26" s="40"/>
      <c r="DH26" s="51">
        <f t="shared" si="32"/>
        <v>105890.6152</v>
      </c>
      <c r="DI26" s="52">
        <f t="shared" si="33"/>
        <v>0.000787667218</v>
      </c>
      <c r="DJ26" s="55">
        <f>DH26/DH14-1</f>
        <v>-0.07695335832</v>
      </c>
      <c r="DK26" s="40"/>
      <c r="DL26" s="40"/>
      <c r="DM26" s="40"/>
      <c r="DN26" s="42"/>
      <c r="DO26" s="40"/>
      <c r="DP26" s="40"/>
      <c r="DQ26" s="42"/>
      <c r="DR26" s="40"/>
      <c r="DS26" s="40"/>
      <c r="DT26" s="40"/>
      <c r="DU26" s="40"/>
    </row>
    <row r="27" ht="13.5" customHeight="1">
      <c r="A27" s="27">
        <v>69.0</v>
      </c>
      <c r="B27" s="28">
        <f t="shared" si="2"/>
        <v>42277</v>
      </c>
      <c r="C27" s="29">
        <f t="shared" ref="C27:I27" si="316">indirect(CONCATENATE(C$2,"!$G$",$A27))</f>
        <v>157.9059835</v>
      </c>
      <c r="D27" s="29">
        <f t="shared" si="316"/>
        <v>30.44664895</v>
      </c>
      <c r="E27" s="29">
        <f t="shared" si="316"/>
        <v>28.80300771</v>
      </c>
      <c r="F27" s="29">
        <f t="shared" si="316"/>
        <v>70.93088406</v>
      </c>
      <c r="G27" s="29">
        <f t="shared" si="316"/>
        <v>79.43694346</v>
      </c>
      <c r="H27" s="29">
        <f t="shared" si="316"/>
        <v>97.78270366</v>
      </c>
      <c r="I27" s="29">
        <f t="shared" si="316"/>
        <v>97.01753866</v>
      </c>
      <c r="J27" s="30"/>
      <c r="K27" s="32">
        <f t="shared" ref="K27:Q27" si="317">C27/C26-1</f>
        <v>-0.02468240133</v>
      </c>
      <c r="L27" s="32">
        <f t="shared" si="317"/>
        <v>-0.04084186893</v>
      </c>
      <c r="M27" s="32">
        <f t="shared" si="317"/>
        <v>-0.02879244187</v>
      </c>
      <c r="N27" s="32">
        <f t="shared" si="317"/>
        <v>0.008097006608</v>
      </c>
      <c r="O27" s="32">
        <f t="shared" si="317"/>
        <v>0.002947549721</v>
      </c>
      <c r="P27" s="32">
        <f t="shared" si="317"/>
        <v>0.01578586755</v>
      </c>
      <c r="Q27" s="32">
        <f t="shared" si="317"/>
        <v>0.01187908785</v>
      </c>
      <c r="R27" s="30"/>
      <c r="S27" s="32">
        <f t="shared" ref="S27:Y27" si="318">C27/C24-1</f>
        <v>-0.06460617298</v>
      </c>
      <c r="T27" s="32">
        <f t="shared" si="318"/>
        <v>-0.09720601636</v>
      </c>
      <c r="U27" s="32">
        <f t="shared" si="318"/>
        <v>-0.1794151405</v>
      </c>
      <c r="V27" s="32">
        <f t="shared" si="318"/>
        <v>0.01445915658</v>
      </c>
      <c r="W27" s="32">
        <f t="shared" si="318"/>
        <v>0.002896750353</v>
      </c>
      <c r="X27" s="32">
        <f t="shared" si="318"/>
        <v>0.03203466237</v>
      </c>
      <c r="Y27" s="32">
        <f t="shared" si="318"/>
        <v>0.01185707952</v>
      </c>
      <c r="Z27" s="30"/>
      <c r="AA27" s="32">
        <f t="shared" ref="AA27:AG27" si="319">C27/C21-1</f>
        <v>-0.06205120117</v>
      </c>
      <c r="AB27" s="32">
        <f t="shared" si="319"/>
        <v>-0.09002456305</v>
      </c>
      <c r="AC27" s="32">
        <f t="shared" si="319"/>
        <v>-0.1715337974</v>
      </c>
      <c r="AD27" s="32">
        <f t="shared" si="319"/>
        <v>-0.005035724867</v>
      </c>
      <c r="AE27" s="32">
        <f t="shared" si="319"/>
        <v>0.003946572676</v>
      </c>
      <c r="AF27" s="32">
        <f t="shared" si="319"/>
        <v>0.004586337778</v>
      </c>
      <c r="AG27" s="32">
        <f t="shared" si="319"/>
        <v>-0.02995349045</v>
      </c>
      <c r="AH27" s="30"/>
      <c r="AI27" s="32">
        <f t="shared" ref="AI27:AO27" si="320">C27/C15-1</f>
        <v>-0.006935451272</v>
      </c>
      <c r="AJ27" s="32">
        <f t="shared" si="320"/>
        <v>-0.07843320624</v>
      </c>
      <c r="AK27" s="32">
        <f t="shared" si="320"/>
        <v>-0.1832486935</v>
      </c>
      <c r="AL27" s="32">
        <f t="shared" si="320"/>
        <v>0.02743404313</v>
      </c>
      <c r="AM27" s="32">
        <f t="shared" si="320"/>
        <v>0.01054702506</v>
      </c>
      <c r="AN27" s="32">
        <f t="shared" si="320"/>
        <v>0.06133927756</v>
      </c>
      <c r="AO27" s="32">
        <f t="shared" si="320"/>
        <v>0.01536793935</v>
      </c>
      <c r="AP27" s="30"/>
      <c r="AQ27" s="32">
        <f t="shared" ref="AQ27:AW27" si="321">(12*K27+4*S27+2*AA27+AI27)/4</f>
        <v>-0.1714128404</v>
      </c>
      <c r="AR27" s="32">
        <f t="shared" si="321"/>
        <v>-0.2843522062</v>
      </c>
      <c r="AS27" s="32">
        <f t="shared" si="321"/>
        <v>-0.3973715381</v>
      </c>
      <c r="AT27" s="32">
        <f t="shared" si="321"/>
        <v>0.04309082475</v>
      </c>
      <c r="AU27" s="33">
        <f t="shared" si="321"/>
        <v>0.01634944212</v>
      </c>
      <c r="AV27" s="32">
        <f t="shared" si="321"/>
        <v>0.0970202533</v>
      </c>
      <c r="AW27" s="32">
        <f t="shared" si="321"/>
        <v>0.03635958267</v>
      </c>
      <c r="AX27" s="30"/>
      <c r="AY27" s="34">
        <f t="shared" ref="AY27:BB27" si="322">rank(AQ27,$AQ27:$AT27)</f>
        <v>2</v>
      </c>
      <c r="AZ27" s="34">
        <f t="shared" si="322"/>
        <v>3</v>
      </c>
      <c r="BA27" s="34">
        <f t="shared" si="322"/>
        <v>4</v>
      </c>
      <c r="BB27" s="34">
        <f t="shared" si="322"/>
        <v>1</v>
      </c>
      <c r="BC27" s="35">
        <f t="shared" ref="BC27:BE27" si="323">rank(AU27,$AU27:$AW27)</f>
        <v>3</v>
      </c>
      <c r="BD27" s="34">
        <f t="shared" si="323"/>
        <v>1</v>
      </c>
      <c r="BE27" s="34">
        <f t="shared" si="323"/>
        <v>2</v>
      </c>
      <c r="BF27" s="30"/>
      <c r="BG27" s="36">
        <f t="shared" ref="BG27:BJ27" si="324">if(and($BQ27=0,AY27&lt;=2),0.5,0)</f>
        <v>0</v>
      </c>
      <c r="BH27" s="36">
        <f t="shared" si="324"/>
        <v>0</v>
      </c>
      <c r="BI27" s="36">
        <f t="shared" si="324"/>
        <v>0</v>
      </c>
      <c r="BJ27" s="36">
        <f t="shared" si="324"/>
        <v>0</v>
      </c>
      <c r="BK27" s="37">
        <f t="shared" ref="BK27:BM27" si="325">if(and($BQ27&gt;0,BC27=1),1,0)</f>
        <v>0</v>
      </c>
      <c r="BL27" s="36">
        <f t="shared" si="325"/>
        <v>1</v>
      </c>
      <c r="BM27" s="36">
        <f t="shared" si="325"/>
        <v>0</v>
      </c>
      <c r="BN27" s="38"/>
      <c r="BO27" s="22">
        <f t="shared" si="21"/>
        <v>1</v>
      </c>
      <c r="BP27" s="38"/>
      <c r="BQ27" s="39">
        <f t="shared" si="22"/>
        <v>3</v>
      </c>
      <c r="BR27" s="30"/>
      <c r="BS27" s="36">
        <f t="shared" ref="BS27:BV27" si="326">if(and($BQ27=0,AY27=1),1,0)</f>
        <v>0</v>
      </c>
      <c r="BT27" s="36">
        <f t="shared" si="326"/>
        <v>0</v>
      </c>
      <c r="BU27" s="36">
        <f t="shared" si="326"/>
        <v>0</v>
      </c>
      <c r="BV27" s="36">
        <f t="shared" si="326"/>
        <v>0</v>
      </c>
      <c r="BW27" s="37">
        <f t="shared" ref="BW27:BY27" si="327">if(and($BQ27&gt;0,BC27=1),1,0)</f>
        <v>0</v>
      </c>
      <c r="BX27" s="36">
        <f t="shared" si="327"/>
        <v>1</v>
      </c>
      <c r="BY27" s="36">
        <f t="shared" si="327"/>
        <v>0</v>
      </c>
      <c r="BZ27" s="38"/>
      <c r="CA27" s="22">
        <f t="shared" si="25"/>
        <v>1</v>
      </c>
      <c r="CB27" s="30"/>
      <c r="CC27" s="22">
        <f t="shared" ref="CC27:CI27" si="328">BG26*K27</f>
        <v>0</v>
      </c>
      <c r="CD27" s="22">
        <f t="shared" si="328"/>
        <v>0</v>
      </c>
      <c r="CE27" s="22">
        <f t="shared" si="328"/>
        <v>0</v>
      </c>
      <c r="CF27" s="22">
        <f t="shared" si="328"/>
        <v>0</v>
      </c>
      <c r="CG27" s="22">
        <f t="shared" si="328"/>
        <v>0</v>
      </c>
      <c r="CH27" s="22">
        <f t="shared" si="328"/>
        <v>0.01578586755</v>
      </c>
      <c r="CI27" s="22">
        <f t="shared" si="328"/>
        <v>0</v>
      </c>
      <c r="CJ27" s="38"/>
      <c r="CK27" s="22">
        <f t="shared" ref="CK27:CQ27" si="329">BS26*K27</f>
        <v>0</v>
      </c>
      <c r="CL27" s="22">
        <f t="shared" si="329"/>
        <v>0</v>
      </c>
      <c r="CM27" s="22">
        <f t="shared" si="329"/>
        <v>0</v>
      </c>
      <c r="CN27" s="22">
        <f t="shared" si="329"/>
        <v>0</v>
      </c>
      <c r="CO27" s="22">
        <f t="shared" si="329"/>
        <v>0</v>
      </c>
      <c r="CP27" s="22">
        <f t="shared" si="329"/>
        <v>0.01578586755</v>
      </c>
      <c r="CQ27" s="22">
        <f t="shared" si="329"/>
        <v>0</v>
      </c>
      <c r="CR27" s="44">
        <f t="shared" si="28"/>
        <v>0.01578586755</v>
      </c>
      <c r="CS27" s="45"/>
      <c r="CT27" s="40"/>
      <c r="CU27" s="46">
        <v>1.0</v>
      </c>
      <c r="CV27" s="47">
        <v>0.0</v>
      </c>
      <c r="CW27" s="45"/>
      <c r="CX27" s="44">
        <f t="shared" si="29"/>
        <v>0.01578586755</v>
      </c>
      <c r="CY27" s="40"/>
      <c r="CZ27" s="40"/>
      <c r="DA27" s="42"/>
      <c r="DB27" s="41"/>
      <c r="DC27" s="40"/>
      <c r="DD27" s="48">
        <f t="shared" si="30"/>
        <v>109595.357</v>
      </c>
      <c r="DE27" s="49">
        <f t="shared" si="31"/>
        <v>0.01578586755</v>
      </c>
      <c r="DF27" s="50"/>
      <c r="DG27" s="40"/>
      <c r="DH27" s="51">
        <f t="shared" si="32"/>
        <v>107562.1904</v>
      </c>
      <c r="DI27" s="52">
        <f t="shared" si="33"/>
        <v>0.01578586755</v>
      </c>
      <c r="DJ27" s="50"/>
      <c r="DK27" s="40"/>
      <c r="DL27" s="40"/>
      <c r="DM27" s="40"/>
      <c r="DN27" s="42"/>
      <c r="DO27" s="40"/>
      <c r="DP27" s="40"/>
      <c r="DQ27" s="42"/>
      <c r="DR27" s="40"/>
      <c r="DS27" s="40"/>
      <c r="DT27" s="40"/>
      <c r="DU27" s="40"/>
    </row>
    <row r="28" ht="13.5" customHeight="1">
      <c r="A28" s="27">
        <v>68.0</v>
      </c>
      <c r="B28" s="28">
        <f t="shared" si="2"/>
        <v>42307</v>
      </c>
      <c r="C28" s="29">
        <f t="shared" ref="C28:I28" si="330">indirect(CONCATENATE(C$2,"!$G$",$A28))</f>
        <v>171.2512902</v>
      </c>
      <c r="D28" s="29">
        <f t="shared" si="330"/>
        <v>32.49692834</v>
      </c>
      <c r="E28" s="29">
        <f t="shared" si="330"/>
        <v>30.32628554</v>
      </c>
      <c r="F28" s="29">
        <f t="shared" si="330"/>
        <v>70.95182989</v>
      </c>
      <c r="G28" s="29">
        <f t="shared" si="330"/>
        <v>79.32458558</v>
      </c>
      <c r="H28" s="29">
        <f t="shared" si="330"/>
        <v>97.16006191</v>
      </c>
      <c r="I28" s="29">
        <f t="shared" si="330"/>
        <v>97.57419564</v>
      </c>
      <c r="J28" s="30"/>
      <c r="K28" s="32">
        <f t="shared" ref="K28:Q28" si="331">C28/C27-1</f>
        <v>0.08451425645</v>
      </c>
      <c r="L28" s="32">
        <f t="shared" si="331"/>
        <v>0.06734006734</v>
      </c>
      <c r="M28" s="32">
        <f t="shared" si="331"/>
        <v>0.0528860683</v>
      </c>
      <c r="N28" s="32">
        <f t="shared" si="331"/>
        <v>0.0002952990345</v>
      </c>
      <c r="O28" s="32">
        <f t="shared" si="331"/>
        <v>-0.001414428562</v>
      </c>
      <c r="P28" s="32">
        <f t="shared" si="331"/>
        <v>-0.006367606195</v>
      </c>
      <c r="Q28" s="32">
        <f t="shared" si="331"/>
        <v>0.005737694354</v>
      </c>
      <c r="R28" s="30"/>
      <c r="S28" s="32">
        <f t="shared" ref="S28:Y28" si="332">C28/C25-1</f>
        <v>-0.007160667845</v>
      </c>
      <c r="T28" s="32">
        <f t="shared" si="332"/>
        <v>-0.05030395762</v>
      </c>
      <c r="U28" s="32">
        <f t="shared" si="332"/>
        <v>-0.07829856104</v>
      </c>
      <c r="V28" s="32">
        <f t="shared" si="332"/>
        <v>0.005904471117</v>
      </c>
      <c r="W28" s="32">
        <f t="shared" si="332"/>
        <v>0.001033423169</v>
      </c>
      <c r="X28" s="32">
        <f t="shared" si="332"/>
        <v>0.01011274966</v>
      </c>
      <c r="Y28" s="32">
        <f t="shared" si="332"/>
        <v>0.009253380844</v>
      </c>
      <c r="Z28" s="30"/>
      <c r="AA28" s="32">
        <f t="shared" ref="AA28:AG28" si="333">C28/C22-1</f>
        <v>0.007105208338</v>
      </c>
      <c r="AB28" s="32">
        <f t="shared" si="333"/>
        <v>-0.06490169895</v>
      </c>
      <c r="AC28" s="32">
        <f t="shared" si="333"/>
        <v>-0.187924716</v>
      </c>
      <c r="AD28" s="32">
        <f t="shared" si="333"/>
        <v>-0.001498595552</v>
      </c>
      <c r="AE28" s="32">
        <f t="shared" si="333"/>
        <v>0.002211532714</v>
      </c>
      <c r="AF28" s="32">
        <f t="shared" si="333"/>
        <v>0.004557587466</v>
      </c>
      <c r="AG28" s="32">
        <f t="shared" si="333"/>
        <v>-0.01265897678</v>
      </c>
      <c r="AH28" s="30"/>
      <c r="AI28" s="32">
        <f t="shared" ref="AI28:AO28" si="334">C28/C16-1</f>
        <v>0.0517174314</v>
      </c>
      <c r="AJ28" s="32">
        <f t="shared" si="334"/>
        <v>-0.01289825152</v>
      </c>
      <c r="AK28" s="32">
        <f t="shared" si="334"/>
        <v>-0.1588097876</v>
      </c>
      <c r="AL28" s="32">
        <f t="shared" si="334"/>
        <v>0.02251189616</v>
      </c>
      <c r="AM28" s="32">
        <f t="shared" si="334"/>
        <v>0.006832244821</v>
      </c>
      <c r="AN28" s="32">
        <f t="shared" si="334"/>
        <v>0.03864126912</v>
      </c>
      <c r="AO28" s="32">
        <f t="shared" si="334"/>
        <v>0.01160122093</v>
      </c>
      <c r="AP28" s="30"/>
      <c r="AQ28" s="32">
        <f t="shared" ref="AQ28:AW28" si="335">(12*K28+4*S28+2*AA28+AI28)/4</f>
        <v>0.2628640635</v>
      </c>
      <c r="AR28" s="32">
        <f t="shared" si="335"/>
        <v>0.116040832</v>
      </c>
      <c r="AS28" s="32">
        <f t="shared" si="335"/>
        <v>-0.05330516106</v>
      </c>
      <c r="AT28" s="32">
        <f t="shared" si="335"/>
        <v>0.01166904448</v>
      </c>
      <c r="AU28" s="33">
        <f t="shared" si="335"/>
        <v>-0.0003960349543</v>
      </c>
      <c r="AV28" s="32">
        <f t="shared" si="335"/>
        <v>0.002949042092</v>
      </c>
      <c r="AW28" s="32">
        <f t="shared" si="335"/>
        <v>0.02303728075</v>
      </c>
      <c r="AX28" s="30"/>
      <c r="AY28" s="34">
        <f t="shared" ref="AY28:BB28" si="336">rank(AQ28,$AQ28:$AT28)</f>
        <v>1</v>
      </c>
      <c r="AZ28" s="34">
        <f t="shared" si="336"/>
        <v>2</v>
      </c>
      <c r="BA28" s="34">
        <f t="shared" si="336"/>
        <v>4</v>
      </c>
      <c r="BB28" s="34">
        <f t="shared" si="336"/>
        <v>3</v>
      </c>
      <c r="BC28" s="35">
        <f t="shared" ref="BC28:BE28" si="337">rank(AU28,$AU28:$AW28)</f>
        <v>3</v>
      </c>
      <c r="BD28" s="34">
        <f t="shared" si="337"/>
        <v>2</v>
      </c>
      <c r="BE28" s="34">
        <f t="shared" si="337"/>
        <v>1</v>
      </c>
      <c r="BF28" s="30"/>
      <c r="BG28" s="36">
        <f t="shared" ref="BG28:BJ28" si="338">if(and($BQ28=0,AY28&lt;=2),0.5,0)</f>
        <v>0</v>
      </c>
      <c r="BH28" s="36">
        <f t="shared" si="338"/>
        <v>0</v>
      </c>
      <c r="BI28" s="36">
        <f t="shared" si="338"/>
        <v>0</v>
      </c>
      <c r="BJ28" s="36">
        <f t="shared" si="338"/>
        <v>0</v>
      </c>
      <c r="BK28" s="37">
        <f t="shared" ref="BK28:BM28" si="339">if(and($BQ28&gt;0,BC28=1),1,0)</f>
        <v>0</v>
      </c>
      <c r="BL28" s="36">
        <f t="shared" si="339"/>
        <v>0</v>
      </c>
      <c r="BM28" s="36">
        <f t="shared" si="339"/>
        <v>1</v>
      </c>
      <c r="BN28" s="38"/>
      <c r="BO28" s="22">
        <f t="shared" si="21"/>
        <v>1</v>
      </c>
      <c r="BP28" s="38"/>
      <c r="BQ28" s="39">
        <f t="shared" si="22"/>
        <v>1</v>
      </c>
      <c r="BR28" s="30"/>
      <c r="BS28" s="36">
        <f t="shared" ref="BS28:BV28" si="340">if(and($BQ28=0,AY28=1),1,0)</f>
        <v>0</v>
      </c>
      <c r="BT28" s="36">
        <f t="shared" si="340"/>
        <v>0</v>
      </c>
      <c r="BU28" s="36">
        <f t="shared" si="340"/>
        <v>0</v>
      </c>
      <c r="BV28" s="36">
        <f t="shared" si="340"/>
        <v>0</v>
      </c>
      <c r="BW28" s="37">
        <f t="shared" ref="BW28:BY28" si="341">if(and($BQ28&gt;0,BC28=1),1,0)</f>
        <v>0</v>
      </c>
      <c r="BX28" s="36">
        <f t="shared" si="341"/>
        <v>0</v>
      </c>
      <c r="BY28" s="36">
        <f t="shared" si="341"/>
        <v>1</v>
      </c>
      <c r="BZ28" s="38"/>
      <c r="CA28" s="22">
        <f t="shared" si="25"/>
        <v>1</v>
      </c>
      <c r="CB28" s="30"/>
      <c r="CC28" s="22">
        <f t="shared" ref="CC28:CI28" si="342">BG27*K28</f>
        <v>0</v>
      </c>
      <c r="CD28" s="22">
        <f t="shared" si="342"/>
        <v>0</v>
      </c>
      <c r="CE28" s="22">
        <f t="shared" si="342"/>
        <v>0</v>
      </c>
      <c r="CF28" s="22">
        <f t="shared" si="342"/>
        <v>0</v>
      </c>
      <c r="CG28" s="22">
        <f t="shared" si="342"/>
        <v>0</v>
      </c>
      <c r="CH28" s="22">
        <f t="shared" si="342"/>
        <v>-0.006367606195</v>
      </c>
      <c r="CI28" s="22">
        <f t="shared" si="342"/>
        <v>0</v>
      </c>
      <c r="CJ28" s="38"/>
      <c r="CK28" s="22">
        <f t="shared" ref="CK28:CQ28" si="343">BS27*K28</f>
        <v>0</v>
      </c>
      <c r="CL28" s="22">
        <f t="shared" si="343"/>
        <v>0</v>
      </c>
      <c r="CM28" s="22">
        <f t="shared" si="343"/>
        <v>0</v>
      </c>
      <c r="CN28" s="22">
        <f t="shared" si="343"/>
        <v>0</v>
      </c>
      <c r="CO28" s="22">
        <f t="shared" si="343"/>
        <v>0</v>
      </c>
      <c r="CP28" s="22">
        <f t="shared" si="343"/>
        <v>-0.006367606195</v>
      </c>
      <c r="CQ28" s="22">
        <f t="shared" si="343"/>
        <v>0</v>
      </c>
      <c r="CR28" s="44">
        <f t="shared" si="28"/>
        <v>-0.006367606195</v>
      </c>
      <c r="CS28" s="45"/>
      <c r="CT28" s="40"/>
      <c r="CU28" s="46">
        <v>1.0</v>
      </c>
      <c r="CV28" s="47">
        <v>0.0</v>
      </c>
      <c r="CW28" s="45"/>
      <c r="CX28" s="44">
        <f t="shared" si="29"/>
        <v>-0.006367606195</v>
      </c>
      <c r="CY28" s="40"/>
      <c r="CZ28" s="40"/>
      <c r="DA28" s="42"/>
      <c r="DB28" s="41"/>
      <c r="DC28" s="40"/>
      <c r="DD28" s="48">
        <f t="shared" si="30"/>
        <v>108897.4969</v>
      </c>
      <c r="DE28" s="49">
        <f t="shared" si="31"/>
        <v>-0.006367606195</v>
      </c>
      <c r="DF28" s="50"/>
      <c r="DG28" s="40"/>
      <c r="DH28" s="51">
        <f t="shared" si="32"/>
        <v>106877.2767</v>
      </c>
      <c r="DI28" s="52">
        <f t="shared" si="33"/>
        <v>-0.006367606195</v>
      </c>
      <c r="DJ28" s="50"/>
      <c r="DK28" s="40"/>
      <c r="DL28" s="40"/>
      <c r="DM28" s="40"/>
      <c r="DN28" s="42"/>
      <c r="DO28" s="40"/>
      <c r="DP28" s="40"/>
      <c r="DQ28" s="42"/>
      <c r="DR28" s="40"/>
      <c r="DS28" s="40"/>
      <c r="DT28" s="40"/>
      <c r="DU28" s="40"/>
    </row>
    <row r="29" ht="13.5" customHeight="1">
      <c r="A29" s="27">
        <v>67.0</v>
      </c>
      <c r="B29" s="28">
        <f t="shared" si="2"/>
        <v>42338</v>
      </c>
      <c r="C29" s="29">
        <f t="shared" ref="C29:I29" si="344">indirect(CONCATENATE(C$2,"!$G$",$A29))</f>
        <v>171.9792161</v>
      </c>
      <c r="D29" s="29">
        <f t="shared" si="344"/>
        <v>32.24918625</v>
      </c>
      <c r="E29" s="29">
        <f t="shared" si="344"/>
        <v>29.62992996</v>
      </c>
      <c r="F29" s="29">
        <f t="shared" si="344"/>
        <v>70.67348612</v>
      </c>
      <c r="G29" s="29">
        <f t="shared" si="344"/>
        <v>79.11985975</v>
      </c>
      <c r="H29" s="29">
        <f t="shared" si="344"/>
        <v>96.74496504</v>
      </c>
      <c r="I29" s="29">
        <f t="shared" si="344"/>
        <v>97.42472881</v>
      </c>
      <c r="J29" s="30"/>
      <c r="K29" s="32">
        <f t="shared" ref="K29:Q29" si="345">C29/C28-1</f>
        <v>0.004250629723</v>
      </c>
      <c r="L29" s="32">
        <f t="shared" si="345"/>
        <v>-0.007623554154</v>
      </c>
      <c r="M29" s="32">
        <f t="shared" si="345"/>
        <v>-0.02296211251</v>
      </c>
      <c r="N29" s="32">
        <f t="shared" si="345"/>
        <v>-0.003922996298</v>
      </c>
      <c r="O29" s="32">
        <f t="shared" si="345"/>
        <v>-0.002580862295</v>
      </c>
      <c r="P29" s="32">
        <f t="shared" si="345"/>
        <v>-0.004272299393</v>
      </c>
      <c r="Q29" s="32">
        <f t="shared" si="345"/>
        <v>-0.001531827458</v>
      </c>
      <c r="R29" s="30"/>
      <c r="S29" s="32">
        <f t="shared" ref="S29:Y29" si="346">C29/C26-1</f>
        <v>0.06224192622</v>
      </c>
      <c r="T29" s="32">
        <f t="shared" si="346"/>
        <v>0.01594330661</v>
      </c>
      <c r="U29" s="32">
        <f t="shared" si="346"/>
        <v>-0.000909480846</v>
      </c>
      <c r="V29" s="32">
        <f t="shared" si="346"/>
        <v>0.004438768019</v>
      </c>
      <c r="W29" s="32">
        <f t="shared" si="346"/>
        <v>-0.00105585625</v>
      </c>
      <c r="X29" s="32">
        <f t="shared" si="346"/>
        <v>0.005005635584</v>
      </c>
      <c r="Y29" s="32">
        <f t="shared" si="346"/>
        <v>0.01612602304</v>
      </c>
      <c r="Z29" s="30"/>
      <c r="AA29" s="32">
        <f t="shared" ref="AA29:AG29" si="347">C29/C23-1</f>
        <v>-0.001106660907</v>
      </c>
      <c r="AB29" s="32">
        <f t="shared" si="347"/>
        <v>-0.07158163495</v>
      </c>
      <c r="AC29" s="32">
        <f t="shared" si="347"/>
        <v>-0.1773381378</v>
      </c>
      <c r="AD29" s="32">
        <f t="shared" si="347"/>
        <v>-0.000454635978</v>
      </c>
      <c r="AE29" s="32">
        <f t="shared" si="347"/>
        <v>-0.000790510434</v>
      </c>
      <c r="AF29" s="32">
        <f t="shared" si="347"/>
        <v>0.004437046575</v>
      </c>
      <c r="AG29" s="32">
        <f t="shared" si="347"/>
        <v>-0.003018123695</v>
      </c>
      <c r="AH29" s="30"/>
      <c r="AI29" s="32">
        <f t="shared" ref="AI29:AO29" si="348">C29/C17-1</f>
        <v>0.02784206184</v>
      </c>
      <c r="AJ29" s="32">
        <f t="shared" si="348"/>
        <v>-0.02042347515</v>
      </c>
      <c r="AK29" s="32">
        <f t="shared" si="348"/>
        <v>-0.1689651991</v>
      </c>
      <c r="AL29" s="32">
        <f t="shared" si="348"/>
        <v>0.007993002414</v>
      </c>
      <c r="AM29" s="32">
        <f t="shared" si="348"/>
        <v>0.002847581311</v>
      </c>
      <c r="AN29" s="32">
        <f t="shared" si="348"/>
        <v>0.02105025955</v>
      </c>
      <c r="AO29" s="32">
        <f t="shared" si="348"/>
        <v>-0.001889533108</v>
      </c>
      <c r="AP29" s="30"/>
      <c r="AQ29" s="32">
        <f t="shared" ref="AQ29:AW29" si="349">(12*K29+4*S29+2*AA29+AI29)/4</f>
        <v>0.0814010004</v>
      </c>
      <c r="AR29" s="32">
        <f t="shared" si="349"/>
        <v>-0.04782404211</v>
      </c>
      <c r="AS29" s="32">
        <f t="shared" si="349"/>
        <v>-0.2007061871</v>
      </c>
      <c r="AT29" s="32">
        <f t="shared" si="349"/>
        <v>-0.005559288259</v>
      </c>
      <c r="AU29" s="33">
        <f t="shared" si="349"/>
        <v>-0.008481803024</v>
      </c>
      <c r="AV29" s="32">
        <f t="shared" si="349"/>
        <v>-0.0003301744176</v>
      </c>
      <c r="AW29" s="32">
        <f t="shared" si="349"/>
        <v>0.009549095542</v>
      </c>
      <c r="AX29" s="30"/>
      <c r="AY29" s="34">
        <f t="shared" ref="AY29:BB29" si="350">rank(AQ29,$AQ29:$AT29)</f>
        <v>1</v>
      </c>
      <c r="AZ29" s="34">
        <f t="shared" si="350"/>
        <v>3</v>
      </c>
      <c r="BA29" s="34">
        <f t="shared" si="350"/>
        <v>4</v>
      </c>
      <c r="BB29" s="34">
        <f t="shared" si="350"/>
        <v>2</v>
      </c>
      <c r="BC29" s="35">
        <f t="shared" ref="BC29:BE29" si="351">rank(AU29,$AU29:$AW29)</f>
        <v>3</v>
      </c>
      <c r="BD29" s="34">
        <f t="shared" si="351"/>
        <v>2</v>
      </c>
      <c r="BE29" s="34">
        <f t="shared" si="351"/>
        <v>1</v>
      </c>
      <c r="BF29" s="30"/>
      <c r="BG29" s="36">
        <f t="shared" ref="BG29:BJ29" si="352">if(and($BQ29=0,AY29&lt;=2),0.5,0)</f>
        <v>0</v>
      </c>
      <c r="BH29" s="36">
        <f t="shared" si="352"/>
        <v>0</v>
      </c>
      <c r="BI29" s="36">
        <f t="shared" si="352"/>
        <v>0</v>
      </c>
      <c r="BJ29" s="36">
        <f t="shared" si="352"/>
        <v>0</v>
      </c>
      <c r="BK29" s="37">
        <f t="shared" ref="BK29:BM29" si="353">if(and($BQ29&gt;0,BC29=1),1,0)</f>
        <v>0</v>
      </c>
      <c r="BL29" s="36">
        <f t="shared" si="353"/>
        <v>0</v>
      </c>
      <c r="BM29" s="36">
        <f t="shared" si="353"/>
        <v>1</v>
      </c>
      <c r="BN29" s="38"/>
      <c r="BO29" s="22">
        <f t="shared" si="21"/>
        <v>1</v>
      </c>
      <c r="BP29" s="38"/>
      <c r="BQ29" s="39">
        <f t="shared" si="22"/>
        <v>3</v>
      </c>
      <c r="BR29" s="30"/>
      <c r="BS29" s="36">
        <f t="shared" ref="BS29:BV29" si="354">if(and($BQ29=0,AY29=1),1,0)</f>
        <v>0</v>
      </c>
      <c r="BT29" s="36">
        <f t="shared" si="354"/>
        <v>0</v>
      </c>
      <c r="BU29" s="36">
        <f t="shared" si="354"/>
        <v>0</v>
      </c>
      <c r="BV29" s="36">
        <f t="shared" si="354"/>
        <v>0</v>
      </c>
      <c r="BW29" s="37">
        <f t="shared" ref="BW29:BY29" si="355">if(and($BQ29&gt;0,BC29=1),1,0)</f>
        <v>0</v>
      </c>
      <c r="BX29" s="36">
        <f t="shared" si="355"/>
        <v>0</v>
      </c>
      <c r="BY29" s="36">
        <f t="shared" si="355"/>
        <v>1</v>
      </c>
      <c r="BZ29" s="38"/>
      <c r="CA29" s="22">
        <f t="shared" si="25"/>
        <v>1</v>
      </c>
      <c r="CB29" s="30"/>
      <c r="CC29" s="22">
        <f t="shared" ref="CC29:CI29" si="356">BG28*K29</f>
        <v>0</v>
      </c>
      <c r="CD29" s="22">
        <f t="shared" si="356"/>
        <v>0</v>
      </c>
      <c r="CE29" s="22">
        <f t="shared" si="356"/>
        <v>0</v>
      </c>
      <c r="CF29" s="22">
        <f t="shared" si="356"/>
        <v>0</v>
      </c>
      <c r="CG29" s="22">
        <f t="shared" si="356"/>
        <v>0</v>
      </c>
      <c r="CH29" s="22">
        <f t="shared" si="356"/>
        <v>0</v>
      </c>
      <c r="CI29" s="22">
        <f t="shared" si="356"/>
        <v>-0.001531827458</v>
      </c>
      <c r="CJ29" s="38"/>
      <c r="CK29" s="22">
        <f t="shared" ref="CK29:CQ29" si="357">BS28*K29</f>
        <v>0</v>
      </c>
      <c r="CL29" s="22">
        <f t="shared" si="357"/>
        <v>0</v>
      </c>
      <c r="CM29" s="22">
        <f t="shared" si="357"/>
        <v>0</v>
      </c>
      <c r="CN29" s="22">
        <f t="shared" si="357"/>
        <v>0</v>
      </c>
      <c r="CO29" s="22">
        <f t="shared" si="357"/>
        <v>0</v>
      </c>
      <c r="CP29" s="22">
        <f t="shared" si="357"/>
        <v>0</v>
      </c>
      <c r="CQ29" s="22">
        <f t="shared" si="357"/>
        <v>-0.001531827458</v>
      </c>
      <c r="CR29" s="44">
        <f t="shared" si="28"/>
        <v>-0.001531827458</v>
      </c>
      <c r="CS29" s="45"/>
      <c r="CT29" s="40"/>
      <c r="CU29" s="46">
        <v>1.0</v>
      </c>
      <c r="CV29" s="47">
        <v>0.0</v>
      </c>
      <c r="CW29" s="45"/>
      <c r="CX29" s="44">
        <f t="shared" si="29"/>
        <v>-0.001531827458</v>
      </c>
      <c r="CY29" s="40"/>
      <c r="CZ29" s="40"/>
      <c r="DA29" s="42"/>
      <c r="DB29" s="41"/>
      <c r="DC29" s="40"/>
      <c r="DD29" s="48">
        <f t="shared" si="30"/>
        <v>108730.6847</v>
      </c>
      <c r="DE29" s="49">
        <f t="shared" si="31"/>
        <v>-0.001531827458</v>
      </c>
      <c r="DF29" s="50"/>
      <c r="DG29" s="40"/>
      <c r="DH29" s="51">
        <f t="shared" si="32"/>
        <v>106713.5592</v>
      </c>
      <c r="DI29" s="52">
        <f t="shared" si="33"/>
        <v>-0.001531827458</v>
      </c>
      <c r="DJ29" s="50"/>
      <c r="DK29" s="40"/>
      <c r="DL29" s="40"/>
      <c r="DM29" s="40"/>
      <c r="DN29" s="42"/>
      <c r="DO29" s="40"/>
      <c r="DP29" s="40"/>
      <c r="DQ29" s="42"/>
      <c r="DR29" s="40"/>
      <c r="DS29" s="40"/>
      <c r="DT29" s="40"/>
      <c r="DU29" s="40"/>
    </row>
    <row r="30" ht="13.5" customHeight="1">
      <c r="A30" s="27">
        <v>66.0</v>
      </c>
      <c r="B30" s="28">
        <f t="shared" si="2"/>
        <v>42369</v>
      </c>
      <c r="C30" s="29">
        <f t="shared" ref="C30:I30" si="358">indirect(CONCATENATE(C$2,"!$G$",$A30))</f>
        <v>168.9810692</v>
      </c>
      <c r="D30" s="29">
        <f t="shared" si="358"/>
        <v>31.55988808</v>
      </c>
      <c r="E30" s="29">
        <f t="shared" si="358"/>
        <v>28.61063948</v>
      </c>
      <c r="F30" s="29">
        <f t="shared" si="358"/>
        <v>70.54830144</v>
      </c>
      <c r="G30" s="29">
        <f t="shared" si="358"/>
        <v>79.00210803</v>
      </c>
      <c r="H30" s="29">
        <f t="shared" si="358"/>
        <v>96.30523887</v>
      </c>
      <c r="I30" s="29">
        <f t="shared" si="358"/>
        <v>96.36839966</v>
      </c>
      <c r="J30" s="30"/>
      <c r="K30" s="32">
        <f t="shared" ref="K30:Q30" si="359">C30/C29-1</f>
        <v>-0.0174331929</v>
      </c>
      <c r="L30" s="32">
        <f t="shared" si="359"/>
        <v>-0.02137412575</v>
      </c>
      <c r="M30" s="32">
        <f t="shared" si="359"/>
        <v>-0.03440070505</v>
      </c>
      <c r="N30" s="32">
        <f t="shared" si="359"/>
        <v>-0.001771310457</v>
      </c>
      <c r="O30" s="32">
        <f t="shared" si="359"/>
        <v>-0.001488269998</v>
      </c>
      <c r="P30" s="32">
        <f t="shared" si="359"/>
        <v>-0.004545209916</v>
      </c>
      <c r="Q30" s="32">
        <f t="shared" si="359"/>
        <v>-0.0108425156</v>
      </c>
      <c r="R30" s="30"/>
      <c r="S30" s="32">
        <f t="shared" ref="S30:Y30" si="360">C30/C27-1</f>
        <v>0.07013721401</v>
      </c>
      <c r="T30" s="32">
        <f t="shared" si="360"/>
        <v>0.03656360137</v>
      </c>
      <c r="U30" s="32">
        <f t="shared" si="360"/>
        <v>-0.006678754911</v>
      </c>
      <c r="V30" s="32">
        <f t="shared" si="360"/>
        <v>-0.005393738347</v>
      </c>
      <c r="W30" s="32">
        <f t="shared" si="360"/>
        <v>-0.005473969771</v>
      </c>
      <c r="X30" s="32">
        <f t="shared" si="360"/>
        <v>-0.01510967423</v>
      </c>
      <c r="Y30" s="32">
        <f t="shared" si="360"/>
        <v>-0.006690944744</v>
      </c>
      <c r="Z30" s="30"/>
      <c r="AA30" s="32">
        <f t="shared" ref="AA30:AG30" si="361">C30/C24-1</f>
        <v>0.00099974405</v>
      </c>
      <c r="AB30" s="32">
        <f t="shared" si="361"/>
        <v>-0.06419661702</v>
      </c>
      <c r="AC30" s="32">
        <f t="shared" si="361"/>
        <v>-0.1848956256</v>
      </c>
      <c r="AD30" s="32">
        <f t="shared" si="361"/>
        <v>0.008987429327</v>
      </c>
      <c r="AE30" s="32">
        <f t="shared" si="361"/>
        <v>-0.002593076142</v>
      </c>
      <c r="AF30" s="32">
        <f t="shared" si="361"/>
        <v>0.01644095483</v>
      </c>
      <c r="AG30" s="32">
        <f t="shared" si="361"/>
        <v>0.005086799713</v>
      </c>
      <c r="AH30" s="30"/>
      <c r="AI30" s="32">
        <f t="shared" ref="AI30:AO30" si="362">C30/C18-1</f>
        <v>0.01314808061</v>
      </c>
      <c r="AJ30" s="32">
        <f t="shared" si="362"/>
        <v>-0.003775259221</v>
      </c>
      <c r="AK30" s="32">
        <f t="shared" si="362"/>
        <v>-0.1581047604</v>
      </c>
      <c r="AL30" s="32">
        <f t="shared" si="362"/>
        <v>0.005604022289</v>
      </c>
      <c r="AM30" s="32">
        <f t="shared" si="362"/>
        <v>0.004293188373</v>
      </c>
      <c r="AN30" s="32">
        <f t="shared" si="362"/>
        <v>0.01509692789</v>
      </c>
      <c r="AO30" s="32">
        <f t="shared" si="362"/>
        <v>-0.01254523301</v>
      </c>
      <c r="AP30" s="30"/>
      <c r="AQ30" s="32">
        <f t="shared" ref="AQ30:AW30" si="363">(12*K30+4*S30+2*AA30+AI30)/4</f>
        <v>0.02162452748</v>
      </c>
      <c r="AR30" s="32">
        <f t="shared" si="363"/>
        <v>-0.06060089921</v>
      </c>
      <c r="AS30" s="32">
        <f t="shared" si="363"/>
        <v>-0.241854873</v>
      </c>
      <c r="AT30" s="32">
        <f t="shared" si="363"/>
        <v>-0.004812949483</v>
      </c>
      <c r="AU30" s="33">
        <f t="shared" si="363"/>
        <v>-0.01016202074</v>
      </c>
      <c r="AV30" s="32">
        <f t="shared" si="363"/>
        <v>-0.01675059459</v>
      </c>
      <c r="AW30" s="32">
        <f t="shared" si="363"/>
        <v>-0.03981139995</v>
      </c>
      <c r="AX30" s="30"/>
      <c r="AY30" s="34">
        <f t="shared" ref="AY30:BB30" si="364">rank(AQ30,$AQ30:$AT30)</f>
        <v>1</v>
      </c>
      <c r="AZ30" s="34">
        <f t="shared" si="364"/>
        <v>3</v>
      </c>
      <c r="BA30" s="34">
        <f t="shared" si="364"/>
        <v>4</v>
      </c>
      <c r="BB30" s="34">
        <f t="shared" si="364"/>
        <v>2</v>
      </c>
      <c r="BC30" s="35">
        <f t="shared" ref="BC30:BE30" si="365">rank(AU30,$AU30:$AW30)</f>
        <v>1</v>
      </c>
      <c r="BD30" s="34">
        <f t="shared" si="365"/>
        <v>2</v>
      </c>
      <c r="BE30" s="34">
        <f t="shared" si="365"/>
        <v>3</v>
      </c>
      <c r="BF30" s="30"/>
      <c r="BG30" s="36">
        <f t="shared" ref="BG30:BJ30" si="366">if(and($BQ30=0,AY30&lt;=2),0.5,0)</f>
        <v>0</v>
      </c>
      <c r="BH30" s="36">
        <f t="shared" si="366"/>
        <v>0</v>
      </c>
      <c r="BI30" s="36">
        <f t="shared" si="366"/>
        <v>0</v>
      </c>
      <c r="BJ30" s="36">
        <f t="shared" si="366"/>
        <v>0</v>
      </c>
      <c r="BK30" s="37">
        <f t="shared" ref="BK30:BM30" si="367">if(and($BQ30&gt;0,BC30=1),1,0)</f>
        <v>1</v>
      </c>
      <c r="BL30" s="36">
        <f t="shared" si="367"/>
        <v>0</v>
      </c>
      <c r="BM30" s="36">
        <f t="shared" si="367"/>
        <v>0</v>
      </c>
      <c r="BN30" s="38"/>
      <c r="BO30" s="22">
        <f t="shared" si="21"/>
        <v>1</v>
      </c>
      <c r="BP30" s="38"/>
      <c r="BQ30" s="39">
        <f t="shared" si="22"/>
        <v>3</v>
      </c>
      <c r="BR30" s="30"/>
      <c r="BS30" s="36">
        <f t="shared" ref="BS30:BV30" si="368">if(and($BQ30=0,AY30=1),1,0)</f>
        <v>0</v>
      </c>
      <c r="BT30" s="36">
        <f t="shared" si="368"/>
        <v>0</v>
      </c>
      <c r="BU30" s="36">
        <f t="shared" si="368"/>
        <v>0</v>
      </c>
      <c r="BV30" s="36">
        <f t="shared" si="368"/>
        <v>0</v>
      </c>
      <c r="BW30" s="37">
        <f t="shared" ref="BW30:BY30" si="369">if(and($BQ30&gt;0,BC30=1),1,0)</f>
        <v>1</v>
      </c>
      <c r="BX30" s="36">
        <f t="shared" si="369"/>
        <v>0</v>
      </c>
      <c r="BY30" s="36">
        <f t="shared" si="369"/>
        <v>0</v>
      </c>
      <c r="BZ30" s="38"/>
      <c r="CA30" s="22">
        <f t="shared" si="25"/>
        <v>1</v>
      </c>
      <c r="CB30" s="30"/>
      <c r="CC30" s="22">
        <f t="shared" ref="CC30:CI30" si="370">BG29*K30</f>
        <v>0</v>
      </c>
      <c r="CD30" s="22">
        <f t="shared" si="370"/>
        <v>0</v>
      </c>
      <c r="CE30" s="22">
        <f t="shared" si="370"/>
        <v>0</v>
      </c>
      <c r="CF30" s="22">
        <f t="shared" si="370"/>
        <v>0</v>
      </c>
      <c r="CG30" s="22">
        <f t="shared" si="370"/>
        <v>0</v>
      </c>
      <c r="CH30" s="22">
        <f t="shared" si="370"/>
        <v>0</v>
      </c>
      <c r="CI30" s="22">
        <f t="shared" si="370"/>
        <v>-0.0108425156</v>
      </c>
      <c r="CJ30" s="38"/>
      <c r="CK30" s="22">
        <f t="shared" ref="CK30:CQ30" si="371">BS29*K30</f>
        <v>0</v>
      </c>
      <c r="CL30" s="22">
        <f t="shared" si="371"/>
        <v>0</v>
      </c>
      <c r="CM30" s="22">
        <f t="shared" si="371"/>
        <v>0</v>
      </c>
      <c r="CN30" s="22">
        <f t="shared" si="371"/>
        <v>0</v>
      </c>
      <c r="CO30" s="22">
        <f t="shared" si="371"/>
        <v>0</v>
      </c>
      <c r="CP30" s="22">
        <f t="shared" si="371"/>
        <v>0</v>
      </c>
      <c r="CQ30" s="22">
        <f t="shared" si="371"/>
        <v>-0.0108425156</v>
      </c>
      <c r="CR30" s="44">
        <f t="shared" si="28"/>
        <v>-0.0108425156</v>
      </c>
      <c r="CS30" s="45"/>
      <c r="CT30" s="40"/>
      <c r="CU30" s="46">
        <v>1.0</v>
      </c>
      <c r="CV30" s="47">
        <v>0.0</v>
      </c>
      <c r="CW30" s="45"/>
      <c r="CX30" s="44">
        <f t="shared" si="29"/>
        <v>-0.0108425156</v>
      </c>
      <c r="CY30" s="40"/>
      <c r="CZ30" s="40"/>
      <c r="DA30" s="42"/>
      <c r="DB30" s="41"/>
      <c r="DC30" s="40"/>
      <c r="DD30" s="48">
        <f t="shared" si="30"/>
        <v>107551.7706</v>
      </c>
      <c r="DE30" s="49">
        <f t="shared" si="31"/>
        <v>-0.0108425156</v>
      </c>
      <c r="DF30" s="50"/>
      <c r="DG30" s="40"/>
      <c r="DH30" s="51">
        <f t="shared" si="32"/>
        <v>105556.5157</v>
      </c>
      <c r="DI30" s="52">
        <f t="shared" si="33"/>
        <v>-0.0108425156</v>
      </c>
      <c r="DJ30" s="50"/>
      <c r="DK30" s="40"/>
      <c r="DL30" s="40"/>
      <c r="DM30" s="40"/>
      <c r="DN30" s="42"/>
      <c r="DO30" s="40"/>
      <c r="DP30" s="40"/>
      <c r="DQ30" s="42"/>
      <c r="DR30" s="40"/>
      <c r="DS30" s="40"/>
      <c r="DT30" s="40"/>
      <c r="DU30" s="40"/>
    </row>
    <row r="31" ht="13.5" customHeight="1">
      <c r="A31" s="27">
        <v>65.0</v>
      </c>
      <c r="B31" s="28">
        <f t="shared" si="2"/>
        <v>42398</v>
      </c>
      <c r="C31" s="29">
        <f t="shared" ref="C31:I31" si="372">indirect(CONCATENATE(C$2,"!$G$",$A31))</f>
        <v>160.6825285</v>
      </c>
      <c r="D31" s="29">
        <f t="shared" si="372"/>
        <v>29.81515571</v>
      </c>
      <c r="E31" s="29">
        <f t="shared" si="372"/>
        <v>26.96624932</v>
      </c>
      <c r="F31" s="29">
        <f t="shared" si="372"/>
        <v>71.39564978</v>
      </c>
      <c r="G31" s="29">
        <f t="shared" si="372"/>
        <v>79.5171763</v>
      </c>
      <c r="H31" s="29">
        <f t="shared" si="372"/>
        <v>99.51571752</v>
      </c>
      <c r="I31" s="29">
        <f t="shared" si="372"/>
        <v>96.48673644</v>
      </c>
      <c r="J31" s="30"/>
      <c r="K31" s="32">
        <f t="shared" ref="K31:Q31" si="373">C31/C30-1</f>
        <v>-0.04910929225</v>
      </c>
      <c r="L31" s="32">
        <f t="shared" si="373"/>
        <v>-0.0552832244</v>
      </c>
      <c r="M31" s="32">
        <f t="shared" si="373"/>
        <v>-0.05747477836</v>
      </c>
      <c r="N31" s="32">
        <f t="shared" si="373"/>
        <v>0.01201089648</v>
      </c>
      <c r="O31" s="32">
        <f t="shared" si="373"/>
        <v>0.006519677572</v>
      </c>
      <c r="P31" s="32">
        <f t="shared" si="373"/>
        <v>0.0333364902</v>
      </c>
      <c r="Q31" s="32">
        <f t="shared" si="373"/>
        <v>0.001227962459</v>
      </c>
      <c r="R31" s="30"/>
      <c r="S31" s="32">
        <f t="shared" ref="S31:Y31" si="374">C31/C28-1</f>
        <v>-0.06171493203</v>
      </c>
      <c r="T31" s="32">
        <f t="shared" si="374"/>
        <v>-0.08252388048</v>
      </c>
      <c r="U31" s="32">
        <f t="shared" si="374"/>
        <v>-0.1107961679</v>
      </c>
      <c r="V31" s="32">
        <f t="shared" si="374"/>
        <v>0.006255228306</v>
      </c>
      <c r="W31" s="32">
        <f t="shared" si="374"/>
        <v>0.00242788191</v>
      </c>
      <c r="X31" s="32">
        <f t="shared" si="374"/>
        <v>0.02424510192</v>
      </c>
      <c r="Y31" s="32">
        <f t="shared" si="374"/>
        <v>-0.01114494657</v>
      </c>
      <c r="Z31" s="30"/>
      <c r="AA31" s="32">
        <f t="shared" ref="AA31:AG31" si="375">C31/C25-1</f>
        <v>-0.06843367975</v>
      </c>
      <c r="AB31" s="32">
        <f t="shared" si="375"/>
        <v>-0.1286765603</v>
      </c>
      <c r="AC31" s="32">
        <f t="shared" si="375"/>
        <v>-0.1804195484</v>
      </c>
      <c r="AD31" s="32">
        <f t="shared" si="375"/>
        <v>0.01219663324</v>
      </c>
      <c r="AE31" s="32">
        <f t="shared" si="375"/>
        <v>0.003463814109</v>
      </c>
      <c r="AF31" s="32">
        <f t="shared" si="375"/>
        <v>0.03460303623</v>
      </c>
      <c r="AG31" s="32">
        <f t="shared" si="375"/>
        <v>-0.001994694161</v>
      </c>
      <c r="AH31" s="30"/>
      <c r="AI31" s="32">
        <f t="shared" ref="AI31:AO31" si="376">C31/C19-1</f>
        <v>-0.008124710759</v>
      </c>
      <c r="AJ31" s="32">
        <f t="shared" si="376"/>
        <v>-0.0655106024</v>
      </c>
      <c r="AK31" s="32">
        <f t="shared" si="376"/>
        <v>-0.2049031036</v>
      </c>
      <c r="AL31" s="32">
        <f t="shared" si="376"/>
        <v>-0.006206459645</v>
      </c>
      <c r="AM31" s="32">
        <f t="shared" si="376"/>
        <v>0.004536482723</v>
      </c>
      <c r="AN31" s="32">
        <f t="shared" si="376"/>
        <v>0.005669836999</v>
      </c>
      <c r="AO31" s="32">
        <f t="shared" si="376"/>
        <v>-0.04708398415</v>
      </c>
      <c r="AP31" s="30"/>
      <c r="AQ31" s="32">
        <f t="shared" ref="AQ31:AW31" si="377">(12*K31+4*S31+2*AA31+AI31)/4</f>
        <v>-0.2452908263</v>
      </c>
      <c r="AR31" s="32">
        <f t="shared" si="377"/>
        <v>-0.3290894844</v>
      </c>
      <c r="AS31" s="32">
        <f t="shared" si="377"/>
        <v>-0.4246560531</v>
      </c>
      <c r="AT31" s="32">
        <f t="shared" si="377"/>
        <v>0.04683461946</v>
      </c>
      <c r="AU31" s="33">
        <f t="shared" si="377"/>
        <v>0.02485294236</v>
      </c>
      <c r="AV31" s="32">
        <f t="shared" si="377"/>
        <v>0.1429735499</v>
      </c>
      <c r="AW31" s="32">
        <f t="shared" si="377"/>
        <v>-0.02022940231</v>
      </c>
      <c r="AX31" s="30"/>
      <c r="AY31" s="34">
        <f t="shared" ref="AY31:BB31" si="378">rank(AQ31,$AQ31:$AT31)</f>
        <v>2</v>
      </c>
      <c r="AZ31" s="34">
        <f t="shared" si="378"/>
        <v>3</v>
      </c>
      <c r="BA31" s="34">
        <f t="shared" si="378"/>
        <v>4</v>
      </c>
      <c r="BB31" s="34">
        <f t="shared" si="378"/>
        <v>1</v>
      </c>
      <c r="BC31" s="35">
        <f t="shared" ref="BC31:BE31" si="379">rank(AU31,$AU31:$AW31)</f>
        <v>2</v>
      </c>
      <c r="BD31" s="34">
        <f t="shared" si="379"/>
        <v>1</v>
      </c>
      <c r="BE31" s="34">
        <f t="shared" si="379"/>
        <v>3</v>
      </c>
      <c r="BF31" s="30"/>
      <c r="BG31" s="36">
        <f t="shared" ref="BG31:BJ31" si="380">if(and($BQ31=0,AY31&lt;=2),0.5,0)</f>
        <v>0</v>
      </c>
      <c r="BH31" s="36">
        <f t="shared" si="380"/>
        <v>0</v>
      </c>
      <c r="BI31" s="36">
        <f t="shared" si="380"/>
        <v>0</v>
      </c>
      <c r="BJ31" s="36">
        <f t="shared" si="380"/>
        <v>0</v>
      </c>
      <c r="BK31" s="37">
        <f t="shared" ref="BK31:BM31" si="381">if(and($BQ31&gt;0,BC31=1),1,0)</f>
        <v>0</v>
      </c>
      <c r="BL31" s="36">
        <f t="shared" si="381"/>
        <v>1</v>
      </c>
      <c r="BM31" s="36">
        <f t="shared" si="381"/>
        <v>0</v>
      </c>
      <c r="BN31" s="38"/>
      <c r="BO31" s="22">
        <f t="shared" si="21"/>
        <v>1</v>
      </c>
      <c r="BP31" s="38"/>
      <c r="BQ31" s="39">
        <f t="shared" si="22"/>
        <v>3</v>
      </c>
      <c r="BR31" s="30"/>
      <c r="BS31" s="36">
        <f t="shared" ref="BS31:BV31" si="382">if(and($BQ31=0,AY31=1),1,0)</f>
        <v>0</v>
      </c>
      <c r="BT31" s="36">
        <f t="shared" si="382"/>
        <v>0</v>
      </c>
      <c r="BU31" s="36">
        <f t="shared" si="382"/>
        <v>0</v>
      </c>
      <c r="BV31" s="36">
        <f t="shared" si="382"/>
        <v>0</v>
      </c>
      <c r="BW31" s="37">
        <f t="shared" ref="BW31:BY31" si="383">if(and($BQ31&gt;0,BC31=1),1,0)</f>
        <v>0</v>
      </c>
      <c r="BX31" s="36">
        <f t="shared" si="383"/>
        <v>1</v>
      </c>
      <c r="BY31" s="36">
        <f t="shared" si="383"/>
        <v>0</v>
      </c>
      <c r="BZ31" s="38"/>
      <c r="CA31" s="22">
        <f t="shared" si="25"/>
        <v>1</v>
      </c>
      <c r="CB31" s="30"/>
      <c r="CC31" s="22">
        <f t="shared" ref="CC31:CI31" si="384">BG30*K31</f>
        <v>0</v>
      </c>
      <c r="CD31" s="22">
        <f t="shared" si="384"/>
        <v>0</v>
      </c>
      <c r="CE31" s="22">
        <f t="shared" si="384"/>
        <v>0</v>
      </c>
      <c r="CF31" s="22">
        <f t="shared" si="384"/>
        <v>0</v>
      </c>
      <c r="CG31" s="22">
        <f t="shared" si="384"/>
        <v>0.006519677572</v>
      </c>
      <c r="CH31" s="22">
        <f t="shared" si="384"/>
        <v>0</v>
      </c>
      <c r="CI31" s="22">
        <f t="shared" si="384"/>
        <v>0</v>
      </c>
      <c r="CJ31" s="38"/>
      <c r="CK31" s="22">
        <f t="shared" ref="CK31:CQ31" si="385">BS30*K31</f>
        <v>0</v>
      </c>
      <c r="CL31" s="22">
        <f t="shared" si="385"/>
        <v>0</v>
      </c>
      <c r="CM31" s="22">
        <f t="shared" si="385"/>
        <v>0</v>
      </c>
      <c r="CN31" s="22">
        <f t="shared" si="385"/>
        <v>0</v>
      </c>
      <c r="CO31" s="22">
        <f t="shared" si="385"/>
        <v>0.006519677572</v>
      </c>
      <c r="CP31" s="22">
        <f t="shared" si="385"/>
        <v>0</v>
      </c>
      <c r="CQ31" s="22">
        <f t="shared" si="385"/>
        <v>0</v>
      </c>
      <c r="CR31" s="44">
        <f t="shared" si="28"/>
        <v>0.006519677572</v>
      </c>
      <c r="CS31" s="45"/>
      <c r="CT31" s="40"/>
      <c r="CU31" s="46">
        <v>1.0</v>
      </c>
      <c r="CV31" s="47">
        <v>0.0</v>
      </c>
      <c r="CW31" s="45"/>
      <c r="CX31" s="44">
        <f t="shared" si="29"/>
        <v>0.006519677572</v>
      </c>
      <c r="CY31" s="40"/>
      <c r="CZ31" s="40"/>
      <c r="DA31" s="42"/>
      <c r="DB31" s="41"/>
      <c r="DC31" s="40"/>
      <c r="DD31" s="48">
        <f t="shared" si="30"/>
        <v>108252.9735</v>
      </c>
      <c r="DE31" s="49">
        <f t="shared" si="31"/>
        <v>0.006519677572</v>
      </c>
      <c r="DF31" s="50"/>
      <c r="DG31" s="40"/>
      <c r="DH31" s="51">
        <f t="shared" si="32"/>
        <v>106244.7102</v>
      </c>
      <c r="DI31" s="52">
        <f t="shared" si="33"/>
        <v>0.006519677572</v>
      </c>
      <c r="DJ31" s="50"/>
      <c r="DK31" s="40"/>
      <c r="DL31" s="40"/>
      <c r="DM31" s="40"/>
      <c r="DN31" s="42"/>
      <c r="DO31" s="40"/>
      <c r="DP31" s="40"/>
      <c r="DQ31" s="42"/>
      <c r="DR31" s="40"/>
      <c r="DS31" s="40"/>
      <c r="DT31" s="40"/>
      <c r="DU31" s="40"/>
    </row>
    <row r="32" ht="13.5" customHeight="1">
      <c r="A32" s="27">
        <v>64.0</v>
      </c>
      <c r="B32" s="28">
        <f t="shared" si="2"/>
        <v>42429</v>
      </c>
      <c r="C32" s="29">
        <f t="shared" ref="C32:I32" si="386">indirect(CONCATENATE(C$2,"!$G$",$A32))</f>
        <v>160.3480557</v>
      </c>
      <c r="D32" s="29">
        <f t="shared" si="386"/>
        <v>28.89551845</v>
      </c>
      <c r="E32" s="29">
        <f t="shared" si="386"/>
        <v>26.87878175</v>
      </c>
      <c r="F32" s="29">
        <f t="shared" si="386"/>
        <v>72.00390469</v>
      </c>
      <c r="G32" s="29">
        <f t="shared" si="386"/>
        <v>79.60635009</v>
      </c>
      <c r="H32" s="29">
        <f t="shared" si="386"/>
        <v>100.9950041</v>
      </c>
      <c r="I32" s="29">
        <f t="shared" si="386"/>
        <v>97.50256817</v>
      </c>
      <c r="J32" s="30"/>
      <c r="K32" s="32">
        <f t="shared" ref="K32:Q32" si="387">C32/C31-1</f>
        <v>-0.002081575246</v>
      </c>
      <c r="L32" s="32">
        <f t="shared" si="387"/>
        <v>-0.03084462381</v>
      </c>
      <c r="M32" s="32">
        <f t="shared" si="387"/>
        <v>-0.003243593902</v>
      </c>
      <c r="N32" s="32">
        <f t="shared" si="387"/>
        <v>0.008519495446</v>
      </c>
      <c r="O32" s="32">
        <f t="shared" si="387"/>
        <v>0.001121440555</v>
      </c>
      <c r="P32" s="32">
        <f t="shared" si="387"/>
        <v>0.01486485366</v>
      </c>
      <c r="Q32" s="32">
        <f t="shared" si="387"/>
        <v>0.01052820069</v>
      </c>
      <c r="R32" s="30"/>
      <c r="S32" s="32">
        <f t="shared" ref="S32:Y32" si="388">C32/C29-1</f>
        <v>-0.06763119755</v>
      </c>
      <c r="T32" s="32">
        <f t="shared" si="388"/>
        <v>-0.1039923232</v>
      </c>
      <c r="U32" s="32">
        <f t="shared" si="388"/>
        <v>-0.0928503108</v>
      </c>
      <c r="V32" s="32">
        <f t="shared" si="388"/>
        <v>0.0188248613</v>
      </c>
      <c r="W32" s="32">
        <f t="shared" si="388"/>
        <v>0.006148776632</v>
      </c>
      <c r="X32" s="32">
        <f t="shared" si="388"/>
        <v>0.04393033842</v>
      </c>
      <c r="Y32" s="32">
        <f t="shared" si="388"/>
        <v>0.0007989692213</v>
      </c>
      <c r="Z32" s="30"/>
      <c r="AA32" s="32">
        <f t="shared" ref="AA32:AG32" si="389">C32/C26-1</f>
        <v>-0.009598767331</v>
      </c>
      <c r="AB32" s="32">
        <f t="shared" si="389"/>
        <v>-0.08970699808</v>
      </c>
      <c r="AC32" s="32">
        <f t="shared" si="389"/>
        <v>-0.09367534607</v>
      </c>
      <c r="AD32" s="32">
        <f t="shared" si="389"/>
        <v>0.02334718851</v>
      </c>
      <c r="AE32" s="32">
        <f t="shared" si="389"/>
        <v>0.005086428158</v>
      </c>
      <c r="AF32" s="32">
        <f t="shared" si="389"/>
        <v>0.04915587327</v>
      </c>
      <c r="AG32" s="32">
        <f t="shared" si="389"/>
        <v>0.01693787646</v>
      </c>
      <c r="AH32" s="30"/>
      <c r="AI32" s="32">
        <f t="shared" ref="AI32:AO32" si="390">C32/C20-1</f>
        <v>-0.06249768899</v>
      </c>
      <c r="AJ32" s="32">
        <f t="shared" si="390"/>
        <v>-0.146885533</v>
      </c>
      <c r="AK32" s="32">
        <f t="shared" si="390"/>
        <v>-0.2427472267</v>
      </c>
      <c r="AL32" s="32">
        <f t="shared" si="390"/>
        <v>0.0155270935</v>
      </c>
      <c r="AM32" s="32">
        <f t="shared" si="390"/>
        <v>0.008595527719</v>
      </c>
      <c r="AN32" s="32">
        <f t="shared" si="390"/>
        <v>0.04648375032</v>
      </c>
      <c r="AO32" s="32">
        <f t="shared" si="390"/>
        <v>-0.02317558392</v>
      </c>
      <c r="AP32" s="30"/>
      <c r="AQ32" s="32">
        <f t="shared" ref="AQ32:AW32" si="391">(12*K32+4*S32+2*AA32+AI32)/4</f>
        <v>-0.0942997292</v>
      </c>
      <c r="AR32" s="32">
        <f t="shared" si="391"/>
        <v>-0.2781010769</v>
      </c>
      <c r="AS32" s="32">
        <f t="shared" si="391"/>
        <v>-0.2101055722</v>
      </c>
      <c r="AT32" s="32">
        <f t="shared" si="391"/>
        <v>0.05993871527</v>
      </c>
      <c r="AU32" s="33">
        <f t="shared" si="391"/>
        <v>0.01420519431</v>
      </c>
      <c r="AV32" s="32">
        <f t="shared" si="391"/>
        <v>0.1247237736</v>
      </c>
      <c r="AW32" s="32">
        <f t="shared" si="391"/>
        <v>0.03505861353</v>
      </c>
      <c r="AX32" s="30"/>
      <c r="AY32" s="34">
        <f t="shared" ref="AY32:BB32" si="392">rank(AQ32,$AQ32:$AT32)</f>
        <v>2</v>
      </c>
      <c r="AZ32" s="34">
        <f t="shared" si="392"/>
        <v>4</v>
      </c>
      <c r="BA32" s="34">
        <f t="shared" si="392"/>
        <v>3</v>
      </c>
      <c r="BB32" s="34">
        <f t="shared" si="392"/>
        <v>1</v>
      </c>
      <c r="BC32" s="35">
        <f t="shared" ref="BC32:BE32" si="393">rank(AU32,$AU32:$AW32)</f>
        <v>3</v>
      </c>
      <c r="BD32" s="34">
        <f t="shared" si="393"/>
        <v>1</v>
      </c>
      <c r="BE32" s="34">
        <f t="shared" si="393"/>
        <v>2</v>
      </c>
      <c r="BF32" s="30"/>
      <c r="BG32" s="36">
        <f t="shared" ref="BG32:BJ32" si="394">if(and($BQ32=0,AY32&lt;=2),0.5,0)</f>
        <v>0</v>
      </c>
      <c r="BH32" s="36">
        <f t="shared" si="394"/>
        <v>0</v>
      </c>
      <c r="BI32" s="36">
        <f t="shared" si="394"/>
        <v>0</v>
      </c>
      <c r="BJ32" s="36">
        <f t="shared" si="394"/>
        <v>0</v>
      </c>
      <c r="BK32" s="37">
        <f t="shared" ref="BK32:BM32" si="395">if(and($BQ32&gt;0,BC32=1),1,0)</f>
        <v>0</v>
      </c>
      <c r="BL32" s="36">
        <f t="shared" si="395"/>
        <v>1</v>
      </c>
      <c r="BM32" s="36">
        <f t="shared" si="395"/>
        <v>0</v>
      </c>
      <c r="BN32" s="38"/>
      <c r="BO32" s="22">
        <f t="shared" si="21"/>
        <v>1</v>
      </c>
      <c r="BP32" s="38"/>
      <c r="BQ32" s="39">
        <f t="shared" si="22"/>
        <v>3</v>
      </c>
      <c r="BR32" s="30"/>
      <c r="BS32" s="36">
        <f t="shared" ref="BS32:BV32" si="396">if(and($BQ32=0,AY32=1),1,0)</f>
        <v>0</v>
      </c>
      <c r="BT32" s="36">
        <f t="shared" si="396"/>
        <v>0</v>
      </c>
      <c r="BU32" s="36">
        <f t="shared" si="396"/>
        <v>0</v>
      </c>
      <c r="BV32" s="36">
        <f t="shared" si="396"/>
        <v>0</v>
      </c>
      <c r="BW32" s="37">
        <f t="shared" ref="BW32:BY32" si="397">if(and($BQ32&gt;0,BC32=1),1,0)</f>
        <v>0</v>
      </c>
      <c r="BX32" s="36">
        <f t="shared" si="397"/>
        <v>1</v>
      </c>
      <c r="BY32" s="36">
        <f t="shared" si="397"/>
        <v>0</v>
      </c>
      <c r="BZ32" s="38"/>
      <c r="CA32" s="22">
        <f t="shared" si="25"/>
        <v>1</v>
      </c>
      <c r="CB32" s="30"/>
      <c r="CC32" s="22">
        <f t="shared" ref="CC32:CI32" si="398">BG31*K32</f>
        <v>0</v>
      </c>
      <c r="CD32" s="22">
        <f t="shared" si="398"/>
        <v>0</v>
      </c>
      <c r="CE32" s="22">
        <f t="shared" si="398"/>
        <v>0</v>
      </c>
      <c r="CF32" s="22">
        <f t="shared" si="398"/>
        <v>0</v>
      </c>
      <c r="CG32" s="22">
        <f t="shared" si="398"/>
        <v>0</v>
      </c>
      <c r="CH32" s="22">
        <f t="shared" si="398"/>
        <v>0.01486485366</v>
      </c>
      <c r="CI32" s="22">
        <f t="shared" si="398"/>
        <v>0</v>
      </c>
      <c r="CJ32" s="38"/>
      <c r="CK32" s="22">
        <f t="shared" ref="CK32:CQ32" si="399">BS31*K32</f>
        <v>0</v>
      </c>
      <c r="CL32" s="22">
        <f t="shared" si="399"/>
        <v>0</v>
      </c>
      <c r="CM32" s="22">
        <f t="shared" si="399"/>
        <v>0</v>
      </c>
      <c r="CN32" s="22">
        <f t="shared" si="399"/>
        <v>0</v>
      </c>
      <c r="CO32" s="22">
        <f t="shared" si="399"/>
        <v>0</v>
      </c>
      <c r="CP32" s="22">
        <f t="shared" si="399"/>
        <v>0.01486485366</v>
      </c>
      <c r="CQ32" s="22">
        <f t="shared" si="399"/>
        <v>0</v>
      </c>
      <c r="CR32" s="44">
        <f t="shared" si="28"/>
        <v>0.01486485366</v>
      </c>
      <c r="CS32" s="45"/>
      <c r="CT32" s="40"/>
      <c r="CU32" s="46">
        <v>1.0</v>
      </c>
      <c r="CV32" s="47">
        <v>0.0</v>
      </c>
      <c r="CW32" s="45"/>
      <c r="CX32" s="44">
        <f t="shared" si="29"/>
        <v>0.01486485366</v>
      </c>
      <c r="CY32" s="40"/>
      <c r="CZ32" s="40"/>
      <c r="DA32" s="42"/>
      <c r="DB32" s="41"/>
      <c r="DC32" s="40"/>
      <c r="DD32" s="48">
        <f t="shared" si="30"/>
        <v>109862.1381</v>
      </c>
      <c r="DE32" s="49">
        <f t="shared" si="31"/>
        <v>0.01486485366</v>
      </c>
      <c r="DF32" s="50"/>
      <c r="DG32" s="40"/>
      <c r="DH32" s="51">
        <f t="shared" si="32"/>
        <v>107824.0222</v>
      </c>
      <c r="DI32" s="52">
        <f t="shared" si="33"/>
        <v>0.01486485366</v>
      </c>
      <c r="DJ32" s="50"/>
      <c r="DK32" s="40"/>
      <c r="DL32" s="40"/>
      <c r="DM32" s="40"/>
      <c r="DN32" s="42"/>
      <c r="DO32" s="40"/>
      <c r="DP32" s="40"/>
      <c r="DQ32" s="42"/>
      <c r="DR32" s="40"/>
      <c r="DS32" s="40"/>
      <c r="DT32" s="40"/>
      <c r="DU32" s="40"/>
    </row>
    <row r="33" ht="13.5" customHeight="1">
      <c r="A33" s="27">
        <v>63.0</v>
      </c>
      <c r="B33" s="28">
        <f t="shared" si="2"/>
        <v>42460</v>
      </c>
      <c r="C33" s="29">
        <f t="shared" ref="C33:I33" si="400">indirect(CONCATENATE(C$2,"!$G$",$A33))</f>
        <v>171.3679824</v>
      </c>
      <c r="D33" s="29">
        <f t="shared" si="400"/>
        <v>30.97477426</v>
      </c>
      <c r="E33" s="29">
        <f t="shared" si="400"/>
        <v>30.29884502</v>
      </c>
      <c r="F33" s="29">
        <f t="shared" si="400"/>
        <v>72.63636796</v>
      </c>
      <c r="G33" s="29">
        <f t="shared" si="400"/>
        <v>79.71588929</v>
      </c>
      <c r="H33" s="29">
        <f t="shared" si="400"/>
        <v>100.9296983</v>
      </c>
      <c r="I33" s="29">
        <f t="shared" si="400"/>
        <v>101.028476</v>
      </c>
      <c r="J33" s="30"/>
      <c r="K33" s="32">
        <f t="shared" ref="K33:Q33" si="401">C33/C32-1</f>
        <v>0.06872504099</v>
      </c>
      <c r="L33" s="32">
        <f t="shared" si="401"/>
        <v>0.07195772658</v>
      </c>
      <c r="M33" s="32">
        <f t="shared" si="401"/>
        <v>0.1272402633</v>
      </c>
      <c r="N33" s="32">
        <f t="shared" si="401"/>
        <v>0.008783735648</v>
      </c>
      <c r="O33" s="32">
        <f t="shared" si="401"/>
        <v>0.001376010793</v>
      </c>
      <c r="P33" s="32">
        <f t="shared" si="401"/>
        <v>-0.0006466235791</v>
      </c>
      <c r="Q33" s="32">
        <f t="shared" si="401"/>
        <v>0.03616220439</v>
      </c>
      <c r="R33" s="30"/>
      <c r="S33" s="32">
        <f t="shared" ref="S33:Y33" si="402">C33/C30-1</f>
        <v>0.01412532911</v>
      </c>
      <c r="T33" s="32">
        <f t="shared" si="402"/>
        <v>-0.01853979391</v>
      </c>
      <c r="U33" s="32">
        <f t="shared" si="402"/>
        <v>0.059006215</v>
      </c>
      <c r="V33" s="32">
        <f t="shared" si="402"/>
        <v>0.0295976867</v>
      </c>
      <c r="W33" s="32">
        <f t="shared" si="402"/>
        <v>0.009034964674</v>
      </c>
      <c r="X33" s="32">
        <f t="shared" si="402"/>
        <v>0.04801877377</v>
      </c>
      <c r="Y33" s="32">
        <f t="shared" si="402"/>
        <v>0.04835689206</v>
      </c>
      <c r="Z33" s="30"/>
      <c r="AA33" s="32">
        <f t="shared" ref="AA33:AG33" si="403">C33/C27-1</f>
        <v>0.08525325435</v>
      </c>
      <c r="AB33" s="32">
        <f t="shared" si="403"/>
        <v>0.01734592583</v>
      </c>
      <c r="AC33" s="32">
        <f t="shared" si="403"/>
        <v>0.05193337204</v>
      </c>
      <c r="AD33" s="32">
        <f t="shared" si="403"/>
        <v>0.02404430618</v>
      </c>
      <c r="AE33" s="32">
        <f t="shared" si="403"/>
        <v>0.003511537779</v>
      </c>
      <c r="AF33" s="32">
        <f t="shared" si="403"/>
        <v>0.03218355151</v>
      </c>
      <c r="AG33" s="32">
        <f t="shared" si="403"/>
        <v>0.04134239403</v>
      </c>
      <c r="AH33" s="30"/>
      <c r="AI33" s="32">
        <f t="shared" ref="AI33:AO33" si="404">C33/C21-1</f>
        <v>0.01791198635</v>
      </c>
      <c r="AJ33" s="32">
        <f t="shared" si="404"/>
        <v>-0.07424019662</v>
      </c>
      <c r="AK33" s="32">
        <f t="shared" si="404"/>
        <v>-0.1285087539</v>
      </c>
      <c r="AL33" s="32">
        <f t="shared" si="404"/>
        <v>0.0188875008</v>
      </c>
      <c r="AM33" s="32">
        <f t="shared" si="404"/>
        <v>0.007471968994</v>
      </c>
      <c r="AN33" s="32">
        <f t="shared" si="404"/>
        <v>0.03691749393</v>
      </c>
      <c r="AO33" s="32">
        <f t="shared" si="404"/>
        <v>0.01015055457</v>
      </c>
      <c r="AP33" s="30"/>
      <c r="AQ33" s="32">
        <f t="shared" ref="AQ33:AW33" si="405">(12*K33+4*S33+2*AA33+AI33)/4</f>
        <v>0.2674050758</v>
      </c>
      <c r="AR33" s="32">
        <f t="shared" si="405"/>
        <v>0.1874462996</v>
      </c>
      <c r="AS33" s="32">
        <f t="shared" si="405"/>
        <v>0.4345665026</v>
      </c>
      <c r="AT33" s="32">
        <f t="shared" si="405"/>
        <v>0.07269292194</v>
      </c>
      <c r="AU33" s="33">
        <f t="shared" si="405"/>
        <v>0.01678675819</v>
      </c>
      <c r="AV33" s="32">
        <f t="shared" si="405"/>
        <v>0.07140005227</v>
      </c>
      <c r="AW33" s="32">
        <f t="shared" si="405"/>
        <v>0.1800523409</v>
      </c>
      <c r="AX33" s="30"/>
      <c r="AY33" s="34">
        <f t="shared" ref="AY33:BB33" si="406">rank(AQ33,$AQ33:$AT33)</f>
        <v>2</v>
      </c>
      <c r="AZ33" s="34">
        <f t="shared" si="406"/>
        <v>3</v>
      </c>
      <c r="BA33" s="34">
        <f t="shared" si="406"/>
        <v>1</v>
      </c>
      <c r="BB33" s="34">
        <f t="shared" si="406"/>
        <v>4</v>
      </c>
      <c r="BC33" s="35">
        <f t="shared" ref="BC33:BE33" si="407">rank(AU33,$AU33:$AW33)</f>
        <v>3</v>
      </c>
      <c r="BD33" s="34">
        <f t="shared" si="407"/>
        <v>2</v>
      </c>
      <c r="BE33" s="34">
        <f t="shared" si="407"/>
        <v>1</v>
      </c>
      <c r="BF33" s="30"/>
      <c r="BG33" s="36">
        <f t="shared" ref="BG33:BJ33" si="408">if(and($BQ33=0,AY33&lt;=2),0.5,0)</f>
        <v>0.5</v>
      </c>
      <c r="BH33" s="36">
        <f t="shared" si="408"/>
        <v>0</v>
      </c>
      <c r="BI33" s="36">
        <f t="shared" si="408"/>
        <v>0.5</v>
      </c>
      <c r="BJ33" s="36">
        <f t="shared" si="408"/>
        <v>0</v>
      </c>
      <c r="BK33" s="37">
        <f t="shared" ref="BK33:BM33" si="409">if(and($BQ33&gt;0,BC33=1),1,0)</f>
        <v>0</v>
      </c>
      <c r="BL33" s="36">
        <f t="shared" si="409"/>
        <v>0</v>
      </c>
      <c r="BM33" s="36">
        <f t="shared" si="409"/>
        <v>0</v>
      </c>
      <c r="BN33" s="38"/>
      <c r="BO33" s="22">
        <f t="shared" si="21"/>
        <v>1</v>
      </c>
      <c r="BP33" s="38"/>
      <c r="BQ33" s="39">
        <f t="shared" si="22"/>
        <v>0</v>
      </c>
      <c r="BR33" s="30"/>
      <c r="BS33" s="36">
        <f t="shared" ref="BS33:BV33" si="410">if(and($BQ33=0,AY33=1),1,0)</f>
        <v>0</v>
      </c>
      <c r="BT33" s="36">
        <f t="shared" si="410"/>
        <v>0</v>
      </c>
      <c r="BU33" s="36">
        <f t="shared" si="410"/>
        <v>1</v>
      </c>
      <c r="BV33" s="36">
        <f t="shared" si="410"/>
        <v>0</v>
      </c>
      <c r="BW33" s="37">
        <f t="shared" ref="BW33:BY33" si="411">if(and($BQ33&gt;0,BC33=1),1,0)</f>
        <v>0</v>
      </c>
      <c r="BX33" s="36">
        <f t="shared" si="411"/>
        <v>0</v>
      </c>
      <c r="BY33" s="36">
        <f t="shared" si="411"/>
        <v>0</v>
      </c>
      <c r="BZ33" s="38"/>
      <c r="CA33" s="22">
        <f t="shared" si="25"/>
        <v>1</v>
      </c>
      <c r="CB33" s="30"/>
      <c r="CC33" s="22">
        <f t="shared" ref="CC33:CI33" si="412">BG32*K33</f>
        <v>0</v>
      </c>
      <c r="CD33" s="22">
        <f t="shared" si="412"/>
        <v>0</v>
      </c>
      <c r="CE33" s="22">
        <f t="shared" si="412"/>
        <v>0</v>
      </c>
      <c r="CF33" s="22">
        <f t="shared" si="412"/>
        <v>0</v>
      </c>
      <c r="CG33" s="22">
        <f t="shared" si="412"/>
        <v>0</v>
      </c>
      <c r="CH33" s="22">
        <f t="shared" si="412"/>
        <v>-0.0006466235791</v>
      </c>
      <c r="CI33" s="22">
        <f t="shared" si="412"/>
        <v>0</v>
      </c>
      <c r="CJ33" s="38"/>
      <c r="CK33" s="22">
        <f t="shared" ref="CK33:CQ33" si="413">BS32*K33</f>
        <v>0</v>
      </c>
      <c r="CL33" s="22">
        <f t="shared" si="413"/>
        <v>0</v>
      </c>
      <c r="CM33" s="22">
        <f t="shared" si="413"/>
        <v>0</v>
      </c>
      <c r="CN33" s="22">
        <f t="shared" si="413"/>
        <v>0</v>
      </c>
      <c r="CO33" s="22">
        <f t="shared" si="413"/>
        <v>0</v>
      </c>
      <c r="CP33" s="22">
        <f t="shared" si="413"/>
        <v>-0.0006466235791</v>
      </c>
      <c r="CQ33" s="22">
        <f t="shared" si="413"/>
        <v>0</v>
      </c>
      <c r="CR33" s="44">
        <f t="shared" si="28"/>
        <v>-0.0006466235791</v>
      </c>
      <c r="CS33" s="45"/>
      <c r="CT33" s="40"/>
      <c r="CU33" s="46">
        <v>1.0</v>
      </c>
      <c r="CV33" s="47">
        <v>0.0</v>
      </c>
      <c r="CW33" s="45"/>
      <c r="CX33" s="44">
        <f t="shared" si="29"/>
        <v>-0.0006466235791</v>
      </c>
      <c r="CY33" s="40"/>
      <c r="CZ33" s="40"/>
      <c r="DA33" s="42"/>
      <c r="DB33" s="41"/>
      <c r="DC33" s="40"/>
      <c r="DD33" s="48">
        <f t="shared" si="30"/>
        <v>109791.0986</v>
      </c>
      <c r="DE33" s="49">
        <f t="shared" si="31"/>
        <v>-0.0006466235791</v>
      </c>
      <c r="DF33" s="50"/>
      <c r="DG33" s="40"/>
      <c r="DH33" s="51">
        <f t="shared" si="32"/>
        <v>107754.3007</v>
      </c>
      <c r="DI33" s="52">
        <f t="shared" si="33"/>
        <v>-0.0006466235791</v>
      </c>
      <c r="DJ33" s="50"/>
      <c r="DK33" s="40"/>
      <c r="DL33" s="40"/>
      <c r="DM33" s="40"/>
      <c r="DN33" s="42"/>
      <c r="DO33" s="40"/>
      <c r="DP33" s="40"/>
      <c r="DQ33" s="42"/>
      <c r="DR33" s="40"/>
      <c r="DS33" s="40"/>
      <c r="DT33" s="40"/>
      <c r="DU33" s="40"/>
    </row>
    <row r="34" ht="13.5" customHeight="1">
      <c r="A34" s="27">
        <v>62.0</v>
      </c>
      <c r="B34" s="28">
        <f t="shared" si="2"/>
        <v>42489</v>
      </c>
      <c r="C34" s="29">
        <f t="shared" ref="C34:I34" si="414">indirect(CONCATENATE(C$2,"!$G$",$A34))</f>
        <v>171.9678067</v>
      </c>
      <c r="D34" s="29">
        <f t="shared" si="414"/>
        <v>31.69130332</v>
      </c>
      <c r="E34" s="29">
        <f t="shared" si="414"/>
        <v>30.60551349</v>
      </c>
      <c r="F34" s="29">
        <f t="shared" si="414"/>
        <v>72.93318143</v>
      </c>
      <c r="G34" s="29">
        <f t="shared" si="414"/>
        <v>79.74463189</v>
      </c>
      <c r="H34" s="29">
        <f t="shared" si="414"/>
        <v>100.7724789</v>
      </c>
      <c r="I34" s="29">
        <f t="shared" si="414"/>
        <v>102.5983308</v>
      </c>
      <c r="J34" s="30"/>
      <c r="K34" s="32">
        <f t="shared" ref="K34:Q34" si="415">C34/C33-1</f>
        <v>0.003500212134</v>
      </c>
      <c r="L34" s="32">
        <f t="shared" si="415"/>
        <v>0.02313266444</v>
      </c>
      <c r="M34" s="32">
        <f t="shared" si="415"/>
        <v>0.01012145749</v>
      </c>
      <c r="N34" s="32">
        <f t="shared" si="415"/>
        <v>0.004086292845</v>
      </c>
      <c r="O34" s="32">
        <f t="shared" si="415"/>
        <v>0.0003605630147</v>
      </c>
      <c r="P34" s="32">
        <f t="shared" si="415"/>
        <v>-0.001557712285</v>
      </c>
      <c r="Q34" s="32">
        <f t="shared" si="415"/>
        <v>0.01553873575</v>
      </c>
      <c r="R34" s="30"/>
      <c r="S34" s="32">
        <f t="shared" ref="S34:Y34" si="416">C34/C31-1</f>
        <v>0.07023338707</v>
      </c>
      <c r="T34" s="32">
        <f t="shared" si="416"/>
        <v>0.06292597065</v>
      </c>
      <c r="U34" s="32">
        <f t="shared" si="416"/>
        <v>0.1349562609</v>
      </c>
      <c r="V34" s="32">
        <f t="shared" si="416"/>
        <v>0.02153536879</v>
      </c>
      <c r="W34" s="32">
        <f t="shared" si="416"/>
        <v>0.002860458523</v>
      </c>
      <c r="X34" s="32">
        <f t="shared" si="416"/>
        <v>0.01262877289</v>
      </c>
      <c r="Y34" s="32">
        <f t="shared" si="416"/>
        <v>0.06334128959</v>
      </c>
      <c r="Z34" s="30"/>
      <c r="AA34" s="32">
        <f t="shared" ref="AA34:AG34" si="417">C34/C28-1</f>
        <v>0.004184006334</v>
      </c>
      <c r="AB34" s="32">
        <f t="shared" si="417"/>
        <v>-0.02479080511</v>
      </c>
      <c r="AC34" s="32">
        <f t="shared" si="417"/>
        <v>0.009207456478</v>
      </c>
      <c r="AD34" s="32">
        <f t="shared" si="417"/>
        <v>0.02792530575</v>
      </c>
      <c r="AE34" s="32">
        <f t="shared" si="417"/>
        <v>0.005295285289</v>
      </c>
      <c r="AF34" s="32">
        <f t="shared" si="417"/>
        <v>0.03718006069</v>
      </c>
      <c r="AG34" s="32">
        <f t="shared" si="417"/>
        <v>0.05149040773</v>
      </c>
      <c r="AH34" s="30"/>
      <c r="AI34" s="32">
        <f t="shared" ref="AI34:AO34" si="418">C34/C22-1</f>
        <v>0.01131894291</v>
      </c>
      <c r="AJ34" s="32">
        <f t="shared" si="418"/>
        <v>-0.08808353869</v>
      </c>
      <c r="AK34" s="32">
        <f t="shared" si="418"/>
        <v>-0.1804475682</v>
      </c>
      <c r="AL34" s="32">
        <f t="shared" si="418"/>
        <v>0.02638486146</v>
      </c>
      <c r="AM34" s="32">
        <f t="shared" si="418"/>
        <v>0.007518528699</v>
      </c>
      <c r="AN34" s="32">
        <f t="shared" si="418"/>
        <v>0.04190709954</v>
      </c>
      <c r="AO34" s="32">
        <f t="shared" si="418"/>
        <v>0.03817961508</v>
      </c>
      <c r="AP34" s="30"/>
      <c r="AQ34" s="32">
        <f t="shared" ref="AQ34:AW34" si="419">(12*K34+4*S34+2*AA34+AI34)/4</f>
        <v>0.08565576237</v>
      </c>
      <c r="AR34" s="32">
        <f t="shared" si="419"/>
        <v>0.09790767674</v>
      </c>
      <c r="AS34" s="32">
        <f t="shared" si="419"/>
        <v>0.1248124696</v>
      </c>
      <c r="AT34" s="32">
        <f t="shared" si="419"/>
        <v>0.05435311557</v>
      </c>
      <c r="AU34" s="33">
        <f t="shared" si="419"/>
        <v>0.008469422386</v>
      </c>
      <c r="AV34" s="32">
        <f t="shared" si="419"/>
        <v>0.03702244126</v>
      </c>
      <c r="AW34" s="32">
        <f t="shared" si="419"/>
        <v>0.1452476045</v>
      </c>
      <c r="AX34" s="30"/>
      <c r="AY34" s="34">
        <f t="shared" ref="AY34:BB34" si="420">rank(AQ34,$AQ34:$AT34)</f>
        <v>3</v>
      </c>
      <c r="AZ34" s="34">
        <f t="shared" si="420"/>
        <v>2</v>
      </c>
      <c r="BA34" s="34">
        <f t="shared" si="420"/>
        <v>1</v>
      </c>
      <c r="BB34" s="34">
        <f t="shared" si="420"/>
        <v>4</v>
      </c>
      <c r="BC34" s="35">
        <f t="shared" ref="BC34:BE34" si="421">rank(AU34,$AU34:$AW34)</f>
        <v>3</v>
      </c>
      <c r="BD34" s="34">
        <f t="shared" si="421"/>
        <v>2</v>
      </c>
      <c r="BE34" s="34">
        <f t="shared" si="421"/>
        <v>1</v>
      </c>
      <c r="BF34" s="30"/>
      <c r="BG34" s="36">
        <f t="shared" ref="BG34:BJ34" si="422">if(and($BQ34=0,AY34&lt;=2),0.5,0)</f>
        <v>0</v>
      </c>
      <c r="BH34" s="36">
        <f t="shared" si="422"/>
        <v>0.5</v>
      </c>
      <c r="BI34" s="36">
        <f t="shared" si="422"/>
        <v>0.5</v>
      </c>
      <c r="BJ34" s="36">
        <f t="shared" si="422"/>
        <v>0</v>
      </c>
      <c r="BK34" s="37">
        <f t="shared" ref="BK34:BM34" si="423">if(and($BQ34&gt;0,BC34=1),1,0)</f>
        <v>0</v>
      </c>
      <c r="BL34" s="36">
        <f t="shared" si="423"/>
        <v>0</v>
      </c>
      <c r="BM34" s="36">
        <f t="shared" si="423"/>
        <v>0</v>
      </c>
      <c r="BN34" s="38"/>
      <c r="BO34" s="22">
        <f t="shared" si="21"/>
        <v>1</v>
      </c>
      <c r="BP34" s="38"/>
      <c r="BQ34" s="39">
        <f t="shared" si="22"/>
        <v>0</v>
      </c>
      <c r="BR34" s="30"/>
      <c r="BS34" s="36">
        <f t="shared" ref="BS34:BV34" si="424">if(and($BQ34=0,AY34=1),1,0)</f>
        <v>0</v>
      </c>
      <c r="BT34" s="36">
        <f t="shared" si="424"/>
        <v>0</v>
      </c>
      <c r="BU34" s="36">
        <f t="shared" si="424"/>
        <v>1</v>
      </c>
      <c r="BV34" s="36">
        <f t="shared" si="424"/>
        <v>0</v>
      </c>
      <c r="BW34" s="37">
        <f t="shared" ref="BW34:BY34" si="425">if(and($BQ34&gt;0,BC34=1),1,0)</f>
        <v>0</v>
      </c>
      <c r="BX34" s="36">
        <f t="shared" si="425"/>
        <v>0</v>
      </c>
      <c r="BY34" s="36">
        <f t="shared" si="425"/>
        <v>0</v>
      </c>
      <c r="BZ34" s="38"/>
      <c r="CA34" s="22">
        <f t="shared" si="25"/>
        <v>1</v>
      </c>
      <c r="CB34" s="30"/>
      <c r="CC34" s="22">
        <f t="shared" ref="CC34:CI34" si="426">BG33*K34</f>
        <v>0.001750106067</v>
      </c>
      <c r="CD34" s="22">
        <f t="shared" si="426"/>
        <v>0</v>
      </c>
      <c r="CE34" s="22">
        <f t="shared" si="426"/>
        <v>0.005060728745</v>
      </c>
      <c r="CF34" s="22">
        <f t="shared" si="426"/>
        <v>0</v>
      </c>
      <c r="CG34" s="22">
        <f t="shared" si="426"/>
        <v>0</v>
      </c>
      <c r="CH34" s="22">
        <f t="shared" si="426"/>
        <v>0</v>
      </c>
      <c r="CI34" s="22">
        <f t="shared" si="426"/>
        <v>0</v>
      </c>
      <c r="CJ34" s="38"/>
      <c r="CK34" s="22">
        <f t="shared" ref="CK34:CQ34" si="427">BS33*K34</f>
        <v>0</v>
      </c>
      <c r="CL34" s="22">
        <f t="shared" si="427"/>
        <v>0</v>
      </c>
      <c r="CM34" s="22">
        <f t="shared" si="427"/>
        <v>0.01012145749</v>
      </c>
      <c r="CN34" s="22">
        <f t="shared" si="427"/>
        <v>0</v>
      </c>
      <c r="CO34" s="22">
        <f t="shared" si="427"/>
        <v>0</v>
      </c>
      <c r="CP34" s="22">
        <f t="shared" si="427"/>
        <v>0</v>
      </c>
      <c r="CQ34" s="22">
        <f t="shared" si="427"/>
        <v>0</v>
      </c>
      <c r="CR34" s="44">
        <f t="shared" si="28"/>
        <v>0.006810834812</v>
      </c>
      <c r="CS34" s="45"/>
      <c r="CT34" s="40"/>
      <c r="CU34" s="46">
        <v>1.0</v>
      </c>
      <c r="CV34" s="47">
        <v>0.0</v>
      </c>
      <c r="CW34" s="45"/>
      <c r="CX34" s="44">
        <f t="shared" si="29"/>
        <v>0.01012145749</v>
      </c>
      <c r="CY34" s="40"/>
      <c r="CZ34" s="40"/>
      <c r="DA34" s="42"/>
      <c r="DB34" s="41"/>
      <c r="DC34" s="40"/>
      <c r="DD34" s="48">
        <f t="shared" si="30"/>
        <v>110538.8676</v>
      </c>
      <c r="DE34" s="49">
        <f t="shared" si="31"/>
        <v>0.006810834812</v>
      </c>
      <c r="DF34" s="50"/>
      <c r="DG34" s="40"/>
      <c r="DH34" s="51">
        <f t="shared" si="32"/>
        <v>108844.9313</v>
      </c>
      <c r="DI34" s="52">
        <f t="shared" si="33"/>
        <v>0.01012145749</v>
      </c>
      <c r="DJ34" s="50"/>
      <c r="DK34" s="40"/>
      <c r="DL34" s="40"/>
      <c r="DM34" s="40"/>
      <c r="DN34" s="42"/>
      <c r="DO34" s="40"/>
      <c r="DP34" s="40"/>
      <c r="DQ34" s="42"/>
      <c r="DR34" s="40"/>
      <c r="DS34" s="40"/>
      <c r="DT34" s="40"/>
      <c r="DU34" s="40"/>
    </row>
    <row r="35" ht="13.5" customHeight="1">
      <c r="A35" s="27">
        <v>61.0</v>
      </c>
      <c r="B35" s="28">
        <f t="shared" si="2"/>
        <v>42521</v>
      </c>
      <c r="C35" s="29">
        <f t="shared" ref="C35:I35" si="428">indirect(CONCATENATE(C$2,"!$G$",$A35))</f>
        <v>174.9851047</v>
      </c>
      <c r="D35" s="29">
        <f t="shared" si="428"/>
        <v>31.59634164</v>
      </c>
      <c r="E35" s="29">
        <f t="shared" si="428"/>
        <v>29.61541243</v>
      </c>
      <c r="F35" s="29">
        <f t="shared" si="428"/>
        <v>72.92824034</v>
      </c>
      <c r="G35" s="29">
        <f t="shared" si="428"/>
        <v>79.64988632</v>
      </c>
      <c r="H35" s="29">
        <f t="shared" si="428"/>
        <v>100.6730614</v>
      </c>
      <c r="I35" s="29">
        <f t="shared" si="428"/>
        <v>102.0726125</v>
      </c>
      <c r="J35" s="30"/>
      <c r="K35" s="32">
        <f t="shared" ref="K35:Q35" si="429">C35/C34-1</f>
        <v>0.01754571398</v>
      </c>
      <c r="L35" s="32">
        <f t="shared" si="429"/>
        <v>-0.002996458731</v>
      </c>
      <c r="M35" s="32">
        <f t="shared" si="429"/>
        <v>-0.03235041512</v>
      </c>
      <c r="N35" s="32">
        <f t="shared" si="429"/>
        <v>-0.00006774815719</v>
      </c>
      <c r="O35" s="32">
        <f t="shared" si="429"/>
        <v>-0.001188112203</v>
      </c>
      <c r="P35" s="32">
        <f t="shared" si="429"/>
        <v>-0.0009865542118</v>
      </c>
      <c r="Q35" s="32">
        <f t="shared" si="429"/>
        <v>-0.005124043264</v>
      </c>
      <c r="R35" s="30"/>
      <c r="S35" s="32">
        <f t="shared" ref="S35:Y35" si="430">C35/C32-1</f>
        <v>0.09128298362</v>
      </c>
      <c r="T35" s="32">
        <f t="shared" si="430"/>
        <v>0.09346858397</v>
      </c>
      <c r="U35" s="32">
        <f t="shared" si="430"/>
        <v>0.1018137912</v>
      </c>
      <c r="V35" s="32">
        <f t="shared" si="430"/>
        <v>0.0128372989</v>
      </c>
      <c r="W35" s="32">
        <f t="shared" si="430"/>
        <v>0.0005468939101</v>
      </c>
      <c r="X35" s="32">
        <f t="shared" si="430"/>
        <v>-0.003187709119</v>
      </c>
      <c r="Y35" s="32">
        <f t="shared" si="430"/>
        <v>0.04687101468</v>
      </c>
      <c r="Z35" s="30"/>
      <c r="AA35" s="32">
        <f t="shared" ref="AA35:AG35" si="431">C35/C29-1</f>
        <v>0.01747820858</v>
      </c>
      <c r="AB35" s="32">
        <f t="shared" si="431"/>
        <v>-0.02024375442</v>
      </c>
      <c r="AC35" s="32">
        <f t="shared" si="431"/>
        <v>-0.0004899617184</v>
      </c>
      <c r="AD35" s="32">
        <f t="shared" si="431"/>
        <v>0.03190382057</v>
      </c>
      <c r="AE35" s="32">
        <f t="shared" si="431"/>
        <v>0.006699033271</v>
      </c>
      <c r="AF35" s="32">
        <f t="shared" si="431"/>
        <v>0.04060259216</v>
      </c>
      <c r="AG35" s="32">
        <f t="shared" si="431"/>
        <v>0.0477074324</v>
      </c>
      <c r="AH35" s="30"/>
      <c r="AI35" s="32">
        <f t="shared" ref="AI35:AO35" si="432">C35/C23-1</f>
        <v>0.01635220522</v>
      </c>
      <c r="AJ35" s="32">
        <f t="shared" si="432"/>
        <v>-0.09037630833</v>
      </c>
      <c r="AK35" s="32">
        <f t="shared" si="432"/>
        <v>-0.1777412106</v>
      </c>
      <c r="AL35" s="32">
        <f t="shared" si="432"/>
        <v>0.03143467997</v>
      </c>
      <c r="AM35" s="32">
        <f t="shared" si="432"/>
        <v>0.005903227181</v>
      </c>
      <c r="AN35" s="32">
        <f t="shared" si="432"/>
        <v>0.04521979433</v>
      </c>
      <c r="AO35" s="32">
        <f t="shared" si="432"/>
        <v>0.04454532178</v>
      </c>
      <c r="AP35" s="30"/>
      <c r="AQ35" s="32">
        <f t="shared" ref="AQ35:AW35" si="433">(12*K35+4*S35+2*AA35+AI35)/4</f>
        <v>0.1567472812</v>
      </c>
      <c r="AR35" s="32">
        <f t="shared" si="433"/>
        <v>0.05176325349</v>
      </c>
      <c r="AS35" s="32">
        <f t="shared" si="433"/>
        <v>-0.03991773763</v>
      </c>
      <c r="AT35" s="32">
        <f t="shared" si="433"/>
        <v>0.03644463471</v>
      </c>
      <c r="AU35" s="33">
        <f t="shared" si="433"/>
        <v>0.001807880733</v>
      </c>
      <c r="AV35" s="32">
        <f t="shared" si="433"/>
        <v>0.02545887291</v>
      </c>
      <c r="AW35" s="32">
        <f t="shared" si="433"/>
        <v>0.06648893154</v>
      </c>
      <c r="AX35" s="30"/>
      <c r="AY35" s="34">
        <f t="shared" ref="AY35:BB35" si="434">rank(AQ35,$AQ35:$AT35)</f>
        <v>1</v>
      </c>
      <c r="AZ35" s="34">
        <f t="shared" si="434"/>
        <v>2</v>
      </c>
      <c r="BA35" s="34">
        <f t="shared" si="434"/>
        <v>4</v>
      </c>
      <c r="BB35" s="34">
        <f t="shared" si="434"/>
        <v>3</v>
      </c>
      <c r="BC35" s="35">
        <f t="shared" ref="BC35:BE35" si="435">rank(AU35,$AU35:$AW35)</f>
        <v>3</v>
      </c>
      <c r="BD35" s="34">
        <f t="shared" si="435"/>
        <v>2</v>
      </c>
      <c r="BE35" s="34">
        <f t="shared" si="435"/>
        <v>1</v>
      </c>
      <c r="BF35" s="30"/>
      <c r="BG35" s="36">
        <f t="shared" ref="BG35:BJ35" si="436">if(and($BQ35=0,AY35&lt;=2),0.5,0)</f>
        <v>0</v>
      </c>
      <c r="BH35" s="36">
        <f t="shared" si="436"/>
        <v>0</v>
      </c>
      <c r="BI35" s="36">
        <f t="shared" si="436"/>
        <v>0</v>
      </c>
      <c r="BJ35" s="36">
        <f t="shared" si="436"/>
        <v>0</v>
      </c>
      <c r="BK35" s="37">
        <f t="shared" ref="BK35:BM35" si="437">if(and($BQ35&gt;0,BC35=1),1,0)</f>
        <v>0</v>
      </c>
      <c r="BL35" s="36">
        <f t="shared" si="437"/>
        <v>0</v>
      </c>
      <c r="BM35" s="36">
        <f t="shared" si="437"/>
        <v>1</v>
      </c>
      <c r="BN35" s="38"/>
      <c r="BO35" s="22">
        <f t="shared" si="21"/>
        <v>1</v>
      </c>
      <c r="BP35" s="38"/>
      <c r="BQ35" s="39">
        <f t="shared" si="22"/>
        <v>1</v>
      </c>
      <c r="BR35" s="30"/>
      <c r="BS35" s="36">
        <f t="shared" ref="BS35:BV35" si="438">if(and($BQ35=0,AY35=1),1,0)</f>
        <v>0</v>
      </c>
      <c r="BT35" s="36">
        <f t="shared" si="438"/>
        <v>0</v>
      </c>
      <c r="BU35" s="36">
        <f t="shared" si="438"/>
        <v>0</v>
      </c>
      <c r="BV35" s="36">
        <f t="shared" si="438"/>
        <v>0</v>
      </c>
      <c r="BW35" s="37">
        <f t="shared" ref="BW35:BY35" si="439">if(and($BQ35&gt;0,BC35=1),1,0)</f>
        <v>0</v>
      </c>
      <c r="BX35" s="36">
        <f t="shared" si="439"/>
        <v>0</v>
      </c>
      <c r="BY35" s="36">
        <f t="shared" si="439"/>
        <v>1</v>
      </c>
      <c r="BZ35" s="38"/>
      <c r="CA35" s="22">
        <f t="shared" si="25"/>
        <v>1</v>
      </c>
      <c r="CB35" s="30"/>
      <c r="CC35" s="22">
        <f t="shared" ref="CC35:CI35" si="440">BG34*K35</f>
        <v>0</v>
      </c>
      <c r="CD35" s="22">
        <f t="shared" si="440"/>
        <v>-0.001498229365</v>
      </c>
      <c r="CE35" s="22">
        <f t="shared" si="440"/>
        <v>-0.01617520756</v>
      </c>
      <c r="CF35" s="22">
        <f t="shared" si="440"/>
        <v>0</v>
      </c>
      <c r="CG35" s="22">
        <f t="shared" si="440"/>
        <v>0</v>
      </c>
      <c r="CH35" s="22">
        <f t="shared" si="440"/>
        <v>0</v>
      </c>
      <c r="CI35" s="22">
        <f t="shared" si="440"/>
        <v>0</v>
      </c>
      <c r="CJ35" s="38"/>
      <c r="CK35" s="22">
        <f t="shared" ref="CK35:CQ35" si="441">BS34*K35</f>
        <v>0</v>
      </c>
      <c r="CL35" s="22">
        <f t="shared" si="441"/>
        <v>0</v>
      </c>
      <c r="CM35" s="22">
        <f t="shared" si="441"/>
        <v>-0.03235041512</v>
      </c>
      <c r="CN35" s="22">
        <f t="shared" si="441"/>
        <v>0</v>
      </c>
      <c r="CO35" s="22">
        <f t="shared" si="441"/>
        <v>0</v>
      </c>
      <c r="CP35" s="22">
        <f t="shared" si="441"/>
        <v>0</v>
      </c>
      <c r="CQ35" s="22">
        <f t="shared" si="441"/>
        <v>0</v>
      </c>
      <c r="CR35" s="44">
        <f t="shared" si="28"/>
        <v>-0.01767343692</v>
      </c>
      <c r="CS35" s="45"/>
      <c r="CT35" s="40"/>
      <c r="CU35" s="46">
        <v>1.0</v>
      </c>
      <c r="CV35" s="47">
        <v>0.0</v>
      </c>
      <c r="CW35" s="45"/>
      <c r="CX35" s="44">
        <f t="shared" si="29"/>
        <v>-0.03235041512</v>
      </c>
      <c r="CY35" s="40"/>
      <c r="CZ35" s="40"/>
      <c r="DA35" s="42"/>
      <c r="DB35" s="41"/>
      <c r="DC35" s="40"/>
      <c r="DD35" s="48">
        <f t="shared" si="30"/>
        <v>108585.2659</v>
      </c>
      <c r="DE35" s="49">
        <f t="shared" si="31"/>
        <v>-0.01767343692</v>
      </c>
      <c r="DF35" s="50"/>
      <c r="DG35" s="40"/>
      <c r="DH35" s="51">
        <f t="shared" si="32"/>
        <v>105323.7526</v>
      </c>
      <c r="DI35" s="52">
        <f t="shared" si="33"/>
        <v>-0.03235041512</v>
      </c>
      <c r="DJ35" s="50"/>
      <c r="DK35" s="40"/>
      <c r="DL35" s="40"/>
      <c r="DM35" s="40"/>
      <c r="DN35" s="42"/>
      <c r="DO35" s="40"/>
      <c r="DP35" s="40"/>
      <c r="DQ35" s="42"/>
      <c r="DR35" s="40"/>
      <c r="DS35" s="40"/>
      <c r="DT35" s="40"/>
      <c r="DU35" s="40"/>
    </row>
    <row r="36" ht="13.5" customHeight="1">
      <c r="A36" s="27">
        <v>60.0</v>
      </c>
      <c r="B36" s="28">
        <f t="shared" si="2"/>
        <v>42551</v>
      </c>
      <c r="C36" s="29">
        <f t="shared" ref="C36:I36" si="442">indirect(CONCATENATE(C$2,"!$G$",$A36))</f>
        <v>175.546562</v>
      </c>
      <c r="D36" s="29">
        <f t="shared" si="442"/>
        <v>30.95160137</v>
      </c>
      <c r="E36" s="29">
        <f t="shared" si="442"/>
        <v>31.07416133</v>
      </c>
      <c r="F36" s="29">
        <f t="shared" si="442"/>
        <v>74.40136837</v>
      </c>
      <c r="G36" s="29">
        <f t="shared" si="442"/>
        <v>80.12941224</v>
      </c>
      <c r="H36" s="29">
        <f t="shared" si="442"/>
        <v>103.7819226</v>
      </c>
      <c r="I36" s="29">
        <f t="shared" si="442"/>
        <v>105.2267182</v>
      </c>
      <c r="J36" s="30"/>
      <c r="K36" s="32">
        <f t="shared" ref="K36:Q36" si="443">C36/C35-1</f>
        <v>0.00320860048</v>
      </c>
      <c r="L36" s="32">
        <f t="shared" si="443"/>
        <v>-0.02040553532</v>
      </c>
      <c r="M36" s="32">
        <f t="shared" si="443"/>
        <v>0.04925641026</v>
      </c>
      <c r="N36" s="32">
        <f t="shared" si="443"/>
        <v>0.02019969256</v>
      </c>
      <c r="O36" s="32">
        <f t="shared" si="443"/>
        <v>0.006020421901</v>
      </c>
      <c r="P36" s="32">
        <f t="shared" si="443"/>
        <v>0.03088076549</v>
      </c>
      <c r="Q36" s="32">
        <f t="shared" si="443"/>
        <v>0.03090060781</v>
      </c>
      <c r="R36" s="30"/>
      <c r="S36" s="32">
        <f t="shared" ref="S36:Y36" si="444">C36/C33-1</f>
        <v>0.02438366534</v>
      </c>
      <c r="T36" s="32">
        <f t="shared" si="444"/>
        <v>-0.0007481213097</v>
      </c>
      <c r="U36" s="32">
        <f t="shared" si="444"/>
        <v>0.02558897243</v>
      </c>
      <c r="V36" s="32">
        <f t="shared" si="444"/>
        <v>0.02429912818</v>
      </c>
      <c r="W36" s="32">
        <f t="shared" si="444"/>
        <v>0.005187459549</v>
      </c>
      <c r="X36" s="32">
        <f t="shared" si="444"/>
        <v>0.02825951432</v>
      </c>
      <c r="Y36" s="32">
        <f t="shared" si="444"/>
        <v>0.04155503912</v>
      </c>
      <c r="Z36" s="30"/>
      <c r="AA36" s="32">
        <f t="shared" ref="AA36:AG36" si="445">C36/C30-1</f>
        <v>0.03885342175</v>
      </c>
      <c r="AB36" s="32">
        <f t="shared" si="445"/>
        <v>-0.0192740452</v>
      </c>
      <c r="AC36" s="32">
        <f t="shared" si="445"/>
        <v>0.08610509584</v>
      </c>
      <c r="AD36" s="32">
        <f t="shared" si="445"/>
        <v>0.05461601287</v>
      </c>
      <c r="AE36" s="32">
        <f t="shared" si="445"/>
        <v>0.01426929274</v>
      </c>
      <c r="AF36" s="32">
        <f t="shared" si="445"/>
        <v>0.07763527531</v>
      </c>
      <c r="AG36" s="32">
        <f t="shared" si="445"/>
        <v>0.09192140372</v>
      </c>
      <c r="AH36" s="30"/>
      <c r="AI36" s="32">
        <f t="shared" ref="AI36:AO36" si="446">C36/C24-1</f>
        <v>0.03989200928</v>
      </c>
      <c r="AJ36" s="32">
        <f t="shared" si="446"/>
        <v>-0.08223333373</v>
      </c>
      <c r="AK36" s="32">
        <f t="shared" si="446"/>
        <v>-0.1147109853</v>
      </c>
      <c r="AL36" s="32">
        <f t="shared" si="446"/>
        <v>0.06409429975</v>
      </c>
      <c r="AM36" s="32">
        <f t="shared" si="446"/>
        <v>0.01163921523</v>
      </c>
      <c r="AN36" s="32">
        <f t="shared" si="446"/>
        <v>0.0953526282</v>
      </c>
      <c r="AO36" s="32">
        <f t="shared" si="446"/>
        <v>0.09747578921</v>
      </c>
      <c r="AP36" s="30"/>
      <c r="AQ36" s="32">
        <f t="shared" ref="AQ36:AW36" si="447">(12*K36+4*S36+2*AA36+AI36)/4</f>
        <v>0.06340917997</v>
      </c>
      <c r="AR36" s="32">
        <f t="shared" si="447"/>
        <v>-0.09216008329</v>
      </c>
      <c r="AS36" s="32">
        <f t="shared" si="447"/>
        <v>0.1877330048</v>
      </c>
      <c r="AT36" s="32">
        <f t="shared" si="447"/>
        <v>0.1282297872</v>
      </c>
      <c r="AU36" s="33">
        <f t="shared" si="447"/>
        <v>0.03329317543</v>
      </c>
      <c r="AV36" s="32">
        <f t="shared" si="447"/>
        <v>0.1835576055</v>
      </c>
      <c r="AW36" s="32">
        <f t="shared" si="447"/>
        <v>0.2045865117</v>
      </c>
      <c r="AX36" s="30"/>
      <c r="AY36" s="34">
        <f t="shared" ref="AY36:BB36" si="448">rank(AQ36,$AQ36:$AT36)</f>
        <v>3</v>
      </c>
      <c r="AZ36" s="34">
        <f t="shared" si="448"/>
        <v>4</v>
      </c>
      <c r="BA36" s="34">
        <f t="shared" si="448"/>
        <v>1</v>
      </c>
      <c r="BB36" s="34">
        <f t="shared" si="448"/>
        <v>2</v>
      </c>
      <c r="BC36" s="35">
        <f t="shared" ref="BC36:BE36" si="449">rank(AU36,$AU36:$AW36)</f>
        <v>3</v>
      </c>
      <c r="BD36" s="34">
        <f t="shared" si="449"/>
        <v>2</v>
      </c>
      <c r="BE36" s="34">
        <f t="shared" si="449"/>
        <v>1</v>
      </c>
      <c r="BF36" s="30"/>
      <c r="BG36" s="36">
        <f t="shared" ref="BG36:BJ36" si="450">if(and($BQ36=0,AY36&lt;=2),0.5,0)</f>
        <v>0</v>
      </c>
      <c r="BH36" s="36">
        <f t="shared" si="450"/>
        <v>0</v>
      </c>
      <c r="BI36" s="36">
        <f t="shared" si="450"/>
        <v>0</v>
      </c>
      <c r="BJ36" s="36">
        <f t="shared" si="450"/>
        <v>0</v>
      </c>
      <c r="BK36" s="37">
        <f t="shared" ref="BK36:BM36" si="451">if(and($BQ36&gt;0,BC36=1),1,0)</f>
        <v>0</v>
      </c>
      <c r="BL36" s="36">
        <f t="shared" si="451"/>
        <v>0</v>
      </c>
      <c r="BM36" s="36">
        <f t="shared" si="451"/>
        <v>1</v>
      </c>
      <c r="BN36" s="38"/>
      <c r="BO36" s="22">
        <f t="shared" si="21"/>
        <v>1</v>
      </c>
      <c r="BP36" s="38"/>
      <c r="BQ36" s="39">
        <f t="shared" si="22"/>
        <v>1</v>
      </c>
      <c r="BR36" s="30"/>
      <c r="BS36" s="36">
        <f t="shared" ref="BS36:BV36" si="452">if(and($BQ36=0,AY36=1),1,0)</f>
        <v>0</v>
      </c>
      <c r="BT36" s="36">
        <f t="shared" si="452"/>
        <v>0</v>
      </c>
      <c r="BU36" s="36">
        <f t="shared" si="452"/>
        <v>0</v>
      </c>
      <c r="BV36" s="36">
        <f t="shared" si="452"/>
        <v>0</v>
      </c>
      <c r="BW36" s="37">
        <f t="shared" ref="BW36:BY36" si="453">if(and($BQ36&gt;0,BC36=1),1,0)</f>
        <v>0</v>
      </c>
      <c r="BX36" s="36">
        <f t="shared" si="453"/>
        <v>0</v>
      </c>
      <c r="BY36" s="36">
        <f t="shared" si="453"/>
        <v>1</v>
      </c>
      <c r="BZ36" s="38"/>
      <c r="CA36" s="22">
        <f t="shared" si="25"/>
        <v>1</v>
      </c>
      <c r="CB36" s="30"/>
      <c r="CC36" s="22">
        <f t="shared" ref="CC36:CI36" si="454">BG35*K36</f>
        <v>0</v>
      </c>
      <c r="CD36" s="22">
        <f t="shared" si="454"/>
        <v>0</v>
      </c>
      <c r="CE36" s="22">
        <f t="shared" si="454"/>
        <v>0</v>
      </c>
      <c r="CF36" s="22">
        <f t="shared" si="454"/>
        <v>0</v>
      </c>
      <c r="CG36" s="22">
        <f t="shared" si="454"/>
        <v>0</v>
      </c>
      <c r="CH36" s="22">
        <f t="shared" si="454"/>
        <v>0</v>
      </c>
      <c r="CI36" s="22">
        <f t="shared" si="454"/>
        <v>0.03090060781</v>
      </c>
      <c r="CJ36" s="38"/>
      <c r="CK36" s="22">
        <f t="shared" ref="CK36:CQ36" si="455">BS35*K36</f>
        <v>0</v>
      </c>
      <c r="CL36" s="22">
        <f t="shared" si="455"/>
        <v>0</v>
      </c>
      <c r="CM36" s="22">
        <f t="shared" si="455"/>
        <v>0</v>
      </c>
      <c r="CN36" s="22">
        <f t="shared" si="455"/>
        <v>0</v>
      </c>
      <c r="CO36" s="22">
        <f t="shared" si="455"/>
        <v>0</v>
      </c>
      <c r="CP36" s="22">
        <f t="shared" si="455"/>
        <v>0</v>
      </c>
      <c r="CQ36" s="22">
        <f t="shared" si="455"/>
        <v>0.03090060781</v>
      </c>
      <c r="CR36" s="44">
        <f t="shared" si="28"/>
        <v>0.03090060781</v>
      </c>
      <c r="CS36" s="45"/>
      <c r="CT36" s="40"/>
      <c r="CU36" s="46">
        <v>1.0</v>
      </c>
      <c r="CV36" s="47">
        <v>0.0</v>
      </c>
      <c r="CW36" s="45"/>
      <c r="CX36" s="44">
        <f t="shared" si="29"/>
        <v>0.03090060781</v>
      </c>
      <c r="CY36" s="40"/>
      <c r="CZ36" s="40"/>
      <c r="DA36" s="42"/>
      <c r="DB36" s="41"/>
      <c r="DC36" s="40"/>
      <c r="DD36" s="48">
        <f t="shared" si="30"/>
        <v>111940.6167</v>
      </c>
      <c r="DE36" s="49">
        <f t="shared" si="31"/>
        <v>0.03090060781</v>
      </c>
      <c r="DF36" s="50"/>
      <c r="DG36" s="40"/>
      <c r="DH36" s="51">
        <f t="shared" si="32"/>
        <v>108578.3205</v>
      </c>
      <c r="DI36" s="52">
        <f t="shared" si="33"/>
        <v>0.03090060781</v>
      </c>
      <c r="DJ36" s="50"/>
      <c r="DK36" s="40"/>
      <c r="DL36" s="40"/>
      <c r="DM36" s="40"/>
      <c r="DN36" s="42"/>
      <c r="DO36" s="40"/>
      <c r="DP36" s="40"/>
      <c r="DQ36" s="42"/>
      <c r="DR36" s="40"/>
      <c r="DS36" s="40"/>
      <c r="DT36" s="40"/>
      <c r="DU36" s="40"/>
    </row>
    <row r="37" ht="13.5" customHeight="1">
      <c r="A37" s="27">
        <v>59.0</v>
      </c>
      <c r="B37" s="28">
        <f t="shared" si="2"/>
        <v>42580</v>
      </c>
      <c r="C37" s="29">
        <f t="shared" ref="C37:I37" si="456">indirect(CONCATENATE(C$2,"!$G$",$A37))</f>
        <v>182.0131055</v>
      </c>
      <c r="D37" s="29">
        <f t="shared" si="456"/>
        <v>32.23833367</v>
      </c>
      <c r="E37" s="29">
        <f t="shared" si="456"/>
        <v>32.67064819</v>
      </c>
      <c r="F37" s="29">
        <f t="shared" si="456"/>
        <v>74.84697166</v>
      </c>
      <c r="G37" s="29">
        <f t="shared" si="456"/>
        <v>80.09215907</v>
      </c>
      <c r="H37" s="29">
        <f t="shared" si="456"/>
        <v>104.0368808</v>
      </c>
      <c r="I37" s="29">
        <f t="shared" si="456"/>
        <v>106.5890354</v>
      </c>
      <c r="J37" s="30"/>
      <c r="K37" s="32">
        <f t="shared" ref="K37:Q37" si="457">C37/C36-1</f>
        <v>0.03683662851</v>
      </c>
      <c r="L37" s="32">
        <f t="shared" si="457"/>
        <v>0.04157239819</v>
      </c>
      <c r="M37" s="32">
        <f t="shared" si="457"/>
        <v>0.05137666761</v>
      </c>
      <c r="N37" s="32">
        <f t="shared" si="457"/>
        <v>0.005989181371</v>
      </c>
      <c r="O37" s="32">
        <f t="shared" si="457"/>
        <v>-0.0004649125573</v>
      </c>
      <c r="P37" s="32">
        <f t="shared" si="457"/>
        <v>0.002456672373</v>
      </c>
      <c r="Q37" s="32">
        <f t="shared" si="457"/>
        <v>0.01294649488</v>
      </c>
      <c r="R37" s="30"/>
      <c r="S37" s="32">
        <f t="shared" ref="S37:Y37" si="458">C37/C34-1</f>
        <v>0.05841383293</v>
      </c>
      <c r="T37" s="32">
        <f t="shared" si="458"/>
        <v>0.01726121339</v>
      </c>
      <c r="U37" s="32">
        <f t="shared" si="458"/>
        <v>0.06747590419</v>
      </c>
      <c r="V37" s="32">
        <f t="shared" si="458"/>
        <v>0.02624032295</v>
      </c>
      <c r="W37" s="32">
        <f t="shared" si="458"/>
        <v>0.004358000928</v>
      </c>
      <c r="X37" s="32">
        <f t="shared" si="458"/>
        <v>0.03239378354</v>
      </c>
      <c r="Y37" s="32">
        <f t="shared" si="458"/>
        <v>0.03889638963</v>
      </c>
      <c r="Z37" s="30"/>
      <c r="AA37" s="32">
        <f t="shared" ref="AA37:AG37" si="459">C37/C31-1</f>
        <v>0.1327498213</v>
      </c>
      <c r="AB37" s="32">
        <f t="shared" si="459"/>
        <v>0.08127336265</v>
      </c>
      <c r="AC37" s="32">
        <f t="shared" si="459"/>
        <v>0.2115384608</v>
      </c>
      <c r="AD37" s="32">
        <f t="shared" si="459"/>
        <v>0.04834078678</v>
      </c>
      <c r="AE37" s="32">
        <f t="shared" si="459"/>
        <v>0.007230925332</v>
      </c>
      <c r="AF37" s="32">
        <f t="shared" si="459"/>
        <v>0.04543165016</v>
      </c>
      <c r="AG37" s="32">
        <f t="shared" si="459"/>
        <v>0.1047014267</v>
      </c>
      <c r="AH37" s="30"/>
      <c r="AI37" s="32">
        <f t="shared" ref="AI37:AO37" si="460">C37/C25-1</f>
        <v>0.05523158284</v>
      </c>
      <c r="AJ37" s="32">
        <f t="shared" si="460"/>
        <v>-0.05786117442</v>
      </c>
      <c r="AK37" s="32">
        <f t="shared" si="460"/>
        <v>-0.007046761159</v>
      </c>
      <c r="AL37" s="32">
        <f t="shared" si="460"/>
        <v>0.06112701486</v>
      </c>
      <c r="AM37" s="32">
        <f t="shared" si="460"/>
        <v>0.01071978602</v>
      </c>
      <c r="AN37" s="32">
        <f t="shared" si="460"/>
        <v>0.08160675943</v>
      </c>
      <c r="AO37" s="32">
        <f t="shared" si="460"/>
        <v>0.1024978852</v>
      </c>
      <c r="AP37" s="30"/>
      <c r="AQ37" s="32">
        <f t="shared" ref="AQ37:AW37" si="461">(12*K37+4*S37+2*AA37+AI37)/4</f>
        <v>0.2491065249</v>
      </c>
      <c r="AR37" s="32">
        <f t="shared" si="461"/>
        <v>0.1681497957</v>
      </c>
      <c r="AS37" s="32">
        <f t="shared" si="461"/>
        <v>0.3256134472</v>
      </c>
      <c r="AT37" s="32">
        <f t="shared" si="461"/>
        <v>0.08366001417</v>
      </c>
      <c r="AU37" s="33">
        <f t="shared" si="461"/>
        <v>0.009258672427</v>
      </c>
      <c r="AV37" s="32">
        <f t="shared" si="461"/>
        <v>0.08288131559</v>
      </c>
      <c r="AW37" s="32">
        <f t="shared" si="461"/>
        <v>0.1557110589</v>
      </c>
      <c r="AX37" s="30"/>
      <c r="AY37" s="34">
        <f t="shared" ref="AY37:BB37" si="462">rank(AQ37,$AQ37:$AT37)</f>
        <v>2</v>
      </c>
      <c r="AZ37" s="34">
        <f t="shared" si="462"/>
        <v>3</v>
      </c>
      <c r="BA37" s="34">
        <f t="shared" si="462"/>
        <v>1</v>
      </c>
      <c r="BB37" s="34">
        <f t="shared" si="462"/>
        <v>4</v>
      </c>
      <c r="BC37" s="35">
        <f t="shared" ref="BC37:BE37" si="463">rank(AU37,$AU37:$AW37)</f>
        <v>3</v>
      </c>
      <c r="BD37" s="34">
        <f t="shared" si="463"/>
        <v>2</v>
      </c>
      <c r="BE37" s="34">
        <f t="shared" si="463"/>
        <v>1</v>
      </c>
      <c r="BF37" s="30"/>
      <c r="BG37" s="36">
        <f t="shared" ref="BG37:BJ37" si="464">if(and($BQ37=0,AY37&lt;=2),0.5,0)</f>
        <v>0.5</v>
      </c>
      <c r="BH37" s="36">
        <f t="shared" si="464"/>
        <v>0</v>
      </c>
      <c r="BI37" s="36">
        <f t="shared" si="464"/>
        <v>0.5</v>
      </c>
      <c r="BJ37" s="36">
        <f t="shared" si="464"/>
        <v>0</v>
      </c>
      <c r="BK37" s="37">
        <f t="shared" ref="BK37:BM37" si="465">if(and($BQ37&gt;0,BC37=1),1,0)</f>
        <v>0</v>
      </c>
      <c r="BL37" s="36">
        <f t="shared" si="465"/>
        <v>0</v>
      </c>
      <c r="BM37" s="36">
        <f t="shared" si="465"/>
        <v>0</v>
      </c>
      <c r="BN37" s="38"/>
      <c r="BO37" s="22">
        <f t="shared" si="21"/>
        <v>1</v>
      </c>
      <c r="BP37" s="38"/>
      <c r="BQ37" s="39">
        <f t="shared" si="22"/>
        <v>0</v>
      </c>
      <c r="BR37" s="30"/>
      <c r="BS37" s="36">
        <f t="shared" ref="BS37:BV37" si="466">if(and($BQ37=0,AY37=1),1,0)</f>
        <v>0</v>
      </c>
      <c r="BT37" s="36">
        <f t="shared" si="466"/>
        <v>0</v>
      </c>
      <c r="BU37" s="36">
        <f t="shared" si="466"/>
        <v>1</v>
      </c>
      <c r="BV37" s="36">
        <f t="shared" si="466"/>
        <v>0</v>
      </c>
      <c r="BW37" s="37">
        <f t="shared" ref="BW37:BY37" si="467">if(and($BQ37&gt;0,BC37=1),1,0)</f>
        <v>0</v>
      </c>
      <c r="BX37" s="36">
        <f t="shared" si="467"/>
        <v>0</v>
      </c>
      <c r="BY37" s="36">
        <f t="shared" si="467"/>
        <v>0</v>
      </c>
      <c r="BZ37" s="38"/>
      <c r="CA37" s="22">
        <f t="shared" si="25"/>
        <v>1</v>
      </c>
      <c r="CB37" s="30"/>
      <c r="CC37" s="22">
        <f t="shared" ref="CC37:CI37" si="468">BG36*K37</f>
        <v>0</v>
      </c>
      <c r="CD37" s="22">
        <f t="shared" si="468"/>
        <v>0</v>
      </c>
      <c r="CE37" s="22">
        <f t="shared" si="468"/>
        <v>0</v>
      </c>
      <c r="CF37" s="22">
        <f t="shared" si="468"/>
        <v>0</v>
      </c>
      <c r="CG37" s="22">
        <f t="shared" si="468"/>
        <v>0</v>
      </c>
      <c r="CH37" s="22">
        <f t="shared" si="468"/>
        <v>0</v>
      </c>
      <c r="CI37" s="22">
        <f t="shared" si="468"/>
        <v>0.01294649488</v>
      </c>
      <c r="CJ37" s="38"/>
      <c r="CK37" s="22">
        <f t="shared" ref="CK37:CQ37" si="469">BS36*K37</f>
        <v>0</v>
      </c>
      <c r="CL37" s="22">
        <f t="shared" si="469"/>
        <v>0</v>
      </c>
      <c r="CM37" s="22">
        <f t="shared" si="469"/>
        <v>0</v>
      </c>
      <c r="CN37" s="22">
        <f t="shared" si="469"/>
        <v>0</v>
      </c>
      <c r="CO37" s="22">
        <f t="shared" si="469"/>
        <v>0</v>
      </c>
      <c r="CP37" s="22">
        <f t="shared" si="469"/>
        <v>0</v>
      </c>
      <c r="CQ37" s="22">
        <f t="shared" si="469"/>
        <v>0.01294649488</v>
      </c>
      <c r="CR37" s="44">
        <f t="shared" si="28"/>
        <v>0.01294649488</v>
      </c>
      <c r="CS37" s="45"/>
      <c r="CT37" s="40"/>
      <c r="CU37" s="46">
        <v>1.0</v>
      </c>
      <c r="CV37" s="47">
        <v>0.0</v>
      </c>
      <c r="CW37" s="45"/>
      <c r="CX37" s="44">
        <f t="shared" si="29"/>
        <v>0.01294649488</v>
      </c>
      <c r="CY37" s="40"/>
      <c r="CZ37" s="40"/>
      <c r="DA37" s="42"/>
      <c r="DB37" s="41"/>
      <c r="DC37" s="40"/>
      <c r="DD37" s="48">
        <f t="shared" si="30"/>
        <v>113389.8553</v>
      </c>
      <c r="DE37" s="49">
        <f t="shared" si="31"/>
        <v>0.01294649488</v>
      </c>
      <c r="DF37" s="50"/>
      <c r="DG37" s="40"/>
      <c r="DH37" s="51">
        <f t="shared" si="32"/>
        <v>109984.0292</v>
      </c>
      <c r="DI37" s="52">
        <f t="shared" si="33"/>
        <v>0.01294649488</v>
      </c>
      <c r="DJ37" s="50"/>
      <c r="DK37" s="40"/>
      <c r="DL37" s="40"/>
      <c r="DM37" s="40"/>
      <c r="DN37" s="42"/>
      <c r="DO37" s="40"/>
      <c r="DP37" s="40"/>
      <c r="DQ37" s="42"/>
      <c r="DR37" s="40"/>
      <c r="DS37" s="40"/>
      <c r="DT37" s="40"/>
      <c r="DU37" s="40"/>
    </row>
    <row r="38" ht="13.5" customHeight="1">
      <c r="A38" s="27">
        <v>58.0</v>
      </c>
      <c r="B38" s="28">
        <f t="shared" si="2"/>
        <v>42613</v>
      </c>
      <c r="C38" s="29">
        <f t="shared" ref="C38:I38" si="470">indirect(CONCATENATE(C$2,"!$G$",$A38))</f>
        <v>182.2323103</v>
      </c>
      <c r="D38" s="29">
        <f t="shared" si="470"/>
        <v>32.36963289</v>
      </c>
      <c r="E38" s="29">
        <f t="shared" si="470"/>
        <v>32.9264389</v>
      </c>
      <c r="F38" s="29">
        <f t="shared" si="470"/>
        <v>74.61304304</v>
      </c>
      <c r="G38" s="29">
        <f t="shared" si="470"/>
        <v>79.90514111</v>
      </c>
      <c r="H38" s="29">
        <f t="shared" si="470"/>
        <v>102.9854318</v>
      </c>
      <c r="I38" s="29">
        <f t="shared" si="470"/>
        <v>106.782562</v>
      </c>
      <c r="J38" s="30"/>
      <c r="K38" s="32">
        <f t="shared" ref="K38:Q38" si="471">C38/C37-1</f>
        <v>0.001204335608</v>
      </c>
      <c r="L38" s="32">
        <f t="shared" si="471"/>
        <v>0.004072766766</v>
      </c>
      <c r="M38" s="32">
        <f t="shared" si="471"/>
        <v>0.00782937365</v>
      </c>
      <c r="N38" s="32">
        <f t="shared" si="471"/>
        <v>-0.003125425331</v>
      </c>
      <c r="O38" s="32">
        <f t="shared" si="471"/>
        <v>-0.002335034542</v>
      </c>
      <c r="P38" s="32">
        <f t="shared" si="471"/>
        <v>-0.01010650245</v>
      </c>
      <c r="Q38" s="32">
        <f t="shared" si="471"/>
        <v>0.001815632912</v>
      </c>
      <c r="R38" s="30"/>
      <c r="S38" s="32">
        <f t="shared" ref="S38:Y38" si="472">C38/C35-1</f>
        <v>0.04141612886</v>
      </c>
      <c r="T38" s="32">
        <f t="shared" si="472"/>
        <v>0.02447407534</v>
      </c>
      <c r="U38" s="32">
        <f t="shared" si="472"/>
        <v>0.111800789</v>
      </c>
      <c r="V38" s="32">
        <f t="shared" si="472"/>
        <v>0.02310219874</v>
      </c>
      <c r="W38" s="32">
        <f t="shared" si="472"/>
        <v>0.003204710061</v>
      </c>
      <c r="X38" s="32">
        <f t="shared" si="472"/>
        <v>0.02296910771</v>
      </c>
      <c r="Y38" s="32">
        <f t="shared" si="472"/>
        <v>0.04614312675</v>
      </c>
      <c r="Z38" s="30"/>
      <c r="AA38" s="32">
        <f t="shared" ref="AA38:AG38" si="473">C38/C32-1</f>
        <v>0.1364797003</v>
      </c>
      <c r="AB38" s="32">
        <f t="shared" si="473"/>
        <v>0.1202302165</v>
      </c>
      <c r="AC38" s="32">
        <f t="shared" si="473"/>
        <v>0.2249974424</v>
      </c>
      <c r="AD38" s="32">
        <f t="shared" si="473"/>
        <v>0.03623606747</v>
      </c>
      <c r="AE38" s="32">
        <f t="shared" si="473"/>
        <v>0.003753356607</v>
      </c>
      <c r="AF38" s="32">
        <f t="shared" si="473"/>
        <v>0.01970817976</v>
      </c>
      <c r="AG38" s="32">
        <f t="shared" si="473"/>
        <v>0.09517691661</v>
      </c>
      <c r="AH38" s="30"/>
      <c r="AI38" s="32">
        <f t="shared" ref="AI38:AO38" si="474">C38/C26-1</f>
        <v>0.1255708961</v>
      </c>
      <c r="AJ38" s="32">
        <f t="shared" si="474"/>
        <v>0.0197377266</v>
      </c>
      <c r="AK38" s="32">
        <f t="shared" si="474"/>
        <v>0.110245383</v>
      </c>
      <c r="AL38" s="32">
        <f t="shared" si="474"/>
        <v>0.06042926628</v>
      </c>
      <c r="AM38" s="32">
        <f t="shared" si="474"/>
        <v>0.008858875945</v>
      </c>
      <c r="AN38" s="32">
        <f t="shared" si="474"/>
        <v>0.06983282581</v>
      </c>
      <c r="AO38" s="32">
        <f t="shared" si="474"/>
        <v>0.1137268879</v>
      </c>
      <c r="AP38" s="30"/>
      <c r="AQ38" s="32">
        <f t="shared" ref="AQ38:AW38" si="475">(12*K38+4*S38+2*AA38+AI38)/4</f>
        <v>0.1446617099</v>
      </c>
      <c r="AR38" s="32">
        <f t="shared" si="475"/>
        <v>0.1017419155</v>
      </c>
      <c r="AS38" s="32">
        <f t="shared" si="475"/>
        <v>0.2753489769</v>
      </c>
      <c r="AT38" s="32">
        <f t="shared" si="475"/>
        <v>0.04695127305</v>
      </c>
      <c r="AU38" s="33">
        <f t="shared" si="475"/>
        <v>0.000291003725</v>
      </c>
      <c r="AV38" s="32">
        <f t="shared" si="475"/>
        <v>0.01996189669</v>
      </c>
      <c r="AW38" s="32">
        <f t="shared" si="475"/>
        <v>0.1276102058</v>
      </c>
      <c r="AX38" s="30"/>
      <c r="AY38" s="34">
        <f t="shared" ref="AY38:BB38" si="476">rank(AQ38,$AQ38:$AT38)</f>
        <v>2</v>
      </c>
      <c r="AZ38" s="34">
        <f t="shared" si="476"/>
        <v>3</v>
      </c>
      <c r="BA38" s="34">
        <f t="shared" si="476"/>
        <v>1</v>
      </c>
      <c r="BB38" s="34">
        <f t="shared" si="476"/>
        <v>4</v>
      </c>
      <c r="BC38" s="35">
        <f t="shared" ref="BC38:BE38" si="477">rank(AU38,$AU38:$AW38)</f>
        <v>3</v>
      </c>
      <c r="BD38" s="34">
        <f t="shared" si="477"/>
        <v>2</v>
      </c>
      <c r="BE38" s="34">
        <f t="shared" si="477"/>
        <v>1</v>
      </c>
      <c r="BF38" s="30"/>
      <c r="BG38" s="36">
        <f t="shared" ref="BG38:BJ38" si="478">if(and($BQ38=0,AY38&lt;=2),0.5,0)</f>
        <v>0.5</v>
      </c>
      <c r="BH38" s="36">
        <f t="shared" si="478"/>
        <v>0</v>
      </c>
      <c r="BI38" s="36">
        <f t="shared" si="478"/>
        <v>0.5</v>
      </c>
      <c r="BJ38" s="36">
        <f t="shared" si="478"/>
        <v>0</v>
      </c>
      <c r="BK38" s="37">
        <f t="shared" ref="BK38:BM38" si="479">if(and($BQ38&gt;0,BC38=1),1,0)</f>
        <v>0</v>
      </c>
      <c r="BL38" s="36">
        <f t="shared" si="479"/>
        <v>0</v>
      </c>
      <c r="BM38" s="36">
        <f t="shared" si="479"/>
        <v>0</v>
      </c>
      <c r="BN38" s="38"/>
      <c r="BO38" s="22">
        <f t="shared" si="21"/>
        <v>1</v>
      </c>
      <c r="BP38" s="38"/>
      <c r="BQ38" s="39">
        <f t="shared" si="22"/>
        <v>0</v>
      </c>
      <c r="BR38" s="30"/>
      <c r="BS38" s="36">
        <f t="shared" ref="BS38:BV38" si="480">if(and($BQ38=0,AY38=1),1,0)</f>
        <v>0</v>
      </c>
      <c r="BT38" s="36">
        <f t="shared" si="480"/>
        <v>0</v>
      </c>
      <c r="BU38" s="36">
        <f t="shared" si="480"/>
        <v>1</v>
      </c>
      <c r="BV38" s="36">
        <f t="shared" si="480"/>
        <v>0</v>
      </c>
      <c r="BW38" s="37">
        <f t="shared" ref="BW38:BY38" si="481">if(and($BQ38&gt;0,BC38=1),1,0)</f>
        <v>0</v>
      </c>
      <c r="BX38" s="36">
        <f t="shared" si="481"/>
        <v>0</v>
      </c>
      <c r="BY38" s="36">
        <f t="shared" si="481"/>
        <v>0</v>
      </c>
      <c r="BZ38" s="38"/>
      <c r="CA38" s="22">
        <f t="shared" si="25"/>
        <v>1</v>
      </c>
      <c r="CB38" s="30"/>
      <c r="CC38" s="22">
        <f t="shared" ref="CC38:CI38" si="482">BG37*K38</f>
        <v>0.0006021678041</v>
      </c>
      <c r="CD38" s="22">
        <f t="shared" si="482"/>
        <v>0</v>
      </c>
      <c r="CE38" s="22">
        <f t="shared" si="482"/>
        <v>0.003914686825</v>
      </c>
      <c r="CF38" s="22">
        <f t="shared" si="482"/>
        <v>0</v>
      </c>
      <c r="CG38" s="22">
        <f t="shared" si="482"/>
        <v>0</v>
      </c>
      <c r="CH38" s="22">
        <f t="shared" si="482"/>
        <v>0</v>
      </c>
      <c r="CI38" s="22">
        <f t="shared" si="482"/>
        <v>0</v>
      </c>
      <c r="CJ38" s="38"/>
      <c r="CK38" s="22">
        <f t="shared" ref="CK38:CQ38" si="483">BS37*K38</f>
        <v>0</v>
      </c>
      <c r="CL38" s="22">
        <f t="shared" si="483"/>
        <v>0</v>
      </c>
      <c r="CM38" s="22">
        <f t="shared" si="483"/>
        <v>0.00782937365</v>
      </c>
      <c r="CN38" s="22">
        <f t="shared" si="483"/>
        <v>0</v>
      </c>
      <c r="CO38" s="22">
        <f t="shared" si="483"/>
        <v>0</v>
      </c>
      <c r="CP38" s="22">
        <f t="shared" si="483"/>
        <v>0</v>
      </c>
      <c r="CQ38" s="22">
        <f t="shared" si="483"/>
        <v>0</v>
      </c>
      <c r="CR38" s="44">
        <f t="shared" si="28"/>
        <v>0.004516854629</v>
      </c>
      <c r="CS38" s="45"/>
      <c r="CT38" s="40"/>
      <c r="CU38" s="46">
        <v>1.0</v>
      </c>
      <c r="CV38" s="47">
        <v>0.0</v>
      </c>
      <c r="CW38" s="45"/>
      <c r="CX38" s="44">
        <f t="shared" si="29"/>
        <v>0.00782937365</v>
      </c>
      <c r="CY38" s="40"/>
      <c r="CZ38" s="40"/>
      <c r="DA38" s="42"/>
      <c r="DB38" s="41"/>
      <c r="DC38" s="40"/>
      <c r="DD38" s="53">
        <f t="shared" si="30"/>
        <v>113902.0208</v>
      </c>
      <c r="DE38" s="54">
        <f t="shared" si="31"/>
        <v>0.004516854629</v>
      </c>
      <c r="DF38" s="55">
        <f>DD38/DD26-1</f>
        <v>0.05570223204</v>
      </c>
      <c r="DG38" s="40"/>
      <c r="DH38" s="51">
        <f t="shared" si="32"/>
        <v>110845.1353</v>
      </c>
      <c r="DI38" s="52">
        <f t="shared" si="33"/>
        <v>0.00782937365</v>
      </c>
      <c r="DJ38" s="55">
        <f>DH38/DH26-1</f>
        <v>0.04678903884</v>
      </c>
      <c r="DK38" s="40"/>
      <c r="DL38" s="40"/>
      <c r="DM38" s="40"/>
      <c r="DN38" s="42"/>
      <c r="DO38" s="40"/>
      <c r="DP38" s="40"/>
      <c r="DQ38" s="42"/>
      <c r="DR38" s="40"/>
      <c r="DS38" s="40"/>
      <c r="DT38" s="40"/>
      <c r="DU38" s="40"/>
    </row>
    <row r="39" ht="13.5" customHeight="1">
      <c r="A39" s="27">
        <v>57.0</v>
      </c>
      <c r="B39" s="28">
        <f t="shared" si="2"/>
        <v>42643</v>
      </c>
      <c r="C39" s="29">
        <f t="shared" ref="C39:I39" si="484">indirect(CONCATENATE(C$2,"!$G$",$A39))</f>
        <v>182.2969075</v>
      </c>
      <c r="D39" s="29">
        <f t="shared" si="484"/>
        <v>32.90311153</v>
      </c>
      <c r="E39" s="29">
        <f t="shared" si="484"/>
        <v>33.60205638</v>
      </c>
      <c r="F39" s="29">
        <f t="shared" si="484"/>
        <v>74.69798422</v>
      </c>
      <c r="G39" s="29">
        <f t="shared" si="484"/>
        <v>80.00867294</v>
      </c>
      <c r="H39" s="29">
        <f t="shared" si="484"/>
        <v>103.2301359</v>
      </c>
      <c r="I39" s="29">
        <f t="shared" si="484"/>
        <v>106.4453765</v>
      </c>
      <c r="J39" s="30"/>
      <c r="K39" s="32">
        <f t="shared" ref="K39:Q39" si="485">C39/C38-1</f>
        <v>0.0003544771442</v>
      </c>
      <c r="L39" s="32">
        <f t="shared" si="485"/>
        <v>0.0164808369</v>
      </c>
      <c r="M39" s="32">
        <f t="shared" si="485"/>
        <v>0.02051899634</v>
      </c>
      <c r="N39" s="32">
        <f t="shared" si="485"/>
        <v>0.001138422677</v>
      </c>
      <c r="O39" s="32">
        <f t="shared" si="485"/>
        <v>0.001295684224</v>
      </c>
      <c r="P39" s="32">
        <f t="shared" si="485"/>
        <v>0.002376104066</v>
      </c>
      <c r="Q39" s="32">
        <f t="shared" si="485"/>
        <v>-0.003157682906</v>
      </c>
      <c r="R39" s="30"/>
      <c r="S39" s="32">
        <f t="shared" ref="S39:Y39" si="486">C39/C36-1</f>
        <v>0.03845330531</v>
      </c>
      <c r="T39" s="32">
        <f t="shared" si="486"/>
        <v>0.06305037751</v>
      </c>
      <c r="U39" s="32">
        <f t="shared" si="486"/>
        <v>0.08135038698</v>
      </c>
      <c r="V39" s="32">
        <f t="shared" si="486"/>
        <v>0.003986698833</v>
      </c>
      <c r="W39" s="32">
        <f t="shared" si="486"/>
        <v>-0.001506803729</v>
      </c>
      <c r="X39" s="32">
        <f t="shared" si="486"/>
        <v>-0.005316790167</v>
      </c>
      <c r="Y39" s="32">
        <f t="shared" si="486"/>
        <v>0.01158126262</v>
      </c>
      <c r="Z39" s="30"/>
      <c r="AA39" s="32">
        <f t="shared" ref="AA39:AG39" si="487">C39/C33-1</f>
        <v>0.06377460317</v>
      </c>
      <c r="AB39" s="32">
        <f t="shared" si="487"/>
        <v>0.06225508687</v>
      </c>
      <c r="AC39" s="32">
        <f t="shared" si="487"/>
        <v>0.1090210322</v>
      </c>
      <c r="AD39" s="32">
        <f t="shared" si="487"/>
        <v>0.02838270032</v>
      </c>
      <c r="AE39" s="32">
        <f t="shared" si="487"/>
        <v>0.003672839337</v>
      </c>
      <c r="AF39" s="32">
        <f t="shared" si="487"/>
        <v>0.02279247424</v>
      </c>
      <c r="AG39" s="32">
        <f t="shared" si="487"/>
        <v>0.05361756157</v>
      </c>
      <c r="AH39" s="30"/>
      <c r="AI39" s="32">
        <f t="shared" ref="AI39:AO39" si="488">C39/C27-1</f>
        <v>0.15446485</v>
      </c>
      <c r="AJ39" s="32">
        <f t="shared" si="488"/>
        <v>0.08068088481</v>
      </c>
      <c r="AK39" s="32">
        <f t="shared" si="488"/>
        <v>0.1666162341</v>
      </c>
      <c r="AL39" s="32">
        <f t="shared" si="488"/>
        <v>0.05310944884</v>
      </c>
      <c r="AM39" s="32">
        <f t="shared" si="488"/>
        <v>0.00719727443</v>
      </c>
      <c r="AN39" s="32">
        <f t="shared" si="488"/>
        <v>0.05570956852</v>
      </c>
      <c r="AO39" s="32">
        <f t="shared" si="488"/>
        <v>0.09717663395</v>
      </c>
      <c r="AP39" s="30"/>
      <c r="AQ39" s="32">
        <f t="shared" ref="AQ39:AW39" si="489">(12*K39+4*S39+2*AA39+AI39)/4</f>
        <v>0.1100202508</v>
      </c>
      <c r="AR39" s="32">
        <f t="shared" si="489"/>
        <v>0.1637906529</v>
      </c>
      <c r="AS39" s="32">
        <f t="shared" si="489"/>
        <v>0.2390719506</v>
      </c>
      <c r="AT39" s="32">
        <f t="shared" si="489"/>
        <v>0.03487067924</v>
      </c>
      <c r="AU39" s="33">
        <f t="shared" si="489"/>
        <v>0.00601598722</v>
      </c>
      <c r="AV39" s="32">
        <f t="shared" si="489"/>
        <v>0.02713515128</v>
      </c>
      <c r="AW39" s="32">
        <f t="shared" si="489"/>
        <v>0.05321115318</v>
      </c>
      <c r="AX39" s="30"/>
      <c r="AY39" s="34">
        <f t="shared" ref="AY39:BB39" si="490">rank(AQ39,$AQ39:$AT39)</f>
        <v>3</v>
      </c>
      <c r="AZ39" s="34">
        <f t="shared" si="490"/>
        <v>2</v>
      </c>
      <c r="BA39" s="34">
        <f t="shared" si="490"/>
        <v>1</v>
      </c>
      <c r="BB39" s="34">
        <f t="shared" si="490"/>
        <v>4</v>
      </c>
      <c r="BC39" s="35">
        <f t="shared" ref="BC39:BE39" si="491">rank(AU39,$AU39:$AW39)</f>
        <v>3</v>
      </c>
      <c r="BD39" s="34">
        <f t="shared" si="491"/>
        <v>2</v>
      </c>
      <c r="BE39" s="34">
        <f t="shared" si="491"/>
        <v>1</v>
      </c>
      <c r="BF39" s="30"/>
      <c r="BG39" s="36">
        <f t="shared" ref="BG39:BJ39" si="492">if(and($BQ39=0,AY39&lt;=2),0.5,0)</f>
        <v>0</v>
      </c>
      <c r="BH39" s="36">
        <f t="shared" si="492"/>
        <v>0.5</v>
      </c>
      <c r="BI39" s="36">
        <f t="shared" si="492"/>
        <v>0.5</v>
      </c>
      <c r="BJ39" s="36">
        <f t="shared" si="492"/>
        <v>0</v>
      </c>
      <c r="BK39" s="37">
        <f t="shared" ref="BK39:BM39" si="493">if(and($BQ39&gt;0,BC39=1),1,0)</f>
        <v>0</v>
      </c>
      <c r="BL39" s="36">
        <f t="shared" si="493"/>
        <v>0</v>
      </c>
      <c r="BM39" s="36">
        <f t="shared" si="493"/>
        <v>0</v>
      </c>
      <c r="BN39" s="38"/>
      <c r="BO39" s="22">
        <f t="shared" si="21"/>
        <v>1</v>
      </c>
      <c r="BP39" s="38"/>
      <c r="BQ39" s="39">
        <f t="shared" si="22"/>
        <v>0</v>
      </c>
      <c r="BR39" s="30"/>
      <c r="BS39" s="36">
        <f t="shared" ref="BS39:BV39" si="494">if(and($BQ39=0,AY39=1),1,0)</f>
        <v>0</v>
      </c>
      <c r="BT39" s="36">
        <f t="shared" si="494"/>
        <v>0</v>
      </c>
      <c r="BU39" s="36">
        <f t="shared" si="494"/>
        <v>1</v>
      </c>
      <c r="BV39" s="36">
        <f t="shared" si="494"/>
        <v>0</v>
      </c>
      <c r="BW39" s="37">
        <f t="shared" ref="BW39:BY39" si="495">if(and($BQ39&gt;0,BC39=1),1,0)</f>
        <v>0</v>
      </c>
      <c r="BX39" s="36">
        <f t="shared" si="495"/>
        <v>0</v>
      </c>
      <c r="BY39" s="36">
        <f t="shared" si="495"/>
        <v>0</v>
      </c>
      <c r="BZ39" s="38"/>
      <c r="CA39" s="22">
        <f t="shared" si="25"/>
        <v>1</v>
      </c>
      <c r="CB39" s="30"/>
      <c r="CC39" s="22">
        <f t="shared" ref="CC39:CI39" si="496">BG38*K39</f>
        <v>0.0001772385721</v>
      </c>
      <c r="CD39" s="22">
        <f t="shared" si="496"/>
        <v>0</v>
      </c>
      <c r="CE39" s="22">
        <f t="shared" si="496"/>
        <v>0.01025949817</v>
      </c>
      <c r="CF39" s="22">
        <f t="shared" si="496"/>
        <v>0</v>
      </c>
      <c r="CG39" s="22">
        <f t="shared" si="496"/>
        <v>0</v>
      </c>
      <c r="CH39" s="22">
        <f t="shared" si="496"/>
        <v>0</v>
      </c>
      <c r="CI39" s="22">
        <f t="shared" si="496"/>
        <v>0</v>
      </c>
      <c r="CJ39" s="38"/>
      <c r="CK39" s="22">
        <f t="shared" ref="CK39:CQ39" si="497">BS38*K39</f>
        <v>0</v>
      </c>
      <c r="CL39" s="22">
        <f t="shared" si="497"/>
        <v>0</v>
      </c>
      <c r="CM39" s="22">
        <f t="shared" si="497"/>
        <v>0.02051899634</v>
      </c>
      <c r="CN39" s="22">
        <f t="shared" si="497"/>
        <v>0</v>
      </c>
      <c r="CO39" s="22">
        <f t="shared" si="497"/>
        <v>0</v>
      </c>
      <c r="CP39" s="22">
        <f t="shared" si="497"/>
        <v>0</v>
      </c>
      <c r="CQ39" s="22">
        <f t="shared" si="497"/>
        <v>0</v>
      </c>
      <c r="CR39" s="44">
        <f t="shared" si="28"/>
        <v>0.01043673674</v>
      </c>
      <c r="CS39" s="45"/>
      <c r="CT39" s="40"/>
      <c r="CU39" s="46">
        <v>1.0</v>
      </c>
      <c r="CV39" s="47">
        <v>0.0</v>
      </c>
      <c r="CW39" s="45"/>
      <c r="CX39" s="44">
        <f t="shared" si="29"/>
        <v>0.02051899634</v>
      </c>
      <c r="CY39" s="40"/>
      <c r="CZ39" s="40"/>
      <c r="DA39" s="42"/>
      <c r="DB39" s="41"/>
      <c r="DC39" s="40"/>
      <c r="DD39" s="48">
        <f t="shared" si="30"/>
        <v>115090.7862</v>
      </c>
      <c r="DE39" s="49">
        <f t="shared" si="31"/>
        <v>0.01043673674</v>
      </c>
      <c r="DF39" s="50"/>
      <c r="DG39" s="40"/>
      <c r="DH39" s="51">
        <f t="shared" si="32"/>
        <v>113119.5662</v>
      </c>
      <c r="DI39" s="52">
        <f t="shared" si="33"/>
        <v>0.02051899634</v>
      </c>
      <c r="DJ39" s="50"/>
      <c r="DK39" s="40"/>
      <c r="DL39" s="40"/>
      <c r="DM39" s="40"/>
      <c r="DN39" s="42"/>
      <c r="DO39" s="40"/>
      <c r="DP39" s="40"/>
      <c r="DQ39" s="42"/>
      <c r="DR39" s="40"/>
      <c r="DS39" s="40"/>
      <c r="DT39" s="40"/>
      <c r="DU39" s="40"/>
    </row>
    <row r="40" ht="13.5" customHeight="1">
      <c r="A40" s="27">
        <v>56.0</v>
      </c>
      <c r="B40" s="28">
        <f t="shared" si="2"/>
        <v>42674</v>
      </c>
      <c r="C40" s="29">
        <f t="shared" ref="C40:I40" si="498">indirect(CONCATENATE(C$2,"!$G$",$A40))</f>
        <v>179.0306284</v>
      </c>
      <c r="D40" s="29">
        <f t="shared" si="498"/>
        <v>32.11153707</v>
      </c>
      <c r="E40" s="29">
        <f t="shared" si="498"/>
        <v>33.70921149</v>
      </c>
      <c r="F40" s="29">
        <f t="shared" si="498"/>
        <v>73.99592564</v>
      </c>
      <c r="G40" s="29">
        <f t="shared" si="498"/>
        <v>79.96979461</v>
      </c>
      <c r="H40" s="29">
        <f t="shared" si="498"/>
        <v>101.6874127</v>
      </c>
      <c r="I40" s="29">
        <f t="shared" si="498"/>
        <v>104.8188085</v>
      </c>
      <c r="J40" s="30"/>
      <c r="K40" s="32">
        <f t="shared" ref="K40:Q40" si="499">C40/C39-1</f>
        <v>-0.0179173587</v>
      </c>
      <c r="L40" s="32">
        <f t="shared" si="499"/>
        <v>-0.02405773857</v>
      </c>
      <c r="M40" s="32">
        <f t="shared" si="499"/>
        <v>0.003188944991</v>
      </c>
      <c r="N40" s="32">
        <f t="shared" si="499"/>
        <v>-0.009398628229</v>
      </c>
      <c r="O40" s="32">
        <f t="shared" si="499"/>
        <v>-0.0004859265071</v>
      </c>
      <c r="P40" s="32">
        <f t="shared" si="499"/>
        <v>-0.01494450456</v>
      </c>
      <c r="Q40" s="32">
        <f t="shared" si="499"/>
        <v>-0.01528077642</v>
      </c>
      <c r="R40" s="30"/>
      <c r="S40" s="32">
        <f t="shared" ref="S40:Y40" si="500">C40/C37-1</f>
        <v>-0.01638605649</v>
      </c>
      <c r="T40" s="32">
        <f t="shared" si="500"/>
        <v>-0.00393310034</v>
      </c>
      <c r="U40" s="32">
        <f t="shared" si="500"/>
        <v>0.03178887956</v>
      </c>
      <c r="V40" s="32">
        <f t="shared" si="500"/>
        <v>-0.0113704804</v>
      </c>
      <c r="W40" s="32">
        <f t="shared" si="500"/>
        <v>-0.001527795774</v>
      </c>
      <c r="X40" s="32">
        <f t="shared" si="500"/>
        <v>-0.02258303119</v>
      </c>
      <c r="Y40" s="32">
        <f t="shared" si="500"/>
        <v>-0.01660796443</v>
      </c>
      <c r="Z40" s="30"/>
      <c r="AA40" s="32">
        <f t="shared" ref="AA40:AG40" si="501">C40/C34-1</f>
        <v>0.04107060407</v>
      </c>
      <c r="AB40" s="32">
        <f t="shared" si="501"/>
        <v>0.01326022296</v>
      </c>
      <c r="AC40" s="32">
        <f t="shared" si="501"/>
        <v>0.1014097671</v>
      </c>
      <c r="AD40" s="32">
        <f t="shared" si="501"/>
        <v>0.01457147748</v>
      </c>
      <c r="AE40" s="32">
        <f t="shared" si="501"/>
        <v>0.002823547018</v>
      </c>
      <c r="AF40" s="32">
        <f t="shared" si="501"/>
        <v>0.00907920252</v>
      </c>
      <c r="AG40" s="32">
        <f t="shared" si="501"/>
        <v>0.02164243535</v>
      </c>
      <c r="AH40" s="30"/>
      <c r="AI40" s="32">
        <f t="shared" ref="AI40:AO40" si="502">C40/C28-1</f>
        <v>0.04542645007</v>
      </c>
      <c r="AJ40" s="32">
        <f t="shared" si="502"/>
        <v>-0.01185931375</v>
      </c>
      <c r="AK40" s="32">
        <f t="shared" si="502"/>
        <v>0.1115509496</v>
      </c>
      <c r="AL40" s="32">
        <f t="shared" si="502"/>
        <v>0.04290369619</v>
      </c>
      <c r="AM40" s="32">
        <f t="shared" si="502"/>
        <v>0.008133783794</v>
      </c>
      <c r="AN40" s="32">
        <f t="shared" si="502"/>
        <v>0.04659682851</v>
      </c>
      <c r="AO40" s="32">
        <f t="shared" si="502"/>
        <v>0.0742472209</v>
      </c>
      <c r="AP40" s="30"/>
      <c r="AQ40" s="32">
        <f t="shared" ref="AQ40:AW40" si="503">(12*K40+4*S40+2*AA40+AI40)/4</f>
        <v>-0.03824621804</v>
      </c>
      <c r="AR40" s="32">
        <f t="shared" si="503"/>
        <v>-0.07244103301</v>
      </c>
      <c r="AS40" s="32">
        <f t="shared" si="503"/>
        <v>0.1199483355</v>
      </c>
      <c r="AT40" s="32">
        <f t="shared" si="503"/>
        <v>-0.0215547023</v>
      </c>
      <c r="AU40" s="33">
        <f t="shared" si="503"/>
        <v>0.0004596441623</v>
      </c>
      <c r="AV40" s="32">
        <f t="shared" si="503"/>
        <v>-0.05122773648</v>
      </c>
      <c r="AW40" s="32">
        <f t="shared" si="503"/>
        <v>-0.03306727078</v>
      </c>
      <c r="AX40" s="30"/>
      <c r="AY40" s="34">
        <f t="shared" ref="AY40:BB40" si="504">rank(AQ40,$AQ40:$AT40)</f>
        <v>3</v>
      </c>
      <c r="AZ40" s="34">
        <f t="shared" si="504"/>
        <v>4</v>
      </c>
      <c r="BA40" s="34">
        <f t="shared" si="504"/>
        <v>1</v>
      </c>
      <c r="BB40" s="34">
        <f t="shared" si="504"/>
        <v>2</v>
      </c>
      <c r="BC40" s="35">
        <f t="shared" ref="BC40:BE40" si="505">rank(AU40,$AU40:$AW40)</f>
        <v>1</v>
      </c>
      <c r="BD40" s="34">
        <f t="shared" si="505"/>
        <v>3</v>
      </c>
      <c r="BE40" s="34">
        <f t="shared" si="505"/>
        <v>2</v>
      </c>
      <c r="BF40" s="30"/>
      <c r="BG40" s="36">
        <f t="shared" ref="BG40:BJ40" si="506">if(and($BQ40=0,AY40&lt;=2),0.5,0)</f>
        <v>0</v>
      </c>
      <c r="BH40" s="36">
        <f t="shared" si="506"/>
        <v>0</v>
      </c>
      <c r="BI40" s="36">
        <f t="shared" si="506"/>
        <v>0</v>
      </c>
      <c r="BJ40" s="36">
        <f t="shared" si="506"/>
        <v>0</v>
      </c>
      <c r="BK40" s="37">
        <f t="shared" ref="BK40:BM40" si="507">if(and($BQ40&gt;0,BC40=1),1,0)</f>
        <v>1</v>
      </c>
      <c r="BL40" s="36">
        <f t="shared" si="507"/>
        <v>0</v>
      </c>
      <c r="BM40" s="36">
        <f t="shared" si="507"/>
        <v>0</v>
      </c>
      <c r="BN40" s="38"/>
      <c r="BO40" s="22">
        <f t="shared" si="21"/>
        <v>1</v>
      </c>
      <c r="BP40" s="38"/>
      <c r="BQ40" s="39">
        <f t="shared" si="22"/>
        <v>3</v>
      </c>
      <c r="BR40" s="30"/>
      <c r="BS40" s="36">
        <f t="shared" ref="BS40:BV40" si="508">if(and($BQ40=0,AY40=1),1,0)</f>
        <v>0</v>
      </c>
      <c r="BT40" s="36">
        <f t="shared" si="508"/>
        <v>0</v>
      </c>
      <c r="BU40" s="36">
        <f t="shared" si="508"/>
        <v>0</v>
      </c>
      <c r="BV40" s="36">
        <f t="shared" si="508"/>
        <v>0</v>
      </c>
      <c r="BW40" s="37">
        <f t="shared" ref="BW40:BY40" si="509">if(and($BQ40&gt;0,BC40=1),1,0)</f>
        <v>1</v>
      </c>
      <c r="BX40" s="36">
        <f t="shared" si="509"/>
        <v>0</v>
      </c>
      <c r="BY40" s="36">
        <f t="shared" si="509"/>
        <v>0</v>
      </c>
      <c r="BZ40" s="38"/>
      <c r="CA40" s="22">
        <f t="shared" si="25"/>
        <v>1</v>
      </c>
      <c r="CB40" s="30"/>
      <c r="CC40" s="22">
        <f t="shared" ref="CC40:CI40" si="510">BG39*K40</f>
        <v>0</v>
      </c>
      <c r="CD40" s="22">
        <f t="shared" si="510"/>
        <v>-0.01202886929</v>
      </c>
      <c r="CE40" s="22">
        <f t="shared" si="510"/>
        <v>0.001594472495</v>
      </c>
      <c r="CF40" s="22">
        <f t="shared" si="510"/>
        <v>0</v>
      </c>
      <c r="CG40" s="22">
        <f t="shared" si="510"/>
        <v>0</v>
      </c>
      <c r="CH40" s="22">
        <f t="shared" si="510"/>
        <v>0</v>
      </c>
      <c r="CI40" s="22">
        <f t="shared" si="510"/>
        <v>0</v>
      </c>
      <c r="CJ40" s="38"/>
      <c r="CK40" s="22">
        <f t="shared" ref="CK40:CQ40" si="511">BS39*K40</f>
        <v>0</v>
      </c>
      <c r="CL40" s="22">
        <f t="shared" si="511"/>
        <v>0</v>
      </c>
      <c r="CM40" s="22">
        <f t="shared" si="511"/>
        <v>0.003188944991</v>
      </c>
      <c r="CN40" s="22">
        <f t="shared" si="511"/>
        <v>0</v>
      </c>
      <c r="CO40" s="22">
        <f t="shared" si="511"/>
        <v>0</v>
      </c>
      <c r="CP40" s="22">
        <f t="shared" si="511"/>
        <v>0</v>
      </c>
      <c r="CQ40" s="22">
        <f t="shared" si="511"/>
        <v>0</v>
      </c>
      <c r="CR40" s="44">
        <f t="shared" si="28"/>
        <v>-0.01043439679</v>
      </c>
      <c r="CS40" s="45"/>
      <c r="CT40" s="40"/>
      <c r="CU40" s="46">
        <v>1.0</v>
      </c>
      <c r="CV40" s="47">
        <v>0.0</v>
      </c>
      <c r="CW40" s="45"/>
      <c r="CX40" s="44">
        <f t="shared" si="29"/>
        <v>0.003188944991</v>
      </c>
      <c r="CY40" s="40"/>
      <c r="CZ40" s="40"/>
      <c r="DA40" s="42"/>
      <c r="DB40" s="41"/>
      <c r="DC40" s="40"/>
      <c r="DD40" s="48">
        <f t="shared" si="30"/>
        <v>113889.8832</v>
      </c>
      <c r="DE40" s="49">
        <f t="shared" si="31"/>
        <v>-0.01043439679</v>
      </c>
      <c r="DF40" s="50"/>
      <c r="DG40" s="40"/>
      <c r="DH40" s="51">
        <f t="shared" si="32"/>
        <v>113480.2983</v>
      </c>
      <c r="DI40" s="52">
        <f t="shared" si="33"/>
        <v>0.003188944991</v>
      </c>
      <c r="DJ40" s="50"/>
      <c r="DK40" s="40"/>
      <c r="DL40" s="40"/>
      <c r="DM40" s="40"/>
      <c r="DN40" s="42"/>
      <c r="DO40" s="40"/>
      <c r="DP40" s="40"/>
      <c r="DQ40" s="42"/>
      <c r="DR40" s="40"/>
      <c r="DS40" s="40"/>
      <c r="DT40" s="40"/>
      <c r="DU40" s="40"/>
    </row>
    <row r="41" ht="13.5" customHeight="1">
      <c r="A41" s="27">
        <v>55.0</v>
      </c>
      <c r="B41" s="28">
        <f t="shared" si="2"/>
        <v>42704</v>
      </c>
      <c r="C41" s="29">
        <f t="shared" ref="C41:I41" si="512">indirect(CONCATENATE(C$2,"!$G$",$A41))</f>
        <v>185.7008107</v>
      </c>
      <c r="D41" s="29">
        <f t="shared" si="512"/>
        <v>31.62779713</v>
      </c>
      <c r="E41" s="29">
        <f t="shared" si="512"/>
        <v>32.34298385</v>
      </c>
      <c r="F41" s="29">
        <f t="shared" si="512"/>
        <v>72.09098724</v>
      </c>
      <c r="G41" s="29">
        <f t="shared" si="512"/>
        <v>79.59358881</v>
      </c>
      <c r="H41" s="29">
        <f t="shared" si="512"/>
        <v>97.38857034</v>
      </c>
      <c r="I41" s="29">
        <f t="shared" si="512"/>
        <v>101.4993123</v>
      </c>
      <c r="J41" s="30"/>
      <c r="K41" s="32">
        <f t="shared" ref="K41:Q41" si="513">C41/C40-1</f>
        <v>0.03725721314</v>
      </c>
      <c r="L41" s="32">
        <f t="shared" si="513"/>
        <v>-0.01506436593</v>
      </c>
      <c r="M41" s="32">
        <f t="shared" si="513"/>
        <v>-0.04052980132</v>
      </c>
      <c r="N41" s="32">
        <f t="shared" si="513"/>
        <v>-0.02574382828</v>
      </c>
      <c r="O41" s="32">
        <f t="shared" si="513"/>
        <v>-0.00470434864</v>
      </c>
      <c r="P41" s="32">
        <f t="shared" si="513"/>
        <v>-0.04227506832</v>
      </c>
      <c r="Q41" s="32">
        <f t="shared" si="513"/>
        <v>-0.03166889825</v>
      </c>
      <c r="R41" s="30"/>
      <c r="S41" s="32">
        <f t="shared" ref="S41:Y41" si="514">C41/C38-1</f>
        <v>0.01903339964</v>
      </c>
      <c r="T41" s="32">
        <f t="shared" si="514"/>
        <v>-0.02291764515</v>
      </c>
      <c r="U41" s="32">
        <f t="shared" si="514"/>
        <v>-0.01771995622</v>
      </c>
      <c r="V41" s="32">
        <f t="shared" si="514"/>
        <v>-0.03380180868</v>
      </c>
      <c r="W41" s="32">
        <f t="shared" si="514"/>
        <v>-0.003899026951</v>
      </c>
      <c r="X41" s="32">
        <f t="shared" si="514"/>
        <v>-0.05434614734</v>
      </c>
      <c r="Y41" s="32">
        <f t="shared" si="514"/>
        <v>-0.04947670811</v>
      </c>
      <c r="Z41" s="30"/>
      <c r="AA41" s="32">
        <f t="shared" ref="AA41:AG41" si="515">C41/C35-1</f>
        <v>0.06123781823</v>
      </c>
      <c r="AB41" s="32">
        <f t="shared" si="515"/>
        <v>0.0009955420179</v>
      </c>
      <c r="AC41" s="32">
        <f t="shared" si="515"/>
        <v>0.09209972764</v>
      </c>
      <c r="AD41" s="32">
        <f t="shared" si="515"/>
        <v>-0.01148050605</v>
      </c>
      <c r="AE41" s="32">
        <f t="shared" si="515"/>
        <v>-0.0007068121407</v>
      </c>
      <c r="AF41" s="32">
        <f t="shared" si="515"/>
        <v>-0.03262532214</v>
      </c>
      <c r="AG41" s="32">
        <f t="shared" si="515"/>
        <v>-0.005616591375</v>
      </c>
      <c r="AH41" s="30"/>
      <c r="AI41" s="32">
        <f t="shared" ref="AI41:AO41" si="516">C41/C29-1</f>
        <v>0.07978635417</v>
      </c>
      <c r="AJ41" s="32">
        <f t="shared" si="516"/>
        <v>-0.01926836591</v>
      </c>
      <c r="AK41" s="32">
        <f t="shared" si="516"/>
        <v>0.09156464058</v>
      </c>
      <c r="AL41" s="32">
        <f t="shared" si="516"/>
        <v>0.02005704252</v>
      </c>
      <c r="AM41" s="32">
        <f t="shared" si="516"/>
        <v>0.005987486172</v>
      </c>
      <c r="AN41" s="32">
        <f t="shared" si="516"/>
        <v>0.006652597365</v>
      </c>
      <c r="AO41" s="32">
        <f t="shared" si="516"/>
        <v>0.04182288788</v>
      </c>
      <c r="AP41" s="30"/>
      <c r="AQ41" s="32">
        <f t="shared" ref="AQ41:AW41" si="517">(12*K41+4*S41+2*AA41+AI41)/4</f>
        <v>0.1813705367</v>
      </c>
      <c r="AR41" s="32">
        <f t="shared" si="517"/>
        <v>-0.0724300634</v>
      </c>
      <c r="AS41" s="32">
        <f t="shared" si="517"/>
        <v>-0.07036833623</v>
      </c>
      <c r="AT41" s="32">
        <f t="shared" si="517"/>
        <v>-0.1117592859</v>
      </c>
      <c r="AU41" s="33">
        <f t="shared" si="517"/>
        <v>-0.0168686074</v>
      </c>
      <c r="AV41" s="32">
        <f t="shared" si="517"/>
        <v>-0.195820864</v>
      </c>
      <c r="AW41" s="32">
        <f t="shared" si="517"/>
        <v>-0.1368359766</v>
      </c>
      <c r="AX41" s="30"/>
      <c r="AY41" s="34">
        <f t="shared" ref="AY41:BB41" si="518">rank(AQ41,$AQ41:$AT41)</f>
        <v>1</v>
      </c>
      <c r="AZ41" s="34">
        <f t="shared" si="518"/>
        <v>3</v>
      </c>
      <c r="BA41" s="34">
        <f t="shared" si="518"/>
        <v>2</v>
      </c>
      <c r="BB41" s="34">
        <f t="shared" si="518"/>
        <v>4</v>
      </c>
      <c r="BC41" s="35">
        <f t="shared" ref="BC41:BE41" si="519">rank(AU41,$AU41:$AW41)</f>
        <v>1</v>
      </c>
      <c r="BD41" s="34">
        <f t="shared" si="519"/>
        <v>3</v>
      </c>
      <c r="BE41" s="34">
        <f t="shared" si="519"/>
        <v>2</v>
      </c>
      <c r="BF41" s="30"/>
      <c r="BG41" s="36">
        <f t="shared" ref="BG41:BJ41" si="520">if(and($BQ41=0,AY41&lt;=2),0.5,0)</f>
        <v>0</v>
      </c>
      <c r="BH41" s="36">
        <f t="shared" si="520"/>
        <v>0</v>
      </c>
      <c r="BI41" s="36">
        <f t="shared" si="520"/>
        <v>0</v>
      </c>
      <c r="BJ41" s="36">
        <f t="shared" si="520"/>
        <v>0</v>
      </c>
      <c r="BK41" s="37">
        <f t="shared" ref="BK41:BM41" si="521">if(and($BQ41&gt;0,BC41=1),1,0)</f>
        <v>1</v>
      </c>
      <c r="BL41" s="36">
        <f t="shared" si="521"/>
        <v>0</v>
      </c>
      <c r="BM41" s="36">
        <f t="shared" si="521"/>
        <v>0</v>
      </c>
      <c r="BN41" s="38"/>
      <c r="BO41" s="22">
        <f t="shared" si="21"/>
        <v>1</v>
      </c>
      <c r="BP41" s="38"/>
      <c r="BQ41" s="39">
        <f t="shared" si="22"/>
        <v>3</v>
      </c>
      <c r="BR41" s="30"/>
      <c r="BS41" s="36">
        <f t="shared" ref="BS41:BV41" si="522">if(and($BQ41=0,AY41=1),1,0)</f>
        <v>0</v>
      </c>
      <c r="BT41" s="36">
        <f t="shared" si="522"/>
        <v>0</v>
      </c>
      <c r="BU41" s="36">
        <f t="shared" si="522"/>
        <v>0</v>
      </c>
      <c r="BV41" s="36">
        <f t="shared" si="522"/>
        <v>0</v>
      </c>
      <c r="BW41" s="37">
        <f t="shared" ref="BW41:BY41" si="523">if(and($BQ41&gt;0,BC41=1),1,0)</f>
        <v>1</v>
      </c>
      <c r="BX41" s="36">
        <f t="shared" si="523"/>
        <v>0</v>
      </c>
      <c r="BY41" s="36">
        <f t="shared" si="523"/>
        <v>0</v>
      </c>
      <c r="BZ41" s="38"/>
      <c r="CA41" s="22">
        <f t="shared" si="25"/>
        <v>1</v>
      </c>
      <c r="CB41" s="30"/>
      <c r="CC41" s="22">
        <f t="shared" ref="CC41:CI41" si="524">BG40*K41</f>
        <v>0</v>
      </c>
      <c r="CD41" s="22">
        <f t="shared" si="524"/>
        <v>0</v>
      </c>
      <c r="CE41" s="22">
        <f t="shared" si="524"/>
        <v>0</v>
      </c>
      <c r="CF41" s="22">
        <f t="shared" si="524"/>
        <v>0</v>
      </c>
      <c r="CG41" s="22">
        <f t="shared" si="524"/>
        <v>-0.00470434864</v>
      </c>
      <c r="CH41" s="22">
        <f t="shared" si="524"/>
        <v>0</v>
      </c>
      <c r="CI41" s="22">
        <f t="shared" si="524"/>
        <v>0</v>
      </c>
      <c r="CJ41" s="38"/>
      <c r="CK41" s="22">
        <f t="shared" ref="CK41:CQ41" si="525">BS40*K41</f>
        <v>0</v>
      </c>
      <c r="CL41" s="22">
        <f t="shared" si="525"/>
        <v>0</v>
      </c>
      <c r="CM41" s="22">
        <f t="shared" si="525"/>
        <v>0</v>
      </c>
      <c r="CN41" s="22">
        <f t="shared" si="525"/>
        <v>0</v>
      </c>
      <c r="CO41" s="22">
        <f t="shared" si="525"/>
        <v>-0.00470434864</v>
      </c>
      <c r="CP41" s="22">
        <f t="shared" si="525"/>
        <v>0</v>
      </c>
      <c r="CQ41" s="22">
        <f t="shared" si="525"/>
        <v>0</v>
      </c>
      <c r="CR41" s="44">
        <f t="shared" si="28"/>
        <v>-0.00470434864</v>
      </c>
      <c r="CS41" s="45"/>
      <c r="CT41" s="40"/>
      <c r="CU41" s="46">
        <v>1.0</v>
      </c>
      <c r="CV41" s="47">
        <v>0.0</v>
      </c>
      <c r="CW41" s="45"/>
      <c r="CX41" s="44">
        <f t="shared" si="29"/>
        <v>-0.00470434864</v>
      </c>
      <c r="CY41" s="40"/>
      <c r="CZ41" s="40"/>
      <c r="DA41" s="42"/>
      <c r="DB41" s="41"/>
      <c r="DC41" s="40"/>
      <c r="DD41" s="48">
        <f t="shared" si="30"/>
        <v>113354.1055</v>
      </c>
      <c r="DE41" s="49">
        <f t="shared" si="31"/>
        <v>-0.00470434864</v>
      </c>
      <c r="DF41" s="50"/>
      <c r="DG41" s="40"/>
      <c r="DH41" s="51">
        <f t="shared" si="32"/>
        <v>112946.4474</v>
      </c>
      <c r="DI41" s="52">
        <f t="shared" si="33"/>
        <v>-0.00470434864</v>
      </c>
      <c r="DJ41" s="50"/>
      <c r="DK41" s="40"/>
      <c r="DL41" s="40"/>
      <c r="DM41" s="40"/>
      <c r="DN41" s="42"/>
      <c r="DO41" s="40"/>
      <c r="DP41" s="40"/>
      <c r="DQ41" s="42"/>
      <c r="DR41" s="40"/>
      <c r="DS41" s="40"/>
      <c r="DT41" s="40"/>
      <c r="DU41" s="40"/>
    </row>
    <row r="42" ht="13.5" customHeight="1">
      <c r="A42" s="27">
        <v>54.0</v>
      </c>
      <c r="B42" s="28">
        <f t="shared" si="2"/>
        <v>42734</v>
      </c>
      <c r="C42" s="29">
        <f t="shared" ref="C42:I42" si="526">indirect(CONCATENATE(C$2,"!$G$",$A42))</f>
        <v>189.5500261</v>
      </c>
      <c r="D42" s="29">
        <f t="shared" si="526"/>
        <v>32.40294149</v>
      </c>
      <c r="E42" s="29">
        <f t="shared" si="526"/>
        <v>32.10394903</v>
      </c>
      <c r="F42" s="29">
        <f t="shared" si="526"/>
        <v>72.33014661</v>
      </c>
      <c r="G42" s="29">
        <f t="shared" si="526"/>
        <v>79.65031881</v>
      </c>
      <c r="H42" s="29">
        <f t="shared" si="526"/>
        <v>97.2738892</v>
      </c>
      <c r="I42" s="29">
        <f t="shared" si="526"/>
        <v>102.3521751</v>
      </c>
      <c r="J42" s="30"/>
      <c r="K42" s="32">
        <f t="shared" ref="K42:Q42" si="527">C42/C41-1</f>
        <v>0.0207280486</v>
      </c>
      <c r="L42" s="32">
        <f t="shared" si="527"/>
        <v>0.02450832609</v>
      </c>
      <c r="M42" s="32">
        <f t="shared" si="527"/>
        <v>-0.007390623558</v>
      </c>
      <c r="N42" s="32">
        <f t="shared" si="527"/>
        <v>0.003317465681</v>
      </c>
      <c r="O42" s="32">
        <f t="shared" si="527"/>
        <v>0.000712745781</v>
      </c>
      <c r="P42" s="32">
        <f t="shared" si="527"/>
        <v>-0.00117756262</v>
      </c>
      <c r="Q42" s="32">
        <f t="shared" si="527"/>
        <v>0.008402646332</v>
      </c>
      <c r="R42" s="30"/>
      <c r="S42" s="32">
        <f t="shared" ref="S42:Y42" si="528">C42/C39-1</f>
        <v>0.0397873926</v>
      </c>
      <c r="T42" s="32">
        <f t="shared" si="528"/>
        <v>-0.01520129895</v>
      </c>
      <c r="U42" s="32">
        <f t="shared" si="528"/>
        <v>-0.04458379977</v>
      </c>
      <c r="V42" s="32">
        <f t="shared" si="528"/>
        <v>-0.03169881537</v>
      </c>
      <c r="W42" s="32">
        <f t="shared" si="528"/>
        <v>-0.004478941116</v>
      </c>
      <c r="X42" s="32">
        <f t="shared" si="528"/>
        <v>-0.05769871988</v>
      </c>
      <c r="Y42" s="32">
        <f t="shared" si="528"/>
        <v>-0.03845353824</v>
      </c>
      <c r="Z42" s="30"/>
      <c r="AA42" s="32">
        <f t="shared" ref="AA42:AG42" si="529">C42/C36-1</f>
        <v>0.07977065466</v>
      </c>
      <c r="AB42" s="32">
        <f t="shared" si="529"/>
        <v>0.04689063092</v>
      </c>
      <c r="AC42" s="32">
        <f t="shared" si="529"/>
        <v>0.03313967784</v>
      </c>
      <c r="AD42" s="32">
        <f t="shared" si="529"/>
        <v>-0.02783849017</v>
      </c>
      <c r="AE42" s="32">
        <f t="shared" si="529"/>
        <v>-0.005978995959</v>
      </c>
      <c r="AF42" s="32">
        <f t="shared" si="529"/>
        <v>-0.06270873806</v>
      </c>
      <c r="AG42" s="32">
        <f t="shared" si="529"/>
        <v>-0.02731761614</v>
      </c>
      <c r="AH42" s="30"/>
      <c r="AI42" s="32">
        <f t="shared" ref="AI42:AO42" si="530">C42/C30-1</f>
        <v>0.1217234393</v>
      </c>
      <c r="AJ42" s="32">
        <f t="shared" si="530"/>
        <v>0.02671281358</v>
      </c>
      <c r="AK42" s="32">
        <f t="shared" si="530"/>
        <v>0.1220982688</v>
      </c>
      <c r="AL42" s="32">
        <f t="shared" si="530"/>
        <v>0.02525709536</v>
      </c>
      <c r="AM42" s="32">
        <f t="shared" si="530"/>
        <v>0.008204980733</v>
      </c>
      <c r="AN42" s="32">
        <f t="shared" si="530"/>
        <v>0.01005812711</v>
      </c>
      <c r="AO42" s="32">
        <f t="shared" si="530"/>
        <v>0.06209271397</v>
      </c>
      <c r="AP42" s="30"/>
      <c r="AQ42" s="32">
        <f t="shared" ref="AQ42:AW42" si="531">(12*K42+4*S42+2*AA42+AI42)/4</f>
        <v>0.1722877255</v>
      </c>
      <c r="AR42" s="32">
        <f t="shared" si="531"/>
        <v>0.08844719818</v>
      </c>
      <c r="AS42" s="32">
        <f t="shared" si="531"/>
        <v>-0.01966126431</v>
      </c>
      <c r="AT42" s="32">
        <f t="shared" si="531"/>
        <v>-0.02935138957</v>
      </c>
      <c r="AU42" s="33">
        <f t="shared" si="531"/>
        <v>-0.003278956569</v>
      </c>
      <c r="AV42" s="32">
        <f t="shared" si="531"/>
        <v>-0.09007124498</v>
      </c>
      <c r="AW42" s="32">
        <f t="shared" si="531"/>
        <v>-0.01138122882</v>
      </c>
      <c r="AX42" s="30"/>
      <c r="AY42" s="34">
        <f t="shared" ref="AY42:BB42" si="532">rank(AQ42,$AQ42:$AT42)</f>
        <v>1</v>
      </c>
      <c r="AZ42" s="34">
        <f t="shared" si="532"/>
        <v>2</v>
      </c>
      <c r="BA42" s="34">
        <f t="shared" si="532"/>
        <v>3</v>
      </c>
      <c r="BB42" s="34">
        <f t="shared" si="532"/>
        <v>4</v>
      </c>
      <c r="BC42" s="35">
        <f t="shared" ref="BC42:BE42" si="533">rank(AU42,$AU42:$AW42)</f>
        <v>1</v>
      </c>
      <c r="BD42" s="34">
        <f t="shared" si="533"/>
        <v>3</v>
      </c>
      <c r="BE42" s="34">
        <f t="shared" si="533"/>
        <v>2</v>
      </c>
      <c r="BF42" s="30"/>
      <c r="BG42" s="36">
        <f t="shared" ref="BG42:BJ42" si="534">if(and($BQ42=0,AY42&lt;=2),0.5,0)</f>
        <v>0</v>
      </c>
      <c r="BH42" s="36">
        <f t="shared" si="534"/>
        <v>0</v>
      </c>
      <c r="BI42" s="36">
        <f t="shared" si="534"/>
        <v>0</v>
      </c>
      <c r="BJ42" s="36">
        <f t="shared" si="534"/>
        <v>0</v>
      </c>
      <c r="BK42" s="37">
        <f t="shared" ref="BK42:BM42" si="535">if(and($BQ42&gt;0,BC42=1),1,0)</f>
        <v>1</v>
      </c>
      <c r="BL42" s="36">
        <f t="shared" si="535"/>
        <v>0</v>
      </c>
      <c r="BM42" s="36">
        <f t="shared" si="535"/>
        <v>0</v>
      </c>
      <c r="BN42" s="38"/>
      <c r="BO42" s="22">
        <f t="shared" si="21"/>
        <v>1</v>
      </c>
      <c r="BP42" s="38"/>
      <c r="BQ42" s="39">
        <f t="shared" si="22"/>
        <v>2</v>
      </c>
      <c r="BR42" s="30"/>
      <c r="BS42" s="36">
        <f t="shared" ref="BS42:BV42" si="536">if(and($BQ42=0,AY42=1),1,0)</f>
        <v>0</v>
      </c>
      <c r="BT42" s="36">
        <f t="shared" si="536"/>
        <v>0</v>
      </c>
      <c r="BU42" s="36">
        <f t="shared" si="536"/>
        <v>0</v>
      </c>
      <c r="BV42" s="36">
        <f t="shared" si="536"/>
        <v>0</v>
      </c>
      <c r="BW42" s="37">
        <f t="shared" ref="BW42:BY42" si="537">if(and($BQ42&gt;0,BC42=1),1,0)</f>
        <v>1</v>
      </c>
      <c r="BX42" s="36">
        <f t="shared" si="537"/>
        <v>0</v>
      </c>
      <c r="BY42" s="36">
        <f t="shared" si="537"/>
        <v>0</v>
      </c>
      <c r="BZ42" s="38"/>
      <c r="CA42" s="22">
        <f t="shared" si="25"/>
        <v>1</v>
      </c>
      <c r="CB42" s="30"/>
      <c r="CC42" s="22">
        <f t="shared" ref="CC42:CI42" si="538">BG41*K42</f>
        <v>0</v>
      </c>
      <c r="CD42" s="22">
        <f t="shared" si="538"/>
        <v>0</v>
      </c>
      <c r="CE42" s="22">
        <f t="shared" si="538"/>
        <v>0</v>
      </c>
      <c r="CF42" s="22">
        <f t="shared" si="538"/>
        <v>0</v>
      </c>
      <c r="CG42" s="22">
        <f t="shared" si="538"/>
        <v>0.000712745781</v>
      </c>
      <c r="CH42" s="22">
        <f t="shared" si="538"/>
        <v>0</v>
      </c>
      <c r="CI42" s="22">
        <f t="shared" si="538"/>
        <v>0</v>
      </c>
      <c r="CJ42" s="38"/>
      <c r="CK42" s="22">
        <f t="shared" ref="CK42:CQ42" si="539">BS41*K42</f>
        <v>0</v>
      </c>
      <c r="CL42" s="22">
        <f t="shared" si="539"/>
        <v>0</v>
      </c>
      <c r="CM42" s="22">
        <f t="shared" si="539"/>
        <v>0</v>
      </c>
      <c r="CN42" s="22">
        <f t="shared" si="539"/>
        <v>0</v>
      </c>
      <c r="CO42" s="22">
        <f t="shared" si="539"/>
        <v>0.000712745781</v>
      </c>
      <c r="CP42" s="22">
        <f t="shared" si="539"/>
        <v>0</v>
      </c>
      <c r="CQ42" s="22">
        <f t="shared" si="539"/>
        <v>0</v>
      </c>
      <c r="CR42" s="44">
        <f t="shared" si="28"/>
        <v>0.000712745781</v>
      </c>
      <c r="CS42" s="45"/>
      <c r="CT42" s="40"/>
      <c r="CU42" s="46">
        <v>1.0</v>
      </c>
      <c r="CV42" s="47">
        <v>0.0</v>
      </c>
      <c r="CW42" s="45"/>
      <c r="CX42" s="44">
        <f t="shared" si="29"/>
        <v>0.000712745781</v>
      </c>
      <c r="CY42" s="40"/>
      <c r="CZ42" s="40"/>
      <c r="DA42" s="42"/>
      <c r="DB42" s="41"/>
      <c r="DC42" s="40"/>
      <c r="DD42" s="48">
        <f t="shared" si="30"/>
        <v>113434.8982</v>
      </c>
      <c r="DE42" s="49">
        <f t="shared" si="31"/>
        <v>0.000712745781</v>
      </c>
      <c r="DF42" s="50"/>
      <c r="DG42" s="40"/>
      <c r="DH42" s="51">
        <f t="shared" si="32"/>
        <v>113026.9495</v>
      </c>
      <c r="DI42" s="52">
        <f t="shared" si="33"/>
        <v>0.000712745781</v>
      </c>
      <c r="DJ42" s="50"/>
      <c r="DK42" s="40"/>
      <c r="DL42" s="40"/>
      <c r="DM42" s="40"/>
      <c r="DN42" s="42"/>
      <c r="DO42" s="40"/>
      <c r="DP42" s="40"/>
      <c r="DQ42" s="42"/>
      <c r="DR42" s="40"/>
      <c r="DS42" s="40"/>
      <c r="DT42" s="40"/>
      <c r="DU42" s="40"/>
    </row>
    <row r="43" ht="13.5" customHeight="1">
      <c r="A43" s="27">
        <v>53.0</v>
      </c>
      <c r="B43" s="28">
        <f t="shared" si="2"/>
        <v>42766</v>
      </c>
      <c r="C43" s="29">
        <f t="shared" ref="C43:I43" si="540">indirect(CONCATENATE(C$2,"!$G$",$A43))</f>
        <v>192.9290778</v>
      </c>
      <c r="D43" s="29">
        <f t="shared" si="540"/>
        <v>33.5912267</v>
      </c>
      <c r="E43" s="29">
        <f t="shared" si="540"/>
        <v>33.95230384</v>
      </c>
      <c r="F43" s="29">
        <f t="shared" si="540"/>
        <v>72.4644395</v>
      </c>
      <c r="G43" s="29">
        <f t="shared" si="540"/>
        <v>79.73520369</v>
      </c>
      <c r="H43" s="29">
        <f t="shared" si="540"/>
        <v>97.48733124</v>
      </c>
      <c r="I43" s="29">
        <f t="shared" si="540"/>
        <v>102.5006635</v>
      </c>
      <c r="J43" s="30"/>
      <c r="K43" s="32">
        <f t="shared" ref="K43:Q43" si="541">C43/C42-1</f>
        <v>0.01782670109</v>
      </c>
      <c r="L43" s="32">
        <f t="shared" si="541"/>
        <v>0.03667214012</v>
      </c>
      <c r="M43" s="32">
        <f t="shared" si="541"/>
        <v>0.05757406372</v>
      </c>
      <c r="N43" s="32">
        <f t="shared" si="541"/>
        <v>0.001856665429</v>
      </c>
      <c r="O43" s="32">
        <f t="shared" si="541"/>
        <v>0.001065719361</v>
      </c>
      <c r="P43" s="32">
        <f t="shared" si="541"/>
        <v>0.002194237741</v>
      </c>
      <c r="Q43" s="32">
        <f t="shared" si="541"/>
        <v>0.001450759515</v>
      </c>
      <c r="R43" s="30"/>
      <c r="S43" s="32">
        <f t="shared" ref="S43:Y43" si="542">C43/C40-1</f>
        <v>0.07763168509</v>
      </c>
      <c r="T43" s="32">
        <f t="shared" si="542"/>
        <v>0.04607968868</v>
      </c>
      <c r="U43" s="32">
        <f t="shared" si="542"/>
        <v>0.007211451513</v>
      </c>
      <c r="V43" s="32">
        <f t="shared" si="542"/>
        <v>-0.02069689826</v>
      </c>
      <c r="W43" s="32">
        <f t="shared" si="542"/>
        <v>-0.002933494005</v>
      </c>
      <c r="X43" s="32">
        <f t="shared" si="542"/>
        <v>-0.04130384783</v>
      </c>
      <c r="Y43" s="32">
        <f t="shared" si="542"/>
        <v>-0.02211573474</v>
      </c>
      <c r="Z43" s="30"/>
      <c r="AA43" s="32">
        <f t="shared" ref="AA43:AG43" si="543">C43/C37-1</f>
        <v>0.05997355142</v>
      </c>
      <c r="AB43" s="32">
        <f t="shared" si="543"/>
        <v>0.0419653523</v>
      </c>
      <c r="AC43" s="32">
        <f t="shared" si="543"/>
        <v>0.03922957504</v>
      </c>
      <c r="AD43" s="32">
        <f t="shared" si="543"/>
        <v>-0.03183204498</v>
      </c>
      <c r="AE43" s="32">
        <f t="shared" si="543"/>
        <v>-0.004456807999</v>
      </c>
      <c r="AF43" s="32">
        <f t="shared" si="543"/>
        <v>-0.06295411294</v>
      </c>
      <c r="AG43" s="32">
        <f t="shared" si="543"/>
        <v>-0.03835640183</v>
      </c>
      <c r="AH43" s="30"/>
      <c r="AI43" s="32">
        <f t="shared" ref="AI43:AO43" si="544">C43/C31-1</f>
        <v>0.200684851</v>
      </c>
      <c r="AJ43" s="32">
        <f t="shared" si="544"/>
        <v>0.1266493802</v>
      </c>
      <c r="AK43" s="32">
        <f t="shared" si="544"/>
        <v>0.2590665998</v>
      </c>
      <c r="AL43" s="32">
        <f t="shared" si="544"/>
        <v>0.0149699557</v>
      </c>
      <c r="AM43" s="32">
        <f t="shared" si="544"/>
        <v>0.002741890487</v>
      </c>
      <c r="AN43" s="32">
        <f t="shared" si="544"/>
        <v>-0.02038257201</v>
      </c>
      <c r="AO43" s="32">
        <f t="shared" si="544"/>
        <v>0.06232905488</v>
      </c>
      <c r="AP43" s="30"/>
      <c r="AQ43" s="32">
        <f t="shared" ref="AQ43:AW43" si="545">(12*K43+4*S43+2*AA43+AI43)/4</f>
        <v>0.2112697768</v>
      </c>
      <c r="AR43" s="32">
        <f t="shared" si="545"/>
        <v>0.2087411303</v>
      </c>
      <c r="AS43" s="32">
        <f t="shared" si="545"/>
        <v>0.2643150802</v>
      </c>
      <c r="AT43" s="32">
        <f t="shared" si="545"/>
        <v>-0.02730043554</v>
      </c>
      <c r="AU43" s="33">
        <f t="shared" si="545"/>
        <v>-0.001279267301</v>
      </c>
      <c r="AV43" s="32">
        <f t="shared" si="545"/>
        <v>-0.07129383408</v>
      </c>
      <c r="AW43" s="32">
        <f t="shared" si="545"/>
        <v>-0.02135939339</v>
      </c>
      <c r="AX43" s="30"/>
      <c r="AY43" s="34">
        <f t="shared" ref="AY43:BB43" si="546">rank(AQ43,$AQ43:$AT43)</f>
        <v>2</v>
      </c>
      <c r="AZ43" s="34">
        <f t="shared" si="546"/>
        <v>3</v>
      </c>
      <c r="BA43" s="34">
        <f t="shared" si="546"/>
        <v>1</v>
      </c>
      <c r="BB43" s="34">
        <f t="shared" si="546"/>
        <v>4</v>
      </c>
      <c r="BC43" s="35">
        <f t="shared" ref="BC43:BE43" si="547">rank(AU43,$AU43:$AW43)</f>
        <v>1</v>
      </c>
      <c r="BD43" s="34">
        <f t="shared" si="547"/>
        <v>3</v>
      </c>
      <c r="BE43" s="34">
        <f t="shared" si="547"/>
        <v>2</v>
      </c>
      <c r="BF43" s="30"/>
      <c r="BG43" s="36">
        <f t="shared" ref="BG43:BJ43" si="548">if(and($BQ43=0,AY43&lt;=2),0.5,0)</f>
        <v>0</v>
      </c>
      <c r="BH43" s="36">
        <f t="shared" si="548"/>
        <v>0</v>
      </c>
      <c r="BI43" s="36">
        <f t="shared" si="548"/>
        <v>0</v>
      </c>
      <c r="BJ43" s="36">
        <f t="shared" si="548"/>
        <v>0</v>
      </c>
      <c r="BK43" s="37">
        <f t="shared" ref="BK43:BM43" si="549">if(and($BQ43&gt;0,BC43=1),1,0)</f>
        <v>1</v>
      </c>
      <c r="BL43" s="36">
        <f t="shared" si="549"/>
        <v>0</v>
      </c>
      <c r="BM43" s="36">
        <f t="shared" si="549"/>
        <v>0</v>
      </c>
      <c r="BN43" s="38"/>
      <c r="BO43" s="22">
        <f t="shared" si="21"/>
        <v>1</v>
      </c>
      <c r="BP43" s="38"/>
      <c r="BQ43" s="39">
        <f t="shared" si="22"/>
        <v>1</v>
      </c>
      <c r="BR43" s="30"/>
      <c r="BS43" s="36">
        <f t="shared" ref="BS43:BV43" si="550">if(and($BQ43=0,AY43=1),1,0)</f>
        <v>0</v>
      </c>
      <c r="BT43" s="36">
        <f t="shared" si="550"/>
        <v>0</v>
      </c>
      <c r="BU43" s="36">
        <f t="shared" si="550"/>
        <v>0</v>
      </c>
      <c r="BV43" s="36">
        <f t="shared" si="550"/>
        <v>0</v>
      </c>
      <c r="BW43" s="37">
        <f t="shared" ref="BW43:BY43" si="551">if(and($BQ43&gt;0,BC43=1),1,0)</f>
        <v>1</v>
      </c>
      <c r="BX43" s="36">
        <f t="shared" si="551"/>
        <v>0</v>
      </c>
      <c r="BY43" s="36">
        <f t="shared" si="551"/>
        <v>0</v>
      </c>
      <c r="BZ43" s="38"/>
      <c r="CA43" s="22">
        <f t="shared" si="25"/>
        <v>1</v>
      </c>
      <c r="CB43" s="30"/>
      <c r="CC43" s="22">
        <f t="shared" ref="CC43:CI43" si="552">BG42*K43</f>
        <v>0</v>
      </c>
      <c r="CD43" s="22">
        <f t="shared" si="552"/>
        <v>0</v>
      </c>
      <c r="CE43" s="22">
        <f t="shared" si="552"/>
        <v>0</v>
      </c>
      <c r="CF43" s="22">
        <f t="shared" si="552"/>
        <v>0</v>
      </c>
      <c r="CG43" s="22">
        <f t="shared" si="552"/>
        <v>0.001065719361</v>
      </c>
      <c r="CH43" s="22">
        <f t="shared" si="552"/>
        <v>0</v>
      </c>
      <c r="CI43" s="22">
        <f t="shared" si="552"/>
        <v>0</v>
      </c>
      <c r="CJ43" s="38"/>
      <c r="CK43" s="22">
        <f t="shared" ref="CK43:CQ43" si="553">BS42*K43</f>
        <v>0</v>
      </c>
      <c r="CL43" s="22">
        <f t="shared" si="553"/>
        <v>0</v>
      </c>
      <c r="CM43" s="22">
        <f t="shared" si="553"/>
        <v>0</v>
      </c>
      <c r="CN43" s="22">
        <f t="shared" si="553"/>
        <v>0</v>
      </c>
      <c r="CO43" s="22">
        <f t="shared" si="553"/>
        <v>0.001065719361</v>
      </c>
      <c r="CP43" s="22">
        <f t="shared" si="553"/>
        <v>0</v>
      </c>
      <c r="CQ43" s="22">
        <f t="shared" si="553"/>
        <v>0</v>
      </c>
      <c r="CR43" s="44">
        <f t="shared" si="28"/>
        <v>0.001065719361</v>
      </c>
      <c r="CS43" s="45"/>
      <c r="CT43" s="40"/>
      <c r="CU43" s="46">
        <v>1.0</v>
      </c>
      <c r="CV43" s="47">
        <v>0.0</v>
      </c>
      <c r="CW43" s="45"/>
      <c r="CX43" s="44">
        <f t="shared" si="29"/>
        <v>0.001065719361</v>
      </c>
      <c r="CY43" s="40"/>
      <c r="CZ43" s="40"/>
      <c r="DA43" s="42"/>
      <c r="DB43" s="41"/>
      <c r="DC43" s="40"/>
      <c r="DD43" s="48">
        <f t="shared" si="30"/>
        <v>113555.788</v>
      </c>
      <c r="DE43" s="49">
        <f t="shared" si="31"/>
        <v>0.001065719361</v>
      </c>
      <c r="DF43" s="50"/>
      <c r="DG43" s="40"/>
      <c r="DH43" s="51">
        <f t="shared" si="32"/>
        <v>113147.4045</v>
      </c>
      <c r="DI43" s="52">
        <f t="shared" si="33"/>
        <v>0.001065719361</v>
      </c>
      <c r="DJ43" s="50"/>
      <c r="DK43" s="40"/>
      <c r="DL43" s="40"/>
      <c r="DM43" s="40"/>
      <c r="DN43" s="42"/>
      <c r="DO43" s="40"/>
      <c r="DP43" s="40"/>
      <c r="DQ43" s="42"/>
      <c r="DR43" s="40"/>
      <c r="DS43" s="40"/>
      <c r="DT43" s="40"/>
      <c r="DU43" s="40"/>
    </row>
    <row r="44" ht="13.5" customHeight="1">
      <c r="A44" s="27">
        <v>52.0</v>
      </c>
      <c r="B44" s="28">
        <f t="shared" si="2"/>
        <v>42794</v>
      </c>
      <c r="C44" s="29">
        <f t="shared" ref="C44:I44" si="554">indirect(CONCATENATE(C$2,"!$G$",$A44))</f>
        <v>200.4073069</v>
      </c>
      <c r="D44" s="29">
        <f t="shared" si="554"/>
        <v>33.9459387</v>
      </c>
      <c r="E44" s="29">
        <f t="shared" si="554"/>
        <v>34.71497451</v>
      </c>
      <c r="F44" s="29">
        <f t="shared" si="554"/>
        <v>72.91150648</v>
      </c>
      <c r="G44" s="29">
        <f t="shared" si="554"/>
        <v>79.76446467</v>
      </c>
      <c r="H44" s="29">
        <f t="shared" si="554"/>
        <v>98.19330712</v>
      </c>
      <c r="I44" s="29">
        <f t="shared" si="554"/>
        <v>103.8548673</v>
      </c>
      <c r="J44" s="30"/>
      <c r="K44" s="32">
        <f t="shared" ref="K44:Q44" si="555">C44/C43-1</f>
        <v>0.03876154472</v>
      </c>
      <c r="L44" s="32">
        <f t="shared" si="555"/>
        <v>0.01055966209</v>
      </c>
      <c r="M44" s="32">
        <f t="shared" si="555"/>
        <v>0.02246300211</v>
      </c>
      <c r="N44" s="32">
        <f t="shared" si="555"/>
        <v>0.006169467275</v>
      </c>
      <c r="O44" s="32">
        <f t="shared" si="555"/>
        <v>0.0003669768351</v>
      </c>
      <c r="P44" s="32">
        <f t="shared" si="555"/>
        <v>0.007241719227</v>
      </c>
      <c r="Q44" s="32">
        <f t="shared" si="555"/>
        <v>0.01321165885</v>
      </c>
      <c r="R44" s="30"/>
      <c r="S44" s="32">
        <f t="shared" ref="S44:Y44" si="556">C44/C41-1</f>
        <v>0.07919457167</v>
      </c>
      <c r="T44" s="32">
        <f t="shared" si="556"/>
        <v>0.07329443686</v>
      </c>
      <c r="U44" s="32">
        <f t="shared" si="556"/>
        <v>0.07333864658</v>
      </c>
      <c r="V44" s="32">
        <f t="shared" si="556"/>
        <v>0.01138171744</v>
      </c>
      <c r="W44" s="32">
        <f t="shared" si="556"/>
        <v>0.002146854498</v>
      </c>
      <c r="X44" s="32">
        <f t="shared" si="556"/>
        <v>0.008263154261</v>
      </c>
      <c r="Y44" s="32">
        <f t="shared" si="556"/>
        <v>0.02320759581</v>
      </c>
      <c r="Z44" s="30"/>
      <c r="AA44" s="32">
        <f t="shared" ref="AA44:AG44" si="557">C44/C38-1</f>
        <v>0.09973531324</v>
      </c>
      <c r="AB44" s="32">
        <f t="shared" si="557"/>
        <v>0.04869705582</v>
      </c>
      <c r="AC44" s="32">
        <f t="shared" si="557"/>
        <v>0.05431913275</v>
      </c>
      <c r="AD44" s="32">
        <f t="shared" si="557"/>
        <v>-0.02280481388</v>
      </c>
      <c r="AE44" s="32">
        <f t="shared" si="557"/>
        <v>-0.001760543096</v>
      </c>
      <c r="AF44" s="32">
        <f t="shared" si="557"/>
        <v>-0.04653206368</v>
      </c>
      <c r="AG44" s="32">
        <f t="shared" si="557"/>
        <v>-0.02741734775</v>
      </c>
      <c r="AH44" s="30"/>
      <c r="AI44" s="32">
        <f t="shared" ref="AI44:AO44" si="558">C44/C32-1</f>
        <v>0.2498268592</v>
      </c>
      <c r="AJ44" s="32">
        <f t="shared" si="558"/>
        <v>0.1747821299</v>
      </c>
      <c r="AK44" s="32">
        <f t="shared" si="558"/>
        <v>0.2915382411</v>
      </c>
      <c r="AL44" s="32">
        <f t="shared" si="558"/>
        <v>0.01260489682</v>
      </c>
      <c r="AM44" s="32">
        <f t="shared" si="558"/>
        <v>0.001986205565</v>
      </c>
      <c r="AN44" s="32">
        <f t="shared" si="558"/>
        <v>-0.0277409462</v>
      </c>
      <c r="AO44" s="32">
        <f t="shared" si="558"/>
        <v>0.06515007024</v>
      </c>
      <c r="AP44" s="30"/>
      <c r="AQ44" s="32">
        <f t="shared" ref="AQ44:AW44" si="559">(12*K44+4*S44+2*AA44+AI44)/4</f>
        <v>0.3078035772</v>
      </c>
      <c r="AR44" s="32">
        <f t="shared" si="559"/>
        <v>0.1730174835</v>
      </c>
      <c r="AS44" s="32">
        <f t="shared" si="559"/>
        <v>0.2407717796</v>
      </c>
      <c r="AT44" s="32">
        <f t="shared" si="559"/>
        <v>0.02163893653</v>
      </c>
      <c r="AU44" s="33">
        <f t="shared" si="559"/>
        <v>0.002864064847</v>
      </c>
      <c r="AV44" s="32">
        <f t="shared" si="559"/>
        <v>-0.0002129564485</v>
      </c>
      <c r="AW44" s="32">
        <f t="shared" si="559"/>
        <v>0.06542141605</v>
      </c>
      <c r="AX44" s="30"/>
      <c r="AY44" s="34">
        <f t="shared" ref="AY44:BB44" si="560">rank(AQ44,$AQ44:$AT44)</f>
        <v>1</v>
      </c>
      <c r="AZ44" s="34">
        <f t="shared" si="560"/>
        <v>3</v>
      </c>
      <c r="BA44" s="34">
        <f t="shared" si="560"/>
        <v>2</v>
      </c>
      <c r="BB44" s="34">
        <f t="shared" si="560"/>
        <v>4</v>
      </c>
      <c r="BC44" s="35">
        <f t="shared" ref="BC44:BE44" si="561">rank(AU44,$AU44:$AW44)</f>
        <v>2</v>
      </c>
      <c r="BD44" s="34">
        <f t="shared" si="561"/>
        <v>3</v>
      </c>
      <c r="BE44" s="34">
        <f t="shared" si="561"/>
        <v>1</v>
      </c>
      <c r="BF44" s="30"/>
      <c r="BG44" s="36">
        <f t="shared" ref="BG44:BJ44" si="562">if(and($BQ44=0,AY44&lt;=2),0.5,0)</f>
        <v>0.5</v>
      </c>
      <c r="BH44" s="36">
        <f t="shared" si="562"/>
        <v>0</v>
      </c>
      <c r="BI44" s="36">
        <f t="shared" si="562"/>
        <v>0.5</v>
      </c>
      <c r="BJ44" s="36">
        <f t="shared" si="562"/>
        <v>0</v>
      </c>
      <c r="BK44" s="37">
        <f t="shared" ref="BK44:BM44" si="563">if(and($BQ44&gt;0,BC44=1),1,0)</f>
        <v>0</v>
      </c>
      <c r="BL44" s="36">
        <f t="shared" si="563"/>
        <v>0</v>
      </c>
      <c r="BM44" s="36">
        <f t="shared" si="563"/>
        <v>0</v>
      </c>
      <c r="BN44" s="38"/>
      <c r="BO44" s="22">
        <f t="shared" si="21"/>
        <v>1</v>
      </c>
      <c r="BP44" s="38"/>
      <c r="BQ44" s="39">
        <f t="shared" si="22"/>
        <v>0</v>
      </c>
      <c r="BR44" s="30"/>
      <c r="BS44" s="36">
        <f t="shared" ref="BS44:BV44" si="564">if(and($BQ44=0,AY44=1),1,0)</f>
        <v>1</v>
      </c>
      <c r="BT44" s="36">
        <f t="shared" si="564"/>
        <v>0</v>
      </c>
      <c r="BU44" s="36">
        <f t="shared" si="564"/>
        <v>0</v>
      </c>
      <c r="BV44" s="36">
        <f t="shared" si="564"/>
        <v>0</v>
      </c>
      <c r="BW44" s="37">
        <f t="shared" ref="BW44:BY44" si="565">if(and($BQ44&gt;0,BC44=1),1,0)</f>
        <v>0</v>
      </c>
      <c r="BX44" s="36">
        <f t="shared" si="565"/>
        <v>0</v>
      </c>
      <c r="BY44" s="36">
        <f t="shared" si="565"/>
        <v>0</v>
      </c>
      <c r="BZ44" s="38"/>
      <c r="CA44" s="22">
        <f t="shared" si="25"/>
        <v>1</v>
      </c>
      <c r="CB44" s="30"/>
      <c r="CC44" s="22">
        <f t="shared" ref="CC44:CI44" si="566">BG43*K44</f>
        <v>0</v>
      </c>
      <c r="CD44" s="22">
        <f t="shared" si="566"/>
        <v>0</v>
      </c>
      <c r="CE44" s="22">
        <f t="shared" si="566"/>
        <v>0</v>
      </c>
      <c r="CF44" s="22">
        <f t="shared" si="566"/>
        <v>0</v>
      </c>
      <c r="CG44" s="22">
        <f t="shared" si="566"/>
        <v>0.0003669768351</v>
      </c>
      <c r="CH44" s="22">
        <f t="shared" si="566"/>
        <v>0</v>
      </c>
      <c r="CI44" s="22">
        <f t="shared" si="566"/>
        <v>0</v>
      </c>
      <c r="CJ44" s="38"/>
      <c r="CK44" s="22">
        <f t="shared" ref="CK44:CQ44" si="567">BS43*K44</f>
        <v>0</v>
      </c>
      <c r="CL44" s="22">
        <f t="shared" si="567"/>
        <v>0</v>
      </c>
      <c r="CM44" s="22">
        <f t="shared" si="567"/>
        <v>0</v>
      </c>
      <c r="CN44" s="22">
        <f t="shared" si="567"/>
        <v>0</v>
      </c>
      <c r="CO44" s="22">
        <f t="shared" si="567"/>
        <v>0.0003669768351</v>
      </c>
      <c r="CP44" s="22">
        <f t="shared" si="567"/>
        <v>0</v>
      </c>
      <c r="CQ44" s="22">
        <f t="shared" si="567"/>
        <v>0</v>
      </c>
      <c r="CR44" s="44">
        <f t="shared" si="28"/>
        <v>0.0003669768351</v>
      </c>
      <c r="CS44" s="45"/>
      <c r="CT44" s="40"/>
      <c r="CU44" s="46">
        <v>1.0</v>
      </c>
      <c r="CV44" s="47">
        <v>0.0</v>
      </c>
      <c r="CW44" s="45"/>
      <c r="CX44" s="44">
        <f t="shared" si="29"/>
        <v>0.0003669768351</v>
      </c>
      <c r="CY44" s="40"/>
      <c r="CZ44" s="40"/>
      <c r="DA44" s="42"/>
      <c r="DB44" s="41"/>
      <c r="DC44" s="40"/>
      <c r="DD44" s="48">
        <f t="shared" si="30"/>
        <v>113597.4603</v>
      </c>
      <c r="DE44" s="49">
        <f t="shared" si="31"/>
        <v>0.0003669768351</v>
      </c>
      <c r="DF44" s="50"/>
      <c r="DG44" s="40"/>
      <c r="DH44" s="51">
        <f t="shared" si="32"/>
        <v>113188.927</v>
      </c>
      <c r="DI44" s="52">
        <f t="shared" si="33"/>
        <v>0.0003669768351</v>
      </c>
      <c r="DJ44" s="50"/>
      <c r="DK44" s="40"/>
      <c r="DL44" s="40"/>
      <c r="DM44" s="40"/>
      <c r="DN44" s="42"/>
      <c r="DO44" s="40"/>
      <c r="DP44" s="40"/>
      <c r="DQ44" s="42"/>
      <c r="DR44" s="40"/>
      <c r="DS44" s="40"/>
      <c r="DT44" s="40"/>
      <c r="DU44" s="40"/>
    </row>
    <row r="45" ht="13.5" customHeight="1">
      <c r="A45" s="27">
        <v>51.0</v>
      </c>
      <c r="B45" s="28">
        <f t="shared" si="2"/>
        <v>42825</v>
      </c>
      <c r="C45" s="29">
        <f t="shared" ref="C45:I45" si="568">indirect(CONCATENATE(C$2,"!$G$",$A45))</f>
        <v>200.6696663</v>
      </c>
      <c r="D45" s="29">
        <f t="shared" si="568"/>
        <v>34.98381064</v>
      </c>
      <c r="E45" s="29">
        <f t="shared" si="568"/>
        <v>35.70228514</v>
      </c>
      <c r="F45" s="29">
        <f t="shared" si="568"/>
        <v>72.88366264</v>
      </c>
      <c r="G45" s="29">
        <f t="shared" si="568"/>
        <v>79.81503288</v>
      </c>
      <c r="H45" s="29">
        <f t="shared" si="568"/>
        <v>98.27320717</v>
      </c>
      <c r="I45" s="29">
        <f t="shared" si="568"/>
        <v>103.5498873</v>
      </c>
      <c r="J45" s="30"/>
      <c r="K45" s="32">
        <f t="shared" ref="K45:Q45" si="569">C45/C44-1</f>
        <v>0.001309131157</v>
      </c>
      <c r="L45" s="32">
        <f t="shared" si="569"/>
        <v>0.03057425948</v>
      </c>
      <c r="M45" s="32">
        <f t="shared" si="569"/>
        <v>0.02844048269</v>
      </c>
      <c r="N45" s="32">
        <f t="shared" si="569"/>
        <v>-0.0003818853785</v>
      </c>
      <c r="O45" s="32">
        <f t="shared" si="569"/>
        <v>0.0006339691943</v>
      </c>
      <c r="P45" s="32">
        <f t="shared" si="569"/>
        <v>0.0008137015393</v>
      </c>
      <c r="Q45" s="32">
        <f t="shared" si="569"/>
        <v>-0.002936598455</v>
      </c>
      <c r="R45" s="30"/>
      <c r="S45" s="32">
        <f t="shared" ref="S45:Y45" si="570">C45/C42-1</f>
        <v>0.05866335347</v>
      </c>
      <c r="T45" s="32">
        <f t="shared" si="570"/>
        <v>0.07964922422</v>
      </c>
      <c r="U45" s="32">
        <f t="shared" si="570"/>
        <v>0.1120839093</v>
      </c>
      <c r="V45" s="32">
        <f t="shared" si="570"/>
        <v>0.007652632525</v>
      </c>
      <c r="W45" s="32">
        <f t="shared" si="570"/>
        <v>0.002067965018</v>
      </c>
      <c r="X45" s="32">
        <f t="shared" si="570"/>
        <v>0.01027323954</v>
      </c>
      <c r="Y45" s="32">
        <f t="shared" si="570"/>
        <v>0.01170187293</v>
      </c>
      <c r="Z45" s="30"/>
      <c r="AA45" s="32">
        <f t="shared" ref="AA45:AG45" si="571">C45/C39-1</f>
        <v>0.1007848079</v>
      </c>
      <c r="AB45" s="32">
        <f t="shared" si="571"/>
        <v>0.0632371536</v>
      </c>
      <c r="AC45" s="32">
        <f t="shared" si="571"/>
        <v>0.06250298298</v>
      </c>
      <c r="AD45" s="32">
        <f t="shared" si="571"/>
        <v>-0.02428876223</v>
      </c>
      <c r="AE45" s="32">
        <f t="shared" si="571"/>
        <v>-0.002420238392</v>
      </c>
      <c r="AF45" s="32">
        <f t="shared" si="571"/>
        <v>-0.0480182331</v>
      </c>
      <c r="AG45" s="32">
        <f t="shared" si="571"/>
        <v>-0.02720164372</v>
      </c>
      <c r="AH45" s="30"/>
      <c r="AI45" s="32">
        <f t="shared" ref="AI45:AO45" si="572">C45/C33-1</f>
        <v>0.1709869222</v>
      </c>
      <c r="AJ45" s="32">
        <f t="shared" si="572"/>
        <v>0.129429075</v>
      </c>
      <c r="AK45" s="32">
        <f t="shared" si="572"/>
        <v>0.1783381549</v>
      </c>
      <c r="AL45" s="32">
        <f t="shared" si="572"/>
        <v>0.003404557431</v>
      </c>
      <c r="AM45" s="32">
        <f t="shared" si="572"/>
        <v>0.001243711798</v>
      </c>
      <c r="AN45" s="32">
        <f t="shared" si="572"/>
        <v>-0.0263202132</v>
      </c>
      <c r="AO45" s="32">
        <f t="shared" si="572"/>
        <v>0.02495743204</v>
      </c>
      <c r="AP45" s="30"/>
      <c r="AQ45" s="32">
        <f t="shared" ref="AQ45:AW45" si="573">(12*K45+4*S45+2*AA45+AI45)/4</f>
        <v>0.1557298815</v>
      </c>
      <c r="AR45" s="32">
        <f t="shared" si="573"/>
        <v>0.2353478482</v>
      </c>
      <c r="AS45" s="32">
        <f t="shared" si="573"/>
        <v>0.2732413876</v>
      </c>
      <c r="AT45" s="32">
        <f t="shared" si="573"/>
        <v>-0.004786265368</v>
      </c>
      <c r="AU45" s="33">
        <f t="shared" si="573"/>
        <v>0.003070681354</v>
      </c>
      <c r="AV45" s="32">
        <f t="shared" si="573"/>
        <v>-0.01787482569</v>
      </c>
      <c r="AW45" s="32">
        <f t="shared" si="573"/>
        <v>-0.004469386284</v>
      </c>
      <c r="AX45" s="30"/>
      <c r="AY45" s="34">
        <f t="shared" ref="AY45:BB45" si="574">rank(AQ45,$AQ45:$AT45)</f>
        <v>3</v>
      </c>
      <c r="AZ45" s="34">
        <f t="shared" si="574"/>
        <v>2</v>
      </c>
      <c r="BA45" s="34">
        <f t="shared" si="574"/>
        <v>1</v>
      </c>
      <c r="BB45" s="34">
        <f t="shared" si="574"/>
        <v>4</v>
      </c>
      <c r="BC45" s="35">
        <f t="shared" ref="BC45:BE45" si="575">rank(AU45,$AU45:$AW45)</f>
        <v>1</v>
      </c>
      <c r="BD45" s="34">
        <f t="shared" si="575"/>
        <v>3</v>
      </c>
      <c r="BE45" s="34">
        <f t="shared" si="575"/>
        <v>2</v>
      </c>
      <c r="BF45" s="30"/>
      <c r="BG45" s="36">
        <f t="shared" ref="BG45:BJ45" si="576">if(and($BQ45=0,AY45&lt;=2),0.5,0)</f>
        <v>0</v>
      </c>
      <c r="BH45" s="36">
        <f t="shared" si="576"/>
        <v>0</v>
      </c>
      <c r="BI45" s="36">
        <f t="shared" si="576"/>
        <v>0</v>
      </c>
      <c r="BJ45" s="36">
        <f t="shared" si="576"/>
        <v>0</v>
      </c>
      <c r="BK45" s="37">
        <f t="shared" ref="BK45:BM45" si="577">if(and($BQ45&gt;0,BC45=1),1,0)</f>
        <v>1</v>
      </c>
      <c r="BL45" s="36">
        <f t="shared" si="577"/>
        <v>0</v>
      </c>
      <c r="BM45" s="36">
        <f t="shared" si="577"/>
        <v>0</v>
      </c>
      <c r="BN45" s="38"/>
      <c r="BO45" s="22">
        <f t="shared" si="21"/>
        <v>1</v>
      </c>
      <c r="BP45" s="38"/>
      <c r="BQ45" s="39">
        <f t="shared" si="22"/>
        <v>1</v>
      </c>
      <c r="BR45" s="30"/>
      <c r="BS45" s="36">
        <f t="shared" ref="BS45:BV45" si="578">if(and($BQ45=0,AY45=1),1,0)</f>
        <v>0</v>
      </c>
      <c r="BT45" s="36">
        <f t="shared" si="578"/>
        <v>0</v>
      </c>
      <c r="BU45" s="36">
        <f t="shared" si="578"/>
        <v>0</v>
      </c>
      <c r="BV45" s="36">
        <f t="shared" si="578"/>
        <v>0</v>
      </c>
      <c r="BW45" s="37">
        <f t="shared" ref="BW45:BY45" si="579">if(and($BQ45&gt;0,BC45=1),1,0)</f>
        <v>1</v>
      </c>
      <c r="BX45" s="36">
        <f t="shared" si="579"/>
        <v>0</v>
      </c>
      <c r="BY45" s="36">
        <f t="shared" si="579"/>
        <v>0</v>
      </c>
      <c r="BZ45" s="38"/>
      <c r="CA45" s="22">
        <f t="shared" si="25"/>
        <v>1</v>
      </c>
      <c r="CB45" s="30"/>
      <c r="CC45" s="22">
        <f t="shared" ref="CC45:CI45" si="580">BG44*K45</f>
        <v>0.0006545655783</v>
      </c>
      <c r="CD45" s="22">
        <f t="shared" si="580"/>
        <v>0</v>
      </c>
      <c r="CE45" s="22">
        <f t="shared" si="580"/>
        <v>0.01422024135</v>
      </c>
      <c r="CF45" s="22">
        <f t="shared" si="580"/>
        <v>0</v>
      </c>
      <c r="CG45" s="22">
        <f t="shared" si="580"/>
        <v>0</v>
      </c>
      <c r="CH45" s="22">
        <f t="shared" si="580"/>
        <v>0</v>
      </c>
      <c r="CI45" s="22">
        <f t="shared" si="580"/>
        <v>0</v>
      </c>
      <c r="CJ45" s="38"/>
      <c r="CK45" s="22">
        <f t="shared" ref="CK45:CQ45" si="581">BS44*K45</f>
        <v>0.001309131157</v>
      </c>
      <c r="CL45" s="22">
        <f t="shared" si="581"/>
        <v>0</v>
      </c>
      <c r="CM45" s="22">
        <f t="shared" si="581"/>
        <v>0</v>
      </c>
      <c r="CN45" s="22">
        <f t="shared" si="581"/>
        <v>0</v>
      </c>
      <c r="CO45" s="22">
        <f t="shared" si="581"/>
        <v>0</v>
      </c>
      <c r="CP45" s="22">
        <f t="shared" si="581"/>
        <v>0</v>
      </c>
      <c r="CQ45" s="22">
        <f t="shared" si="581"/>
        <v>0</v>
      </c>
      <c r="CR45" s="44">
        <f t="shared" si="28"/>
        <v>0.01487480693</v>
      </c>
      <c r="CS45" s="45"/>
      <c r="CT45" s="40"/>
      <c r="CU45" s="46">
        <v>1.0</v>
      </c>
      <c r="CV45" s="47">
        <v>0.0</v>
      </c>
      <c r="CW45" s="45"/>
      <c r="CX45" s="44">
        <f t="shared" si="29"/>
        <v>0.001309131157</v>
      </c>
      <c r="CY45" s="40"/>
      <c r="CZ45" s="40"/>
      <c r="DA45" s="42"/>
      <c r="DB45" s="41"/>
      <c r="DC45" s="40"/>
      <c r="DD45" s="48">
        <f t="shared" si="30"/>
        <v>115287.2006</v>
      </c>
      <c r="DE45" s="49">
        <f t="shared" si="31"/>
        <v>0.01487480693</v>
      </c>
      <c r="DF45" s="50"/>
      <c r="DG45" s="40"/>
      <c r="DH45" s="51">
        <f t="shared" si="32"/>
        <v>113337.1061</v>
      </c>
      <c r="DI45" s="52">
        <f t="shared" si="33"/>
        <v>0.001309131157</v>
      </c>
      <c r="DJ45" s="50"/>
      <c r="DK45" s="40"/>
      <c r="DL45" s="40"/>
      <c r="DM45" s="40"/>
      <c r="DN45" s="42"/>
      <c r="DO45" s="40"/>
      <c r="DP45" s="40"/>
      <c r="DQ45" s="42"/>
      <c r="DR45" s="40"/>
      <c r="DS45" s="40"/>
      <c r="DT45" s="40"/>
      <c r="DU45" s="40"/>
    </row>
    <row r="46" ht="13.5" customHeight="1">
      <c r="A46" s="27">
        <v>50.0</v>
      </c>
      <c r="B46" s="28">
        <f t="shared" si="2"/>
        <v>42853</v>
      </c>
      <c r="C46" s="29">
        <f t="shared" ref="C46:I46" si="582">indirect(CONCATENATE(C$2,"!$G$",$A46))</f>
        <v>202.7565938</v>
      </c>
      <c r="D46" s="29">
        <f t="shared" si="582"/>
        <v>35.75826141</v>
      </c>
      <c r="E46" s="29">
        <f t="shared" si="582"/>
        <v>36.25957156</v>
      </c>
      <c r="F46" s="29">
        <f t="shared" si="582"/>
        <v>73.46287588</v>
      </c>
      <c r="G46" s="29">
        <f t="shared" si="582"/>
        <v>79.96474872</v>
      </c>
      <c r="H46" s="29">
        <f t="shared" si="582"/>
        <v>99.36182524</v>
      </c>
      <c r="I46" s="29">
        <f t="shared" si="582"/>
        <v>104.7798764</v>
      </c>
      <c r="J46" s="30"/>
      <c r="K46" s="32">
        <f t="shared" ref="K46:Q46" si="583">C46/C45-1</f>
        <v>0.01039981511</v>
      </c>
      <c r="L46" s="32">
        <f t="shared" si="583"/>
        <v>0.02213740458</v>
      </c>
      <c r="M46" s="32">
        <f t="shared" si="583"/>
        <v>0.01560926485</v>
      </c>
      <c r="N46" s="32">
        <f t="shared" si="583"/>
        <v>0.007947092803</v>
      </c>
      <c r="O46" s="32">
        <f t="shared" si="583"/>
        <v>0.001875784964</v>
      </c>
      <c r="P46" s="32">
        <f t="shared" si="583"/>
        <v>0.01107746562</v>
      </c>
      <c r="Q46" s="32">
        <f t="shared" si="583"/>
        <v>0.01187822746</v>
      </c>
      <c r="R46" s="30"/>
      <c r="S46" s="32">
        <f t="shared" ref="S46:Y46" si="584">C46/C43-1</f>
        <v>0.05093849028</v>
      </c>
      <c r="T46" s="32">
        <f t="shared" si="584"/>
        <v>0.06451192541</v>
      </c>
      <c r="U46" s="32">
        <f t="shared" si="584"/>
        <v>0.06795614638</v>
      </c>
      <c r="V46" s="32">
        <f t="shared" si="584"/>
        <v>0.0137782944</v>
      </c>
      <c r="W46" s="32">
        <f t="shared" si="584"/>
        <v>0.002878841641</v>
      </c>
      <c r="X46" s="32">
        <f t="shared" si="584"/>
        <v>0.01922807791</v>
      </c>
      <c r="Y46" s="32">
        <f t="shared" si="584"/>
        <v>0.02223607918</v>
      </c>
      <c r="Z46" s="30"/>
      <c r="AA46" s="32">
        <f t="shared" ref="AA46:AG46" si="585">C46/C40-1</f>
        <v>0.1325246162</v>
      </c>
      <c r="AB46" s="32">
        <f t="shared" si="585"/>
        <v>0.1135643035</v>
      </c>
      <c r="AC46" s="32">
        <f t="shared" si="585"/>
        <v>0.07565766034</v>
      </c>
      <c r="AD46" s="32">
        <f t="shared" si="585"/>
        <v>-0.00720377182</v>
      </c>
      <c r="AE46" s="32">
        <f t="shared" si="585"/>
        <v>-0.00006309742802</v>
      </c>
      <c r="AF46" s="32">
        <f t="shared" si="585"/>
        <v>-0.02286996352</v>
      </c>
      <c r="AG46" s="32">
        <f t="shared" si="585"/>
        <v>-0.0003714227836</v>
      </c>
      <c r="AH46" s="30"/>
      <c r="AI46" s="32">
        <f t="shared" ref="AI46:AO46" si="586">C46/C34-1</f>
        <v>0.1790380863</v>
      </c>
      <c r="AJ46" s="32">
        <f t="shared" si="586"/>
        <v>0.1283304145</v>
      </c>
      <c r="AK46" s="32">
        <f t="shared" si="586"/>
        <v>0.1847398532</v>
      </c>
      <c r="AL46" s="32">
        <f t="shared" si="586"/>
        <v>0.007262736057</v>
      </c>
      <c r="AM46" s="32">
        <f t="shared" si="586"/>
        <v>0.002760271432</v>
      </c>
      <c r="AN46" s="32">
        <f t="shared" si="586"/>
        <v>-0.01399840203</v>
      </c>
      <c r="AO46" s="32">
        <f t="shared" si="586"/>
        <v>0.02126297407</v>
      </c>
      <c r="AP46" s="30"/>
      <c r="AQ46" s="32">
        <f t="shared" ref="AQ46:AW46" si="587">(12*K46+4*S46+2*AA46+AI46)/4</f>
        <v>0.1931597653</v>
      </c>
      <c r="AR46" s="32">
        <f t="shared" si="587"/>
        <v>0.2197888945</v>
      </c>
      <c r="AS46" s="32">
        <f t="shared" si="587"/>
        <v>0.1987977344</v>
      </c>
      <c r="AT46" s="32">
        <f t="shared" si="587"/>
        <v>0.03583337091</v>
      </c>
      <c r="AU46" s="33">
        <f t="shared" si="587"/>
        <v>0.009164715678</v>
      </c>
      <c r="AV46" s="32">
        <f t="shared" si="587"/>
        <v>0.03752589251</v>
      </c>
      <c r="AW46" s="32">
        <f t="shared" si="587"/>
        <v>0.06300079369</v>
      </c>
      <c r="AX46" s="30"/>
      <c r="AY46" s="34">
        <f t="shared" ref="AY46:BB46" si="588">rank(AQ46,$AQ46:$AT46)</f>
        <v>3</v>
      </c>
      <c r="AZ46" s="34">
        <f t="shared" si="588"/>
        <v>1</v>
      </c>
      <c r="BA46" s="34">
        <f t="shared" si="588"/>
        <v>2</v>
      </c>
      <c r="BB46" s="34">
        <f t="shared" si="588"/>
        <v>4</v>
      </c>
      <c r="BC46" s="35">
        <f t="shared" ref="BC46:BE46" si="589">rank(AU46,$AU46:$AW46)</f>
        <v>3</v>
      </c>
      <c r="BD46" s="34">
        <f t="shared" si="589"/>
        <v>2</v>
      </c>
      <c r="BE46" s="34">
        <f t="shared" si="589"/>
        <v>1</v>
      </c>
      <c r="BF46" s="30"/>
      <c r="BG46" s="36">
        <f t="shared" ref="BG46:BJ46" si="590">if(and($BQ46=0,AY46&lt;=2),0.5,0)</f>
        <v>0</v>
      </c>
      <c r="BH46" s="36">
        <f t="shared" si="590"/>
        <v>0.5</v>
      </c>
      <c r="BI46" s="36">
        <f t="shared" si="590"/>
        <v>0.5</v>
      </c>
      <c r="BJ46" s="36">
        <f t="shared" si="590"/>
        <v>0</v>
      </c>
      <c r="BK46" s="37">
        <f t="shared" ref="BK46:BM46" si="591">if(and($BQ46&gt;0,BC46=1),1,0)</f>
        <v>0</v>
      </c>
      <c r="BL46" s="36">
        <f t="shared" si="591"/>
        <v>0</v>
      </c>
      <c r="BM46" s="36">
        <f t="shared" si="591"/>
        <v>0</v>
      </c>
      <c r="BN46" s="38"/>
      <c r="BO46" s="22">
        <f t="shared" si="21"/>
        <v>1</v>
      </c>
      <c r="BP46" s="38"/>
      <c r="BQ46" s="39">
        <f t="shared" si="22"/>
        <v>0</v>
      </c>
      <c r="BR46" s="30"/>
      <c r="BS46" s="36">
        <f t="shared" ref="BS46:BV46" si="592">if(and($BQ46=0,AY46=1),1,0)</f>
        <v>0</v>
      </c>
      <c r="BT46" s="36">
        <f t="shared" si="592"/>
        <v>1</v>
      </c>
      <c r="BU46" s="36">
        <f t="shared" si="592"/>
        <v>0</v>
      </c>
      <c r="BV46" s="36">
        <f t="shared" si="592"/>
        <v>0</v>
      </c>
      <c r="BW46" s="37">
        <f t="shared" ref="BW46:BY46" si="593">if(and($BQ46&gt;0,BC46=1),1,0)</f>
        <v>0</v>
      </c>
      <c r="BX46" s="36">
        <f t="shared" si="593"/>
        <v>0</v>
      </c>
      <c r="BY46" s="36">
        <f t="shared" si="593"/>
        <v>0</v>
      </c>
      <c r="BZ46" s="38"/>
      <c r="CA46" s="22">
        <f t="shared" si="25"/>
        <v>1</v>
      </c>
      <c r="CB46" s="30"/>
      <c r="CC46" s="22">
        <f t="shared" ref="CC46:CI46" si="594">BG45*K46</f>
        <v>0</v>
      </c>
      <c r="CD46" s="22">
        <f t="shared" si="594"/>
        <v>0</v>
      </c>
      <c r="CE46" s="22">
        <f t="shared" si="594"/>
        <v>0</v>
      </c>
      <c r="CF46" s="22">
        <f t="shared" si="594"/>
        <v>0</v>
      </c>
      <c r="CG46" s="22">
        <f t="shared" si="594"/>
        <v>0.001875784964</v>
      </c>
      <c r="CH46" s="22">
        <f t="shared" si="594"/>
        <v>0</v>
      </c>
      <c r="CI46" s="22">
        <f t="shared" si="594"/>
        <v>0</v>
      </c>
      <c r="CJ46" s="38"/>
      <c r="CK46" s="22">
        <f t="shared" ref="CK46:CQ46" si="595">BS45*K46</f>
        <v>0</v>
      </c>
      <c r="CL46" s="22">
        <f t="shared" si="595"/>
        <v>0</v>
      </c>
      <c r="CM46" s="22">
        <f t="shared" si="595"/>
        <v>0</v>
      </c>
      <c r="CN46" s="22">
        <f t="shared" si="595"/>
        <v>0</v>
      </c>
      <c r="CO46" s="22">
        <f t="shared" si="595"/>
        <v>0.001875784964</v>
      </c>
      <c r="CP46" s="22">
        <f t="shared" si="595"/>
        <v>0</v>
      </c>
      <c r="CQ46" s="22">
        <f t="shared" si="595"/>
        <v>0</v>
      </c>
      <c r="CR46" s="44">
        <f t="shared" si="28"/>
        <v>0.001875784964</v>
      </c>
      <c r="CS46" s="45"/>
      <c r="CT46" s="40"/>
      <c r="CU46" s="46">
        <v>1.0</v>
      </c>
      <c r="CV46" s="47">
        <v>0.0</v>
      </c>
      <c r="CW46" s="45"/>
      <c r="CX46" s="44">
        <f t="shared" si="29"/>
        <v>0.001875784964</v>
      </c>
      <c r="CY46" s="40"/>
      <c r="CZ46" s="40"/>
      <c r="DA46" s="42"/>
      <c r="DB46" s="41"/>
      <c r="DC46" s="40"/>
      <c r="DD46" s="48">
        <f t="shared" si="30"/>
        <v>115503.4546</v>
      </c>
      <c r="DE46" s="49">
        <f t="shared" si="31"/>
        <v>0.001875784964</v>
      </c>
      <c r="DF46" s="50"/>
      <c r="DG46" s="40"/>
      <c r="DH46" s="51">
        <f t="shared" si="32"/>
        <v>113549.7021</v>
      </c>
      <c r="DI46" s="52">
        <f t="shared" si="33"/>
        <v>0.001875784964</v>
      </c>
      <c r="DJ46" s="50"/>
      <c r="DK46" s="40"/>
      <c r="DL46" s="40"/>
      <c r="DM46" s="40"/>
      <c r="DN46" s="42"/>
      <c r="DO46" s="40"/>
      <c r="DP46" s="40"/>
      <c r="DQ46" s="42"/>
      <c r="DR46" s="40"/>
      <c r="DS46" s="40"/>
      <c r="DT46" s="40"/>
      <c r="DU46" s="40"/>
    </row>
    <row r="47" ht="13.5" customHeight="1">
      <c r="A47" s="27">
        <v>49.0</v>
      </c>
      <c r="B47" s="28">
        <f t="shared" si="2"/>
        <v>42886</v>
      </c>
      <c r="C47" s="29">
        <f t="shared" ref="C47:I47" si="596">indirect(CONCATENATE(C$2,"!$G$",$A47))</f>
        <v>205.6040903</v>
      </c>
      <c r="D47" s="29">
        <f t="shared" si="596"/>
        <v>36.97779883</v>
      </c>
      <c r="E47" s="29">
        <f t="shared" si="596"/>
        <v>36.61911119</v>
      </c>
      <c r="F47" s="29">
        <f t="shared" si="596"/>
        <v>73.98483158</v>
      </c>
      <c r="G47" s="29">
        <f t="shared" si="596"/>
        <v>80.02329616</v>
      </c>
      <c r="H47" s="29">
        <f t="shared" si="596"/>
        <v>100.1839038</v>
      </c>
      <c r="I47" s="29">
        <f t="shared" si="596"/>
        <v>106.1773172</v>
      </c>
      <c r="J47" s="30"/>
      <c r="K47" s="32">
        <f t="shared" ref="K47:Q47" si="597">C47/C46-1</f>
        <v>0.01404391583</v>
      </c>
      <c r="L47" s="32">
        <f t="shared" si="597"/>
        <v>0.03410505352</v>
      </c>
      <c r="M47" s="32">
        <f t="shared" si="597"/>
        <v>0.009915716411</v>
      </c>
      <c r="N47" s="32">
        <f t="shared" si="597"/>
        <v>0.007105026882</v>
      </c>
      <c r="O47" s="32">
        <f t="shared" si="597"/>
        <v>0.0007321656805</v>
      </c>
      <c r="P47" s="32">
        <f t="shared" si="597"/>
        <v>0.008273585171</v>
      </c>
      <c r="Q47" s="32">
        <f t="shared" si="597"/>
        <v>0.01333691953</v>
      </c>
      <c r="R47" s="30"/>
      <c r="S47" s="32">
        <f t="shared" ref="S47:Y47" si="598">C47/C44-1</f>
        <v>0.02593110748</v>
      </c>
      <c r="T47" s="32">
        <f t="shared" si="598"/>
        <v>0.08931436995</v>
      </c>
      <c r="U47" s="32">
        <f t="shared" si="598"/>
        <v>0.05485058572</v>
      </c>
      <c r="V47" s="32">
        <f t="shared" si="598"/>
        <v>0.01472092887</v>
      </c>
      <c r="W47" s="32">
        <f t="shared" si="598"/>
        <v>0.003244947455</v>
      </c>
      <c r="X47" s="32">
        <f t="shared" si="598"/>
        <v>0.02027222324</v>
      </c>
      <c r="Y47" s="32">
        <f t="shared" si="598"/>
        <v>0.02236245553</v>
      </c>
      <c r="Z47" s="30"/>
      <c r="AA47" s="32">
        <f t="shared" ref="AA47:AG47" si="599">C47/C41-1</f>
        <v>0.1071792821</v>
      </c>
      <c r="AB47" s="32">
        <f t="shared" si="599"/>
        <v>0.1691550533</v>
      </c>
      <c r="AC47" s="32">
        <f t="shared" si="599"/>
        <v>0.1322119</v>
      </c>
      <c r="AD47" s="32">
        <f t="shared" si="599"/>
        <v>0.02627019576</v>
      </c>
      <c r="AE47" s="32">
        <f t="shared" si="599"/>
        <v>0.005398768383</v>
      </c>
      <c r="AF47" s="32">
        <f t="shared" si="599"/>
        <v>0.02870289001</v>
      </c>
      <c r="AG47" s="32">
        <f t="shared" si="599"/>
        <v>0.04608903016</v>
      </c>
      <c r="AH47" s="30"/>
      <c r="AI47" s="32">
        <f t="shared" ref="AI47:AO47" si="600">C47/C35-1</f>
        <v>0.1749805257</v>
      </c>
      <c r="AJ47" s="32">
        <f t="shared" si="600"/>
        <v>0.1703189962</v>
      </c>
      <c r="AK47" s="32">
        <f t="shared" si="600"/>
        <v>0.2364883076</v>
      </c>
      <c r="AL47" s="32">
        <f t="shared" si="600"/>
        <v>0.01448809457</v>
      </c>
      <c r="AM47" s="32">
        <f t="shared" si="600"/>
        <v>0.004688140328</v>
      </c>
      <c r="AN47" s="32">
        <f t="shared" si="600"/>
        <v>-0.004858873164</v>
      </c>
      <c r="AO47" s="32">
        <f t="shared" si="600"/>
        <v>0.04021357554</v>
      </c>
      <c r="AP47" s="30"/>
      <c r="AQ47" s="32">
        <f t="shared" ref="AQ47:AW47" si="601">(12*K47+4*S47+2*AA47+AI47)/4</f>
        <v>0.1653976274</v>
      </c>
      <c r="AR47" s="32">
        <f t="shared" si="601"/>
        <v>0.3187868062</v>
      </c>
      <c r="AS47" s="32">
        <f t="shared" si="601"/>
        <v>0.2098257619</v>
      </c>
      <c r="AT47" s="32">
        <f t="shared" si="601"/>
        <v>0.05279313104</v>
      </c>
      <c r="AU47" s="33">
        <f t="shared" si="601"/>
        <v>0.00931286377</v>
      </c>
      <c r="AV47" s="32">
        <f t="shared" si="601"/>
        <v>0.05822970547</v>
      </c>
      <c r="AW47" s="32">
        <f t="shared" si="601"/>
        <v>0.09547112309</v>
      </c>
      <c r="AX47" s="30"/>
      <c r="AY47" s="34">
        <f t="shared" ref="AY47:BB47" si="602">rank(AQ47,$AQ47:$AT47)</f>
        <v>3</v>
      </c>
      <c r="AZ47" s="34">
        <f t="shared" si="602"/>
        <v>1</v>
      </c>
      <c r="BA47" s="34">
        <f t="shared" si="602"/>
        <v>2</v>
      </c>
      <c r="BB47" s="34">
        <f t="shared" si="602"/>
        <v>4</v>
      </c>
      <c r="BC47" s="35">
        <f t="shared" ref="BC47:BE47" si="603">rank(AU47,$AU47:$AW47)</f>
        <v>3</v>
      </c>
      <c r="BD47" s="34">
        <f t="shared" si="603"/>
        <v>2</v>
      </c>
      <c r="BE47" s="34">
        <f t="shared" si="603"/>
        <v>1</v>
      </c>
      <c r="BF47" s="30"/>
      <c r="BG47" s="36">
        <f t="shared" ref="BG47:BJ47" si="604">if(and($BQ47=0,AY47&lt;=2),0.5,0)</f>
        <v>0</v>
      </c>
      <c r="BH47" s="36">
        <f t="shared" si="604"/>
        <v>0.5</v>
      </c>
      <c r="BI47" s="36">
        <f t="shared" si="604"/>
        <v>0.5</v>
      </c>
      <c r="BJ47" s="36">
        <f t="shared" si="604"/>
        <v>0</v>
      </c>
      <c r="BK47" s="37">
        <f t="shared" ref="BK47:BM47" si="605">if(and($BQ47&gt;0,BC47=1),1,0)</f>
        <v>0</v>
      </c>
      <c r="BL47" s="36">
        <f t="shared" si="605"/>
        <v>0</v>
      </c>
      <c r="BM47" s="36">
        <f t="shared" si="605"/>
        <v>0</v>
      </c>
      <c r="BN47" s="38"/>
      <c r="BO47" s="22">
        <f t="shared" si="21"/>
        <v>1</v>
      </c>
      <c r="BP47" s="38"/>
      <c r="BQ47" s="39">
        <f t="shared" si="22"/>
        <v>0</v>
      </c>
      <c r="BR47" s="30"/>
      <c r="BS47" s="36">
        <f t="shared" ref="BS47:BV47" si="606">if(and($BQ47=0,AY47=1),1,0)</f>
        <v>0</v>
      </c>
      <c r="BT47" s="36">
        <f t="shared" si="606"/>
        <v>1</v>
      </c>
      <c r="BU47" s="36">
        <f t="shared" si="606"/>
        <v>0</v>
      </c>
      <c r="BV47" s="36">
        <f t="shared" si="606"/>
        <v>0</v>
      </c>
      <c r="BW47" s="37">
        <f t="shared" ref="BW47:BY47" si="607">if(and($BQ47&gt;0,BC47=1),1,0)</f>
        <v>0</v>
      </c>
      <c r="BX47" s="36">
        <f t="shared" si="607"/>
        <v>0</v>
      </c>
      <c r="BY47" s="36">
        <f t="shared" si="607"/>
        <v>0</v>
      </c>
      <c r="BZ47" s="38"/>
      <c r="CA47" s="22">
        <f t="shared" si="25"/>
        <v>1</v>
      </c>
      <c r="CB47" s="30"/>
      <c r="CC47" s="22">
        <f t="shared" ref="CC47:CI47" si="608">BG46*K47</f>
        <v>0</v>
      </c>
      <c r="CD47" s="22">
        <f t="shared" si="608"/>
        <v>0.01705252676</v>
      </c>
      <c r="CE47" s="22">
        <f t="shared" si="608"/>
        <v>0.004957858205</v>
      </c>
      <c r="CF47" s="22">
        <f t="shared" si="608"/>
        <v>0</v>
      </c>
      <c r="CG47" s="22">
        <f t="shared" si="608"/>
        <v>0</v>
      </c>
      <c r="CH47" s="22">
        <f t="shared" si="608"/>
        <v>0</v>
      </c>
      <c r="CI47" s="22">
        <f t="shared" si="608"/>
        <v>0</v>
      </c>
      <c r="CJ47" s="38"/>
      <c r="CK47" s="22">
        <f t="shared" ref="CK47:CQ47" si="609">BS46*K47</f>
        <v>0</v>
      </c>
      <c r="CL47" s="22">
        <f t="shared" si="609"/>
        <v>0.03410505352</v>
      </c>
      <c r="CM47" s="22">
        <f t="shared" si="609"/>
        <v>0</v>
      </c>
      <c r="CN47" s="22">
        <f t="shared" si="609"/>
        <v>0</v>
      </c>
      <c r="CO47" s="22">
        <f t="shared" si="609"/>
        <v>0</v>
      </c>
      <c r="CP47" s="22">
        <f t="shared" si="609"/>
        <v>0</v>
      </c>
      <c r="CQ47" s="22">
        <f t="shared" si="609"/>
        <v>0</v>
      </c>
      <c r="CR47" s="44">
        <f t="shared" si="28"/>
        <v>0.02201038497</v>
      </c>
      <c r="CS47" s="45"/>
      <c r="CT47" s="40"/>
      <c r="CU47" s="46">
        <v>1.0</v>
      </c>
      <c r="CV47" s="47">
        <v>0.0</v>
      </c>
      <c r="CW47" s="45"/>
      <c r="CX47" s="44">
        <f t="shared" si="29"/>
        <v>0.03410505352</v>
      </c>
      <c r="CY47" s="40"/>
      <c r="CZ47" s="40"/>
      <c r="DA47" s="47"/>
      <c r="DB47" s="41"/>
      <c r="DC47" s="40"/>
      <c r="DD47" s="48">
        <f t="shared" si="30"/>
        <v>118045.7301</v>
      </c>
      <c r="DE47" s="49">
        <f t="shared" si="31"/>
        <v>0.02201038497</v>
      </c>
      <c r="DF47" s="50"/>
      <c r="DG47" s="40"/>
      <c r="DH47" s="51">
        <f t="shared" si="32"/>
        <v>117422.3208</v>
      </c>
      <c r="DI47" s="52">
        <f t="shared" si="33"/>
        <v>0.03410505352</v>
      </c>
      <c r="DJ47" s="50"/>
      <c r="DK47" s="40"/>
      <c r="DL47" s="40"/>
      <c r="DM47" s="40"/>
      <c r="DN47" s="42"/>
      <c r="DO47" s="40"/>
      <c r="DP47" s="40"/>
      <c r="DQ47" s="42"/>
      <c r="DR47" s="40"/>
      <c r="DS47" s="40"/>
      <c r="DT47" s="40"/>
      <c r="DU47" s="40"/>
    </row>
    <row r="48" ht="13.5" customHeight="1">
      <c r="A48" s="27">
        <v>48.0</v>
      </c>
      <c r="B48" s="28">
        <f t="shared" si="2"/>
        <v>42916</v>
      </c>
      <c r="C48" s="29">
        <f t="shared" ref="C48:I48" si="610">indirect(CONCATENATE(C$2,"!$G$",$A48))</f>
        <v>206.8971289</v>
      </c>
      <c r="D48" s="29">
        <f t="shared" si="610"/>
        <v>37.21384634</v>
      </c>
      <c r="E48" s="29">
        <f t="shared" si="610"/>
        <v>36.92966633</v>
      </c>
      <c r="F48" s="29">
        <f t="shared" si="610"/>
        <v>74.02297141</v>
      </c>
      <c r="G48" s="29">
        <f t="shared" si="610"/>
        <v>79.96045338</v>
      </c>
      <c r="H48" s="29">
        <f t="shared" si="610"/>
        <v>99.67317897</v>
      </c>
      <c r="I48" s="29">
        <f t="shared" si="610"/>
        <v>106.6874718</v>
      </c>
      <c r="J48" s="30"/>
      <c r="K48" s="32">
        <f t="shared" ref="K48:Q48" si="611">C48/C47-1</f>
        <v>0.006288972996</v>
      </c>
      <c r="L48" s="32">
        <f t="shared" si="611"/>
        <v>0.006383492541</v>
      </c>
      <c r="M48" s="32">
        <f t="shared" si="611"/>
        <v>0.008480684628</v>
      </c>
      <c r="N48" s="32">
        <f t="shared" si="611"/>
        <v>0.0005155087816</v>
      </c>
      <c r="O48" s="32">
        <f t="shared" si="611"/>
        <v>-0.0007853061505</v>
      </c>
      <c r="P48" s="32">
        <f t="shared" si="611"/>
        <v>-0.005097872741</v>
      </c>
      <c r="Q48" s="32">
        <f t="shared" si="611"/>
        <v>0.004804742482</v>
      </c>
      <c r="R48" s="30"/>
      <c r="S48" s="32">
        <f t="shared" ref="S48:Y48" si="612">C48/C45-1</f>
        <v>0.03103340256</v>
      </c>
      <c r="T48" s="32">
        <f t="shared" si="612"/>
        <v>0.06374479084</v>
      </c>
      <c r="U48" s="32">
        <f t="shared" si="612"/>
        <v>0.03437822487</v>
      </c>
      <c r="V48" s="32">
        <f t="shared" si="612"/>
        <v>0.01563188138</v>
      </c>
      <c r="W48" s="32">
        <f t="shared" si="612"/>
        <v>0.001821968761</v>
      </c>
      <c r="X48" s="32">
        <f t="shared" si="612"/>
        <v>0.01424571199</v>
      </c>
      <c r="Y48" s="32">
        <f t="shared" si="612"/>
        <v>0.03030022189</v>
      </c>
      <c r="Z48" s="30"/>
      <c r="AA48" s="32">
        <f t="shared" ref="AA48:AG48" si="613">C48/C42-1</f>
        <v>0.09151727949</v>
      </c>
      <c r="AB48" s="32">
        <f t="shared" si="613"/>
        <v>0.1484712382</v>
      </c>
      <c r="AC48" s="32">
        <f t="shared" si="613"/>
        <v>0.15031538</v>
      </c>
      <c r="AD48" s="32">
        <f t="shared" si="613"/>
        <v>0.02340413895</v>
      </c>
      <c r="AE48" s="32">
        <f t="shared" si="613"/>
        <v>0.003893701546</v>
      </c>
      <c r="AF48" s="32">
        <f t="shared" si="613"/>
        <v>0.02466530115</v>
      </c>
      <c r="AG48" s="32">
        <f t="shared" si="613"/>
        <v>0.04235666417</v>
      </c>
      <c r="AH48" s="30"/>
      <c r="AI48" s="32">
        <f t="shared" ref="AI48:AO48" si="614">C48/C36-1</f>
        <v>0.1785883275</v>
      </c>
      <c r="AJ48" s="32">
        <f t="shared" si="614"/>
        <v>0.2023237792</v>
      </c>
      <c r="AK48" s="32">
        <f t="shared" si="614"/>
        <v>0.1884364611</v>
      </c>
      <c r="AL48" s="32">
        <f t="shared" si="614"/>
        <v>-0.005085887108</v>
      </c>
      <c r="AM48" s="32">
        <f t="shared" si="614"/>
        <v>-0.002108574839</v>
      </c>
      <c r="AN48" s="32">
        <f t="shared" si="614"/>
        <v>-0.03959016682</v>
      </c>
      <c r="AO48" s="32">
        <f t="shared" si="614"/>
        <v>0.01388196494</v>
      </c>
      <c r="AP48" s="30"/>
      <c r="AQ48" s="32">
        <f t="shared" ref="AQ48:AW48" si="615">(12*K48+4*S48+2*AA48+AI48)/4</f>
        <v>0.1403060432</v>
      </c>
      <c r="AR48" s="32">
        <f t="shared" si="615"/>
        <v>0.2077118324</v>
      </c>
      <c r="AS48" s="32">
        <f t="shared" si="615"/>
        <v>0.1820870841</v>
      </c>
      <c r="AT48" s="32">
        <f t="shared" si="615"/>
        <v>0.02760900543</v>
      </c>
      <c r="AU48" s="33">
        <f t="shared" si="615"/>
        <v>0.000885757373</v>
      </c>
      <c r="AV48" s="32">
        <f t="shared" si="615"/>
        <v>0.001387202636</v>
      </c>
      <c r="AW48" s="32">
        <f t="shared" si="615"/>
        <v>0.06936327265</v>
      </c>
      <c r="AX48" s="30"/>
      <c r="AY48" s="34">
        <f t="shared" ref="AY48:BB48" si="616">rank(AQ48,$AQ48:$AT48)</f>
        <v>3</v>
      </c>
      <c r="AZ48" s="34">
        <f t="shared" si="616"/>
        <v>1</v>
      </c>
      <c r="BA48" s="34">
        <f t="shared" si="616"/>
        <v>2</v>
      </c>
      <c r="BB48" s="34">
        <f t="shared" si="616"/>
        <v>4</v>
      </c>
      <c r="BC48" s="35">
        <f t="shared" ref="BC48:BE48" si="617">rank(AU48,$AU48:$AW48)</f>
        <v>3</v>
      </c>
      <c r="BD48" s="34">
        <f t="shared" si="617"/>
        <v>2</v>
      </c>
      <c r="BE48" s="34">
        <f t="shared" si="617"/>
        <v>1</v>
      </c>
      <c r="BF48" s="30"/>
      <c r="BG48" s="36">
        <f t="shared" ref="BG48:BJ48" si="618">if(and($BQ48=0,AY48&lt;=2),0.5,0)</f>
        <v>0</v>
      </c>
      <c r="BH48" s="36">
        <f t="shared" si="618"/>
        <v>0.5</v>
      </c>
      <c r="BI48" s="36">
        <f t="shared" si="618"/>
        <v>0.5</v>
      </c>
      <c r="BJ48" s="36">
        <f t="shared" si="618"/>
        <v>0</v>
      </c>
      <c r="BK48" s="37">
        <f t="shared" ref="BK48:BM48" si="619">if(and($BQ48&gt;0,BC48=1),1,0)</f>
        <v>0</v>
      </c>
      <c r="BL48" s="36">
        <f t="shared" si="619"/>
        <v>0</v>
      </c>
      <c r="BM48" s="36">
        <f t="shared" si="619"/>
        <v>0</v>
      </c>
      <c r="BN48" s="38"/>
      <c r="BO48" s="22">
        <f t="shared" si="21"/>
        <v>1</v>
      </c>
      <c r="BP48" s="38"/>
      <c r="BQ48" s="39">
        <f t="shared" si="22"/>
        <v>0</v>
      </c>
      <c r="BR48" s="30"/>
      <c r="BS48" s="36">
        <f t="shared" ref="BS48:BV48" si="620">if(and($BQ48=0,AY48=1),1,0)</f>
        <v>0</v>
      </c>
      <c r="BT48" s="36">
        <f t="shared" si="620"/>
        <v>1</v>
      </c>
      <c r="BU48" s="36">
        <f t="shared" si="620"/>
        <v>0</v>
      </c>
      <c r="BV48" s="36">
        <f t="shared" si="620"/>
        <v>0</v>
      </c>
      <c r="BW48" s="37">
        <f t="shared" ref="BW48:BY48" si="621">if(and($BQ48&gt;0,BC48=1),1,0)</f>
        <v>0</v>
      </c>
      <c r="BX48" s="36">
        <f t="shared" si="621"/>
        <v>0</v>
      </c>
      <c r="BY48" s="36">
        <f t="shared" si="621"/>
        <v>0</v>
      </c>
      <c r="BZ48" s="38"/>
      <c r="CA48" s="22">
        <f t="shared" si="25"/>
        <v>1</v>
      </c>
      <c r="CB48" s="30"/>
      <c r="CC48" s="22">
        <f t="shared" ref="CC48:CI48" si="622">BG47*K48</f>
        <v>0</v>
      </c>
      <c r="CD48" s="22">
        <f t="shared" si="622"/>
        <v>0.00319174627</v>
      </c>
      <c r="CE48" s="22">
        <f t="shared" si="622"/>
        <v>0.004240342314</v>
      </c>
      <c r="CF48" s="22">
        <f t="shared" si="622"/>
        <v>0</v>
      </c>
      <c r="CG48" s="22">
        <f t="shared" si="622"/>
        <v>0</v>
      </c>
      <c r="CH48" s="22">
        <f t="shared" si="622"/>
        <v>0</v>
      </c>
      <c r="CI48" s="22">
        <f t="shared" si="622"/>
        <v>0</v>
      </c>
      <c r="CJ48" s="38"/>
      <c r="CK48" s="22">
        <f t="shared" ref="CK48:CQ48" si="623">BS47*K48</f>
        <v>0</v>
      </c>
      <c r="CL48" s="22">
        <f t="shared" si="623"/>
        <v>0.006383492541</v>
      </c>
      <c r="CM48" s="22">
        <f t="shared" si="623"/>
        <v>0</v>
      </c>
      <c r="CN48" s="22">
        <f t="shared" si="623"/>
        <v>0</v>
      </c>
      <c r="CO48" s="22">
        <f t="shared" si="623"/>
        <v>0</v>
      </c>
      <c r="CP48" s="22">
        <f t="shared" si="623"/>
        <v>0</v>
      </c>
      <c r="CQ48" s="22">
        <f t="shared" si="623"/>
        <v>0</v>
      </c>
      <c r="CR48" s="44">
        <f t="shared" si="28"/>
        <v>0.007432088585</v>
      </c>
      <c r="CS48" s="45"/>
      <c r="CT48" s="40"/>
      <c r="CU48" s="46">
        <v>1.0</v>
      </c>
      <c r="CV48" s="47">
        <v>0.0</v>
      </c>
      <c r="CW48" s="45"/>
      <c r="CX48" s="44">
        <f t="shared" si="29"/>
        <v>0.006383492541</v>
      </c>
      <c r="CY48" s="40"/>
      <c r="CZ48" s="40"/>
      <c r="DA48" s="47"/>
      <c r="DB48" s="41"/>
      <c r="DC48" s="40"/>
      <c r="DD48" s="48">
        <f t="shared" si="30"/>
        <v>118923.0564</v>
      </c>
      <c r="DE48" s="49">
        <f t="shared" si="31"/>
        <v>0.007432088585</v>
      </c>
      <c r="DF48" s="50"/>
      <c r="DG48" s="40"/>
      <c r="DH48" s="51">
        <f t="shared" si="32"/>
        <v>118171.8853</v>
      </c>
      <c r="DI48" s="52">
        <f t="shared" si="33"/>
        <v>0.006383492541</v>
      </c>
      <c r="DJ48" s="50"/>
      <c r="DK48" s="40"/>
      <c r="DL48" s="40"/>
      <c r="DM48" s="40"/>
      <c r="DN48" s="42"/>
      <c r="DO48" s="40"/>
      <c r="DP48" s="40"/>
      <c r="DQ48" s="42"/>
      <c r="DR48" s="40"/>
      <c r="DS48" s="40"/>
      <c r="DT48" s="40"/>
      <c r="DU48" s="40"/>
    </row>
    <row r="49" ht="13.5" customHeight="1">
      <c r="A49" s="27">
        <v>47.0</v>
      </c>
      <c r="B49" s="28">
        <f t="shared" si="2"/>
        <v>42947</v>
      </c>
      <c r="C49" s="29">
        <f t="shared" ref="C49:I49" si="624">indirect(CONCATENATE(C$2,"!$G$",$A49))</f>
        <v>211.1643938</v>
      </c>
      <c r="D49" s="29">
        <f t="shared" si="624"/>
        <v>38.2855907</v>
      </c>
      <c r="E49" s="29">
        <f t="shared" si="624"/>
        <v>38.90141927</v>
      </c>
      <c r="F49" s="29">
        <f t="shared" si="624"/>
        <v>74.32211461</v>
      </c>
      <c r="G49" s="29">
        <f t="shared" si="624"/>
        <v>80.10914876</v>
      </c>
      <c r="H49" s="29">
        <f t="shared" si="624"/>
        <v>100.04759</v>
      </c>
      <c r="I49" s="29">
        <f t="shared" si="624"/>
        <v>107.5048771</v>
      </c>
      <c r="J49" s="30"/>
      <c r="K49" s="32">
        <f t="shared" ref="K49:Q49" si="625">C49/C48-1</f>
        <v>0.02062505629</v>
      </c>
      <c r="L49" s="32">
        <f t="shared" si="625"/>
        <v>0.02879961278</v>
      </c>
      <c r="M49" s="32">
        <f t="shared" si="625"/>
        <v>0.05339211364</v>
      </c>
      <c r="N49" s="32">
        <f t="shared" si="625"/>
        <v>0.004041221067</v>
      </c>
      <c r="O49" s="32">
        <f t="shared" si="625"/>
        <v>0.001859611567</v>
      </c>
      <c r="P49" s="32">
        <f t="shared" si="625"/>
        <v>0.003756387113</v>
      </c>
      <c r="Q49" s="32">
        <f t="shared" si="625"/>
        <v>0.007661680091</v>
      </c>
      <c r="R49" s="30"/>
      <c r="S49" s="32">
        <f t="shared" ref="S49:Y49" si="626">C49/C46-1</f>
        <v>0.04146745554</v>
      </c>
      <c r="T49" s="32">
        <f t="shared" si="626"/>
        <v>0.07067819259</v>
      </c>
      <c r="U49" s="32">
        <f t="shared" si="626"/>
        <v>0.07285931933</v>
      </c>
      <c r="V49" s="32">
        <f t="shared" si="626"/>
        <v>0.01169623051</v>
      </c>
      <c r="W49" s="32">
        <f t="shared" si="626"/>
        <v>0.001805796233</v>
      </c>
      <c r="X49" s="32">
        <f t="shared" si="626"/>
        <v>0.006901692628</v>
      </c>
      <c r="Y49" s="32">
        <f t="shared" si="626"/>
        <v>0.02600690914</v>
      </c>
      <c r="Z49" s="30"/>
      <c r="AA49" s="32">
        <f t="shared" ref="AA49:AG49" si="627">C49/C43-1</f>
        <v>0.09451823541</v>
      </c>
      <c r="AB49" s="32">
        <f t="shared" si="627"/>
        <v>0.1397497043</v>
      </c>
      <c r="AC49" s="32">
        <f t="shared" si="627"/>
        <v>0.1457667043</v>
      </c>
      <c r="AD49" s="32">
        <f t="shared" si="627"/>
        <v>0.02563567901</v>
      </c>
      <c r="AE49" s="32">
        <f t="shared" si="627"/>
        <v>0.004689836476</v>
      </c>
      <c r="AF49" s="32">
        <f t="shared" si="627"/>
        <v>0.02626247682</v>
      </c>
      <c r="AG49" s="32">
        <f t="shared" si="627"/>
        <v>0.04882128002</v>
      </c>
      <c r="AH49" s="30"/>
      <c r="AI49" s="32">
        <f t="shared" ref="AI49:AO49" si="628">C49/C37-1</f>
        <v>0.1601603811</v>
      </c>
      <c r="AJ49" s="32">
        <f t="shared" si="628"/>
        <v>0.1875797022</v>
      </c>
      <c r="AK49" s="32">
        <f t="shared" si="628"/>
        <v>0.1907146452</v>
      </c>
      <c r="AL49" s="32">
        <f t="shared" si="628"/>
        <v>-0.007012402059</v>
      </c>
      <c r="AM49" s="32">
        <f t="shared" si="628"/>
        <v>0.0002121267761</v>
      </c>
      <c r="AN49" s="32">
        <f t="shared" si="628"/>
        <v>-0.03834496705</v>
      </c>
      <c r="AO49" s="32">
        <f t="shared" si="628"/>
        <v>0.008592269549</v>
      </c>
      <c r="AP49" s="30"/>
      <c r="AQ49" s="32">
        <f t="shared" ref="AQ49:AW49" si="629">(12*K49+4*S49+2*AA49+AI49)/4</f>
        <v>0.1906418374</v>
      </c>
      <c r="AR49" s="32">
        <f t="shared" si="629"/>
        <v>0.2738468086</v>
      </c>
      <c r="AS49" s="32">
        <f t="shared" si="629"/>
        <v>0.3535976737</v>
      </c>
      <c r="AT49" s="32">
        <f t="shared" si="629"/>
        <v>0.0348846327</v>
      </c>
      <c r="AU49" s="33">
        <f t="shared" si="629"/>
        <v>0.009782580867</v>
      </c>
      <c r="AV49" s="32">
        <f t="shared" si="629"/>
        <v>0.02171585062</v>
      </c>
      <c r="AW49" s="32">
        <f t="shared" si="629"/>
        <v>0.07555065681</v>
      </c>
      <c r="AX49" s="30"/>
      <c r="AY49" s="34">
        <f t="shared" ref="AY49:BB49" si="630">rank(AQ49,$AQ49:$AT49)</f>
        <v>3</v>
      </c>
      <c r="AZ49" s="34">
        <f t="shared" si="630"/>
        <v>2</v>
      </c>
      <c r="BA49" s="34">
        <f t="shared" si="630"/>
        <v>1</v>
      </c>
      <c r="BB49" s="34">
        <f t="shared" si="630"/>
        <v>4</v>
      </c>
      <c r="BC49" s="35">
        <f t="shared" ref="BC49:BE49" si="631">rank(AU49,$AU49:$AW49)</f>
        <v>3</v>
      </c>
      <c r="BD49" s="34">
        <f t="shared" si="631"/>
        <v>2</v>
      </c>
      <c r="BE49" s="34">
        <f t="shared" si="631"/>
        <v>1</v>
      </c>
      <c r="BF49" s="30"/>
      <c r="BG49" s="36">
        <f t="shared" ref="BG49:BJ49" si="632">if(and($BQ49=0,AY49&lt;=2),0.5,0)</f>
        <v>0</v>
      </c>
      <c r="BH49" s="36">
        <f t="shared" si="632"/>
        <v>0.5</v>
      </c>
      <c r="BI49" s="36">
        <f t="shared" si="632"/>
        <v>0.5</v>
      </c>
      <c r="BJ49" s="36">
        <f t="shared" si="632"/>
        <v>0</v>
      </c>
      <c r="BK49" s="37">
        <f t="shared" ref="BK49:BM49" si="633">if(and($BQ49&gt;0,BC49=1),1,0)</f>
        <v>0</v>
      </c>
      <c r="BL49" s="36">
        <f t="shared" si="633"/>
        <v>0</v>
      </c>
      <c r="BM49" s="36">
        <f t="shared" si="633"/>
        <v>0</v>
      </c>
      <c r="BN49" s="38"/>
      <c r="BO49" s="22">
        <f t="shared" si="21"/>
        <v>1</v>
      </c>
      <c r="BP49" s="38"/>
      <c r="BQ49" s="39">
        <f t="shared" si="22"/>
        <v>0</v>
      </c>
      <c r="BR49" s="30"/>
      <c r="BS49" s="36">
        <f t="shared" ref="BS49:BV49" si="634">if(and($BQ49=0,AY49=1),1,0)</f>
        <v>0</v>
      </c>
      <c r="BT49" s="36">
        <f t="shared" si="634"/>
        <v>0</v>
      </c>
      <c r="BU49" s="36">
        <f t="shared" si="634"/>
        <v>1</v>
      </c>
      <c r="BV49" s="36">
        <f t="shared" si="634"/>
        <v>0</v>
      </c>
      <c r="BW49" s="37">
        <f t="shared" ref="BW49:BY49" si="635">if(and($BQ49&gt;0,BC49=1),1,0)</f>
        <v>0</v>
      </c>
      <c r="BX49" s="36">
        <f t="shared" si="635"/>
        <v>0</v>
      </c>
      <c r="BY49" s="36">
        <f t="shared" si="635"/>
        <v>0</v>
      </c>
      <c r="BZ49" s="38"/>
      <c r="CA49" s="22">
        <f t="shared" si="25"/>
        <v>1</v>
      </c>
      <c r="CB49" s="30"/>
      <c r="CC49" s="22">
        <f t="shared" ref="CC49:CI49" si="636">BG48*K49</f>
        <v>0</v>
      </c>
      <c r="CD49" s="22">
        <f t="shared" si="636"/>
        <v>0.01439980639</v>
      </c>
      <c r="CE49" s="22">
        <f t="shared" si="636"/>
        <v>0.02669605682</v>
      </c>
      <c r="CF49" s="22">
        <f t="shared" si="636"/>
        <v>0</v>
      </c>
      <c r="CG49" s="22">
        <f t="shared" si="636"/>
        <v>0</v>
      </c>
      <c r="CH49" s="22">
        <f t="shared" si="636"/>
        <v>0</v>
      </c>
      <c r="CI49" s="22">
        <f t="shared" si="636"/>
        <v>0</v>
      </c>
      <c r="CJ49" s="38"/>
      <c r="CK49" s="22">
        <f t="shared" ref="CK49:CQ49" si="637">BS48*K49</f>
        <v>0</v>
      </c>
      <c r="CL49" s="22">
        <f t="shared" si="637"/>
        <v>0.02879961278</v>
      </c>
      <c r="CM49" s="22">
        <f t="shared" si="637"/>
        <v>0</v>
      </c>
      <c r="CN49" s="22">
        <f t="shared" si="637"/>
        <v>0</v>
      </c>
      <c r="CO49" s="22">
        <f t="shared" si="637"/>
        <v>0</v>
      </c>
      <c r="CP49" s="22">
        <f t="shared" si="637"/>
        <v>0</v>
      </c>
      <c r="CQ49" s="22">
        <f t="shared" si="637"/>
        <v>0</v>
      </c>
      <c r="CR49" s="44">
        <f t="shared" si="28"/>
        <v>0.04109586321</v>
      </c>
      <c r="CS49" s="45"/>
      <c r="CT49" s="40"/>
      <c r="CU49" s="46">
        <v>1.0</v>
      </c>
      <c r="CV49" s="47">
        <v>0.0</v>
      </c>
      <c r="CW49" s="45"/>
      <c r="CX49" s="44">
        <f t="shared" si="29"/>
        <v>0.02879961278</v>
      </c>
      <c r="CY49" s="40"/>
      <c r="CZ49" s="40"/>
      <c r="DA49" s="47"/>
      <c r="DB49" s="41"/>
      <c r="DC49" s="40"/>
      <c r="DD49" s="48">
        <f t="shared" si="30"/>
        <v>123810.3021</v>
      </c>
      <c r="DE49" s="49">
        <f t="shared" si="31"/>
        <v>0.04109586321</v>
      </c>
      <c r="DF49" s="50"/>
      <c r="DG49" s="40"/>
      <c r="DH49" s="51">
        <f t="shared" si="32"/>
        <v>121575.1899</v>
      </c>
      <c r="DI49" s="52">
        <f t="shared" si="33"/>
        <v>0.02879961278</v>
      </c>
      <c r="DJ49" s="50"/>
      <c r="DK49" s="40"/>
      <c r="DL49" s="40"/>
      <c r="DM49" s="40"/>
      <c r="DN49" s="42"/>
      <c r="DO49" s="40"/>
      <c r="DP49" s="40"/>
      <c r="DQ49" s="42"/>
      <c r="DR49" s="40"/>
      <c r="DS49" s="40"/>
      <c r="DT49" s="40"/>
      <c r="DU49" s="40"/>
    </row>
    <row r="50" ht="13.5" customHeight="1">
      <c r="A50" s="27">
        <v>46.0</v>
      </c>
      <c r="B50" s="28">
        <f t="shared" si="2"/>
        <v>42978</v>
      </c>
      <c r="C50" s="29">
        <f t="shared" ref="C50:I50" si="638">indirect(CONCATENATE(C$2,"!$G$",$A50))</f>
        <v>211.7793272</v>
      </c>
      <c r="D50" s="29">
        <f t="shared" si="638"/>
        <v>38.29459696</v>
      </c>
      <c r="E50" s="29">
        <f t="shared" si="638"/>
        <v>40.0681905</v>
      </c>
      <c r="F50" s="29">
        <f t="shared" si="638"/>
        <v>74.95864044</v>
      </c>
      <c r="G50" s="29">
        <f t="shared" si="638"/>
        <v>80.27110447</v>
      </c>
      <c r="H50" s="29">
        <f t="shared" si="638"/>
        <v>101.5056999</v>
      </c>
      <c r="I50" s="29">
        <f t="shared" si="638"/>
        <v>108.2317386</v>
      </c>
      <c r="J50" s="30"/>
      <c r="K50" s="32">
        <f t="shared" ref="K50:Q50" si="639">C50/C49-1</f>
        <v>0.002912107307</v>
      </c>
      <c r="L50" s="32">
        <f t="shared" si="639"/>
        <v>0.0002352387673</v>
      </c>
      <c r="M50" s="32">
        <f t="shared" si="639"/>
        <v>0.02999302488</v>
      </c>
      <c r="N50" s="32">
        <f t="shared" si="639"/>
        <v>0.008564420458</v>
      </c>
      <c r="O50" s="32">
        <f t="shared" si="639"/>
        <v>0.002021688032</v>
      </c>
      <c r="P50" s="32">
        <f t="shared" si="639"/>
        <v>0.01457416257</v>
      </c>
      <c r="Q50" s="32">
        <f t="shared" si="639"/>
        <v>0.006761194939</v>
      </c>
      <c r="R50" s="30"/>
      <c r="S50" s="32">
        <f t="shared" ref="S50:Y50" si="640">C50/C47-1</f>
        <v>0.03003460129</v>
      </c>
      <c r="T50" s="32">
        <f t="shared" si="640"/>
        <v>0.03561050588</v>
      </c>
      <c r="U50" s="32">
        <f t="shared" si="640"/>
        <v>0.0941879581</v>
      </c>
      <c r="V50" s="32">
        <f t="shared" si="640"/>
        <v>0.01316227718</v>
      </c>
      <c r="W50" s="32">
        <f t="shared" si="640"/>
        <v>0.003096702043</v>
      </c>
      <c r="X50" s="32">
        <f t="shared" si="640"/>
        <v>0.01319369723</v>
      </c>
      <c r="Y50" s="32">
        <f t="shared" si="640"/>
        <v>0.01934896672</v>
      </c>
      <c r="Z50" s="30"/>
      <c r="AA50" s="32">
        <f t="shared" ref="AA50:AG50" si="641">C50/C44-1</f>
        <v>0.05674453924</v>
      </c>
      <c r="AB50" s="32">
        <f t="shared" si="641"/>
        <v>0.1281054057</v>
      </c>
      <c r="AC50" s="32">
        <f t="shared" si="641"/>
        <v>0.1542048085</v>
      </c>
      <c r="AD50" s="32">
        <f t="shared" si="641"/>
        <v>0.028076967</v>
      </c>
      <c r="AE50" s="32">
        <f t="shared" si="641"/>
        <v>0.006351698133</v>
      </c>
      <c r="AF50" s="32">
        <f t="shared" si="641"/>
        <v>0.03373338606</v>
      </c>
      <c r="AG50" s="32">
        <f t="shared" si="641"/>
        <v>0.04214411265</v>
      </c>
      <c r="AH50" s="30"/>
      <c r="AI50" s="32">
        <f t="shared" ref="AI50:AO50" si="642">C50/C38-1</f>
        <v>0.1621392869</v>
      </c>
      <c r="AJ50" s="32">
        <f t="shared" si="642"/>
        <v>0.1830408176</v>
      </c>
      <c r="AK50" s="32">
        <f t="shared" si="642"/>
        <v>0.2169002127</v>
      </c>
      <c r="AL50" s="32">
        <f t="shared" si="642"/>
        <v>0.004631863113</v>
      </c>
      <c r="AM50" s="32">
        <f t="shared" si="642"/>
        <v>0.004579972599</v>
      </c>
      <c r="AN50" s="32">
        <f t="shared" si="642"/>
        <v>-0.0143683617</v>
      </c>
      <c r="AO50" s="32">
        <f t="shared" si="642"/>
        <v>0.01357128511</v>
      </c>
      <c r="AP50" s="30"/>
      <c r="AQ50" s="32">
        <f t="shared" ref="AQ50:AW50" si="643">(12*K50+4*S50+2*AA50+AI50)/4</f>
        <v>0.1076780145</v>
      </c>
      <c r="AR50" s="32">
        <f t="shared" si="643"/>
        <v>0.1461291294</v>
      </c>
      <c r="AS50" s="32">
        <f t="shared" si="643"/>
        <v>0.3154944901</v>
      </c>
      <c r="AT50" s="32">
        <f t="shared" si="643"/>
        <v>0.05405198784</v>
      </c>
      <c r="AU50" s="33">
        <f t="shared" si="643"/>
        <v>0.01348260836</v>
      </c>
      <c r="AV50" s="32">
        <f t="shared" si="643"/>
        <v>0.07019078754</v>
      </c>
      <c r="AW50" s="32">
        <f t="shared" si="643"/>
        <v>0.06409742914</v>
      </c>
      <c r="AX50" s="30"/>
      <c r="AY50" s="34">
        <f t="shared" ref="AY50:BB50" si="644">rank(AQ50,$AQ50:$AT50)</f>
        <v>3</v>
      </c>
      <c r="AZ50" s="34">
        <f t="shared" si="644"/>
        <v>2</v>
      </c>
      <c r="BA50" s="34">
        <f t="shared" si="644"/>
        <v>1</v>
      </c>
      <c r="BB50" s="34">
        <f t="shared" si="644"/>
        <v>4</v>
      </c>
      <c r="BC50" s="35">
        <f t="shared" ref="BC50:BE50" si="645">rank(AU50,$AU50:$AW50)</f>
        <v>3</v>
      </c>
      <c r="BD50" s="34">
        <f t="shared" si="645"/>
        <v>1</v>
      </c>
      <c r="BE50" s="34">
        <f t="shared" si="645"/>
        <v>2</v>
      </c>
      <c r="BF50" s="30"/>
      <c r="BG50" s="36">
        <f t="shared" ref="BG50:BJ50" si="646">if(and($BQ50=0,AY50&lt;=2),0.5,0)</f>
        <v>0</v>
      </c>
      <c r="BH50" s="36">
        <f t="shared" si="646"/>
        <v>0.5</v>
      </c>
      <c r="BI50" s="36">
        <f t="shared" si="646"/>
        <v>0.5</v>
      </c>
      <c r="BJ50" s="36">
        <f t="shared" si="646"/>
        <v>0</v>
      </c>
      <c r="BK50" s="37">
        <f t="shared" ref="BK50:BM50" si="647">if(and($BQ50&gt;0,BC50=1),1,0)</f>
        <v>0</v>
      </c>
      <c r="BL50" s="36">
        <f t="shared" si="647"/>
        <v>0</v>
      </c>
      <c r="BM50" s="36">
        <f t="shared" si="647"/>
        <v>0</v>
      </c>
      <c r="BN50" s="38"/>
      <c r="BO50" s="22">
        <f t="shared" si="21"/>
        <v>1</v>
      </c>
      <c r="BP50" s="38"/>
      <c r="BQ50" s="39">
        <f t="shared" si="22"/>
        <v>0</v>
      </c>
      <c r="BR50" s="30"/>
      <c r="BS50" s="36">
        <f t="shared" ref="BS50:BV50" si="648">if(and($BQ50=0,AY50=1),1,0)</f>
        <v>0</v>
      </c>
      <c r="BT50" s="36">
        <f t="shared" si="648"/>
        <v>0</v>
      </c>
      <c r="BU50" s="36">
        <f t="shared" si="648"/>
        <v>1</v>
      </c>
      <c r="BV50" s="36">
        <f t="shared" si="648"/>
        <v>0</v>
      </c>
      <c r="BW50" s="37">
        <f t="shared" ref="BW50:BY50" si="649">if(and($BQ50&gt;0,BC50=1),1,0)</f>
        <v>0</v>
      </c>
      <c r="BX50" s="36">
        <f t="shared" si="649"/>
        <v>0</v>
      </c>
      <c r="BY50" s="36">
        <f t="shared" si="649"/>
        <v>0</v>
      </c>
      <c r="BZ50" s="38"/>
      <c r="CA50" s="22">
        <f t="shared" si="25"/>
        <v>1</v>
      </c>
      <c r="CB50" s="30"/>
      <c r="CC50" s="22">
        <f t="shared" ref="CC50:CI50" si="650">BG49*K50</f>
        <v>0</v>
      </c>
      <c r="CD50" s="22">
        <f t="shared" si="650"/>
        <v>0.0001176193837</v>
      </c>
      <c r="CE50" s="22">
        <f t="shared" si="650"/>
        <v>0.01499651244</v>
      </c>
      <c r="CF50" s="22">
        <f t="shared" si="650"/>
        <v>0</v>
      </c>
      <c r="CG50" s="22">
        <f t="shared" si="650"/>
        <v>0</v>
      </c>
      <c r="CH50" s="22">
        <f t="shared" si="650"/>
        <v>0</v>
      </c>
      <c r="CI50" s="22">
        <f t="shared" si="650"/>
        <v>0</v>
      </c>
      <c r="CJ50" s="38"/>
      <c r="CK50" s="22">
        <f t="shared" ref="CK50:CQ50" si="651">BS49*K50</f>
        <v>0</v>
      </c>
      <c r="CL50" s="22">
        <f t="shared" si="651"/>
        <v>0</v>
      </c>
      <c r="CM50" s="22">
        <f t="shared" si="651"/>
        <v>0.02999302488</v>
      </c>
      <c r="CN50" s="22">
        <f t="shared" si="651"/>
        <v>0</v>
      </c>
      <c r="CO50" s="22">
        <f t="shared" si="651"/>
        <v>0</v>
      </c>
      <c r="CP50" s="22">
        <f t="shared" si="651"/>
        <v>0</v>
      </c>
      <c r="CQ50" s="22">
        <f t="shared" si="651"/>
        <v>0</v>
      </c>
      <c r="CR50" s="44">
        <f t="shared" si="28"/>
        <v>0.01511413182</v>
      </c>
      <c r="CS50" s="45"/>
      <c r="CT50" s="40"/>
      <c r="CU50" s="46">
        <v>1.0</v>
      </c>
      <c r="CV50" s="47">
        <v>0.0</v>
      </c>
      <c r="CW50" s="45"/>
      <c r="CX50" s="44">
        <f t="shared" si="29"/>
        <v>0.02999302488</v>
      </c>
      <c r="CY50" s="40"/>
      <c r="CZ50" s="40"/>
      <c r="DA50" s="47"/>
      <c r="DB50" s="41"/>
      <c r="DC50" s="40"/>
      <c r="DD50" s="53">
        <f t="shared" si="30"/>
        <v>125681.5873</v>
      </c>
      <c r="DE50" s="54">
        <f t="shared" si="31"/>
        <v>0.01511413182</v>
      </c>
      <c r="DF50" s="55">
        <f>DD50/DD38-1</f>
        <v>0.1034184156</v>
      </c>
      <c r="DG50" s="40"/>
      <c r="DH50" s="51">
        <f t="shared" si="32"/>
        <v>125221.5976</v>
      </c>
      <c r="DI50" s="52">
        <f t="shared" si="33"/>
        <v>0.02999302488</v>
      </c>
      <c r="DJ50" s="55">
        <f>DH50/DH38-1</f>
        <v>0.129698631</v>
      </c>
      <c r="DK50" s="40"/>
      <c r="DL50" s="40"/>
      <c r="DM50" s="40"/>
      <c r="DN50" s="42"/>
      <c r="DO50" s="40"/>
      <c r="DP50" s="40"/>
      <c r="DQ50" s="42"/>
      <c r="DR50" s="40"/>
      <c r="DS50" s="40"/>
      <c r="DT50" s="40"/>
      <c r="DU50" s="40"/>
    </row>
    <row r="51" ht="13.5" customHeight="1">
      <c r="A51" s="27">
        <v>45.0</v>
      </c>
      <c r="B51" s="28">
        <f t="shared" si="2"/>
        <v>43007</v>
      </c>
      <c r="C51" s="29">
        <f t="shared" ref="C51:I51" si="652">indirect(CONCATENATE(C$2,"!$G$",$A51))</f>
        <v>216.1037288</v>
      </c>
      <c r="D51" s="29">
        <f t="shared" si="652"/>
        <v>39.25784986</v>
      </c>
      <c r="E51" s="29">
        <f t="shared" si="652"/>
        <v>39.87112967</v>
      </c>
      <c r="F51" s="29">
        <f t="shared" si="652"/>
        <v>74.60709362</v>
      </c>
      <c r="G51" s="29">
        <f t="shared" si="652"/>
        <v>80.12125948</v>
      </c>
      <c r="H51" s="29">
        <f t="shared" si="652"/>
        <v>100.0433066</v>
      </c>
      <c r="I51" s="29">
        <f t="shared" si="652"/>
        <v>108.1794766</v>
      </c>
      <c r="J51" s="30"/>
      <c r="K51" s="32">
        <f t="shared" ref="K51:Q51" si="653">C51/C50-1</f>
        <v>0.02041937548</v>
      </c>
      <c r="L51" s="32">
        <f t="shared" si="653"/>
        <v>0.02515375498</v>
      </c>
      <c r="M51" s="32">
        <f t="shared" si="653"/>
        <v>-0.004918136612</v>
      </c>
      <c r="N51" s="32">
        <f t="shared" si="653"/>
        <v>-0.004689877242</v>
      </c>
      <c r="O51" s="32">
        <f t="shared" si="653"/>
        <v>-0.00186673637</v>
      </c>
      <c r="P51" s="32">
        <f t="shared" si="653"/>
        <v>-0.01440700645</v>
      </c>
      <c r="Q51" s="32">
        <f t="shared" si="653"/>
        <v>-0.0004828709455</v>
      </c>
      <c r="R51" s="30"/>
      <c r="S51" s="32">
        <f t="shared" ref="S51:Y51" si="654">C51/C48-1</f>
        <v>0.04449844207</v>
      </c>
      <c r="T51" s="32">
        <f t="shared" si="654"/>
        <v>0.05492588726</v>
      </c>
      <c r="U51" s="32">
        <f t="shared" si="654"/>
        <v>0.07965041754</v>
      </c>
      <c r="V51" s="32">
        <f t="shared" si="654"/>
        <v>0.007891093768</v>
      </c>
      <c r="W51" s="32">
        <f t="shared" si="654"/>
        <v>0.002011070403</v>
      </c>
      <c r="X51" s="32">
        <f t="shared" si="654"/>
        <v>0.003713412348</v>
      </c>
      <c r="Y51" s="32">
        <f t="shared" si="654"/>
        <v>0.0139848168</v>
      </c>
      <c r="Z51" s="30"/>
      <c r="AA51" s="32">
        <f t="shared" ref="AA51:AG51" si="655">C51/C45-1</f>
        <v>0.0769127827</v>
      </c>
      <c r="AB51" s="32">
        <f t="shared" si="655"/>
        <v>0.1221719173</v>
      </c>
      <c r="AC51" s="32">
        <f t="shared" si="655"/>
        <v>0.1167668824</v>
      </c>
      <c r="AD51" s="32">
        <f t="shared" si="655"/>
        <v>0.02364632779</v>
      </c>
      <c r="AE51" s="32">
        <f t="shared" si="655"/>
        <v>0.003836703271</v>
      </c>
      <c r="AF51" s="32">
        <f t="shared" si="655"/>
        <v>0.01801202454</v>
      </c>
      <c r="AG51" s="32">
        <f t="shared" si="655"/>
        <v>0.04470878174</v>
      </c>
      <c r="AH51" s="30"/>
      <c r="AI51" s="32">
        <f t="shared" ref="AI51:AO51" si="656">C51/C39-1</f>
        <v>0.1854492307</v>
      </c>
      <c r="AJ51" s="32">
        <f t="shared" si="656"/>
        <v>0.1931348752</v>
      </c>
      <c r="AK51" s="32">
        <f t="shared" si="656"/>
        <v>0.1865681438</v>
      </c>
      <c r="AL51" s="32">
        <f t="shared" si="656"/>
        <v>-0.001216774472</v>
      </c>
      <c r="AM51" s="32">
        <f t="shared" si="656"/>
        <v>0.001407179143</v>
      </c>
      <c r="AN51" s="32">
        <f t="shared" si="656"/>
        <v>-0.03087111415</v>
      </c>
      <c r="AO51" s="32">
        <f t="shared" si="656"/>
        <v>0.01629098566</v>
      </c>
      <c r="AP51" s="30"/>
      <c r="AQ51" s="32">
        <f t="shared" ref="AQ51:AW51" si="657">(12*K51+4*S51+2*AA51+AI51)/4</f>
        <v>0.1905752675</v>
      </c>
      <c r="AR51" s="32">
        <f t="shared" si="657"/>
        <v>0.2397568297</v>
      </c>
      <c r="AS51" s="32">
        <f t="shared" si="657"/>
        <v>0.1699214848</v>
      </c>
      <c r="AT51" s="32">
        <f t="shared" si="657"/>
        <v>0.005340432321</v>
      </c>
      <c r="AU51" s="33">
        <f t="shared" si="657"/>
        <v>-0.001318992287</v>
      </c>
      <c r="AV51" s="32">
        <f t="shared" si="657"/>
        <v>-0.03821937327</v>
      </c>
      <c r="AW51" s="32">
        <f t="shared" si="657"/>
        <v>0.03896334124</v>
      </c>
      <c r="AX51" s="30"/>
      <c r="AY51" s="34">
        <f t="shared" ref="AY51:BB51" si="658">rank(AQ51,$AQ51:$AT51)</f>
        <v>2</v>
      </c>
      <c r="AZ51" s="34">
        <f t="shared" si="658"/>
        <v>1</v>
      </c>
      <c r="BA51" s="34">
        <f t="shared" si="658"/>
        <v>3</v>
      </c>
      <c r="BB51" s="34">
        <f t="shared" si="658"/>
        <v>4</v>
      </c>
      <c r="BC51" s="35">
        <f t="shared" ref="BC51:BE51" si="659">rank(AU51,$AU51:$AW51)</f>
        <v>2</v>
      </c>
      <c r="BD51" s="34">
        <f t="shared" si="659"/>
        <v>3</v>
      </c>
      <c r="BE51" s="34">
        <f t="shared" si="659"/>
        <v>1</v>
      </c>
      <c r="BF51" s="30"/>
      <c r="BG51" s="36">
        <f t="shared" ref="BG51:BJ51" si="660">if(and($BQ51=0,AY51&lt;=2),0.5,0)</f>
        <v>0.5</v>
      </c>
      <c r="BH51" s="36">
        <f t="shared" si="660"/>
        <v>0.5</v>
      </c>
      <c r="BI51" s="36">
        <f t="shared" si="660"/>
        <v>0</v>
      </c>
      <c r="BJ51" s="36">
        <f t="shared" si="660"/>
        <v>0</v>
      </c>
      <c r="BK51" s="37">
        <f t="shared" ref="BK51:BM51" si="661">if(and($BQ51&gt;0,BC51=1),1,0)</f>
        <v>0</v>
      </c>
      <c r="BL51" s="36">
        <f t="shared" si="661"/>
        <v>0</v>
      </c>
      <c r="BM51" s="36">
        <f t="shared" si="661"/>
        <v>0</v>
      </c>
      <c r="BN51" s="38"/>
      <c r="BO51" s="22">
        <f t="shared" si="21"/>
        <v>1</v>
      </c>
      <c r="BP51" s="38"/>
      <c r="BQ51" s="39">
        <f t="shared" si="22"/>
        <v>0</v>
      </c>
      <c r="BR51" s="30"/>
      <c r="BS51" s="36">
        <f t="shared" ref="BS51:BV51" si="662">if(and($BQ51=0,AY51=1),1,0)</f>
        <v>0</v>
      </c>
      <c r="BT51" s="36">
        <f t="shared" si="662"/>
        <v>1</v>
      </c>
      <c r="BU51" s="36">
        <f t="shared" si="662"/>
        <v>0</v>
      </c>
      <c r="BV51" s="36">
        <f t="shared" si="662"/>
        <v>0</v>
      </c>
      <c r="BW51" s="37">
        <f t="shared" ref="BW51:BY51" si="663">if(and($BQ51&gt;0,BC51=1),1,0)</f>
        <v>0</v>
      </c>
      <c r="BX51" s="36">
        <f t="shared" si="663"/>
        <v>0</v>
      </c>
      <c r="BY51" s="36">
        <f t="shared" si="663"/>
        <v>0</v>
      </c>
      <c r="BZ51" s="38"/>
      <c r="CA51" s="22">
        <f t="shared" si="25"/>
        <v>1</v>
      </c>
      <c r="CB51" s="30"/>
      <c r="CC51" s="22">
        <f t="shared" ref="CC51:CI51" si="664">BG50*K51</f>
        <v>0</v>
      </c>
      <c r="CD51" s="22">
        <f t="shared" si="664"/>
        <v>0.01257687749</v>
      </c>
      <c r="CE51" s="22">
        <f t="shared" si="664"/>
        <v>-0.002459068306</v>
      </c>
      <c r="CF51" s="22">
        <f t="shared" si="664"/>
        <v>0</v>
      </c>
      <c r="CG51" s="22">
        <f t="shared" si="664"/>
        <v>0</v>
      </c>
      <c r="CH51" s="22">
        <f t="shared" si="664"/>
        <v>0</v>
      </c>
      <c r="CI51" s="22">
        <f t="shared" si="664"/>
        <v>0</v>
      </c>
      <c r="CJ51" s="38"/>
      <c r="CK51" s="22">
        <f t="shared" ref="CK51:CQ51" si="665">BS50*K51</f>
        <v>0</v>
      </c>
      <c r="CL51" s="22">
        <f t="shared" si="665"/>
        <v>0</v>
      </c>
      <c r="CM51" s="22">
        <f t="shared" si="665"/>
        <v>-0.004918136612</v>
      </c>
      <c r="CN51" s="22">
        <f t="shared" si="665"/>
        <v>0</v>
      </c>
      <c r="CO51" s="22">
        <f t="shared" si="665"/>
        <v>0</v>
      </c>
      <c r="CP51" s="22">
        <f t="shared" si="665"/>
        <v>0</v>
      </c>
      <c r="CQ51" s="22">
        <f t="shared" si="665"/>
        <v>0</v>
      </c>
      <c r="CR51" s="44">
        <f t="shared" si="28"/>
        <v>0.01011780918</v>
      </c>
      <c r="CS51" s="45"/>
      <c r="CT51" s="40"/>
      <c r="CU51" s="46">
        <v>1.0</v>
      </c>
      <c r="CV51" s="47">
        <v>0.0</v>
      </c>
      <c r="CW51" s="45"/>
      <c r="CX51" s="44">
        <f t="shared" si="29"/>
        <v>-0.004918136612</v>
      </c>
      <c r="CY51" s="40"/>
      <c r="CZ51" s="40"/>
      <c r="DA51" s="47"/>
      <c r="DB51" s="41"/>
      <c r="DC51" s="40"/>
      <c r="DD51" s="48">
        <f t="shared" si="30"/>
        <v>126953.2096</v>
      </c>
      <c r="DE51" s="49">
        <f t="shared" si="31"/>
        <v>0.01011780918</v>
      </c>
      <c r="DF51" s="50"/>
      <c r="DG51" s="40"/>
      <c r="DH51" s="51">
        <f t="shared" si="32"/>
        <v>124605.7406</v>
      </c>
      <c r="DI51" s="52">
        <f t="shared" si="33"/>
        <v>-0.004918136612</v>
      </c>
      <c r="DJ51" s="50"/>
      <c r="DK51" s="40"/>
      <c r="DL51" s="40"/>
      <c r="DM51" s="40"/>
      <c r="DN51" s="42"/>
      <c r="DO51" s="40"/>
      <c r="DP51" s="40"/>
      <c r="DQ51" s="42"/>
      <c r="DR51" s="40"/>
      <c r="DS51" s="40"/>
      <c r="DT51" s="40"/>
      <c r="DU51" s="40"/>
    </row>
    <row r="52" ht="13.5" customHeight="1">
      <c r="A52" s="27">
        <v>44.0</v>
      </c>
      <c r="B52" s="28">
        <f t="shared" si="2"/>
        <v>43039</v>
      </c>
      <c r="C52" s="29">
        <f t="shared" ref="C52:I52" si="666">indirect(CONCATENATE(C$2,"!$G$",$A52))</f>
        <v>221.1326637</v>
      </c>
      <c r="D52" s="29">
        <f t="shared" si="666"/>
        <v>39.95419965</v>
      </c>
      <c r="E52" s="29">
        <f t="shared" si="666"/>
        <v>40.84114109</v>
      </c>
      <c r="F52" s="29">
        <f t="shared" si="666"/>
        <v>74.58724079</v>
      </c>
      <c r="G52" s="29">
        <f t="shared" si="666"/>
        <v>80.04767571</v>
      </c>
      <c r="H52" s="29">
        <f t="shared" si="666"/>
        <v>99.85427656</v>
      </c>
      <c r="I52" s="29">
        <f t="shared" si="666"/>
        <v>108.3875109</v>
      </c>
      <c r="J52" s="30"/>
      <c r="K52" s="32">
        <f t="shared" ref="K52:Q52" si="667">C52/C51-1</f>
        <v>0.02327093084</v>
      </c>
      <c r="L52" s="32">
        <f t="shared" si="667"/>
        <v>0.01773784842</v>
      </c>
      <c r="M52" s="32">
        <f t="shared" si="667"/>
        <v>0.02432866651</v>
      </c>
      <c r="N52" s="32">
        <f t="shared" si="667"/>
        <v>-0.0002660984781</v>
      </c>
      <c r="O52" s="32">
        <f t="shared" si="667"/>
        <v>-0.0009184050306</v>
      </c>
      <c r="P52" s="32">
        <f t="shared" si="667"/>
        <v>-0.001889481951</v>
      </c>
      <c r="Q52" s="32">
        <f t="shared" si="667"/>
        <v>0.001923047845</v>
      </c>
      <c r="R52" s="30"/>
      <c r="S52" s="32">
        <f t="shared" ref="S52:Y52" si="668">C52/C49-1</f>
        <v>0.04720620613</v>
      </c>
      <c r="T52" s="32">
        <f t="shared" si="668"/>
        <v>0.04358321039</v>
      </c>
      <c r="U52" s="32">
        <f t="shared" si="668"/>
        <v>0.04986249486</v>
      </c>
      <c r="V52" s="32">
        <f t="shared" si="668"/>
        <v>0.003567258336</v>
      </c>
      <c r="W52" s="32">
        <f t="shared" si="668"/>
        <v>-0.0007673661694</v>
      </c>
      <c r="X52" s="32">
        <f t="shared" si="668"/>
        <v>-0.001932214995</v>
      </c>
      <c r="Y52" s="32">
        <f t="shared" si="668"/>
        <v>0.008210174293</v>
      </c>
      <c r="Z52" s="30"/>
      <c r="AA52" s="32">
        <f t="shared" ref="AA52:AG52" si="669">C52/C46-1</f>
        <v>0.09063118292</v>
      </c>
      <c r="AB52" s="32">
        <f t="shared" si="669"/>
        <v>0.1173417855</v>
      </c>
      <c r="AC52" s="32">
        <f t="shared" si="669"/>
        <v>0.1263547616</v>
      </c>
      <c r="AD52" s="32">
        <f t="shared" si="669"/>
        <v>0.01530521232</v>
      </c>
      <c r="AE52" s="32">
        <f t="shared" si="669"/>
        <v>0.001037044357</v>
      </c>
      <c r="AF52" s="32">
        <f t="shared" si="669"/>
        <v>0.004956142079</v>
      </c>
      <c r="AG52" s="32">
        <f t="shared" si="669"/>
        <v>0.03443060469</v>
      </c>
      <c r="AH52" s="30"/>
      <c r="AI52" s="32">
        <f t="shared" ref="AI52:AO52" si="670">C52/C40-1</f>
        <v>0.2351666619</v>
      </c>
      <c r="AJ52" s="32">
        <f t="shared" si="670"/>
        <v>0.2442319272</v>
      </c>
      <c r="AK52" s="32">
        <f t="shared" si="670"/>
        <v>0.2115721276</v>
      </c>
      <c r="AL52" s="32">
        <f t="shared" si="670"/>
        <v>0.00799118524</v>
      </c>
      <c r="AM52" s="32">
        <f t="shared" si="670"/>
        <v>0.0009738814939</v>
      </c>
      <c r="AN52" s="32">
        <f t="shared" si="670"/>
        <v>-0.01802716823</v>
      </c>
      <c r="AO52" s="32">
        <f t="shared" si="670"/>
        <v>0.0340463936</v>
      </c>
      <c r="AP52" s="30"/>
      <c r="AQ52" s="32">
        <f t="shared" ref="AQ52:AW52" si="671">(12*K52+4*S52+2*AA52+AI52)/4</f>
        <v>0.2211262556</v>
      </c>
      <c r="AR52" s="32">
        <f t="shared" si="671"/>
        <v>0.2165256302</v>
      </c>
      <c r="AS52" s="32">
        <f t="shared" si="671"/>
        <v>0.2389189071</v>
      </c>
      <c r="AT52" s="32">
        <f t="shared" si="671"/>
        <v>0.01241936537</v>
      </c>
      <c r="AU52" s="33">
        <f t="shared" si="671"/>
        <v>-0.002760588709</v>
      </c>
      <c r="AV52" s="32">
        <f t="shared" si="671"/>
        <v>-0.009629381868</v>
      </c>
      <c r="AW52" s="32">
        <f t="shared" si="671"/>
        <v>0.03970621857</v>
      </c>
      <c r="AX52" s="30"/>
      <c r="AY52" s="34">
        <f t="shared" ref="AY52:BB52" si="672">rank(AQ52,$AQ52:$AT52)</f>
        <v>2</v>
      </c>
      <c r="AZ52" s="34">
        <f t="shared" si="672"/>
        <v>3</v>
      </c>
      <c r="BA52" s="34">
        <f t="shared" si="672"/>
        <v>1</v>
      </c>
      <c r="BB52" s="34">
        <f t="shared" si="672"/>
        <v>4</v>
      </c>
      <c r="BC52" s="35">
        <f t="shared" ref="BC52:BE52" si="673">rank(AU52,$AU52:$AW52)</f>
        <v>2</v>
      </c>
      <c r="BD52" s="34">
        <f t="shared" si="673"/>
        <v>3</v>
      </c>
      <c r="BE52" s="34">
        <f t="shared" si="673"/>
        <v>1</v>
      </c>
      <c r="BF52" s="30"/>
      <c r="BG52" s="36">
        <f t="shared" ref="BG52:BJ52" si="674">if(and($BQ52=0,AY52&lt;=2),0.5,0)</f>
        <v>0.5</v>
      </c>
      <c r="BH52" s="36">
        <f t="shared" si="674"/>
        <v>0</v>
      </c>
      <c r="BI52" s="36">
        <f t="shared" si="674"/>
        <v>0.5</v>
      </c>
      <c r="BJ52" s="36">
        <f t="shared" si="674"/>
        <v>0</v>
      </c>
      <c r="BK52" s="37">
        <f t="shared" ref="BK52:BM52" si="675">if(and($BQ52&gt;0,BC52=1),1,0)</f>
        <v>0</v>
      </c>
      <c r="BL52" s="36">
        <f t="shared" si="675"/>
        <v>0</v>
      </c>
      <c r="BM52" s="36">
        <f t="shared" si="675"/>
        <v>0</v>
      </c>
      <c r="BN52" s="38"/>
      <c r="BO52" s="22">
        <f t="shared" si="21"/>
        <v>1</v>
      </c>
      <c r="BP52" s="38"/>
      <c r="BQ52" s="39">
        <f t="shared" si="22"/>
        <v>0</v>
      </c>
      <c r="BR52" s="30"/>
      <c r="BS52" s="36">
        <f t="shared" ref="BS52:BV52" si="676">if(and($BQ52=0,AY52=1),1,0)</f>
        <v>0</v>
      </c>
      <c r="BT52" s="36">
        <f t="shared" si="676"/>
        <v>0</v>
      </c>
      <c r="BU52" s="36">
        <f t="shared" si="676"/>
        <v>1</v>
      </c>
      <c r="BV52" s="36">
        <f t="shared" si="676"/>
        <v>0</v>
      </c>
      <c r="BW52" s="37">
        <f t="shared" ref="BW52:BY52" si="677">if(and($BQ52&gt;0,BC52=1),1,0)</f>
        <v>0</v>
      </c>
      <c r="BX52" s="36">
        <f t="shared" si="677"/>
        <v>0</v>
      </c>
      <c r="BY52" s="36">
        <f t="shared" si="677"/>
        <v>0</v>
      </c>
      <c r="BZ52" s="38"/>
      <c r="CA52" s="22">
        <f t="shared" si="25"/>
        <v>1</v>
      </c>
      <c r="CB52" s="30"/>
      <c r="CC52" s="22">
        <f t="shared" ref="CC52:CI52" si="678">BG51*K52</f>
        <v>0.01163546542</v>
      </c>
      <c r="CD52" s="22">
        <f t="shared" si="678"/>
        <v>0.008868924211</v>
      </c>
      <c r="CE52" s="22">
        <f t="shared" si="678"/>
        <v>0</v>
      </c>
      <c r="CF52" s="22">
        <f t="shared" si="678"/>
        <v>0</v>
      </c>
      <c r="CG52" s="22">
        <f t="shared" si="678"/>
        <v>0</v>
      </c>
      <c r="CH52" s="22">
        <f t="shared" si="678"/>
        <v>0</v>
      </c>
      <c r="CI52" s="22">
        <f t="shared" si="678"/>
        <v>0</v>
      </c>
      <c r="CJ52" s="38"/>
      <c r="CK52" s="22">
        <f t="shared" ref="CK52:CQ52" si="679">BS51*K52</f>
        <v>0</v>
      </c>
      <c r="CL52" s="22">
        <f t="shared" si="679"/>
        <v>0.01773784842</v>
      </c>
      <c r="CM52" s="22">
        <f t="shared" si="679"/>
        <v>0</v>
      </c>
      <c r="CN52" s="22">
        <f t="shared" si="679"/>
        <v>0</v>
      </c>
      <c r="CO52" s="22">
        <f t="shared" si="679"/>
        <v>0</v>
      </c>
      <c r="CP52" s="22">
        <f t="shared" si="679"/>
        <v>0</v>
      </c>
      <c r="CQ52" s="22">
        <f t="shared" si="679"/>
        <v>0</v>
      </c>
      <c r="CR52" s="44">
        <f t="shared" si="28"/>
        <v>0.02050438963</v>
      </c>
      <c r="CS52" s="45"/>
      <c r="CT52" s="40"/>
      <c r="CU52" s="46">
        <v>1.0</v>
      </c>
      <c r="CV52" s="47">
        <v>0.0</v>
      </c>
      <c r="CW52" s="45"/>
      <c r="CX52" s="44">
        <f t="shared" si="29"/>
        <v>0.01773784842</v>
      </c>
      <c r="CY52" s="40"/>
      <c r="CZ52" s="40"/>
      <c r="DA52" s="47"/>
      <c r="DB52" s="45"/>
      <c r="DC52" s="40"/>
      <c r="DD52" s="48">
        <f t="shared" si="30"/>
        <v>129556.3077</v>
      </c>
      <c r="DE52" s="49">
        <f t="shared" si="31"/>
        <v>0.02050438963</v>
      </c>
      <c r="DF52" s="50"/>
      <c r="DG52" s="40"/>
      <c r="DH52" s="51">
        <f t="shared" si="32"/>
        <v>126815.9784</v>
      </c>
      <c r="DI52" s="52">
        <f t="shared" si="33"/>
        <v>0.01773784842</v>
      </c>
      <c r="DJ52" s="50"/>
      <c r="DK52" s="40"/>
      <c r="DL52" s="40"/>
      <c r="DM52" s="40"/>
      <c r="DN52" s="42"/>
      <c r="DO52" s="40"/>
      <c r="DP52" s="40"/>
      <c r="DQ52" s="42"/>
      <c r="DR52" s="40"/>
      <c r="DS52" s="40"/>
      <c r="DT52" s="40"/>
      <c r="DU52" s="40"/>
    </row>
    <row r="53" ht="13.5" customHeight="1">
      <c r="A53" s="27">
        <v>43.0</v>
      </c>
      <c r="B53" s="28">
        <f t="shared" si="2"/>
        <v>43069</v>
      </c>
      <c r="C53" s="29">
        <f t="shared" ref="C53:I53" si="680">indirect(CONCATENATE(C$2,"!$G$",$A53))</f>
        <v>227.8940995</v>
      </c>
      <c r="D53" s="29">
        <f t="shared" si="680"/>
        <v>40.2978528</v>
      </c>
      <c r="E53" s="29">
        <f t="shared" si="680"/>
        <v>40.70387532</v>
      </c>
      <c r="F53" s="29">
        <f t="shared" si="680"/>
        <v>74.50748308</v>
      </c>
      <c r="G53" s="29">
        <f t="shared" si="680"/>
        <v>79.87511899</v>
      </c>
      <c r="H53" s="29">
        <f t="shared" si="680"/>
        <v>99.57562077</v>
      </c>
      <c r="I53" s="29">
        <f t="shared" si="680"/>
        <v>108.2535204</v>
      </c>
      <c r="J53" s="30"/>
      <c r="K53" s="32">
        <f t="shared" ref="K53:Q53" si="681">C53/C52-1</f>
        <v>0.03057637742</v>
      </c>
      <c r="L53" s="32">
        <f t="shared" si="681"/>
        <v>0.008601177003</v>
      </c>
      <c r="M53" s="32">
        <f t="shared" si="681"/>
        <v>-0.003360967959</v>
      </c>
      <c r="N53" s="32">
        <f t="shared" si="681"/>
        <v>-0.001069321126</v>
      </c>
      <c r="O53" s="32">
        <f t="shared" si="681"/>
        <v>-0.002155674278</v>
      </c>
      <c r="P53" s="32">
        <f t="shared" si="681"/>
        <v>-0.002790624541</v>
      </c>
      <c r="Q53" s="32">
        <f t="shared" si="681"/>
        <v>-0.001236216955</v>
      </c>
      <c r="R53" s="30"/>
      <c r="S53" s="32">
        <f t="shared" ref="S53:Y53" si="682">C53/C50-1</f>
        <v>0.07609228212</v>
      </c>
      <c r="T53" s="32">
        <f t="shared" si="682"/>
        <v>0.05231170979</v>
      </c>
      <c r="U53" s="32">
        <f t="shared" si="682"/>
        <v>0.01586507421</v>
      </c>
      <c r="V53" s="32">
        <f t="shared" si="682"/>
        <v>-0.006018750682</v>
      </c>
      <c r="W53" s="32">
        <f t="shared" si="682"/>
        <v>-0.004933101097</v>
      </c>
      <c r="X53" s="32">
        <f t="shared" si="682"/>
        <v>-0.01901448975</v>
      </c>
      <c r="Y53" s="32">
        <f t="shared" si="682"/>
        <v>0.000201252137</v>
      </c>
      <c r="Z53" s="30"/>
      <c r="AA53" s="32">
        <f t="shared" ref="AA53:AG53" si="683">C53/C47-1</f>
        <v>0.1084122848</v>
      </c>
      <c r="AB53" s="32">
        <f t="shared" si="683"/>
        <v>0.08978506211</v>
      </c>
      <c r="AC53" s="32">
        <f t="shared" si="683"/>
        <v>0.1115473313</v>
      </c>
      <c r="AD53" s="32">
        <f t="shared" si="683"/>
        <v>0.007064306037</v>
      </c>
      <c r="AE53" s="32">
        <f t="shared" si="683"/>
        <v>-0.001851675398</v>
      </c>
      <c r="AF53" s="32">
        <f t="shared" si="683"/>
        <v>-0.006071663936</v>
      </c>
      <c r="AG53" s="32">
        <f t="shared" si="683"/>
        <v>0.01955411288</v>
      </c>
      <c r="AH53" s="30"/>
      <c r="AI53" s="32">
        <f t="shared" ref="AI53:AO53" si="684">C53/C41-1</f>
        <v>0.2272111177</v>
      </c>
      <c r="AJ53" s="32">
        <f t="shared" si="684"/>
        <v>0.2741277123</v>
      </c>
      <c r="AK53" s="32">
        <f t="shared" si="684"/>
        <v>0.2585071159</v>
      </c>
      <c r="AL53" s="32">
        <f t="shared" si="684"/>
        <v>0.0335200825</v>
      </c>
      <c r="AM53" s="32">
        <f t="shared" si="684"/>
        <v>0.003537096218</v>
      </c>
      <c r="AN53" s="32">
        <f t="shared" si="684"/>
        <v>0.02245695177</v>
      </c>
      <c r="AO53" s="32">
        <f t="shared" si="684"/>
        <v>0.06654437314</v>
      </c>
      <c r="AP53" s="30"/>
      <c r="AQ53" s="32">
        <f t="shared" ref="AQ53:AW53" si="685">(12*K53+4*S53+2*AA53+AI53)/4</f>
        <v>0.2788303362</v>
      </c>
      <c r="AR53" s="32">
        <f t="shared" si="685"/>
        <v>0.1915396999</v>
      </c>
      <c r="AS53" s="32">
        <f t="shared" si="685"/>
        <v>0.1261826149</v>
      </c>
      <c r="AT53" s="32">
        <f t="shared" si="685"/>
        <v>0.002685459584</v>
      </c>
      <c r="AU53" s="33">
        <f t="shared" si="685"/>
        <v>-0.01144168758</v>
      </c>
      <c r="AV53" s="32">
        <f t="shared" si="685"/>
        <v>-0.0248079574</v>
      </c>
      <c r="AW53" s="32">
        <f t="shared" si="685"/>
        <v>0.022905751</v>
      </c>
      <c r="AX53" s="30"/>
      <c r="AY53" s="34">
        <f t="shared" ref="AY53:BB53" si="686">rank(AQ53,$AQ53:$AT53)</f>
        <v>1</v>
      </c>
      <c r="AZ53" s="34">
        <f t="shared" si="686"/>
        <v>2</v>
      </c>
      <c r="BA53" s="34">
        <f t="shared" si="686"/>
        <v>3</v>
      </c>
      <c r="BB53" s="34">
        <f t="shared" si="686"/>
        <v>4</v>
      </c>
      <c r="BC53" s="35">
        <f t="shared" ref="BC53:BE53" si="687">rank(AU53,$AU53:$AW53)</f>
        <v>2</v>
      </c>
      <c r="BD53" s="34">
        <f t="shared" si="687"/>
        <v>3</v>
      </c>
      <c r="BE53" s="34">
        <f t="shared" si="687"/>
        <v>1</v>
      </c>
      <c r="BF53" s="30"/>
      <c r="BG53" s="36">
        <f t="shared" ref="BG53:BJ53" si="688">if(and($BQ53=0,AY53&lt;=2),0.5,0)</f>
        <v>0.5</v>
      </c>
      <c r="BH53" s="36">
        <f t="shared" si="688"/>
        <v>0.5</v>
      </c>
      <c r="BI53" s="36">
        <f t="shared" si="688"/>
        <v>0</v>
      </c>
      <c r="BJ53" s="36">
        <f t="shared" si="688"/>
        <v>0</v>
      </c>
      <c r="BK53" s="37">
        <f t="shared" ref="BK53:BM53" si="689">if(and($BQ53&gt;0,BC53=1),1,0)</f>
        <v>0</v>
      </c>
      <c r="BL53" s="36">
        <f t="shared" si="689"/>
        <v>0</v>
      </c>
      <c r="BM53" s="36">
        <f t="shared" si="689"/>
        <v>0</v>
      </c>
      <c r="BN53" s="38"/>
      <c r="BO53" s="22">
        <f t="shared" si="21"/>
        <v>1</v>
      </c>
      <c r="BP53" s="38"/>
      <c r="BQ53" s="39">
        <f t="shared" si="22"/>
        <v>0</v>
      </c>
      <c r="BR53" s="30"/>
      <c r="BS53" s="36">
        <f t="shared" ref="BS53:BV53" si="690">if(and($BQ53=0,AY53=1),1,0)</f>
        <v>1</v>
      </c>
      <c r="BT53" s="36">
        <f t="shared" si="690"/>
        <v>0</v>
      </c>
      <c r="BU53" s="36">
        <f t="shared" si="690"/>
        <v>0</v>
      </c>
      <c r="BV53" s="36">
        <f t="shared" si="690"/>
        <v>0</v>
      </c>
      <c r="BW53" s="37">
        <f t="shared" ref="BW53:BY53" si="691">if(and($BQ53&gt;0,BC53=1),1,0)</f>
        <v>0</v>
      </c>
      <c r="BX53" s="36">
        <f t="shared" si="691"/>
        <v>0</v>
      </c>
      <c r="BY53" s="36">
        <f t="shared" si="691"/>
        <v>0</v>
      </c>
      <c r="BZ53" s="38"/>
      <c r="CA53" s="22">
        <f t="shared" si="25"/>
        <v>1</v>
      </c>
      <c r="CB53" s="30"/>
      <c r="CC53" s="22">
        <f t="shared" ref="CC53:CI53" si="692">BG52*K53</f>
        <v>0.01528818871</v>
      </c>
      <c r="CD53" s="22">
        <f t="shared" si="692"/>
        <v>0</v>
      </c>
      <c r="CE53" s="22">
        <f t="shared" si="692"/>
        <v>-0.001680483979</v>
      </c>
      <c r="CF53" s="22">
        <f t="shared" si="692"/>
        <v>0</v>
      </c>
      <c r="CG53" s="22">
        <f t="shared" si="692"/>
        <v>0</v>
      </c>
      <c r="CH53" s="22">
        <f t="shared" si="692"/>
        <v>0</v>
      </c>
      <c r="CI53" s="22">
        <f t="shared" si="692"/>
        <v>0</v>
      </c>
      <c r="CJ53" s="38"/>
      <c r="CK53" s="22">
        <f t="shared" ref="CK53:CQ53" si="693">BS52*K53</f>
        <v>0</v>
      </c>
      <c r="CL53" s="22">
        <f t="shared" si="693"/>
        <v>0</v>
      </c>
      <c r="CM53" s="22">
        <f t="shared" si="693"/>
        <v>-0.003360967959</v>
      </c>
      <c r="CN53" s="22">
        <f t="shared" si="693"/>
        <v>0</v>
      </c>
      <c r="CO53" s="22">
        <f t="shared" si="693"/>
        <v>0</v>
      </c>
      <c r="CP53" s="22">
        <f t="shared" si="693"/>
        <v>0</v>
      </c>
      <c r="CQ53" s="22">
        <f t="shared" si="693"/>
        <v>0</v>
      </c>
      <c r="CR53" s="44">
        <f t="shared" si="28"/>
        <v>0.01360770473</v>
      </c>
      <c r="CS53" s="45"/>
      <c r="CT53" s="40"/>
      <c r="CU53" s="46">
        <v>1.0</v>
      </c>
      <c r="CV53" s="47">
        <v>0.0</v>
      </c>
      <c r="CW53" s="45"/>
      <c r="CX53" s="44">
        <f t="shared" si="29"/>
        <v>-0.003360967959</v>
      </c>
      <c r="CY53" s="40"/>
      <c r="CZ53" s="40"/>
      <c r="DA53" s="47"/>
      <c r="DB53" s="45"/>
      <c r="DC53" s="40"/>
      <c r="DD53" s="48">
        <f t="shared" si="30"/>
        <v>131319.2717</v>
      </c>
      <c r="DE53" s="49">
        <f t="shared" si="31"/>
        <v>0.01360770473</v>
      </c>
      <c r="DF53" s="50"/>
      <c r="DG53" s="40"/>
      <c r="DH53" s="51">
        <f t="shared" si="32"/>
        <v>126389.7539</v>
      </c>
      <c r="DI53" s="52">
        <f t="shared" si="33"/>
        <v>-0.003360967959</v>
      </c>
      <c r="DJ53" s="50"/>
      <c r="DK53" s="40"/>
      <c r="DL53" s="40"/>
      <c r="DM53" s="40"/>
      <c r="DN53" s="42"/>
      <c r="DO53" s="40"/>
      <c r="DP53" s="40"/>
      <c r="DQ53" s="42"/>
      <c r="DR53" s="40"/>
      <c r="DS53" s="40"/>
      <c r="DT53" s="40"/>
      <c r="DU53" s="40"/>
    </row>
    <row r="54" ht="13.5" customHeight="1">
      <c r="A54" s="27">
        <v>42.0</v>
      </c>
      <c r="B54" s="28">
        <f t="shared" si="2"/>
        <v>43098</v>
      </c>
      <c r="C54" s="29">
        <f t="shared" ref="C54:I54" si="694">indirect(CONCATENATE(C$2,"!$G$",$A54))</f>
        <v>230.8184622</v>
      </c>
      <c r="D54" s="29">
        <f t="shared" si="694"/>
        <v>40.96271887</v>
      </c>
      <c r="E54" s="29">
        <f t="shared" si="694"/>
        <v>42.21023076</v>
      </c>
      <c r="F54" s="29">
        <f t="shared" si="694"/>
        <v>74.91056994</v>
      </c>
      <c r="G54" s="29">
        <f t="shared" si="694"/>
        <v>79.85859378</v>
      </c>
      <c r="H54" s="29">
        <f t="shared" si="694"/>
        <v>99.75878445</v>
      </c>
      <c r="I54" s="29">
        <f t="shared" si="694"/>
        <v>109.5735662</v>
      </c>
      <c r="J54" s="30"/>
      <c r="K54" s="32">
        <f t="shared" ref="K54:Q54" si="695">C54/C53-1</f>
        <v>0.01283211258</v>
      </c>
      <c r="L54" s="32">
        <f t="shared" si="695"/>
        <v>0.01649879659</v>
      </c>
      <c r="M54" s="32">
        <f t="shared" si="695"/>
        <v>0.03700766634</v>
      </c>
      <c r="N54" s="32">
        <f t="shared" si="695"/>
        <v>0.005410018514</v>
      </c>
      <c r="O54" s="32">
        <f t="shared" si="695"/>
        <v>-0.0002068881037</v>
      </c>
      <c r="P54" s="32">
        <f t="shared" si="695"/>
        <v>0.001839443086</v>
      </c>
      <c r="Q54" s="32">
        <f t="shared" si="695"/>
        <v>0.01219402139</v>
      </c>
      <c r="R54" s="30"/>
      <c r="S54" s="32">
        <f t="shared" ref="S54:Y54" si="696">C54/C51-1</f>
        <v>0.06809106689</v>
      </c>
      <c r="T54" s="32">
        <f t="shared" si="696"/>
        <v>0.04342746777</v>
      </c>
      <c r="U54" s="32">
        <f t="shared" si="696"/>
        <v>0.05866653658</v>
      </c>
      <c r="V54" s="32">
        <f t="shared" si="696"/>
        <v>0.004067660349</v>
      </c>
      <c r="W54" s="32">
        <f t="shared" si="696"/>
        <v>-0.003278352049</v>
      </c>
      <c r="X54" s="32">
        <f t="shared" si="696"/>
        <v>-0.002843989663</v>
      </c>
      <c r="Y54" s="32">
        <f t="shared" si="696"/>
        <v>0.01288682122</v>
      </c>
      <c r="Z54" s="30"/>
      <c r="AA54" s="32">
        <f t="shared" ref="AA54:AG54" si="697">C54/C48-1</f>
        <v>0.1156194554</v>
      </c>
      <c r="AB54" s="32">
        <f t="shared" si="697"/>
        <v>0.1007386472</v>
      </c>
      <c r="AC54" s="32">
        <f t="shared" si="697"/>
        <v>0.1429897682</v>
      </c>
      <c r="AD54" s="32">
        <f t="shared" si="697"/>
        <v>0.01199085241</v>
      </c>
      <c r="AE54" s="32">
        <f t="shared" si="697"/>
        <v>-0.001273874644</v>
      </c>
      <c r="AF54" s="32">
        <f t="shared" si="697"/>
        <v>0.0008588617788</v>
      </c>
      <c r="AG54" s="32">
        <f t="shared" si="697"/>
        <v>0.02705185785</v>
      </c>
      <c r="AH54" s="30"/>
      <c r="AI54" s="32">
        <f t="shared" ref="AI54:AO54" si="698">C54/C42-1</f>
        <v>0.2177179129</v>
      </c>
      <c r="AJ54" s="32">
        <f t="shared" si="698"/>
        <v>0.2641666771</v>
      </c>
      <c r="AK54" s="32">
        <f t="shared" si="698"/>
        <v>0.3147987096</v>
      </c>
      <c r="AL54" s="32">
        <f t="shared" si="698"/>
        <v>0.03567562693</v>
      </c>
      <c r="AM54" s="32">
        <f t="shared" si="698"/>
        <v>0.002614866815</v>
      </c>
      <c r="AN54" s="32">
        <f t="shared" si="698"/>
        <v>0.02554534701</v>
      </c>
      <c r="AO54" s="32">
        <f t="shared" si="698"/>
        <v>0.07055434848</v>
      </c>
      <c r="AP54" s="30"/>
      <c r="AQ54" s="32">
        <f t="shared" ref="AQ54:AW54" si="699">(12*K54+4*S54+2*AA54+AI54)/4</f>
        <v>0.2188266105</v>
      </c>
      <c r="AR54" s="32">
        <f t="shared" si="699"/>
        <v>0.2093348504</v>
      </c>
      <c r="AS54" s="32">
        <f t="shared" si="699"/>
        <v>0.3198840971</v>
      </c>
      <c r="AT54" s="32">
        <f t="shared" si="699"/>
        <v>0.03521204883</v>
      </c>
      <c r="AU54" s="33">
        <f t="shared" si="699"/>
        <v>-0.003882236979</v>
      </c>
      <c r="AV54" s="32">
        <f t="shared" si="699"/>
        <v>0.009490107236</v>
      </c>
      <c r="AW54" s="32">
        <f t="shared" si="699"/>
        <v>0.08063340145</v>
      </c>
      <c r="AX54" s="30"/>
      <c r="AY54" s="34">
        <f t="shared" ref="AY54:BB54" si="700">rank(AQ54,$AQ54:$AT54)</f>
        <v>2</v>
      </c>
      <c r="AZ54" s="34">
        <f t="shared" si="700"/>
        <v>3</v>
      </c>
      <c r="BA54" s="34">
        <f t="shared" si="700"/>
        <v>1</v>
      </c>
      <c r="BB54" s="34">
        <f t="shared" si="700"/>
        <v>4</v>
      </c>
      <c r="BC54" s="35">
        <f t="shared" ref="BC54:BE54" si="701">rank(AU54,$AU54:$AW54)</f>
        <v>3</v>
      </c>
      <c r="BD54" s="34">
        <f t="shared" si="701"/>
        <v>2</v>
      </c>
      <c r="BE54" s="34">
        <f t="shared" si="701"/>
        <v>1</v>
      </c>
      <c r="BF54" s="30"/>
      <c r="BG54" s="36">
        <f t="shared" ref="BG54:BJ54" si="702">if(and($BQ54=0,AY54&lt;=2),0.5,0)</f>
        <v>0.5</v>
      </c>
      <c r="BH54" s="36">
        <f t="shared" si="702"/>
        <v>0</v>
      </c>
      <c r="BI54" s="36">
        <f t="shared" si="702"/>
        <v>0.5</v>
      </c>
      <c r="BJ54" s="36">
        <f t="shared" si="702"/>
        <v>0</v>
      </c>
      <c r="BK54" s="37">
        <f t="shared" ref="BK54:BM54" si="703">if(and($BQ54&gt;0,BC54=1),1,0)</f>
        <v>0</v>
      </c>
      <c r="BL54" s="36">
        <f t="shared" si="703"/>
        <v>0</v>
      </c>
      <c r="BM54" s="36">
        <f t="shared" si="703"/>
        <v>0</v>
      </c>
      <c r="BN54" s="38"/>
      <c r="BO54" s="22">
        <f t="shared" si="21"/>
        <v>1</v>
      </c>
      <c r="BP54" s="38"/>
      <c r="BQ54" s="39">
        <f t="shared" si="22"/>
        <v>0</v>
      </c>
      <c r="BR54" s="30"/>
      <c r="BS54" s="36">
        <f t="shared" ref="BS54:BV54" si="704">if(and($BQ54=0,AY54=1),1,0)</f>
        <v>0</v>
      </c>
      <c r="BT54" s="36">
        <f t="shared" si="704"/>
        <v>0</v>
      </c>
      <c r="BU54" s="36">
        <f t="shared" si="704"/>
        <v>1</v>
      </c>
      <c r="BV54" s="36">
        <f t="shared" si="704"/>
        <v>0</v>
      </c>
      <c r="BW54" s="37">
        <f t="shared" ref="BW54:BY54" si="705">if(and($BQ54&gt;0,BC54=1),1,0)</f>
        <v>0</v>
      </c>
      <c r="BX54" s="36">
        <f t="shared" si="705"/>
        <v>0</v>
      </c>
      <c r="BY54" s="36">
        <f t="shared" si="705"/>
        <v>0</v>
      </c>
      <c r="BZ54" s="38"/>
      <c r="CA54" s="22">
        <f t="shared" si="25"/>
        <v>1</v>
      </c>
      <c r="CB54" s="30"/>
      <c r="CC54" s="22">
        <f t="shared" ref="CC54:CI54" si="706">BG53*K54</f>
        <v>0.006416056288</v>
      </c>
      <c r="CD54" s="22">
        <f t="shared" si="706"/>
        <v>0.008249398293</v>
      </c>
      <c r="CE54" s="22">
        <f t="shared" si="706"/>
        <v>0</v>
      </c>
      <c r="CF54" s="22">
        <f t="shared" si="706"/>
        <v>0</v>
      </c>
      <c r="CG54" s="22">
        <f t="shared" si="706"/>
        <v>0</v>
      </c>
      <c r="CH54" s="22">
        <f t="shared" si="706"/>
        <v>0</v>
      </c>
      <c r="CI54" s="22">
        <f t="shared" si="706"/>
        <v>0</v>
      </c>
      <c r="CJ54" s="38"/>
      <c r="CK54" s="22">
        <f t="shared" ref="CK54:CQ54" si="707">BS53*K54</f>
        <v>0.01283211258</v>
      </c>
      <c r="CL54" s="22">
        <f t="shared" si="707"/>
        <v>0</v>
      </c>
      <c r="CM54" s="22">
        <f t="shared" si="707"/>
        <v>0</v>
      </c>
      <c r="CN54" s="22">
        <f t="shared" si="707"/>
        <v>0</v>
      </c>
      <c r="CO54" s="22">
        <f t="shared" si="707"/>
        <v>0</v>
      </c>
      <c r="CP54" s="22">
        <f t="shared" si="707"/>
        <v>0</v>
      </c>
      <c r="CQ54" s="22">
        <f t="shared" si="707"/>
        <v>0</v>
      </c>
      <c r="CR54" s="44">
        <f t="shared" si="28"/>
        <v>0.01466545458</v>
      </c>
      <c r="CS54" s="45"/>
      <c r="CT54" s="40"/>
      <c r="CU54" s="46">
        <v>1.0</v>
      </c>
      <c r="CV54" s="47">
        <v>0.0</v>
      </c>
      <c r="CW54" s="45"/>
      <c r="CX54" s="44">
        <f t="shared" si="29"/>
        <v>0.01283211258</v>
      </c>
      <c r="CY54" s="40"/>
      <c r="CZ54" s="40"/>
      <c r="DA54" s="47"/>
      <c r="DB54" s="45"/>
      <c r="DC54" s="40"/>
      <c r="DD54" s="48">
        <f t="shared" si="30"/>
        <v>133245.1285</v>
      </c>
      <c r="DE54" s="49">
        <f t="shared" si="31"/>
        <v>0.01466545458</v>
      </c>
      <c r="DF54" s="50"/>
      <c r="DG54" s="40"/>
      <c r="DH54" s="51">
        <f t="shared" si="32"/>
        <v>128011.6015</v>
      </c>
      <c r="DI54" s="52">
        <f t="shared" si="33"/>
        <v>0.01283211258</v>
      </c>
      <c r="DJ54" s="50"/>
      <c r="DK54" s="40"/>
      <c r="DL54" s="40"/>
      <c r="DM54" s="40"/>
      <c r="DN54" s="42"/>
      <c r="DO54" s="40"/>
      <c r="DP54" s="40"/>
      <c r="DQ54" s="42"/>
      <c r="DR54" s="40"/>
      <c r="DS54" s="40"/>
      <c r="DT54" s="40"/>
      <c r="DU54" s="40"/>
    </row>
    <row r="55" ht="13.5" customHeight="1">
      <c r="A55" s="27">
        <v>41.0</v>
      </c>
      <c r="B55" s="28">
        <f t="shared" si="2"/>
        <v>43131</v>
      </c>
      <c r="C55" s="29">
        <f t="shared" ref="C55:I55" si="708">indirect(CONCATENATE(C$2,"!$G$",$A55))</f>
        <v>243.7101942</v>
      </c>
      <c r="D55" s="29">
        <f t="shared" si="708"/>
        <v>42.90767187</v>
      </c>
      <c r="E55" s="29">
        <f t="shared" si="708"/>
        <v>45.82352213</v>
      </c>
      <c r="F55" s="29">
        <f t="shared" si="708"/>
        <v>73.98302702</v>
      </c>
      <c r="G55" s="29">
        <f t="shared" si="708"/>
        <v>79.6300182</v>
      </c>
      <c r="H55" s="29">
        <f t="shared" si="708"/>
        <v>97.61373908</v>
      </c>
      <c r="I55" s="29">
        <f t="shared" si="708"/>
        <v>108.2304877</v>
      </c>
      <c r="J55" s="30"/>
      <c r="K55" s="32">
        <f t="shared" ref="K55:Q55" si="709">C55/C54-1</f>
        <v>0.05585225651</v>
      </c>
      <c r="L55" s="32">
        <f t="shared" si="709"/>
        <v>0.04748105216</v>
      </c>
      <c r="M55" s="32">
        <f t="shared" si="709"/>
        <v>0.0856022653</v>
      </c>
      <c r="N55" s="32">
        <f t="shared" si="709"/>
        <v>-0.01238200319</v>
      </c>
      <c r="O55" s="32">
        <f t="shared" si="709"/>
        <v>-0.002862254025</v>
      </c>
      <c r="P55" s="32">
        <f t="shared" si="709"/>
        <v>-0.02150232074</v>
      </c>
      <c r="Q55" s="32">
        <f t="shared" si="709"/>
        <v>-0.01225732149</v>
      </c>
      <c r="R55" s="30"/>
      <c r="S55" s="32">
        <f t="shared" ref="S55:Y55" si="710">C55/C52-1</f>
        <v>0.1020994823</v>
      </c>
      <c r="T55" s="32">
        <f t="shared" si="710"/>
        <v>0.07392144597</v>
      </c>
      <c r="U55" s="32">
        <f t="shared" si="710"/>
        <v>0.1219941684</v>
      </c>
      <c r="V55" s="32">
        <f t="shared" si="710"/>
        <v>-0.008100765745</v>
      </c>
      <c r="W55" s="32">
        <f t="shared" si="710"/>
        <v>-0.005217609446</v>
      </c>
      <c r="X55" s="32">
        <f t="shared" si="710"/>
        <v>-0.0224380724</v>
      </c>
      <c r="Y55" s="32">
        <f t="shared" si="710"/>
        <v>-0.001448720064</v>
      </c>
      <c r="Z55" s="30"/>
      <c r="AA55" s="32">
        <f t="shared" ref="AA55:AG55" si="711">C55/C49-1</f>
        <v>0.1541254176</v>
      </c>
      <c r="AB55" s="32">
        <f t="shared" si="711"/>
        <v>0.1207263903</v>
      </c>
      <c r="AC55" s="32">
        <f t="shared" si="711"/>
        <v>0.1779395968</v>
      </c>
      <c r="AD55" s="32">
        <f t="shared" si="711"/>
        <v>-0.004562404933</v>
      </c>
      <c r="AE55" s="32">
        <f t="shared" si="711"/>
        <v>-0.005980971799</v>
      </c>
      <c r="AF55" s="32">
        <f t="shared" si="711"/>
        <v>-0.02432693222</v>
      </c>
      <c r="AG55" s="32">
        <f t="shared" si="711"/>
        <v>0.006749559985</v>
      </c>
      <c r="AH55" s="30"/>
      <c r="AI55" s="32">
        <f t="shared" ref="AI55:AO55" si="712">C55/C43-1</f>
        <v>0.2632113156</v>
      </c>
      <c r="AJ55" s="32">
        <f t="shared" si="712"/>
        <v>0.2773475719</v>
      </c>
      <c r="AK55" s="32">
        <f t="shared" si="712"/>
        <v>0.3496439697</v>
      </c>
      <c r="AL55" s="32">
        <f t="shared" si="712"/>
        <v>0.02095631373</v>
      </c>
      <c r="AM55" s="32">
        <f t="shared" si="712"/>
        <v>-0.001319185103</v>
      </c>
      <c r="AN55" s="32">
        <f t="shared" si="712"/>
        <v>0.001296659111</v>
      </c>
      <c r="AO55" s="32">
        <f t="shared" si="712"/>
        <v>0.05590036216</v>
      </c>
      <c r="AP55" s="30"/>
      <c r="AQ55" s="32">
        <f t="shared" ref="AQ55:AW55" si="713">(12*K55+4*S55+2*AA55+AI55)/4</f>
        <v>0.4125217896</v>
      </c>
      <c r="AR55" s="32">
        <f t="shared" si="713"/>
        <v>0.3460646906</v>
      </c>
      <c r="AS55" s="32">
        <f t="shared" si="713"/>
        <v>0.5551817551</v>
      </c>
      <c r="AT55" s="32">
        <f t="shared" si="713"/>
        <v>-0.04228889934</v>
      </c>
      <c r="AU55" s="33">
        <f t="shared" si="713"/>
        <v>-0.0171246537</v>
      </c>
      <c r="AV55" s="32">
        <f t="shared" si="713"/>
        <v>-0.09878433594</v>
      </c>
      <c r="AW55" s="32">
        <f t="shared" si="713"/>
        <v>-0.02087081399</v>
      </c>
      <c r="AX55" s="30"/>
      <c r="AY55" s="34">
        <f t="shared" ref="AY55:BB55" si="714">rank(AQ55,$AQ55:$AT55)</f>
        <v>2</v>
      </c>
      <c r="AZ55" s="34">
        <f t="shared" si="714"/>
        <v>3</v>
      </c>
      <c r="BA55" s="34">
        <f t="shared" si="714"/>
        <v>1</v>
      </c>
      <c r="BB55" s="34">
        <f t="shared" si="714"/>
        <v>4</v>
      </c>
      <c r="BC55" s="35">
        <f t="shared" ref="BC55:BE55" si="715">rank(AU55,$AU55:$AW55)</f>
        <v>1</v>
      </c>
      <c r="BD55" s="34">
        <f t="shared" si="715"/>
        <v>3</v>
      </c>
      <c r="BE55" s="34">
        <f t="shared" si="715"/>
        <v>2</v>
      </c>
      <c r="BF55" s="30"/>
      <c r="BG55" s="36">
        <f t="shared" ref="BG55:BJ55" si="716">if(and($BQ55=0,AY55&lt;=2),0.5,0)</f>
        <v>0</v>
      </c>
      <c r="BH55" s="36">
        <f t="shared" si="716"/>
        <v>0</v>
      </c>
      <c r="BI55" s="36">
        <f t="shared" si="716"/>
        <v>0</v>
      </c>
      <c r="BJ55" s="36">
        <f t="shared" si="716"/>
        <v>0</v>
      </c>
      <c r="BK55" s="37">
        <f t="shared" ref="BK55:BM55" si="717">if(and($BQ55&gt;0,BC55=1),1,0)</f>
        <v>1</v>
      </c>
      <c r="BL55" s="36">
        <f t="shared" si="717"/>
        <v>0</v>
      </c>
      <c r="BM55" s="36">
        <f t="shared" si="717"/>
        <v>0</v>
      </c>
      <c r="BN55" s="38"/>
      <c r="BO55" s="22">
        <f t="shared" si="21"/>
        <v>1</v>
      </c>
      <c r="BP55" s="38"/>
      <c r="BQ55" s="39">
        <f t="shared" si="22"/>
        <v>1</v>
      </c>
      <c r="BR55" s="30"/>
      <c r="BS55" s="36">
        <f t="shared" ref="BS55:BV55" si="718">if(and($BQ55=0,AY55=1),1,0)</f>
        <v>0</v>
      </c>
      <c r="BT55" s="36">
        <f t="shared" si="718"/>
        <v>0</v>
      </c>
      <c r="BU55" s="36">
        <f t="shared" si="718"/>
        <v>0</v>
      </c>
      <c r="BV55" s="36">
        <f t="shared" si="718"/>
        <v>0</v>
      </c>
      <c r="BW55" s="37">
        <f t="shared" ref="BW55:BY55" si="719">if(and($BQ55&gt;0,BC55=1),1,0)</f>
        <v>1</v>
      </c>
      <c r="BX55" s="36">
        <f t="shared" si="719"/>
        <v>0</v>
      </c>
      <c r="BY55" s="36">
        <f t="shared" si="719"/>
        <v>0</v>
      </c>
      <c r="BZ55" s="38"/>
      <c r="CA55" s="22">
        <f t="shared" si="25"/>
        <v>1</v>
      </c>
      <c r="CB55" s="30"/>
      <c r="CC55" s="22">
        <f t="shared" ref="CC55:CI55" si="720">BG54*K55</f>
        <v>0.02792612826</v>
      </c>
      <c r="CD55" s="22">
        <f t="shared" si="720"/>
        <v>0</v>
      </c>
      <c r="CE55" s="22">
        <f t="shared" si="720"/>
        <v>0.04280113265</v>
      </c>
      <c r="CF55" s="22">
        <f t="shared" si="720"/>
        <v>0</v>
      </c>
      <c r="CG55" s="22">
        <f t="shared" si="720"/>
        <v>0</v>
      </c>
      <c r="CH55" s="22">
        <f t="shared" si="720"/>
        <v>0</v>
      </c>
      <c r="CI55" s="22">
        <f t="shared" si="720"/>
        <v>0</v>
      </c>
      <c r="CJ55" s="38"/>
      <c r="CK55" s="22">
        <f t="shared" ref="CK55:CQ55" si="721">BS54*K55</f>
        <v>0</v>
      </c>
      <c r="CL55" s="22">
        <f t="shared" si="721"/>
        <v>0</v>
      </c>
      <c r="CM55" s="22">
        <f t="shared" si="721"/>
        <v>0.0856022653</v>
      </c>
      <c r="CN55" s="22">
        <f t="shared" si="721"/>
        <v>0</v>
      </c>
      <c r="CO55" s="22">
        <f t="shared" si="721"/>
        <v>0</v>
      </c>
      <c r="CP55" s="22">
        <f t="shared" si="721"/>
        <v>0</v>
      </c>
      <c r="CQ55" s="22">
        <f t="shared" si="721"/>
        <v>0</v>
      </c>
      <c r="CR55" s="44">
        <f t="shared" si="28"/>
        <v>0.07072726091</v>
      </c>
      <c r="CS55" s="45"/>
      <c r="CT55" s="40"/>
      <c r="CU55" s="46">
        <v>1.0</v>
      </c>
      <c r="CV55" s="47">
        <v>0.0</v>
      </c>
      <c r="CW55" s="45"/>
      <c r="CX55" s="44">
        <f t="shared" si="29"/>
        <v>0.0856022653</v>
      </c>
      <c r="CY55" s="40"/>
      <c r="CZ55" s="40"/>
      <c r="DA55" s="47"/>
      <c r="DB55" s="45"/>
      <c r="DC55" s="40"/>
      <c r="DD55" s="48">
        <f t="shared" si="30"/>
        <v>142669.1914</v>
      </c>
      <c r="DE55" s="49">
        <f t="shared" si="31"/>
        <v>0.07072726091</v>
      </c>
      <c r="DF55" s="50"/>
      <c r="DG55" s="40"/>
      <c r="DH55" s="51">
        <f t="shared" si="32"/>
        <v>138969.6846</v>
      </c>
      <c r="DI55" s="52">
        <f t="shared" si="33"/>
        <v>0.0856022653</v>
      </c>
      <c r="DJ55" s="50"/>
      <c r="DK55" s="40"/>
      <c r="DL55" s="40"/>
      <c r="DM55" s="40"/>
      <c r="DN55" s="42"/>
      <c r="DO55" s="40"/>
      <c r="DP55" s="40"/>
      <c r="DQ55" s="42"/>
      <c r="DR55" s="40"/>
      <c r="DS55" s="40"/>
      <c r="DT55" s="40"/>
      <c r="DU55" s="40"/>
    </row>
    <row r="56" ht="13.5" customHeight="1">
      <c r="A56" s="27">
        <v>40.0</v>
      </c>
      <c r="B56" s="28">
        <f t="shared" si="2"/>
        <v>43159</v>
      </c>
      <c r="C56" s="29">
        <f t="shared" ref="C56:I56" si="722">indirect(CONCATENATE(C$2,"!$G$",$A56))</f>
        <v>234.6295217</v>
      </c>
      <c r="D56" s="29">
        <f t="shared" si="722"/>
        <v>40.71617554</v>
      </c>
      <c r="E56" s="29">
        <f t="shared" si="722"/>
        <v>43.36869059</v>
      </c>
      <c r="F56" s="29">
        <f t="shared" si="722"/>
        <v>73.21645407</v>
      </c>
      <c r="G56" s="29">
        <f t="shared" si="722"/>
        <v>79.55015045</v>
      </c>
      <c r="H56" s="29">
        <f t="shared" si="722"/>
        <v>96.70378436</v>
      </c>
      <c r="I56" s="29">
        <f t="shared" si="722"/>
        <v>105.8107496</v>
      </c>
      <c r="J56" s="30"/>
      <c r="K56" s="32">
        <f t="shared" ref="K56:Q56" si="723">C56/C55-1</f>
        <v>-0.03726012587</v>
      </c>
      <c r="L56" s="32">
        <f t="shared" si="723"/>
        <v>-0.05107469674</v>
      </c>
      <c r="M56" s="32">
        <f t="shared" si="723"/>
        <v>-0.05357142857</v>
      </c>
      <c r="N56" s="32">
        <f t="shared" si="723"/>
        <v>-0.01036147058</v>
      </c>
      <c r="O56" s="32">
        <f t="shared" si="723"/>
        <v>-0.001002985506</v>
      </c>
      <c r="P56" s="32">
        <f t="shared" si="723"/>
        <v>-0.00932199427</v>
      </c>
      <c r="Q56" s="32">
        <f t="shared" si="723"/>
        <v>-0.02235726937</v>
      </c>
      <c r="R56" s="30"/>
      <c r="S56" s="32">
        <f t="shared" ref="S56:Y56" si="724">C56/C53-1</f>
        <v>0.029555053</v>
      </c>
      <c r="T56" s="32">
        <f t="shared" si="724"/>
        <v>0.01038076995</v>
      </c>
      <c r="U56" s="32">
        <f t="shared" si="724"/>
        <v>0.06546834287</v>
      </c>
      <c r="V56" s="32">
        <f t="shared" si="724"/>
        <v>-0.01732750802</v>
      </c>
      <c r="W56" s="32">
        <f t="shared" si="724"/>
        <v>-0.004068457757</v>
      </c>
      <c r="X56" s="32">
        <f t="shared" si="724"/>
        <v>-0.02884075828</v>
      </c>
      <c r="Y56" s="32">
        <f t="shared" si="724"/>
        <v>-0.02256527864</v>
      </c>
      <c r="Z56" s="30"/>
      <c r="AA56" s="32">
        <f t="shared" ref="AA56:AG56" si="725">C56/C50-1</f>
        <v>0.1078962466</v>
      </c>
      <c r="AB56" s="32">
        <f t="shared" si="725"/>
        <v>0.06323551556</v>
      </c>
      <c r="AC56" s="32">
        <f t="shared" si="725"/>
        <v>0.0823720772</v>
      </c>
      <c r="AD56" s="32">
        <f t="shared" si="725"/>
        <v>-0.02324196875</v>
      </c>
      <c r="AE56" s="32">
        <f t="shared" si="725"/>
        <v>-0.008981488741</v>
      </c>
      <c r="AF56" s="32">
        <f t="shared" si="725"/>
        <v>-0.04730685572</v>
      </c>
      <c r="AG56" s="32">
        <f t="shared" si="725"/>
        <v>-0.02236856781</v>
      </c>
      <c r="AH56" s="30"/>
      <c r="AI56" s="32">
        <f t="shared" ref="AI56:AO56" si="726">C56/C44-1</f>
        <v>0.1707633086</v>
      </c>
      <c r="AJ56" s="32">
        <f t="shared" si="726"/>
        <v>0.1994417327</v>
      </c>
      <c r="AK56" s="32">
        <f t="shared" si="726"/>
        <v>0.2492790561</v>
      </c>
      <c r="AL56" s="32">
        <f t="shared" si="726"/>
        <v>0.004182434255</v>
      </c>
      <c r="AM56" s="32">
        <f t="shared" si="726"/>
        <v>-0.002686838313</v>
      </c>
      <c r="AN56" s="32">
        <f t="shared" si="726"/>
        <v>-0.0151692901</v>
      </c>
      <c r="AO56" s="32">
        <f t="shared" si="726"/>
        <v>0.0188328414</v>
      </c>
      <c r="AP56" s="30"/>
      <c r="AQ56" s="32">
        <f t="shared" ref="AQ56:AW56" si="727">(12*K56+4*S56+2*AA56+AI56)/4</f>
        <v>0.0144136258</v>
      </c>
      <c r="AR56" s="32">
        <f t="shared" si="727"/>
        <v>-0.06136512934</v>
      </c>
      <c r="AS56" s="32">
        <f t="shared" si="727"/>
        <v>0.008259859775</v>
      </c>
      <c r="AT56" s="32">
        <f t="shared" si="727"/>
        <v>-0.05898729557</v>
      </c>
      <c r="AU56" s="33">
        <f t="shared" si="727"/>
        <v>-0.01223986822</v>
      </c>
      <c r="AV56" s="32">
        <f t="shared" si="727"/>
        <v>-0.08425249147</v>
      </c>
      <c r="AW56" s="32">
        <f t="shared" si="727"/>
        <v>-0.09611316032</v>
      </c>
      <c r="AX56" s="30"/>
      <c r="AY56" s="34">
        <f t="shared" ref="AY56:BB56" si="728">rank(AQ56,$AQ56:$AT56)</f>
        <v>1</v>
      </c>
      <c r="AZ56" s="34">
        <f t="shared" si="728"/>
        <v>4</v>
      </c>
      <c r="BA56" s="34">
        <f t="shared" si="728"/>
        <v>2</v>
      </c>
      <c r="BB56" s="34">
        <f t="shared" si="728"/>
        <v>3</v>
      </c>
      <c r="BC56" s="35">
        <f t="shared" ref="BC56:BE56" si="729">rank(AU56,$AU56:$AW56)</f>
        <v>1</v>
      </c>
      <c r="BD56" s="34">
        <f t="shared" si="729"/>
        <v>2</v>
      </c>
      <c r="BE56" s="34">
        <f t="shared" si="729"/>
        <v>3</v>
      </c>
      <c r="BF56" s="30"/>
      <c r="BG56" s="36">
        <f t="shared" ref="BG56:BJ56" si="730">if(and($BQ56=0,AY56&lt;=2),0.5,0)</f>
        <v>0</v>
      </c>
      <c r="BH56" s="36">
        <f t="shared" si="730"/>
        <v>0</v>
      </c>
      <c r="BI56" s="36">
        <f t="shared" si="730"/>
        <v>0</v>
      </c>
      <c r="BJ56" s="36">
        <f t="shared" si="730"/>
        <v>0</v>
      </c>
      <c r="BK56" s="37">
        <f t="shared" ref="BK56:BM56" si="731">if(and($BQ56&gt;0,BC56=1),1,0)</f>
        <v>1</v>
      </c>
      <c r="BL56" s="36">
        <f t="shared" si="731"/>
        <v>0</v>
      </c>
      <c r="BM56" s="36">
        <f t="shared" si="731"/>
        <v>0</v>
      </c>
      <c r="BN56" s="38"/>
      <c r="BO56" s="22">
        <f t="shared" si="21"/>
        <v>1</v>
      </c>
      <c r="BP56" s="38"/>
      <c r="BQ56" s="39">
        <f t="shared" si="22"/>
        <v>2</v>
      </c>
      <c r="BR56" s="30"/>
      <c r="BS56" s="36">
        <f t="shared" ref="BS56:BV56" si="732">if(and($BQ56=0,AY56=1),1,0)</f>
        <v>0</v>
      </c>
      <c r="BT56" s="36">
        <f t="shared" si="732"/>
        <v>0</v>
      </c>
      <c r="BU56" s="36">
        <f t="shared" si="732"/>
        <v>0</v>
      </c>
      <c r="BV56" s="36">
        <f t="shared" si="732"/>
        <v>0</v>
      </c>
      <c r="BW56" s="37">
        <f t="shared" ref="BW56:BY56" si="733">if(and($BQ56&gt;0,BC56=1),1,0)</f>
        <v>1</v>
      </c>
      <c r="BX56" s="36">
        <f t="shared" si="733"/>
        <v>0</v>
      </c>
      <c r="BY56" s="36">
        <f t="shared" si="733"/>
        <v>0</v>
      </c>
      <c r="BZ56" s="38"/>
      <c r="CA56" s="22">
        <f t="shared" si="25"/>
        <v>1</v>
      </c>
      <c r="CB56" s="30"/>
      <c r="CC56" s="22">
        <f t="shared" ref="CC56:CI56" si="734">BG55*K56</f>
        <v>0</v>
      </c>
      <c r="CD56" s="22">
        <f t="shared" si="734"/>
        <v>0</v>
      </c>
      <c r="CE56" s="22">
        <f t="shared" si="734"/>
        <v>0</v>
      </c>
      <c r="CF56" s="22">
        <f t="shared" si="734"/>
        <v>0</v>
      </c>
      <c r="CG56" s="22">
        <f t="shared" si="734"/>
        <v>-0.001002985506</v>
      </c>
      <c r="CH56" s="22">
        <f t="shared" si="734"/>
        <v>0</v>
      </c>
      <c r="CI56" s="22">
        <f t="shared" si="734"/>
        <v>0</v>
      </c>
      <c r="CJ56" s="38"/>
      <c r="CK56" s="22">
        <f t="shared" ref="CK56:CQ56" si="735">BS55*K56</f>
        <v>0</v>
      </c>
      <c r="CL56" s="22">
        <f t="shared" si="735"/>
        <v>0</v>
      </c>
      <c r="CM56" s="22">
        <f t="shared" si="735"/>
        <v>0</v>
      </c>
      <c r="CN56" s="22">
        <f t="shared" si="735"/>
        <v>0</v>
      </c>
      <c r="CO56" s="22">
        <f t="shared" si="735"/>
        <v>-0.001002985506</v>
      </c>
      <c r="CP56" s="22">
        <f t="shared" si="735"/>
        <v>0</v>
      </c>
      <c r="CQ56" s="22">
        <f t="shared" si="735"/>
        <v>0</v>
      </c>
      <c r="CR56" s="44">
        <f t="shared" si="28"/>
        <v>-0.001002985506</v>
      </c>
      <c r="CS56" s="45"/>
      <c r="CT56" s="40"/>
      <c r="CU56" s="46">
        <v>1.0</v>
      </c>
      <c r="CV56" s="47">
        <v>0.0</v>
      </c>
      <c r="CW56" s="45"/>
      <c r="CX56" s="44">
        <f t="shared" si="29"/>
        <v>-0.001002985506</v>
      </c>
      <c r="CY56" s="40"/>
      <c r="CZ56" s="40"/>
      <c r="DA56" s="47"/>
      <c r="DB56" s="45"/>
      <c r="DC56" s="40"/>
      <c r="DD56" s="48">
        <f t="shared" si="30"/>
        <v>142526.0963</v>
      </c>
      <c r="DE56" s="49">
        <f t="shared" si="31"/>
        <v>-0.001002985506</v>
      </c>
      <c r="DF56" s="50"/>
      <c r="DG56" s="40"/>
      <c r="DH56" s="51">
        <f t="shared" si="32"/>
        <v>138830.3</v>
      </c>
      <c r="DI56" s="52">
        <f t="shared" si="33"/>
        <v>-0.001002985506</v>
      </c>
      <c r="DJ56" s="50"/>
      <c r="DK56" s="40"/>
      <c r="DL56" s="40"/>
      <c r="DM56" s="40"/>
      <c r="DN56" s="42"/>
      <c r="DO56" s="40"/>
      <c r="DP56" s="40"/>
      <c r="DQ56" s="42"/>
      <c r="DR56" s="40"/>
      <c r="DS56" s="40"/>
      <c r="DT56" s="40"/>
      <c r="DU56" s="40"/>
    </row>
    <row r="57" ht="13.5" customHeight="1">
      <c r="A57" s="27">
        <v>39.0</v>
      </c>
      <c r="B57" s="28">
        <f t="shared" si="2"/>
        <v>43189</v>
      </c>
      <c r="C57" s="29">
        <f t="shared" ref="C57:I57" si="736">indirect(CONCATENATE(C$2,"!$G$",$A57))</f>
        <v>228.8115372</v>
      </c>
      <c r="D57" s="29">
        <f t="shared" si="736"/>
        <v>40.55429103</v>
      </c>
      <c r="E57" s="29">
        <f t="shared" si="736"/>
        <v>43.27515124</v>
      </c>
      <c r="F57" s="29">
        <f t="shared" si="736"/>
        <v>73.71916487</v>
      </c>
      <c r="G57" s="29">
        <f t="shared" si="736"/>
        <v>79.74696853</v>
      </c>
      <c r="H57" s="29">
        <f t="shared" si="736"/>
        <v>97.82109665</v>
      </c>
      <c r="I57" s="29">
        <f t="shared" si="736"/>
        <v>106.4004724</v>
      </c>
      <c r="J57" s="30"/>
      <c r="K57" s="32">
        <f t="shared" ref="K57:Q57" si="737">C57/C56-1</f>
        <v>-0.02479647248</v>
      </c>
      <c r="L57" s="32">
        <f t="shared" si="737"/>
        <v>-0.003975926076</v>
      </c>
      <c r="M57" s="32">
        <f t="shared" si="737"/>
        <v>-0.002156840533</v>
      </c>
      <c r="N57" s="32">
        <f t="shared" si="737"/>
        <v>0.006866090612</v>
      </c>
      <c r="O57" s="32">
        <f t="shared" si="737"/>
        <v>0.002474138354</v>
      </c>
      <c r="P57" s="32">
        <f t="shared" si="737"/>
        <v>0.01155396652</v>
      </c>
      <c r="Q57" s="32">
        <f t="shared" si="737"/>
        <v>0.005573373304</v>
      </c>
      <c r="R57" s="30"/>
      <c r="S57" s="32">
        <f t="shared" ref="S57:Y57" si="738">C57/C54-1</f>
        <v>-0.00869482021</v>
      </c>
      <c r="T57" s="32">
        <f t="shared" si="738"/>
        <v>-0.009970720992</v>
      </c>
      <c r="U57" s="32">
        <f t="shared" si="738"/>
        <v>0.02522896607</v>
      </c>
      <c r="V57" s="32">
        <f t="shared" si="738"/>
        <v>-0.01590436525</v>
      </c>
      <c r="W57" s="32">
        <f t="shared" si="738"/>
        <v>-0.001397786413</v>
      </c>
      <c r="X57" s="32">
        <f t="shared" si="738"/>
        <v>-0.01942373115</v>
      </c>
      <c r="Y57" s="32">
        <f t="shared" si="738"/>
        <v>-0.02895857003</v>
      </c>
      <c r="Z57" s="30"/>
      <c r="AA57" s="32">
        <f t="shared" ref="AA57:AG57" si="739">C57/C51-1</f>
        <v>0.0588042071</v>
      </c>
      <c r="AB57" s="32">
        <f t="shared" si="739"/>
        <v>0.03302374361</v>
      </c>
      <c r="AC57" s="32">
        <f t="shared" si="739"/>
        <v>0.0853755987</v>
      </c>
      <c r="AD57" s="32">
        <f t="shared" si="739"/>
        <v>-0.01190139846</v>
      </c>
      <c r="AE57" s="32">
        <f t="shared" si="739"/>
        <v>-0.004671556026</v>
      </c>
      <c r="AF57" s="32">
        <f t="shared" si="739"/>
        <v>-0.02221247992</v>
      </c>
      <c r="AG57" s="32">
        <f t="shared" si="739"/>
        <v>-0.01644493272</v>
      </c>
      <c r="AH57" s="30"/>
      <c r="AI57" s="32">
        <f t="shared" ref="AI57:AO57" si="740">C57/C45-1</f>
        <v>0.140239785</v>
      </c>
      <c r="AJ57" s="32">
        <f t="shared" si="740"/>
        <v>0.159230235</v>
      </c>
      <c r="AK57" s="32">
        <f t="shared" si="740"/>
        <v>0.2121115236</v>
      </c>
      <c r="AL57" s="32">
        <f t="shared" si="740"/>
        <v>0.01146350496</v>
      </c>
      <c r="AM57" s="32">
        <f t="shared" si="740"/>
        <v>-0.0008527761293</v>
      </c>
      <c r="AN57" s="32">
        <f t="shared" si="740"/>
        <v>-0.00460054711</v>
      </c>
      <c r="AO57" s="32">
        <f t="shared" si="740"/>
        <v>0.02752861611</v>
      </c>
      <c r="AP57" s="30"/>
      <c r="AQ57" s="32">
        <f t="shared" ref="AQ57:AW57" si="741">(12*K57+4*S57+2*AA57+AI57)/4</f>
        <v>-0.01862218787</v>
      </c>
      <c r="AR57" s="32">
        <f t="shared" si="741"/>
        <v>0.03442093133</v>
      </c>
      <c r="AS57" s="32">
        <f t="shared" si="741"/>
        <v>0.1144741247</v>
      </c>
      <c r="AT57" s="32">
        <f t="shared" si="741"/>
        <v>0.001609083591</v>
      </c>
      <c r="AU57" s="33">
        <f t="shared" si="741"/>
        <v>0.003475656603</v>
      </c>
      <c r="AV57" s="32">
        <f t="shared" si="741"/>
        <v>0.002981791684</v>
      </c>
      <c r="AW57" s="32">
        <f t="shared" si="741"/>
        <v>-0.01357876245</v>
      </c>
      <c r="AX57" s="30"/>
      <c r="AY57" s="34">
        <f t="shared" ref="AY57:BB57" si="742">rank(AQ57,$AQ57:$AT57)</f>
        <v>4</v>
      </c>
      <c r="AZ57" s="34">
        <f t="shared" si="742"/>
        <v>2</v>
      </c>
      <c r="BA57" s="34">
        <f t="shared" si="742"/>
        <v>1</v>
      </c>
      <c r="BB57" s="34">
        <f t="shared" si="742"/>
        <v>3</v>
      </c>
      <c r="BC57" s="35">
        <f t="shared" ref="BC57:BE57" si="743">rank(AU57,$AU57:$AW57)</f>
        <v>1</v>
      </c>
      <c r="BD57" s="34">
        <f t="shared" si="743"/>
        <v>2</v>
      </c>
      <c r="BE57" s="34">
        <f t="shared" si="743"/>
        <v>3</v>
      </c>
      <c r="BF57" s="30"/>
      <c r="BG57" s="36">
        <f t="shared" ref="BG57:BJ57" si="744">if(and($BQ57=0,AY57&lt;=2),0.5,0)</f>
        <v>0</v>
      </c>
      <c r="BH57" s="36">
        <f t="shared" si="744"/>
        <v>0</v>
      </c>
      <c r="BI57" s="36">
        <f t="shared" si="744"/>
        <v>0</v>
      </c>
      <c r="BJ57" s="36">
        <f t="shared" si="744"/>
        <v>0</v>
      </c>
      <c r="BK57" s="37">
        <f t="shared" ref="BK57:BM57" si="745">if(and($BQ57&gt;0,BC57=1),1,0)</f>
        <v>1</v>
      </c>
      <c r="BL57" s="36">
        <f t="shared" si="745"/>
        <v>0</v>
      </c>
      <c r="BM57" s="36">
        <f t="shared" si="745"/>
        <v>0</v>
      </c>
      <c r="BN57" s="38"/>
      <c r="BO57" s="22">
        <f t="shared" si="21"/>
        <v>1</v>
      </c>
      <c r="BP57" s="38"/>
      <c r="BQ57" s="39">
        <f t="shared" si="22"/>
        <v>1</v>
      </c>
      <c r="BR57" s="30"/>
      <c r="BS57" s="36">
        <f t="shared" ref="BS57:BV57" si="746">if(and($BQ57=0,AY57=1),1,0)</f>
        <v>0</v>
      </c>
      <c r="BT57" s="36">
        <f t="shared" si="746"/>
        <v>0</v>
      </c>
      <c r="BU57" s="36">
        <f t="shared" si="746"/>
        <v>0</v>
      </c>
      <c r="BV57" s="36">
        <f t="shared" si="746"/>
        <v>0</v>
      </c>
      <c r="BW57" s="37">
        <f t="shared" ref="BW57:BY57" si="747">if(and($BQ57&gt;0,BC57=1),1,0)</f>
        <v>1</v>
      </c>
      <c r="BX57" s="36">
        <f t="shared" si="747"/>
        <v>0</v>
      </c>
      <c r="BY57" s="36">
        <f t="shared" si="747"/>
        <v>0</v>
      </c>
      <c r="BZ57" s="38"/>
      <c r="CA57" s="22">
        <f t="shared" si="25"/>
        <v>1</v>
      </c>
      <c r="CB57" s="38"/>
      <c r="CC57" s="22">
        <f t="shared" ref="CC57:CI57" si="748">BG56*K57</f>
        <v>0</v>
      </c>
      <c r="CD57" s="22">
        <f t="shared" si="748"/>
        <v>0</v>
      </c>
      <c r="CE57" s="22">
        <f t="shared" si="748"/>
        <v>0</v>
      </c>
      <c r="CF57" s="22">
        <f t="shared" si="748"/>
        <v>0</v>
      </c>
      <c r="CG57" s="22">
        <f t="shared" si="748"/>
        <v>0.002474138354</v>
      </c>
      <c r="CH57" s="22">
        <f t="shared" si="748"/>
        <v>0</v>
      </c>
      <c r="CI57" s="22">
        <f t="shared" si="748"/>
        <v>0</v>
      </c>
      <c r="CJ57" s="38"/>
      <c r="CK57" s="22">
        <f t="shared" ref="CK57:CQ57" si="749">BS56*K57</f>
        <v>0</v>
      </c>
      <c r="CL57" s="22">
        <f t="shared" si="749"/>
        <v>0</v>
      </c>
      <c r="CM57" s="22">
        <f t="shared" si="749"/>
        <v>0</v>
      </c>
      <c r="CN57" s="22">
        <f t="shared" si="749"/>
        <v>0</v>
      </c>
      <c r="CO57" s="22">
        <f t="shared" si="749"/>
        <v>0.002474138354</v>
      </c>
      <c r="CP57" s="22">
        <f t="shared" si="749"/>
        <v>0</v>
      </c>
      <c r="CQ57" s="22">
        <f t="shared" si="749"/>
        <v>0</v>
      </c>
      <c r="CR57" s="44">
        <f t="shared" si="28"/>
        <v>0.002474138354</v>
      </c>
      <c r="CS57" s="45"/>
      <c r="CT57" s="40"/>
      <c r="CU57" s="46">
        <v>1.0</v>
      </c>
      <c r="CV57" s="47">
        <v>0.0</v>
      </c>
      <c r="CW57" s="45"/>
      <c r="CX57" s="44">
        <f t="shared" si="29"/>
        <v>0.002474138354</v>
      </c>
      <c r="CY57" s="40"/>
      <c r="CZ57" s="40"/>
      <c r="DA57" s="47"/>
      <c r="DB57" s="45"/>
      <c r="DC57" s="40"/>
      <c r="DD57" s="48">
        <f t="shared" si="30"/>
        <v>142878.7256</v>
      </c>
      <c r="DE57" s="49">
        <f t="shared" si="31"/>
        <v>0.002474138354</v>
      </c>
      <c r="DF57" s="50"/>
      <c r="DG57" s="40"/>
      <c r="DH57" s="51">
        <f t="shared" si="32"/>
        <v>139173.7853</v>
      </c>
      <c r="DI57" s="52">
        <f t="shared" si="33"/>
        <v>0.002474138354</v>
      </c>
      <c r="DJ57" s="50"/>
      <c r="DK57" s="40"/>
      <c r="DL57" s="40"/>
      <c r="DM57" s="40"/>
      <c r="DN57" s="42"/>
      <c r="DO57" s="40"/>
      <c r="DP57" s="40"/>
      <c r="DQ57" s="42"/>
      <c r="DR57" s="40"/>
      <c r="DS57" s="40"/>
      <c r="DT57" s="40"/>
      <c r="DU57" s="40"/>
    </row>
    <row r="58" ht="13.5" customHeight="1">
      <c r="A58" s="27">
        <v>38.0</v>
      </c>
      <c r="B58" s="28">
        <f t="shared" si="2"/>
        <v>43220</v>
      </c>
      <c r="C58" s="29">
        <f t="shared" ref="C58:I58" si="750">indirect(CONCATENATE(C$2,"!$G$",$A58))</f>
        <v>229.6054966</v>
      </c>
      <c r="D58" s="29">
        <f t="shared" si="750"/>
        <v>41.06752048</v>
      </c>
      <c r="E58" s="29">
        <f t="shared" si="750"/>
        <v>42.0776694</v>
      </c>
      <c r="F58" s="29">
        <f t="shared" si="750"/>
        <v>73.09061115</v>
      </c>
      <c r="G58" s="29">
        <f t="shared" si="750"/>
        <v>79.56008726</v>
      </c>
      <c r="H58" s="29">
        <f t="shared" si="750"/>
        <v>96.57226346</v>
      </c>
      <c r="I58" s="29">
        <f t="shared" si="750"/>
        <v>104.7343118</v>
      </c>
      <c r="J58" s="30"/>
      <c r="K58" s="32">
        <f t="shared" ref="K58:Q58" si="751">C58/C57-1</f>
        <v>0.003469927297</v>
      </c>
      <c r="L58" s="32">
        <f t="shared" si="751"/>
        <v>0.01265536723</v>
      </c>
      <c r="M58" s="32">
        <f t="shared" si="751"/>
        <v>-0.02767134951</v>
      </c>
      <c r="N58" s="32">
        <f t="shared" si="751"/>
        <v>-0.00852632725</v>
      </c>
      <c r="O58" s="32">
        <f t="shared" si="751"/>
        <v>-0.002343427868</v>
      </c>
      <c r="P58" s="32">
        <f t="shared" si="751"/>
        <v>-0.01276650156</v>
      </c>
      <c r="Q58" s="32">
        <f t="shared" si="751"/>
        <v>-0.01565933492</v>
      </c>
      <c r="R58" s="30"/>
      <c r="S58" s="32">
        <f t="shared" ref="S58:Y58" si="752">C58/C55-1</f>
        <v>-0.05787487733</v>
      </c>
      <c r="T58" s="32">
        <f t="shared" si="752"/>
        <v>-0.0428863023</v>
      </c>
      <c r="U58" s="32">
        <f t="shared" si="752"/>
        <v>-0.08174519446</v>
      </c>
      <c r="V58" s="32">
        <f t="shared" si="752"/>
        <v>-0.01206244067</v>
      </c>
      <c r="W58" s="32">
        <f t="shared" si="752"/>
        <v>-0.0008781982709</v>
      </c>
      <c r="X58" s="32">
        <f t="shared" si="752"/>
        <v>-0.01066935476</v>
      </c>
      <c r="Y58" s="32">
        <f t="shared" si="752"/>
        <v>-0.03230306051</v>
      </c>
      <c r="Z58" s="30"/>
      <c r="AA58" s="32">
        <f t="shared" ref="AA58:AG58" si="753">C58/C52-1</f>
        <v>0.03831560997</v>
      </c>
      <c r="AB58" s="32">
        <f t="shared" si="753"/>
        <v>0.02786492619</v>
      </c>
      <c r="AC58" s="32">
        <f t="shared" si="753"/>
        <v>0.03027653688</v>
      </c>
      <c r="AD58" s="32">
        <f t="shared" si="753"/>
        <v>-0.02006549141</v>
      </c>
      <c r="AE58" s="32">
        <f t="shared" si="753"/>
        <v>-0.006091225622</v>
      </c>
      <c r="AF58" s="32">
        <f t="shared" si="753"/>
        <v>-0.03286802741</v>
      </c>
      <c r="AG58" s="32">
        <f t="shared" si="753"/>
        <v>-0.03370498248</v>
      </c>
      <c r="AH58" s="30"/>
      <c r="AI58" s="32">
        <f t="shared" ref="AI58:AO58" si="754">C58/C46-1</f>
        <v>0.1324193819</v>
      </c>
      <c r="AJ58" s="32">
        <f t="shared" si="754"/>
        <v>0.1484764319</v>
      </c>
      <c r="AK58" s="32">
        <f t="shared" si="754"/>
        <v>0.1604568831</v>
      </c>
      <c r="AL58" s="32">
        <f t="shared" si="754"/>
        <v>-0.0050673857</v>
      </c>
      <c r="AM58" s="32">
        <f t="shared" si="754"/>
        <v>-0.005060498136</v>
      </c>
      <c r="AN58" s="32">
        <f t="shared" si="754"/>
        <v>-0.02807478394</v>
      </c>
      <c r="AO58" s="32">
        <f t="shared" si="754"/>
        <v>-0.0004348607186</v>
      </c>
      <c r="AP58" s="30"/>
      <c r="AQ58" s="32">
        <f t="shared" ref="AQ58:AW58" si="755">(12*K58+4*S58+2*AA58+AI58)/4</f>
        <v>0.004797555036</v>
      </c>
      <c r="AR58" s="32">
        <f t="shared" si="755"/>
        <v>0.04613137046</v>
      </c>
      <c r="AS58" s="32">
        <f t="shared" si="755"/>
        <v>-0.1095067538</v>
      </c>
      <c r="AT58" s="32">
        <f t="shared" si="755"/>
        <v>-0.04894101455</v>
      </c>
      <c r="AU58" s="33">
        <f t="shared" si="755"/>
        <v>-0.01221921922</v>
      </c>
      <c r="AV58" s="32">
        <f t="shared" si="755"/>
        <v>-0.07242156913</v>
      </c>
      <c r="AW58" s="32">
        <f t="shared" si="755"/>
        <v>-0.09624227169</v>
      </c>
      <c r="AX58" s="30"/>
      <c r="AY58" s="34">
        <f t="shared" ref="AY58:BB58" si="756">rank(AQ58,$AQ58:$AT58)</f>
        <v>2</v>
      </c>
      <c r="AZ58" s="34">
        <f t="shared" si="756"/>
        <v>1</v>
      </c>
      <c r="BA58" s="34">
        <f t="shared" si="756"/>
        <v>4</v>
      </c>
      <c r="BB58" s="34">
        <f t="shared" si="756"/>
        <v>3</v>
      </c>
      <c r="BC58" s="35">
        <f t="shared" ref="BC58:BE58" si="757">rank(AU58,$AU58:$AW58)</f>
        <v>1</v>
      </c>
      <c r="BD58" s="34">
        <f t="shared" si="757"/>
        <v>2</v>
      </c>
      <c r="BE58" s="34">
        <f t="shared" si="757"/>
        <v>3</v>
      </c>
      <c r="BF58" s="30"/>
      <c r="BG58" s="36">
        <f t="shared" ref="BG58:BJ58" si="758">if(and($BQ58=0,AY58&lt;=2),0.5,0)</f>
        <v>0</v>
      </c>
      <c r="BH58" s="36">
        <f t="shared" si="758"/>
        <v>0</v>
      </c>
      <c r="BI58" s="36">
        <f t="shared" si="758"/>
        <v>0</v>
      </c>
      <c r="BJ58" s="36">
        <f t="shared" si="758"/>
        <v>0</v>
      </c>
      <c r="BK58" s="37">
        <f t="shared" ref="BK58:BM58" si="759">if(and($BQ58&gt;0,BC58=1),1,0)</f>
        <v>1</v>
      </c>
      <c r="BL58" s="36">
        <f t="shared" si="759"/>
        <v>0</v>
      </c>
      <c r="BM58" s="36">
        <f t="shared" si="759"/>
        <v>0</v>
      </c>
      <c r="BN58" s="38"/>
      <c r="BO58" s="22">
        <f t="shared" si="21"/>
        <v>1</v>
      </c>
      <c r="BP58" s="38"/>
      <c r="BQ58" s="39">
        <f t="shared" si="22"/>
        <v>2</v>
      </c>
      <c r="BR58" s="30"/>
      <c r="BS58" s="36">
        <f t="shared" ref="BS58:BV58" si="760">if(and($BQ58=0,AY58=1),1,0)</f>
        <v>0</v>
      </c>
      <c r="BT58" s="36">
        <f t="shared" si="760"/>
        <v>0</v>
      </c>
      <c r="BU58" s="36">
        <f t="shared" si="760"/>
        <v>0</v>
      </c>
      <c r="BV58" s="36">
        <f t="shared" si="760"/>
        <v>0</v>
      </c>
      <c r="BW58" s="37">
        <f t="shared" ref="BW58:BY58" si="761">if(and($BQ58&gt;0,BC58=1),1,0)</f>
        <v>1</v>
      </c>
      <c r="BX58" s="36">
        <f t="shared" si="761"/>
        <v>0</v>
      </c>
      <c r="BY58" s="36">
        <f t="shared" si="761"/>
        <v>0</v>
      </c>
      <c r="BZ58" s="38"/>
      <c r="CA58" s="22">
        <f t="shared" si="25"/>
        <v>1</v>
      </c>
      <c r="CB58" s="38"/>
      <c r="CC58" s="22">
        <f t="shared" ref="CC58:CI58" si="762">BG57*K58</f>
        <v>0</v>
      </c>
      <c r="CD58" s="22">
        <f t="shared" si="762"/>
        <v>0</v>
      </c>
      <c r="CE58" s="22">
        <f t="shared" si="762"/>
        <v>0</v>
      </c>
      <c r="CF58" s="22">
        <f t="shared" si="762"/>
        <v>0</v>
      </c>
      <c r="CG58" s="22">
        <f t="shared" si="762"/>
        <v>-0.002343427868</v>
      </c>
      <c r="CH58" s="22">
        <f t="shared" si="762"/>
        <v>0</v>
      </c>
      <c r="CI58" s="22">
        <f t="shared" si="762"/>
        <v>0</v>
      </c>
      <c r="CJ58" s="38"/>
      <c r="CK58" s="22">
        <f t="shared" ref="CK58:CQ58" si="763">BS57*K58</f>
        <v>0</v>
      </c>
      <c r="CL58" s="22">
        <f t="shared" si="763"/>
        <v>0</v>
      </c>
      <c r="CM58" s="22">
        <f t="shared" si="763"/>
        <v>0</v>
      </c>
      <c r="CN58" s="22">
        <f t="shared" si="763"/>
        <v>0</v>
      </c>
      <c r="CO58" s="22">
        <f t="shared" si="763"/>
        <v>-0.002343427868</v>
      </c>
      <c r="CP58" s="22">
        <f t="shared" si="763"/>
        <v>0</v>
      </c>
      <c r="CQ58" s="22">
        <f t="shared" si="763"/>
        <v>0</v>
      </c>
      <c r="CR58" s="44">
        <f t="shared" si="28"/>
        <v>-0.002343427868</v>
      </c>
      <c r="CS58" s="45"/>
      <c r="CT58" s="40"/>
      <c r="CU58" s="46">
        <v>1.0</v>
      </c>
      <c r="CV58" s="47">
        <v>0.0</v>
      </c>
      <c r="CW58" s="45"/>
      <c r="CX58" s="44">
        <f t="shared" si="29"/>
        <v>-0.002343427868</v>
      </c>
      <c r="CY58" s="40"/>
      <c r="CZ58" s="46">
        <v>1.0</v>
      </c>
      <c r="DA58" s="47">
        <v>0.0</v>
      </c>
      <c r="DB58" s="45"/>
      <c r="DC58" s="40"/>
      <c r="DD58" s="48">
        <f t="shared" si="30"/>
        <v>142543.8996</v>
      </c>
      <c r="DE58" s="49">
        <f t="shared" si="31"/>
        <v>-0.002343427868</v>
      </c>
      <c r="DF58" s="50"/>
      <c r="DG58" s="40"/>
      <c r="DH58" s="51">
        <f t="shared" si="32"/>
        <v>138847.6416</v>
      </c>
      <c r="DI58" s="52">
        <f t="shared" si="33"/>
        <v>-0.002343427868</v>
      </c>
      <c r="DJ58" s="50"/>
      <c r="DK58" s="40"/>
      <c r="DL58" s="40"/>
      <c r="DM58" s="40"/>
      <c r="DN58" s="42"/>
      <c r="DO58" s="40"/>
      <c r="DP58" s="40"/>
      <c r="DQ58" s="42"/>
      <c r="DR58" s="40"/>
      <c r="DS58" s="40"/>
      <c r="DT58" s="40"/>
      <c r="DU58" s="40"/>
    </row>
    <row r="59" ht="13.5" customHeight="1">
      <c r="A59" s="27">
        <v>37.0</v>
      </c>
      <c r="B59" s="28">
        <f t="shared" si="2"/>
        <v>43251</v>
      </c>
      <c r="C59" s="29">
        <f t="shared" ref="C59:I59" si="764">indirect(CONCATENATE(C$2,"!$G$",$A59))</f>
        <v>235.1537605</v>
      </c>
      <c r="D59" s="29">
        <f t="shared" si="764"/>
        <v>40.48097254</v>
      </c>
      <c r="E59" s="29">
        <f t="shared" si="764"/>
        <v>41.09204974</v>
      </c>
      <c r="F59" s="29">
        <f t="shared" si="764"/>
        <v>73.58976762</v>
      </c>
      <c r="G59" s="29">
        <f t="shared" si="764"/>
        <v>79.8405237</v>
      </c>
      <c r="H59" s="29">
        <f t="shared" si="764"/>
        <v>97.52504253</v>
      </c>
      <c r="I59" s="29">
        <f t="shared" si="764"/>
        <v>105.2815546</v>
      </c>
      <c r="J59" s="30"/>
      <c r="K59" s="32">
        <f t="shared" ref="K59:Q59" si="765">C59/C58-1</f>
        <v>0.02416433394</v>
      </c>
      <c r="L59" s="32">
        <f t="shared" si="765"/>
        <v>-0.01428252622</v>
      </c>
      <c r="M59" s="32">
        <f t="shared" si="765"/>
        <v>-0.02342381786</v>
      </c>
      <c r="N59" s="32">
        <f t="shared" si="765"/>
        <v>0.00682928307</v>
      </c>
      <c r="O59" s="32">
        <f t="shared" si="765"/>
        <v>0.003524838363</v>
      </c>
      <c r="P59" s="32">
        <f t="shared" si="765"/>
        <v>0.009865970103</v>
      </c>
      <c r="Q59" s="32">
        <f t="shared" si="765"/>
        <v>0.005225058411</v>
      </c>
      <c r="R59" s="30"/>
      <c r="S59" s="32">
        <f t="shared" ref="S59:Y59" si="766">C59/C56-1</f>
        <v>0.002234325886</v>
      </c>
      <c r="T59" s="32">
        <f t="shared" si="766"/>
        <v>-0.005776647565</v>
      </c>
      <c r="U59" s="32">
        <f t="shared" si="766"/>
        <v>-0.05249503312</v>
      </c>
      <c r="V59" s="32">
        <f t="shared" si="766"/>
        <v>0.005098765867</v>
      </c>
      <c r="W59" s="32">
        <f t="shared" si="766"/>
        <v>0.00365019118</v>
      </c>
      <c r="X59" s="32">
        <f t="shared" si="766"/>
        <v>0.008492513234</v>
      </c>
      <c r="Y59" s="32">
        <f t="shared" si="766"/>
        <v>-0.00500133428</v>
      </c>
      <c r="Z59" s="30"/>
      <c r="AA59" s="32">
        <f t="shared" ref="AA59:AG59" si="767">C59/C53-1</f>
        <v>0.0318554145</v>
      </c>
      <c r="AB59" s="32">
        <f t="shared" si="767"/>
        <v>0.004544156332</v>
      </c>
      <c r="AC59" s="32">
        <f t="shared" si="767"/>
        <v>0.009536546917</v>
      </c>
      <c r="AD59" s="32">
        <f t="shared" si="767"/>
        <v>-0.01231709106</v>
      </c>
      <c r="AE59" s="32">
        <f t="shared" si="767"/>
        <v>-0.0004331172257</v>
      </c>
      <c r="AF59" s="32">
        <f t="shared" si="767"/>
        <v>-0.02059317556</v>
      </c>
      <c r="AG59" s="32">
        <f t="shared" si="767"/>
        <v>-0.02745375642</v>
      </c>
      <c r="AH59" s="30"/>
      <c r="AI59" s="32">
        <f t="shared" ref="AI59:AO59" si="768">C59/C47-1</f>
        <v>0.1437212175</v>
      </c>
      <c r="AJ59" s="32">
        <f t="shared" si="768"/>
        <v>0.0947372158</v>
      </c>
      <c r="AK59" s="32">
        <f t="shared" si="768"/>
        <v>0.1221476545</v>
      </c>
      <c r="AL59" s="32">
        <f t="shared" si="768"/>
        <v>-0.005339796725</v>
      </c>
      <c r="AM59" s="32">
        <f t="shared" si="768"/>
        <v>-0.002283990632</v>
      </c>
      <c r="AN59" s="32">
        <f t="shared" si="768"/>
        <v>-0.02653980466</v>
      </c>
      <c r="AO59" s="32">
        <f t="shared" si="768"/>
        <v>-0.008436477391</v>
      </c>
      <c r="AP59" s="30"/>
      <c r="AQ59" s="32">
        <f t="shared" ref="AQ59:AW59" si="769">(12*K59+4*S59+2*AA59+AI59)/4</f>
        <v>0.1265853393</v>
      </c>
      <c r="AR59" s="32">
        <f t="shared" si="769"/>
        <v>-0.02266784411</v>
      </c>
      <c r="AS59" s="32">
        <f t="shared" si="769"/>
        <v>-0.08746129962</v>
      </c>
      <c r="AT59" s="32">
        <f t="shared" si="769"/>
        <v>0.01809312036</v>
      </c>
      <c r="AU59" s="33">
        <f t="shared" si="769"/>
        <v>0.01343715</v>
      </c>
      <c r="AV59" s="32">
        <f t="shared" si="769"/>
        <v>0.0211588846</v>
      </c>
      <c r="AW59" s="32">
        <f t="shared" si="769"/>
        <v>-0.005162156602</v>
      </c>
      <c r="AX59" s="30"/>
      <c r="AY59" s="34">
        <f t="shared" ref="AY59:BB59" si="770">rank(AQ59,$AQ59:$AT59)</f>
        <v>1</v>
      </c>
      <c r="AZ59" s="34">
        <f t="shared" si="770"/>
        <v>3</v>
      </c>
      <c r="BA59" s="34">
        <f t="shared" si="770"/>
        <v>4</v>
      </c>
      <c r="BB59" s="34">
        <f t="shared" si="770"/>
        <v>2</v>
      </c>
      <c r="BC59" s="35">
        <f t="shared" ref="BC59:BE59" si="771">rank(AU59,$AU59:$AW59)</f>
        <v>2</v>
      </c>
      <c r="BD59" s="34">
        <f t="shared" si="771"/>
        <v>1</v>
      </c>
      <c r="BE59" s="34">
        <f t="shared" si="771"/>
        <v>3</v>
      </c>
      <c r="BF59" s="30"/>
      <c r="BG59" s="36">
        <f t="shared" ref="BG59:BJ59" si="772">if(and($BQ59=0,AY59&lt;=2),0.5,0)</f>
        <v>0</v>
      </c>
      <c r="BH59" s="36">
        <f t="shared" si="772"/>
        <v>0</v>
      </c>
      <c r="BI59" s="36">
        <f t="shared" si="772"/>
        <v>0</v>
      </c>
      <c r="BJ59" s="36">
        <f t="shared" si="772"/>
        <v>0</v>
      </c>
      <c r="BK59" s="37">
        <f t="shared" ref="BK59:BM59" si="773">if(and($BQ59&gt;0,BC59=1),1,0)</f>
        <v>0</v>
      </c>
      <c r="BL59" s="36">
        <f t="shared" si="773"/>
        <v>1</v>
      </c>
      <c r="BM59" s="36">
        <f t="shared" si="773"/>
        <v>0</v>
      </c>
      <c r="BN59" s="38"/>
      <c r="BO59" s="22">
        <f t="shared" si="21"/>
        <v>1</v>
      </c>
      <c r="BP59" s="38"/>
      <c r="BQ59" s="39">
        <f t="shared" si="22"/>
        <v>2</v>
      </c>
      <c r="BR59" s="30"/>
      <c r="BS59" s="36">
        <f t="shared" ref="BS59:BV59" si="774">if(and($BQ59=0,AY59=1),1,0)</f>
        <v>0</v>
      </c>
      <c r="BT59" s="36">
        <f t="shared" si="774"/>
        <v>0</v>
      </c>
      <c r="BU59" s="36">
        <f t="shared" si="774"/>
        <v>0</v>
      </c>
      <c r="BV59" s="36">
        <f t="shared" si="774"/>
        <v>0</v>
      </c>
      <c r="BW59" s="37">
        <f t="shared" ref="BW59:BY59" si="775">if(and($BQ59&gt;0,BC59=1),1,0)</f>
        <v>0</v>
      </c>
      <c r="BX59" s="36">
        <f t="shared" si="775"/>
        <v>1</v>
      </c>
      <c r="BY59" s="36">
        <f t="shared" si="775"/>
        <v>0</v>
      </c>
      <c r="BZ59" s="38"/>
      <c r="CA59" s="22">
        <f t="shared" si="25"/>
        <v>1</v>
      </c>
      <c r="CB59" s="38"/>
      <c r="CC59" s="22">
        <f t="shared" ref="CC59:CI59" si="776">BG58*K59</f>
        <v>0</v>
      </c>
      <c r="CD59" s="22">
        <f t="shared" si="776"/>
        <v>0</v>
      </c>
      <c r="CE59" s="22">
        <f t="shared" si="776"/>
        <v>0</v>
      </c>
      <c r="CF59" s="22">
        <f t="shared" si="776"/>
        <v>0</v>
      </c>
      <c r="CG59" s="22">
        <f t="shared" si="776"/>
        <v>0.003524838363</v>
      </c>
      <c r="CH59" s="22">
        <f t="shared" si="776"/>
        <v>0</v>
      </c>
      <c r="CI59" s="22">
        <f t="shared" si="776"/>
        <v>0</v>
      </c>
      <c r="CJ59" s="38"/>
      <c r="CK59" s="22">
        <f t="shared" ref="CK59:CQ59" si="777">BS58*K59</f>
        <v>0</v>
      </c>
      <c r="CL59" s="22">
        <f t="shared" si="777"/>
        <v>0</v>
      </c>
      <c r="CM59" s="22">
        <f t="shared" si="777"/>
        <v>0</v>
      </c>
      <c r="CN59" s="22">
        <f t="shared" si="777"/>
        <v>0</v>
      </c>
      <c r="CO59" s="22">
        <f t="shared" si="777"/>
        <v>0.003524838363</v>
      </c>
      <c r="CP59" s="22">
        <f t="shared" si="777"/>
        <v>0</v>
      </c>
      <c r="CQ59" s="22">
        <f t="shared" si="777"/>
        <v>0</v>
      </c>
      <c r="CR59" s="44">
        <f t="shared" si="28"/>
        <v>0.003524838363</v>
      </c>
      <c r="CS59" s="45"/>
      <c r="CT59" s="40"/>
      <c r="CU59" s="22">
        <f t="shared" ref="CU59:CU94" si="792">CU58*(1+CR59)</f>
        <v>1.003524838</v>
      </c>
      <c r="CV59" s="47">
        <v>1.0</v>
      </c>
      <c r="CW59" s="45"/>
      <c r="CX59" s="44">
        <f t="shared" si="29"/>
        <v>0.003524838363</v>
      </c>
      <c r="CY59" s="40"/>
      <c r="CZ59" s="22">
        <f t="shared" ref="CZ59:CZ94" si="793">CZ58*(1+CX59)</f>
        <v>1.003524838</v>
      </c>
      <c r="DA59" s="47">
        <v>1.0</v>
      </c>
      <c r="DB59" s="45"/>
      <c r="DC59" s="40"/>
      <c r="DD59" s="48">
        <f t="shared" si="30"/>
        <v>143046.3438</v>
      </c>
      <c r="DE59" s="49">
        <f t="shared" si="31"/>
        <v>0.003524838363</v>
      </c>
      <c r="DF59" s="50"/>
      <c r="DG59" s="40"/>
      <c r="DH59" s="51">
        <f t="shared" si="32"/>
        <v>139337.0571</v>
      </c>
      <c r="DI59" s="52">
        <f t="shared" si="33"/>
        <v>0.003524838363</v>
      </c>
      <c r="DJ59" s="50"/>
      <c r="DK59" s="40"/>
      <c r="DL59" s="40"/>
      <c r="DM59" s="40"/>
      <c r="DN59" s="42"/>
      <c r="DO59" s="40"/>
      <c r="DP59" s="40"/>
      <c r="DQ59" s="42"/>
      <c r="DR59" s="40"/>
      <c r="DS59" s="40"/>
      <c r="DT59" s="40"/>
      <c r="DU59" s="40"/>
    </row>
    <row r="60" ht="13.5" customHeight="1">
      <c r="A60" s="27">
        <v>36.0</v>
      </c>
      <c r="B60" s="28">
        <f t="shared" si="2"/>
        <v>43280</v>
      </c>
      <c r="C60" s="29">
        <f t="shared" ref="C60:I60" si="778">indirect(CONCATENATE(C$2,"!$G$",$A60))</f>
        <v>236.9309342</v>
      </c>
      <c r="D60" s="29">
        <f t="shared" si="778"/>
        <v>39.8066465</v>
      </c>
      <c r="E60" s="29">
        <f t="shared" si="778"/>
        <v>39.12146913</v>
      </c>
      <c r="F60" s="29">
        <f t="shared" si="778"/>
        <v>73.55719707</v>
      </c>
      <c r="G60" s="29">
        <f t="shared" si="778"/>
        <v>79.87510722</v>
      </c>
      <c r="H60" s="29">
        <f t="shared" si="778"/>
        <v>97.71831299</v>
      </c>
      <c r="I60" s="29">
        <f t="shared" si="778"/>
        <v>104.7689227</v>
      </c>
      <c r="J60" s="30"/>
      <c r="K60" s="32">
        <f t="shared" ref="K60:Q60" si="779">C60/C59-1</f>
        <v>0.007557496363</v>
      </c>
      <c r="L60" s="32">
        <f t="shared" si="779"/>
        <v>-0.01665785186</v>
      </c>
      <c r="M60" s="32">
        <f t="shared" si="779"/>
        <v>-0.04795527639</v>
      </c>
      <c r="N60" s="32">
        <f t="shared" si="779"/>
        <v>-0.0004425962691</v>
      </c>
      <c r="O60" s="32">
        <f t="shared" si="779"/>
        <v>0.0004331573808</v>
      </c>
      <c r="P60" s="32">
        <f t="shared" si="779"/>
        <v>0.001981752183</v>
      </c>
      <c r="Q60" s="32">
        <f t="shared" si="779"/>
        <v>-0.004869152334</v>
      </c>
      <c r="R60" s="30"/>
      <c r="S60" s="32">
        <f t="shared" ref="S60:Y60" si="780">C60/C57-1</f>
        <v>0.03548508559</v>
      </c>
      <c r="T60" s="32">
        <f t="shared" si="780"/>
        <v>-0.01843564558</v>
      </c>
      <c r="U60" s="32">
        <f t="shared" si="780"/>
        <v>-0.09598307534</v>
      </c>
      <c r="V60" s="32">
        <f t="shared" si="780"/>
        <v>-0.002197092274</v>
      </c>
      <c r="W60" s="32">
        <f t="shared" si="780"/>
        <v>0.00160681583</v>
      </c>
      <c r="X60" s="32">
        <f t="shared" si="780"/>
        <v>-0.001050730939</v>
      </c>
      <c r="Y60" s="32">
        <f t="shared" si="780"/>
        <v>-0.0153340453</v>
      </c>
      <c r="Z60" s="30"/>
      <c r="AA60" s="32">
        <f t="shared" ref="AA60:AG60" si="781">C60/C54-1</f>
        <v>0.02648172894</v>
      </c>
      <c r="AB60" s="32">
        <f t="shared" si="781"/>
        <v>-0.02822254989</v>
      </c>
      <c r="AC60" s="32">
        <f t="shared" si="781"/>
        <v>-0.07317566303</v>
      </c>
      <c r="AD60" s="32">
        <f t="shared" si="781"/>
        <v>-0.01806651417</v>
      </c>
      <c r="AE60" s="32">
        <f t="shared" si="781"/>
        <v>0.0002067834319</v>
      </c>
      <c r="AF60" s="32">
        <f t="shared" si="781"/>
        <v>-0.02045405297</v>
      </c>
      <c r="AG60" s="32">
        <f t="shared" si="781"/>
        <v>-0.0438485633</v>
      </c>
      <c r="AH60" s="30"/>
      <c r="AI60" s="32">
        <f t="shared" ref="AI60:AO60" si="782">C60/C48-1</f>
        <v>0.1451629874</v>
      </c>
      <c r="AJ60" s="32">
        <f t="shared" si="782"/>
        <v>0.06967299585</v>
      </c>
      <c r="AK60" s="32">
        <f t="shared" si="782"/>
        <v>0.05935073412</v>
      </c>
      <c r="AL60" s="32">
        <f t="shared" si="782"/>
        <v>-0.006292294669</v>
      </c>
      <c r="AM60" s="32">
        <f t="shared" si="782"/>
        <v>-0.001067354628</v>
      </c>
      <c r="AN60" s="32">
        <f t="shared" si="782"/>
        <v>-0.0196127584</v>
      </c>
      <c r="AO60" s="32">
        <f t="shared" si="782"/>
        <v>-0.01798289055</v>
      </c>
      <c r="AP60" s="30"/>
      <c r="AQ60" s="32">
        <f t="shared" ref="AQ60:AW60" si="783">(12*K60+4*S60+2*AA60+AI60)/4</f>
        <v>0.107689186</v>
      </c>
      <c r="AR60" s="32">
        <f t="shared" si="783"/>
        <v>-0.06510222714</v>
      </c>
      <c r="AS60" s="32">
        <f t="shared" si="783"/>
        <v>-0.2615990525</v>
      </c>
      <c r="AT60" s="32">
        <f t="shared" si="783"/>
        <v>-0.01413121183</v>
      </c>
      <c r="AU60" s="33">
        <f t="shared" si="783"/>
        <v>0.002742841031</v>
      </c>
      <c r="AV60" s="32">
        <f t="shared" si="783"/>
        <v>-0.01023569047</v>
      </c>
      <c r="AW60" s="32">
        <f t="shared" si="783"/>
        <v>-0.05636150659</v>
      </c>
      <c r="AX60" s="30"/>
      <c r="AY60" s="34">
        <f t="shared" ref="AY60:BB60" si="784">rank(AQ60,$AQ60:$AT60)</f>
        <v>1</v>
      </c>
      <c r="AZ60" s="34">
        <f t="shared" si="784"/>
        <v>3</v>
      </c>
      <c r="BA60" s="34">
        <f t="shared" si="784"/>
        <v>4</v>
      </c>
      <c r="BB60" s="34">
        <f t="shared" si="784"/>
        <v>2</v>
      </c>
      <c r="BC60" s="35">
        <f t="shared" ref="BC60:BE60" si="785">rank(AU60,$AU60:$AW60)</f>
        <v>1</v>
      </c>
      <c r="BD60" s="34">
        <f t="shared" si="785"/>
        <v>2</v>
      </c>
      <c r="BE60" s="34">
        <f t="shared" si="785"/>
        <v>3</v>
      </c>
      <c r="BF60" s="30"/>
      <c r="BG60" s="36">
        <f t="shared" ref="BG60:BJ60" si="786">if(and($BQ60=0,AY60&lt;=2),0.5,0)</f>
        <v>0</v>
      </c>
      <c r="BH60" s="36">
        <f t="shared" si="786"/>
        <v>0</v>
      </c>
      <c r="BI60" s="36">
        <f t="shared" si="786"/>
        <v>0</v>
      </c>
      <c r="BJ60" s="36">
        <f t="shared" si="786"/>
        <v>0</v>
      </c>
      <c r="BK60" s="37">
        <f t="shared" ref="BK60:BM60" si="787">if(and($BQ60&gt;0,BC60=1),1,0)</f>
        <v>1</v>
      </c>
      <c r="BL60" s="36">
        <f t="shared" si="787"/>
        <v>0</v>
      </c>
      <c r="BM60" s="36">
        <f t="shared" si="787"/>
        <v>0</v>
      </c>
      <c r="BN60" s="38"/>
      <c r="BO60" s="22">
        <f t="shared" si="21"/>
        <v>1</v>
      </c>
      <c r="BP60" s="38"/>
      <c r="BQ60" s="39">
        <f t="shared" si="22"/>
        <v>3</v>
      </c>
      <c r="BR60" s="30"/>
      <c r="BS60" s="36">
        <f t="shared" ref="BS60:BV60" si="788">if(and($BQ60=0,AY60=1),1,0)</f>
        <v>0</v>
      </c>
      <c r="BT60" s="36">
        <f t="shared" si="788"/>
        <v>0</v>
      </c>
      <c r="BU60" s="36">
        <f t="shared" si="788"/>
        <v>0</v>
      </c>
      <c r="BV60" s="36">
        <f t="shared" si="788"/>
        <v>0</v>
      </c>
      <c r="BW60" s="37">
        <f t="shared" ref="BW60:BY60" si="789">if(and($BQ60&gt;0,BC60=1),1,0)</f>
        <v>1</v>
      </c>
      <c r="BX60" s="36">
        <f t="shared" si="789"/>
        <v>0</v>
      </c>
      <c r="BY60" s="36">
        <f t="shared" si="789"/>
        <v>0</v>
      </c>
      <c r="BZ60" s="38"/>
      <c r="CA60" s="22">
        <f t="shared" si="25"/>
        <v>1</v>
      </c>
      <c r="CB60" s="38"/>
      <c r="CC60" s="22">
        <f t="shared" ref="CC60:CI60" si="790">BG59*K60</f>
        <v>0</v>
      </c>
      <c r="CD60" s="22">
        <f t="shared" si="790"/>
        <v>0</v>
      </c>
      <c r="CE60" s="22">
        <f t="shared" si="790"/>
        <v>0</v>
      </c>
      <c r="CF60" s="22">
        <f t="shared" si="790"/>
        <v>0</v>
      </c>
      <c r="CG60" s="22">
        <f t="shared" si="790"/>
        <v>0</v>
      </c>
      <c r="CH60" s="22">
        <f t="shared" si="790"/>
        <v>0.001981752183</v>
      </c>
      <c r="CI60" s="22">
        <f t="shared" si="790"/>
        <v>0</v>
      </c>
      <c r="CJ60" s="38"/>
      <c r="CK60" s="22">
        <f t="shared" ref="CK60:CQ60" si="791">BS59*K60</f>
        <v>0</v>
      </c>
      <c r="CL60" s="22">
        <f t="shared" si="791"/>
        <v>0</v>
      </c>
      <c r="CM60" s="22">
        <f t="shared" si="791"/>
        <v>0</v>
      </c>
      <c r="CN60" s="22">
        <f t="shared" si="791"/>
        <v>0</v>
      </c>
      <c r="CO60" s="22">
        <f t="shared" si="791"/>
        <v>0</v>
      </c>
      <c r="CP60" s="22">
        <f t="shared" si="791"/>
        <v>0.001981752183</v>
      </c>
      <c r="CQ60" s="22">
        <f t="shared" si="791"/>
        <v>0</v>
      </c>
      <c r="CR60" s="44">
        <f t="shared" si="28"/>
        <v>0.001981752183</v>
      </c>
      <c r="CS60" s="45"/>
      <c r="CT60" s="40"/>
      <c r="CU60" s="22">
        <f t="shared" si="792"/>
        <v>1.005513576</v>
      </c>
      <c r="CV60" s="47">
        <v>2.0</v>
      </c>
      <c r="CW60" s="45"/>
      <c r="CX60" s="44">
        <f t="shared" si="29"/>
        <v>0.001981752183</v>
      </c>
      <c r="CY60" s="40"/>
      <c r="CZ60" s="22">
        <f t="shared" si="793"/>
        <v>1.005513576</v>
      </c>
      <c r="DA60" s="47">
        <v>2.0</v>
      </c>
      <c r="DB60" s="45"/>
      <c r="DC60" s="40"/>
      <c r="DD60" s="48">
        <f t="shared" si="30"/>
        <v>143329.8262</v>
      </c>
      <c r="DE60" s="49">
        <f t="shared" si="31"/>
        <v>0.001981752183</v>
      </c>
      <c r="DF60" s="50"/>
      <c r="DG60" s="40"/>
      <c r="DH60" s="51">
        <f t="shared" si="32"/>
        <v>139613.1886</v>
      </c>
      <c r="DI60" s="52">
        <f t="shared" si="33"/>
        <v>0.001981752183</v>
      </c>
      <c r="DJ60" s="50"/>
      <c r="DK60" s="40"/>
      <c r="DL60" s="40"/>
      <c r="DM60" s="40"/>
      <c r="DN60" s="42"/>
      <c r="DO60" s="40"/>
      <c r="DP60" s="40"/>
      <c r="DQ60" s="42"/>
      <c r="DR60" s="40"/>
      <c r="DS60" s="40"/>
      <c r="DT60" s="40"/>
      <c r="DU60" s="40"/>
    </row>
    <row r="61" ht="13.5" customHeight="1">
      <c r="A61" s="27">
        <v>35.0</v>
      </c>
      <c r="B61" s="28">
        <f t="shared" si="2"/>
        <v>43312</v>
      </c>
      <c r="C61" s="29">
        <f t="shared" ref="C61:I61" si="794">indirect(CONCATENATE(C$2,"!$G$",$A61))</f>
        <v>245.3727441</v>
      </c>
      <c r="D61" s="29">
        <f t="shared" si="794"/>
        <v>40.71598248</v>
      </c>
      <c r="E61" s="29">
        <f t="shared" si="794"/>
        <v>40.67891151</v>
      </c>
      <c r="F61" s="29">
        <f t="shared" si="794"/>
        <v>73.53031172</v>
      </c>
      <c r="G61" s="29">
        <f t="shared" si="794"/>
        <v>79.82702463</v>
      </c>
      <c r="H61" s="29">
        <f t="shared" si="794"/>
        <v>97.2023975</v>
      </c>
      <c r="I61" s="29">
        <f t="shared" si="794"/>
        <v>106.1771667</v>
      </c>
      <c r="J61" s="30"/>
      <c r="K61" s="32">
        <f t="shared" ref="K61:Q61" si="795">C61/C60-1</f>
        <v>0.03562983448</v>
      </c>
      <c r="L61" s="32">
        <f t="shared" si="795"/>
        <v>0.02284382284</v>
      </c>
      <c r="M61" s="32">
        <f t="shared" si="795"/>
        <v>0.03981042654</v>
      </c>
      <c r="N61" s="32">
        <f t="shared" si="795"/>
        <v>-0.0003655026073</v>
      </c>
      <c r="O61" s="32">
        <f t="shared" si="795"/>
        <v>-0.0006019721468</v>
      </c>
      <c r="P61" s="32">
        <f t="shared" si="795"/>
        <v>-0.005279619331</v>
      </c>
      <c r="Q61" s="32">
        <f t="shared" si="795"/>
        <v>0.01344142892</v>
      </c>
      <c r="R61" s="30"/>
      <c r="S61" s="32">
        <f t="shared" ref="S61:Y61" si="796">C61/C58-1</f>
        <v>0.06867103699</v>
      </c>
      <c r="T61" s="32">
        <f t="shared" si="796"/>
        <v>-0.008560000634</v>
      </c>
      <c r="U61" s="32">
        <f t="shared" si="796"/>
        <v>-0.03324228536</v>
      </c>
      <c r="V61" s="32">
        <f t="shared" si="796"/>
        <v>0.006015828332</v>
      </c>
      <c r="W61" s="32">
        <f t="shared" si="796"/>
        <v>0.003355166885</v>
      </c>
      <c r="X61" s="32">
        <f t="shared" si="796"/>
        <v>0.006525000172</v>
      </c>
      <c r="Y61" s="32">
        <f t="shared" si="796"/>
        <v>0.01377633531</v>
      </c>
      <c r="Z61" s="30"/>
      <c r="AA61" s="32">
        <f t="shared" ref="AA61:AG61" si="797">C61/C55-1</f>
        <v>0.006821831824</v>
      </c>
      <c r="AB61" s="32">
        <f t="shared" si="797"/>
        <v>-0.05107919616</v>
      </c>
      <c r="AC61" s="32">
        <f t="shared" si="797"/>
        <v>-0.1122700827</v>
      </c>
      <c r="AD61" s="32">
        <f t="shared" si="797"/>
        <v>-0.006119177913</v>
      </c>
      <c r="AE61" s="32">
        <f t="shared" si="797"/>
        <v>0.002474022112</v>
      </c>
      <c r="AF61" s="32">
        <f t="shared" si="797"/>
        <v>-0.004213972133</v>
      </c>
      <c r="AG61" s="32">
        <f t="shared" si="797"/>
        <v>-0.01897174299</v>
      </c>
      <c r="AH61" s="30"/>
      <c r="AI61" s="32">
        <f t="shared" ref="AI61:AO61" si="798">C61/C49-1</f>
        <v>0.1619986671</v>
      </c>
      <c r="AJ61" s="32">
        <f t="shared" si="798"/>
        <v>0.06348058716</v>
      </c>
      <c r="AK61" s="32">
        <f t="shared" si="798"/>
        <v>0.04569222081</v>
      </c>
      <c r="AL61" s="32">
        <f t="shared" si="798"/>
        <v>-0.01065366468</v>
      </c>
      <c r="AM61" s="32">
        <f t="shared" si="798"/>
        <v>-0.003521746743</v>
      </c>
      <c r="AN61" s="32">
        <f t="shared" si="798"/>
        <v>-0.02843839133</v>
      </c>
      <c r="AO61" s="32">
        <f t="shared" si="798"/>
        <v>-0.01235023392</v>
      </c>
      <c r="AP61" s="30"/>
      <c r="AQ61" s="32">
        <f t="shared" ref="AQ61:AW61" si="799">(12*K61+4*S61+2*AA61+AI61)/4</f>
        <v>0.2194711231</v>
      </c>
      <c r="AR61" s="32">
        <f t="shared" si="799"/>
        <v>0.05030201661</v>
      </c>
      <c r="AS61" s="32">
        <f t="shared" si="799"/>
        <v>0.04147700809</v>
      </c>
      <c r="AT61" s="32">
        <f t="shared" si="799"/>
        <v>-0.0008036846153</v>
      </c>
      <c r="AU61" s="33">
        <f t="shared" si="799"/>
        <v>0.001905824815</v>
      </c>
      <c r="AV61" s="32">
        <f t="shared" si="799"/>
        <v>-0.01853044172</v>
      </c>
      <c r="AW61" s="32">
        <f t="shared" si="799"/>
        <v>0.04152719211</v>
      </c>
      <c r="AX61" s="30"/>
      <c r="AY61" s="34">
        <f t="shared" ref="AY61:BB61" si="800">rank(AQ61,$AQ61:$AT61)</f>
        <v>1</v>
      </c>
      <c r="AZ61" s="34">
        <f t="shared" si="800"/>
        <v>2</v>
      </c>
      <c r="BA61" s="34">
        <f t="shared" si="800"/>
        <v>3</v>
      </c>
      <c r="BB61" s="34">
        <f t="shared" si="800"/>
        <v>4</v>
      </c>
      <c r="BC61" s="35">
        <f t="shared" ref="BC61:BE61" si="801">rank(AU61,$AU61:$AW61)</f>
        <v>2</v>
      </c>
      <c r="BD61" s="34">
        <f t="shared" si="801"/>
        <v>3</v>
      </c>
      <c r="BE61" s="34">
        <f t="shared" si="801"/>
        <v>1</v>
      </c>
      <c r="BF61" s="30"/>
      <c r="BG61" s="36">
        <f t="shared" ref="BG61:BJ61" si="802">if(and($BQ61=0,AY61&lt;=2),0.5,0)</f>
        <v>0</v>
      </c>
      <c r="BH61" s="36">
        <f t="shared" si="802"/>
        <v>0</v>
      </c>
      <c r="BI61" s="36">
        <f t="shared" si="802"/>
        <v>0</v>
      </c>
      <c r="BJ61" s="36">
        <f t="shared" si="802"/>
        <v>0</v>
      </c>
      <c r="BK61" s="37">
        <f t="shared" ref="BK61:BM61" si="803">if(and($BQ61&gt;0,BC61=1),1,0)</f>
        <v>0</v>
      </c>
      <c r="BL61" s="36">
        <f t="shared" si="803"/>
        <v>0</v>
      </c>
      <c r="BM61" s="36">
        <f t="shared" si="803"/>
        <v>1</v>
      </c>
      <c r="BN61" s="38"/>
      <c r="BO61" s="22">
        <f t="shared" si="21"/>
        <v>1</v>
      </c>
      <c r="BP61" s="38"/>
      <c r="BQ61" s="39">
        <f t="shared" si="22"/>
        <v>1</v>
      </c>
      <c r="BR61" s="30"/>
      <c r="BS61" s="36">
        <f t="shared" ref="BS61:BV61" si="804">if(and($BQ61=0,AY61=1),1,0)</f>
        <v>0</v>
      </c>
      <c r="BT61" s="36">
        <f t="shared" si="804"/>
        <v>0</v>
      </c>
      <c r="BU61" s="36">
        <f t="shared" si="804"/>
        <v>0</v>
      </c>
      <c r="BV61" s="36">
        <f t="shared" si="804"/>
        <v>0</v>
      </c>
      <c r="BW61" s="37">
        <f t="shared" ref="BW61:BY61" si="805">if(and($BQ61&gt;0,BC61=1),1,0)</f>
        <v>0</v>
      </c>
      <c r="BX61" s="36">
        <f t="shared" si="805"/>
        <v>0</v>
      </c>
      <c r="BY61" s="36">
        <f t="shared" si="805"/>
        <v>1</v>
      </c>
      <c r="BZ61" s="38"/>
      <c r="CA61" s="22">
        <f t="shared" si="25"/>
        <v>1</v>
      </c>
      <c r="CB61" s="38"/>
      <c r="CC61" s="22">
        <f t="shared" ref="CC61:CI61" si="806">BG60*K61</f>
        <v>0</v>
      </c>
      <c r="CD61" s="22">
        <f t="shared" si="806"/>
        <v>0</v>
      </c>
      <c r="CE61" s="22">
        <f t="shared" si="806"/>
        <v>0</v>
      </c>
      <c r="CF61" s="22">
        <f t="shared" si="806"/>
        <v>0</v>
      </c>
      <c r="CG61" s="22">
        <f t="shared" si="806"/>
        <v>-0.0006019721468</v>
      </c>
      <c r="CH61" s="22">
        <f t="shared" si="806"/>
        <v>0</v>
      </c>
      <c r="CI61" s="22">
        <f t="shared" si="806"/>
        <v>0</v>
      </c>
      <c r="CJ61" s="38"/>
      <c r="CK61" s="22">
        <f t="shared" ref="CK61:CQ61" si="807">BS60*K61</f>
        <v>0</v>
      </c>
      <c r="CL61" s="22">
        <f t="shared" si="807"/>
        <v>0</v>
      </c>
      <c r="CM61" s="22">
        <f t="shared" si="807"/>
        <v>0</v>
      </c>
      <c r="CN61" s="22">
        <f t="shared" si="807"/>
        <v>0</v>
      </c>
      <c r="CO61" s="22">
        <f t="shared" si="807"/>
        <v>-0.0006019721468</v>
      </c>
      <c r="CP61" s="22">
        <f t="shared" si="807"/>
        <v>0</v>
      </c>
      <c r="CQ61" s="22">
        <f t="shared" si="807"/>
        <v>0</v>
      </c>
      <c r="CR61" s="44">
        <f t="shared" si="28"/>
        <v>-0.0006019721468</v>
      </c>
      <c r="CS61" s="45"/>
      <c r="CT61" s="40"/>
      <c r="CU61" s="22">
        <f t="shared" si="792"/>
        <v>1.004908285</v>
      </c>
      <c r="CV61" s="47">
        <v>3.0</v>
      </c>
      <c r="CW61" s="45"/>
      <c r="CX61" s="44">
        <f t="shared" si="29"/>
        <v>-0.0006019721468</v>
      </c>
      <c r="CY61" s="40"/>
      <c r="CZ61" s="22">
        <f t="shared" si="793"/>
        <v>1.004908285</v>
      </c>
      <c r="DA61" s="47">
        <v>3.0</v>
      </c>
      <c r="DB61" s="45"/>
      <c r="DC61" s="40"/>
      <c r="DD61" s="48">
        <f t="shared" si="30"/>
        <v>143243.5457</v>
      </c>
      <c r="DE61" s="49">
        <f t="shared" si="31"/>
        <v>-0.0006019721468</v>
      </c>
      <c r="DF61" s="50"/>
      <c r="DG61" s="40"/>
      <c r="DH61" s="51">
        <f t="shared" si="32"/>
        <v>139529.1454</v>
      </c>
      <c r="DI61" s="52">
        <f t="shared" si="33"/>
        <v>-0.0006019721468</v>
      </c>
      <c r="DJ61" s="50"/>
      <c r="DK61" s="40"/>
      <c r="DL61" s="40"/>
      <c r="DM61" s="40"/>
      <c r="DN61" s="42"/>
      <c r="DO61" s="40"/>
      <c r="DP61" s="40"/>
      <c r="DQ61" s="42"/>
      <c r="DR61" s="40"/>
      <c r="DS61" s="40"/>
      <c r="DT61" s="40"/>
      <c r="DU61" s="40"/>
    </row>
    <row r="62" ht="13.5" customHeight="1">
      <c r="A62" s="27">
        <v>34.0</v>
      </c>
      <c r="B62" s="28">
        <f t="shared" si="2"/>
        <v>43343</v>
      </c>
      <c r="C62" s="29">
        <f t="shared" ref="C62:I62" si="808">indirect(CONCATENATE(C$2,"!$G$",$A62))</f>
        <v>253.2732907</v>
      </c>
      <c r="D62" s="29">
        <f t="shared" si="808"/>
        <v>40.01078315</v>
      </c>
      <c r="E62" s="29">
        <f t="shared" si="808"/>
        <v>38.97314129</v>
      </c>
      <c r="F62" s="29">
        <f t="shared" si="808"/>
        <v>74.02207523</v>
      </c>
      <c r="G62" s="29">
        <f t="shared" si="808"/>
        <v>80.1039181</v>
      </c>
      <c r="H62" s="29">
        <f t="shared" si="808"/>
        <v>98.1883746</v>
      </c>
      <c r="I62" s="29">
        <f t="shared" si="808"/>
        <v>106.199091</v>
      </c>
      <c r="J62" s="30"/>
      <c r="K62" s="32">
        <f t="shared" ref="K62:Q62" si="809">C62/C61-1</f>
        <v>0.03219814241</v>
      </c>
      <c r="L62" s="32">
        <f t="shared" si="809"/>
        <v>-0.01731996354</v>
      </c>
      <c r="M62" s="32">
        <f t="shared" si="809"/>
        <v>-0.0419325433</v>
      </c>
      <c r="N62" s="32">
        <f t="shared" si="809"/>
        <v>0.00668790195</v>
      </c>
      <c r="O62" s="32">
        <f t="shared" si="809"/>
        <v>0.003468668342</v>
      </c>
      <c r="P62" s="32">
        <f t="shared" si="809"/>
        <v>0.0101435471</v>
      </c>
      <c r="Q62" s="32">
        <f t="shared" si="809"/>
        <v>0.0002064875342</v>
      </c>
      <c r="R62" s="30"/>
      <c r="S62" s="32">
        <f t="shared" ref="S62:Y62" si="810">C62/C59-1</f>
        <v>0.0770539675</v>
      </c>
      <c r="T62" s="32">
        <f t="shared" si="810"/>
        <v>-0.01161507161</v>
      </c>
      <c r="U62" s="32">
        <f t="shared" si="810"/>
        <v>-0.05156492463</v>
      </c>
      <c r="V62" s="32">
        <f t="shared" si="810"/>
        <v>0.005874561439</v>
      </c>
      <c r="W62" s="32">
        <f t="shared" si="810"/>
        <v>0.003299006361</v>
      </c>
      <c r="X62" s="32">
        <f t="shared" si="810"/>
        <v>0.00680165885</v>
      </c>
      <c r="Y62" s="32">
        <f t="shared" si="810"/>
        <v>0.008715072314</v>
      </c>
      <c r="Z62" s="30"/>
      <c r="AA62" s="32">
        <f t="shared" ref="AA62:AG62" si="811">C62/C56-1</f>
        <v>0.07946045706</v>
      </c>
      <c r="AB62" s="32">
        <f t="shared" si="811"/>
        <v>-0.01732462301</v>
      </c>
      <c r="AC62" s="32">
        <f t="shared" si="811"/>
        <v>-0.1013530553</v>
      </c>
      <c r="AD62" s="32">
        <f t="shared" si="811"/>
        <v>0.01100328032</v>
      </c>
      <c r="AE62" s="32">
        <f t="shared" si="811"/>
        <v>0.006961239545</v>
      </c>
      <c r="AF62" s="32">
        <f t="shared" si="811"/>
        <v>0.01535193526</v>
      </c>
      <c r="AG62" s="32">
        <f t="shared" si="811"/>
        <v>0.003670151045</v>
      </c>
      <c r="AH62" s="30"/>
      <c r="AI62" s="32">
        <f t="shared" ref="AI62:AO62" si="812">C62/C50-1</f>
        <v>0.1959301887</v>
      </c>
      <c r="AJ62" s="32">
        <f t="shared" si="812"/>
        <v>0.04481536109</v>
      </c>
      <c r="AK62" s="32">
        <f t="shared" si="812"/>
        <v>-0.02732963982</v>
      </c>
      <c r="AL62" s="32">
        <f t="shared" si="812"/>
        <v>-0.01249442633</v>
      </c>
      <c r="AM62" s="32">
        <f t="shared" si="812"/>
        <v>-0.002082771491</v>
      </c>
      <c r="AN62" s="32">
        <f t="shared" si="812"/>
        <v>-0.03268117225</v>
      </c>
      <c r="AO62" s="32">
        <f t="shared" si="812"/>
        <v>-0.01878051279</v>
      </c>
      <c r="AP62" s="30"/>
      <c r="AQ62" s="32">
        <f t="shared" ref="AQ62:AW62" si="813">(12*K62+4*S62+2*AA62+AI62)/4</f>
        <v>0.2623611704</v>
      </c>
      <c r="AR62" s="32">
        <f t="shared" si="813"/>
        <v>-0.06103343346</v>
      </c>
      <c r="AS62" s="32">
        <f t="shared" si="813"/>
        <v>-0.2348714921</v>
      </c>
      <c r="AT62" s="32">
        <f t="shared" si="813"/>
        <v>0.02831630087</v>
      </c>
      <c r="AU62" s="33">
        <f t="shared" si="813"/>
        <v>0.01666493829</v>
      </c>
      <c r="AV62" s="32">
        <f t="shared" si="813"/>
        <v>0.03673797471</v>
      </c>
      <c r="AW62" s="32">
        <f t="shared" si="813"/>
        <v>0.006474482242</v>
      </c>
      <c r="AX62" s="30"/>
      <c r="AY62" s="34">
        <f t="shared" ref="AY62:BB62" si="814">rank(AQ62,$AQ62:$AT62)</f>
        <v>1</v>
      </c>
      <c r="AZ62" s="34">
        <f t="shared" si="814"/>
        <v>3</v>
      </c>
      <c r="BA62" s="34">
        <f t="shared" si="814"/>
        <v>4</v>
      </c>
      <c r="BB62" s="34">
        <f t="shared" si="814"/>
        <v>2</v>
      </c>
      <c r="BC62" s="35">
        <f t="shared" ref="BC62:BE62" si="815">rank(AU62,$AU62:$AW62)</f>
        <v>2</v>
      </c>
      <c r="BD62" s="34">
        <f t="shared" si="815"/>
        <v>1</v>
      </c>
      <c r="BE62" s="34">
        <f t="shared" si="815"/>
        <v>3</v>
      </c>
      <c r="BF62" s="30"/>
      <c r="BG62" s="36">
        <f t="shared" ref="BG62:BJ62" si="816">if(and($BQ62=0,AY62&lt;=2),0.5,0)</f>
        <v>0</v>
      </c>
      <c r="BH62" s="36">
        <f t="shared" si="816"/>
        <v>0</v>
      </c>
      <c r="BI62" s="36">
        <f t="shared" si="816"/>
        <v>0</v>
      </c>
      <c r="BJ62" s="36">
        <f t="shared" si="816"/>
        <v>0</v>
      </c>
      <c r="BK62" s="37">
        <f t="shared" ref="BK62:BM62" si="817">if(and($BQ62&gt;0,BC62=1),1,0)</f>
        <v>0</v>
      </c>
      <c r="BL62" s="36">
        <f t="shared" si="817"/>
        <v>1</v>
      </c>
      <c r="BM62" s="36">
        <f t="shared" si="817"/>
        <v>0</v>
      </c>
      <c r="BN62" s="38"/>
      <c r="BO62" s="22">
        <f t="shared" si="21"/>
        <v>1</v>
      </c>
      <c r="BP62" s="38"/>
      <c r="BQ62" s="39">
        <f t="shared" si="22"/>
        <v>2</v>
      </c>
      <c r="BR62" s="30"/>
      <c r="BS62" s="36">
        <f t="shared" ref="BS62:BV62" si="818">if(and($BQ62=0,AY62=1),1,0)</f>
        <v>0</v>
      </c>
      <c r="BT62" s="36">
        <f t="shared" si="818"/>
        <v>0</v>
      </c>
      <c r="BU62" s="36">
        <f t="shared" si="818"/>
        <v>0</v>
      </c>
      <c r="BV62" s="36">
        <f t="shared" si="818"/>
        <v>0</v>
      </c>
      <c r="BW62" s="37">
        <f t="shared" ref="BW62:BY62" si="819">if(and($BQ62&gt;0,BC62=1),1,0)</f>
        <v>0</v>
      </c>
      <c r="BX62" s="36">
        <f t="shared" si="819"/>
        <v>1</v>
      </c>
      <c r="BY62" s="36">
        <f t="shared" si="819"/>
        <v>0</v>
      </c>
      <c r="BZ62" s="38"/>
      <c r="CA62" s="22">
        <f t="shared" si="25"/>
        <v>1</v>
      </c>
      <c r="CB62" s="38"/>
      <c r="CC62" s="22">
        <f t="shared" ref="CC62:CI62" si="820">BG61*K62</f>
        <v>0</v>
      </c>
      <c r="CD62" s="22">
        <f t="shared" si="820"/>
        <v>0</v>
      </c>
      <c r="CE62" s="22">
        <f t="shared" si="820"/>
        <v>0</v>
      </c>
      <c r="CF62" s="22">
        <f t="shared" si="820"/>
        <v>0</v>
      </c>
      <c r="CG62" s="22">
        <f t="shared" si="820"/>
        <v>0</v>
      </c>
      <c r="CH62" s="22">
        <f t="shared" si="820"/>
        <v>0</v>
      </c>
      <c r="CI62" s="22">
        <f t="shared" si="820"/>
        <v>0.0002064875342</v>
      </c>
      <c r="CJ62" s="38"/>
      <c r="CK62" s="22">
        <f t="shared" ref="CK62:CQ62" si="821">BS61*K62</f>
        <v>0</v>
      </c>
      <c r="CL62" s="22">
        <f t="shared" si="821"/>
        <v>0</v>
      </c>
      <c r="CM62" s="22">
        <f t="shared" si="821"/>
        <v>0</v>
      </c>
      <c r="CN62" s="22">
        <f t="shared" si="821"/>
        <v>0</v>
      </c>
      <c r="CO62" s="22">
        <f t="shared" si="821"/>
        <v>0</v>
      </c>
      <c r="CP62" s="22">
        <f t="shared" si="821"/>
        <v>0</v>
      </c>
      <c r="CQ62" s="22">
        <f t="shared" si="821"/>
        <v>0.0002064875342</v>
      </c>
      <c r="CR62" s="44">
        <f t="shared" si="28"/>
        <v>0.0002064875342</v>
      </c>
      <c r="CS62" s="45"/>
      <c r="CT62" s="40"/>
      <c r="CU62" s="22">
        <f t="shared" si="792"/>
        <v>1.005115786</v>
      </c>
      <c r="CV62" s="47">
        <v>4.0</v>
      </c>
      <c r="CW62" s="45"/>
      <c r="CX62" s="44">
        <f t="shared" si="29"/>
        <v>0.0002064875342</v>
      </c>
      <c r="CY62" s="40"/>
      <c r="CZ62" s="22">
        <f t="shared" si="793"/>
        <v>1.005115786</v>
      </c>
      <c r="DA62" s="47">
        <v>4.0</v>
      </c>
      <c r="DB62" s="45"/>
      <c r="DC62" s="40"/>
      <c r="DD62" s="53">
        <f t="shared" si="30"/>
        <v>143273.1237</v>
      </c>
      <c r="DE62" s="54">
        <f t="shared" si="31"/>
        <v>0.0002064875342</v>
      </c>
      <c r="DF62" s="55">
        <f>DD62/DD50-1</f>
        <v>0.1399690818</v>
      </c>
      <c r="DG62" s="40"/>
      <c r="DH62" s="51">
        <f t="shared" si="32"/>
        <v>139557.9564</v>
      </c>
      <c r="DI62" s="52">
        <f t="shared" si="33"/>
        <v>0.0002064875342</v>
      </c>
      <c r="DJ62" s="55">
        <f>DH62/DH50-1</f>
        <v>0.1144879089</v>
      </c>
      <c r="DK62" s="40"/>
      <c r="DL62" s="40"/>
      <c r="DM62" s="40"/>
      <c r="DN62" s="42"/>
      <c r="DO62" s="40"/>
      <c r="DP62" s="40"/>
      <c r="DQ62" s="42"/>
      <c r="DR62" s="40"/>
      <c r="DS62" s="40"/>
      <c r="DT62" s="40"/>
      <c r="DU62" s="40"/>
    </row>
    <row r="63" ht="13.5" customHeight="1">
      <c r="A63" s="27">
        <v>33.0</v>
      </c>
      <c r="B63" s="28">
        <f t="shared" si="2"/>
        <v>43371</v>
      </c>
      <c r="C63" s="29">
        <f t="shared" ref="C63:I63" si="822">indirect(CONCATENATE(C$2,"!$G$",$A63))</f>
        <v>254.7355724</v>
      </c>
      <c r="D63" s="29">
        <f t="shared" si="822"/>
        <v>40.29549937</v>
      </c>
      <c r="E63" s="29">
        <f t="shared" si="822"/>
        <v>38.44749052</v>
      </c>
      <c r="F63" s="29">
        <f t="shared" si="822"/>
        <v>73.61790629</v>
      </c>
      <c r="G63" s="29">
        <f t="shared" si="822"/>
        <v>79.9895891</v>
      </c>
      <c r="H63" s="29">
        <f t="shared" si="822"/>
        <v>97.00536249</v>
      </c>
      <c r="I63" s="29">
        <f t="shared" si="822"/>
        <v>106.0499066</v>
      </c>
      <c r="J63" s="30"/>
      <c r="K63" s="32">
        <f t="shared" ref="K63:Q63" si="823">C63/C62-1</f>
        <v>0.005773533216</v>
      </c>
      <c r="L63" s="32">
        <f t="shared" si="823"/>
        <v>0.007115987314</v>
      </c>
      <c r="M63" s="32">
        <f t="shared" si="823"/>
        <v>-0.01348751357</v>
      </c>
      <c r="N63" s="32">
        <f t="shared" si="823"/>
        <v>-0.005460113662</v>
      </c>
      <c r="O63" s="32">
        <f t="shared" si="823"/>
        <v>-0.001427258499</v>
      </c>
      <c r="P63" s="32">
        <f t="shared" si="823"/>
        <v>-0.0120483928</v>
      </c>
      <c r="Q63" s="32">
        <f t="shared" si="823"/>
        <v>-0.001404761569</v>
      </c>
      <c r="R63" s="30"/>
      <c r="S63" s="32">
        <f t="shared" ref="S63:Y63" si="824">C63/C60-1</f>
        <v>0.07514695515</v>
      </c>
      <c r="T63" s="32">
        <f t="shared" si="824"/>
        <v>0.01228068469</v>
      </c>
      <c r="U63" s="32">
        <f t="shared" si="824"/>
        <v>-0.01722784527</v>
      </c>
      <c r="V63" s="32">
        <f t="shared" si="824"/>
        <v>0.0008253335629</v>
      </c>
      <c r="W63" s="32">
        <f t="shared" si="824"/>
        <v>0.001433261119</v>
      </c>
      <c r="X63" s="32">
        <f t="shared" si="824"/>
        <v>-0.007295976373</v>
      </c>
      <c r="Y63" s="32">
        <f t="shared" si="824"/>
        <v>0.01222675441</v>
      </c>
      <c r="Z63" s="30"/>
      <c r="AA63" s="32">
        <f t="shared" ref="AA63:AG63" si="825">C63/C57-1</f>
        <v>0.1132986369</v>
      </c>
      <c r="AB63" s="32">
        <f t="shared" si="825"/>
        <v>-0.006381363241</v>
      </c>
      <c r="AC63" s="32">
        <f t="shared" si="825"/>
        <v>-0.111557339</v>
      </c>
      <c r="AD63" s="32">
        <f t="shared" si="825"/>
        <v>-0.001373572045</v>
      </c>
      <c r="AE63" s="32">
        <f t="shared" si="825"/>
        <v>0.003042379935</v>
      </c>
      <c r="AF63" s="32">
        <f t="shared" si="825"/>
        <v>-0.008339041204</v>
      </c>
      <c r="AG63" s="32">
        <f t="shared" si="825"/>
        <v>-0.003294776497</v>
      </c>
      <c r="AH63" s="30"/>
      <c r="AI63" s="32">
        <f t="shared" ref="AI63:AO63" si="826">C63/C51-1</f>
        <v>0.1787652805</v>
      </c>
      <c r="AJ63" s="32">
        <f t="shared" si="826"/>
        <v>0.02643164387</v>
      </c>
      <c r="AK63" s="32">
        <f t="shared" si="826"/>
        <v>-0.03570601495</v>
      </c>
      <c r="AL63" s="32">
        <f t="shared" si="826"/>
        <v>-0.01325862308</v>
      </c>
      <c r="AM63" s="32">
        <f t="shared" si="826"/>
        <v>-0.001643388739</v>
      </c>
      <c r="AN63" s="32">
        <f t="shared" si="826"/>
        <v>-0.03036629034</v>
      </c>
      <c r="AO63" s="32">
        <f t="shared" si="826"/>
        <v>-0.01968552684</v>
      </c>
      <c r="AP63" s="30"/>
      <c r="AQ63" s="32">
        <f t="shared" ref="AQ63:AW63" si="827">(12*K63+4*S63+2*AA63+AI63)/4</f>
        <v>0.1938081934</v>
      </c>
      <c r="AR63" s="32">
        <f t="shared" si="827"/>
        <v>0.03704587598</v>
      </c>
      <c r="AS63" s="32">
        <f t="shared" si="827"/>
        <v>-0.1223955592</v>
      </c>
      <c r="AT63" s="32">
        <f t="shared" si="827"/>
        <v>-0.01955644921</v>
      </c>
      <c r="AU63" s="33">
        <f t="shared" si="827"/>
        <v>-0.001738171595</v>
      </c>
      <c r="AV63" s="32">
        <f t="shared" si="827"/>
        <v>-0.05520224796</v>
      </c>
      <c r="AW63" s="32">
        <f t="shared" si="827"/>
        <v>0.001443699743</v>
      </c>
      <c r="AX63" s="30"/>
      <c r="AY63" s="34">
        <f t="shared" ref="AY63:BB63" si="828">rank(AQ63,$AQ63:$AT63)</f>
        <v>1</v>
      </c>
      <c r="AZ63" s="34">
        <f t="shared" si="828"/>
        <v>2</v>
      </c>
      <c r="BA63" s="34">
        <f t="shared" si="828"/>
        <v>4</v>
      </c>
      <c r="BB63" s="34">
        <f t="shared" si="828"/>
        <v>3</v>
      </c>
      <c r="BC63" s="35">
        <f t="shared" ref="BC63:BE63" si="829">rank(AU63,$AU63:$AW63)</f>
        <v>2</v>
      </c>
      <c r="BD63" s="34">
        <f t="shared" si="829"/>
        <v>3</v>
      </c>
      <c r="BE63" s="34">
        <f t="shared" si="829"/>
        <v>1</v>
      </c>
      <c r="BF63" s="30"/>
      <c r="BG63" s="36">
        <f t="shared" ref="BG63:BJ63" si="830">if(and($BQ63=0,AY63&lt;=2),0.5,0)</f>
        <v>0</v>
      </c>
      <c r="BH63" s="36">
        <f t="shared" si="830"/>
        <v>0</v>
      </c>
      <c r="BI63" s="36">
        <f t="shared" si="830"/>
        <v>0</v>
      </c>
      <c r="BJ63" s="36">
        <f t="shared" si="830"/>
        <v>0</v>
      </c>
      <c r="BK63" s="37">
        <f t="shared" ref="BK63:BM63" si="831">if(and($BQ63&gt;0,BC63=1),1,0)</f>
        <v>0</v>
      </c>
      <c r="BL63" s="36">
        <f t="shared" si="831"/>
        <v>0</v>
      </c>
      <c r="BM63" s="36">
        <f t="shared" si="831"/>
        <v>1</v>
      </c>
      <c r="BN63" s="38"/>
      <c r="BO63" s="22">
        <f t="shared" si="21"/>
        <v>1</v>
      </c>
      <c r="BP63" s="38"/>
      <c r="BQ63" s="39">
        <f t="shared" si="22"/>
        <v>2</v>
      </c>
      <c r="BR63" s="30"/>
      <c r="BS63" s="36">
        <f t="shared" ref="BS63:BV63" si="832">if(and($BQ63=0,AY63=1),1,0)</f>
        <v>0</v>
      </c>
      <c r="BT63" s="36">
        <f t="shared" si="832"/>
        <v>0</v>
      </c>
      <c r="BU63" s="36">
        <f t="shared" si="832"/>
        <v>0</v>
      </c>
      <c r="BV63" s="36">
        <f t="shared" si="832"/>
        <v>0</v>
      </c>
      <c r="BW63" s="37">
        <f t="shared" ref="BW63:BY63" si="833">if(and($BQ63&gt;0,BC63=1),1,0)</f>
        <v>0</v>
      </c>
      <c r="BX63" s="36">
        <f t="shared" si="833"/>
        <v>0</v>
      </c>
      <c r="BY63" s="36">
        <f t="shared" si="833"/>
        <v>1</v>
      </c>
      <c r="BZ63" s="38"/>
      <c r="CA63" s="22">
        <f t="shared" si="25"/>
        <v>1</v>
      </c>
      <c r="CB63" s="38"/>
      <c r="CC63" s="22">
        <f t="shared" ref="CC63:CI63" si="834">BG62*K63</f>
        <v>0</v>
      </c>
      <c r="CD63" s="22">
        <f t="shared" si="834"/>
        <v>0</v>
      </c>
      <c r="CE63" s="22">
        <f t="shared" si="834"/>
        <v>0</v>
      </c>
      <c r="CF63" s="22">
        <f t="shared" si="834"/>
        <v>0</v>
      </c>
      <c r="CG63" s="22">
        <f t="shared" si="834"/>
        <v>0</v>
      </c>
      <c r="CH63" s="22">
        <f t="shared" si="834"/>
        <v>-0.0120483928</v>
      </c>
      <c r="CI63" s="22">
        <f t="shared" si="834"/>
        <v>0</v>
      </c>
      <c r="CJ63" s="38"/>
      <c r="CK63" s="22">
        <f t="shared" ref="CK63:CQ63" si="835">BS62*K63</f>
        <v>0</v>
      </c>
      <c r="CL63" s="22">
        <f t="shared" si="835"/>
        <v>0</v>
      </c>
      <c r="CM63" s="22">
        <f t="shared" si="835"/>
        <v>0</v>
      </c>
      <c r="CN63" s="22">
        <f t="shared" si="835"/>
        <v>0</v>
      </c>
      <c r="CO63" s="22">
        <f t="shared" si="835"/>
        <v>0</v>
      </c>
      <c r="CP63" s="22">
        <f t="shared" si="835"/>
        <v>-0.0120483928</v>
      </c>
      <c r="CQ63" s="22">
        <f t="shared" si="835"/>
        <v>0</v>
      </c>
      <c r="CR63" s="44">
        <f t="shared" si="28"/>
        <v>-0.0120483928</v>
      </c>
      <c r="CS63" s="45"/>
      <c r="CT63" s="40"/>
      <c r="CU63" s="22">
        <f t="shared" si="792"/>
        <v>0.993005756</v>
      </c>
      <c r="CV63" s="47">
        <v>5.0</v>
      </c>
      <c r="CW63" s="45"/>
      <c r="CX63" s="44">
        <f t="shared" si="29"/>
        <v>-0.0120483928</v>
      </c>
      <c r="CY63" s="40"/>
      <c r="CZ63" s="22">
        <f t="shared" si="793"/>
        <v>0.993005756</v>
      </c>
      <c r="DA63" s="47">
        <v>5.0</v>
      </c>
      <c r="DB63" s="45"/>
      <c r="DC63" s="40"/>
      <c r="DD63" s="48">
        <f t="shared" si="30"/>
        <v>141546.9128</v>
      </c>
      <c r="DE63" s="49">
        <f t="shared" si="31"/>
        <v>-0.0120483928</v>
      </c>
      <c r="DF63" s="50"/>
      <c r="DG63" s="40"/>
      <c r="DH63" s="51">
        <f t="shared" si="32"/>
        <v>137876.5073</v>
      </c>
      <c r="DI63" s="52">
        <f t="shared" si="33"/>
        <v>-0.0120483928</v>
      </c>
      <c r="DJ63" s="50"/>
      <c r="DK63" s="40"/>
      <c r="DL63" s="40"/>
      <c r="DM63" s="40"/>
      <c r="DN63" s="42"/>
      <c r="DO63" s="40"/>
      <c r="DP63" s="40"/>
      <c r="DQ63" s="42"/>
      <c r="DR63" s="40"/>
      <c r="DS63" s="40"/>
      <c r="DT63" s="40"/>
      <c r="DU63" s="40"/>
    </row>
    <row r="64" ht="13.5" customHeight="1">
      <c r="A64" s="27">
        <v>32.0</v>
      </c>
      <c r="B64" s="28">
        <f t="shared" si="2"/>
        <v>43404</v>
      </c>
      <c r="C64" s="29">
        <f t="shared" ref="C64:I64" si="836">indirect(CONCATENATE(C$2,"!$G$",$A64))</f>
        <v>237.3175925</v>
      </c>
      <c r="D64" s="29">
        <f t="shared" si="836"/>
        <v>36.83122256</v>
      </c>
      <c r="E64" s="29">
        <f t="shared" si="836"/>
        <v>35.50297539</v>
      </c>
      <c r="F64" s="29">
        <f t="shared" si="836"/>
        <v>72.98385275</v>
      </c>
      <c r="G64" s="29">
        <f t="shared" si="836"/>
        <v>80.11201935</v>
      </c>
      <c r="H64" s="29">
        <f t="shared" si="836"/>
        <v>96.71207934</v>
      </c>
      <c r="I64" s="29">
        <f t="shared" si="836"/>
        <v>103.8770679</v>
      </c>
      <c r="J64" s="30"/>
      <c r="K64" s="32">
        <f t="shared" ref="K64:Q64" si="837">C64/C63-1</f>
        <v>-0.06837670848</v>
      </c>
      <c r="L64" s="32">
        <f t="shared" si="837"/>
        <v>-0.08597180495</v>
      </c>
      <c r="M64" s="32">
        <f t="shared" si="837"/>
        <v>-0.07658536585</v>
      </c>
      <c r="N64" s="32">
        <f t="shared" si="837"/>
        <v>-0.008612762443</v>
      </c>
      <c r="O64" s="32">
        <f t="shared" si="837"/>
        <v>0.001530577315</v>
      </c>
      <c r="P64" s="32">
        <f t="shared" si="837"/>
        <v>-0.003023370501</v>
      </c>
      <c r="Q64" s="32">
        <f t="shared" si="837"/>
        <v>-0.02048883166</v>
      </c>
      <c r="R64" s="30"/>
      <c r="S64" s="32">
        <f t="shared" ref="S64:Y64" si="838">C64/C61-1</f>
        <v>-0.03282822503</v>
      </c>
      <c r="T64" s="32">
        <f t="shared" si="838"/>
        <v>-0.09541117965</v>
      </c>
      <c r="U64" s="32">
        <f t="shared" si="838"/>
        <v>-0.1272388057</v>
      </c>
      <c r="V64" s="32">
        <f t="shared" si="838"/>
        <v>-0.007431750999</v>
      </c>
      <c r="W64" s="32">
        <f t="shared" si="838"/>
        <v>0.00357015343</v>
      </c>
      <c r="X64" s="32">
        <f t="shared" si="838"/>
        <v>-0.005044301093</v>
      </c>
      <c r="Y64" s="32">
        <f t="shared" si="838"/>
        <v>-0.02166283858</v>
      </c>
      <c r="Z64" s="30"/>
      <c r="AA64" s="32">
        <f t="shared" ref="AA64:AG64" si="839">C64/C58-1</f>
        <v>0.03358846371</v>
      </c>
      <c r="AB64" s="32">
        <f t="shared" si="839"/>
        <v>-0.1031544605</v>
      </c>
      <c r="AC64" s="32">
        <f t="shared" si="839"/>
        <v>-0.1562513824</v>
      </c>
      <c r="AD64" s="32">
        <f t="shared" si="839"/>
        <v>-0.001460630805</v>
      </c>
      <c r="AE64" s="32">
        <f t="shared" si="839"/>
        <v>0.006937298776</v>
      </c>
      <c r="AF64" s="32">
        <f t="shared" si="839"/>
        <v>0.001447785013</v>
      </c>
      <c r="AG64" s="32">
        <f t="shared" si="839"/>
        <v>-0.008184937797</v>
      </c>
      <c r="AH64" s="30"/>
      <c r="AI64" s="32">
        <f t="shared" ref="AI64:AO64" si="840">C64/C52-1</f>
        <v>0.07319103615</v>
      </c>
      <c r="AJ64" s="32">
        <f t="shared" si="840"/>
        <v>-0.07816392576</v>
      </c>
      <c r="AK64" s="32">
        <f t="shared" si="840"/>
        <v>-0.1307055962</v>
      </c>
      <c r="AL64" s="32">
        <f t="shared" si="840"/>
        <v>-0.02149681394</v>
      </c>
      <c r="AM64" s="32">
        <f t="shared" si="840"/>
        <v>0.000803816502</v>
      </c>
      <c r="AN64" s="32">
        <f t="shared" si="840"/>
        <v>-0.03146782823</v>
      </c>
      <c r="AO64" s="32">
        <f t="shared" si="840"/>
        <v>-0.04161404709</v>
      </c>
      <c r="AP64" s="30"/>
      <c r="AQ64" s="32">
        <f t="shared" ref="AQ64:AW64" si="841">(12*K64+4*S64+2*AA64+AI64)/4</f>
        <v>-0.2028663596</v>
      </c>
      <c r="AR64" s="32">
        <f t="shared" si="841"/>
        <v>-0.4244448062</v>
      </c>
      <c r="AS64" s="32">
        <f t="shared" si="841"/>
        <v>-0.4677969935</v>
      </c>
      <c r="AT64" s="32">
        <f t="shared" si="841"/>
        <v>-0.03937455721</v>
      </c>
      <c r="AU64" s="33">
        <f t="shared" si="841"/>
        <v>0.01183148889</v>
      </c>
      <c r="AV64" s="32">
        <f t="shared" si="841"/>
        <v>-0.02125747715</v>
      </c>
      <c r="AW64" s="32">
        <f t="shared" si="841"/>
        <v>-0.09762531422</v>
      </c>
      <c r="AX64" s="30"/>
      <c r="AY64" s="34">
        <f t="shared" ref="AY64:BB64" si="842">rank(AQ64,$AQ64:$AT64)</f>
        <v>2</v>
      </c>
      <c r="AZ64" s="34">
        <f t="shared" si="842"/>
        <v>3</v>
      </c>
      <c r="BA64" s="34">
        <f t="shared" si="842"/>
        <v>4</v>
      </c>
      <c r="BB64" s="34">
        <f t="shared" si="842"/>
        <v>1</v>
      </c>
      <c r="BC64" s="35">
        <f t="shared" ref="BC64:BE64" si="843">rank(AU64,$AU64:$AW64)</f>
        <v>1</v>
      </c>
      <c r="BD64" s="34">
        <f t="shared" si="843"/>
        <v>2</v>
      </c>
      <c r="BE64" s="34">
        <f t="shared" si="843"/>
        <v>3</v>
      </c>
      <c r="BF64" s="30"/>
      <c r="BG64" s="36">
        <f t="shared" ref="BG64:BJ64" si="844">if(and($BQ64=0,AY64&lt;=2),0.5,0)</f>
        <v>0</v>
      </c>
      <c r="BH64" s="36">
        <f t="shared" si="844"/>
        <v>0</v>
      </c>
      <c r="BI64" s="36">
        <f t="shared" si="844"/>
        <v>0</v>
      </c>
      <c r="BJ64" s="36">
        <f t="shared" si="844"/>
        <v>0</v>
      </c>
      <c r="BK64" s="37">
        <f t="shared" ref="BK64:BM64" si="845">if(and($BQ64&gt;0,BC64=1),1,0)</f>
        <v>1</v>
      </c>
      <c r="BL64" s="36">
        <f t="shared" si="845"/>
        <v>0</v>
      </c>
      <c r="BM64" s="36">
        <f t="shared" si="845"/>
        <v>0</v>
      </c>
      <c r="BN64" s="38"/>
      <c r="BO64" s="22">
        <f t="shared" si="21"/>
        <v>1</v>
      </c>
      <c r="BP64" s="38"/>
      <c r="BQ64" s="39">
        <f t="shared" si="22"/>
        <v>4</v>
      </c>
      <c r="BR64" s="30"/>
      <c r="BS64" s="36">
        <f t="shared" ref="BS64:BV64" si="846">if(and($BQ64=0,AY64=1),1,0)</f>
        <v>0</v>
      </c>
      <c r="BT64" s="36">
        <f t="shared" si="846"/>
        <v>0</v>
      </c>
      <c r="BU64" s="36">
        <f t="shared" si="846"/>
        <v>0</v>
      </c>
      <c r="BV64" s="36">
        <f t="shared" si="846"/>
        <v>0</v>
      </c>
      <c r="BW64" s="37">
        <f t="shared" ref="BW64:BY64" si="847">if(and($BQ64&gt;0,BC64=1),1,0)</f>
        <v>1</v>
      </c>
      <c r="BX64" s="36">
        <f t="shared" si="847"/>
        <v>0</v>
      </c>
      <c r="BY64" s="36">
        <f t="shared" si="847"/>
        <v>0</v>
      </c>
      <c r="BZ64" s="38"/>
      <c r="CA64" s="22">
        <f t="shared" si="25"/>
        <v>1</v>
      </c>
      <c r="CB64" s="38"/>
      <c r="CC64" s="22">
        <f t="shared" ref="CC64:CI64" si="848">BG63*K64</f>
        <v>0</v>
      </c>
      <c r="CD64" s="22">
        <f t="shared" si="848"/>
        <v>0</v>
      </c>
      <c r="CE64" s="22">
        <f t="shared" si="848"/>
        <v>0</v>
      </c>
      <c r="CF64" s="22">
        <f t="shared" si="848"/>
        <v>0</v>
      </c>
      <c r="CG64" s="22">
        <f t="shared" si="848"/>
        <v>0</v>
      </c>
      <c r="CH64" s="22">
        <f t="shared" si="848"/>
        <v>0</v>
      </c>
      <c r="CI64" s="22">
        <f t="shared" si="848"/>
        <v>-0.02048883166</v>
      </c>
      <c r="CJ64" s="38"/>
      <c r="CK64" s="22">
        <f t="shared" ref="CK64:CQ64" si="849">BS63*K64</f>
        <v>0</v>
      </c>
      <c r="CL64" s="22">
        <f t="shared" si="849"/>
        <v>0</v>
      </c>
      <c r="CM64" s="22">
        <f t="shared" si="849"/>
        <v>0</v>
      </c>
      <c r="CN64" s="22">
        <f t="shared" si="849"/>
        <v>0</v>
      </c>
      <c r="CO64" s="22">
        <f t="shared" si="849"/>
        <v>0</v>
      </c>
      <c r="CP64" s="22">
        <f t="shared" si="849"/>
        <v>0</v>
      </c>
      <c r="CQ64" s="22">
        <f t="shared" si="849"/>
        <v>-0.02048883166</v>
      </c>
      <c r="CR64" s="44">
        <f t="shared" si="28"/>
        <v>-0.02048883166</v>
      </c>
      <c r="CS64" s="45"/>
      <c r="CT64" s="40"/>
      <c r="CU64" s="22">
        <f t="shared" si="792"/>
        <v>0.9726602282</v>
      </c>
      <c r="CV64" s="47">
        <v>6.0</v>
      </c>
      <c r="CW64" s="45"/>
      <c r="CX64" s="44">
        <f t="shared" si="29"/>
        <v>-0.02048883166</v>
      </c>
      <c r="CY64" s="40"/>
      <c r="CZ64" s="22">
        <f t="shared" si="793"/>
        <v>0.9726602282</v>
      </c>
      <c r="DA64" s="47">
        <v>6.0</v>
      </c>
      <c r="DB64" s="45"/>
      <c r="DC64" s="40"/>
      <c r="DD64" s="48">
        <f t="shared" si="30"/>
        <v>138646.7819</v>
      </c>
      <c r="DE64" s="49">
        <f t="shared" si="31"/>
        <v>-0.02048883166</v>
      </c>
      <c r="DF64" s="50"/>
      <c r="DG64" s="40"/>
      <c r="DH64" s="51">
        <f t="shared" si="32"/>
        <v>135051.5788</v>
      </c>
      <c r="DI64" s="52">
        <f t="shared" si="33"/>
        <v>-0.02048883166</v>
      </c>
      <c r="DJ64" s="50"/>
      <c r="DK64" s="40"/>
      <c r="DL64" s="40"/>
      <c r="DM64" s="40"/>
      <c r="DN64" s="42"/>
      <c r="DO64" s="40"/>
      <c r="DP64" s="40"/>
      <c r="DQ64" s="42"/>
      <c r="DR64" s="40"/>
      <c r="DS64" s="40"/>
      <c r="DT64" s="40"/>
      <c r="DU64" s="40"/>
    </row>
    <row r="65" ht="13.5" customHeight="1">
      <c r="A65" s="27">
        <v>31.0</v>
      </c>
      <c r="B65" s="28">
        <f t="shared" si="2"/>
        <v>43434</v>
      </c>
      <c r="C65" s="29">
        <f t="shared" ref="C65:I65" si="850">indirect(CONCATENATE(C$2,"!$G$",$A65))</f>
        <v>241.7913234</v>
      </c>
      <c r="D65" s="29">
        <f t="shared" si="850"/>
        <v>37.017474</v>
      </c>
      <c r="E65" s="29">
        <f t="shared" si="850"/>
        <v>37.21904631</v>
      </c>
      <c r="F65" s="29">
        <f t="shared" si="850"/>
        <v>73.44819988</v>
      </c>
      <c r="G65" s="29">
        <f t="shared" si="850"/>
        <v>80.41673288</v>
      </c>
      <c r="H65" s="29">
        <f t="shared" si="850"/>
        <v>97.99839367</v>
      </c>
      <c r="I65" s="29">
        <f t="shared" si="850"/>
        <v>103.5039658</v>
      </c>
      <c r="J65" s="30"/>
      <c r="K65" s="32">
        <f t="shared" ref="K65:Q65" si="851">C65/C64-1</f>
        <v>0.01885124</v>
      </c>
      <c r="L65" s="32">
        <f t="shared" si="851"/>
        <v>0.005056890013</v>
      </c>
      <c r="M65" s="32">
        <f t="shared" si="851"/>
        <v>0.04833597464</v>
      </c>
      <c r="N65" s="32">
        <f t="shared" si="851"/>
        <v>0.006362326864</v>
      </c>
      <c r="O65" s="32">
        <f t="shared" si="851"/>
        <v>0.003803593184</v>
      </c>
      <c r="P65" s="32">
        <f t="shared" si="851"/>
        <v>0.01330045158</v>
      </c>
      <c r="Q65" s="32">
        <f t="shared" si="851"/>
        <v>-0.003591765834</v>
      </c>
      <c r="R65" s="30"/>
      <c r="S65" s="32">
        <f t="shared" ref="S65:Y65" si="852">C65/C62-1</f>
        <v>-0.04533429995</v>
      </c>
      <c r="T65" s="32">
        <f t="shared" si="852"/>
        <v>-0.07481256076</v>
      </c>
      <c r="U65" s="32">
        <f t="shared" si="852"/>
        <v>-0.04500779058</v>
      </c>
      <c r="V65" s="32">
        <f t="shared" si="852"/>
        <v>-0.007752759618</v>
      </c>
      <c r="W65" s="32">
        <f t="shared" si="852"/>
        <v>0.003905112144</v>
      </c>
      <c r="X65" s="32">
        <f t="shared" si="852"/>
        <v>-0.001934861727</v>
      </c>
      <c r="Y65" s="32">
        <f t="shared" si="852"/>
        <v>-0.02537804385</v>
      </c>
      <c r="Z65" s="30"/>
      <c r="AA65" s="32">
        <f t="shared" ref="AA65:AG65" si="853">C65/C59-1</f>
        <v>0.02822647988</v>
      </c>
      <c r="AB65" s="32">
        <f t="shared" si="853"/>
        <v>-0.08555867913</v>
      </c>
      <c r="AC65" s="32">
        <f t="shared" si="853"/>
        <v>-0.09425189188</v>
      </c>
      <c r="AD65" s="32">
        <f t="shared" si="853"/>
        <v>-0.001923742241</v>
      </c>
      <c r="AE65" s="32">
        <f t="shared" si="853"/>
        <v>0.007217001495</v>
      </c>
      <c r="AF65" s="32">
        <f t="shared" si="853"/>
        <v>0.004853636853</v>
      </c>
      <c r="AG65" s="32">
        <f t="shared" si="853"/>
        <v>-0.01688414303</v>
      </c>
      <c r="AH65" s="30"/>
      <c r="AI65" s="32">
        <f t="shared" ref="AI65:AO65" si="854">C65/C53-1</f>
        <v>0.0609810606</v>
      </c>
      <c r="AJ65" s="32">
        <f t="shared" si="854"/>
        <v>-0.08140331481</v>
      </c>
      <c r="AK65" s="32">
        <f t="shared" si="854"/>
        <v>-0.08561418255</v>
      </c>
      <c r="AL65" s="32">
        <f t="shared" si="854"/>
        <v>-0.01421713839</v>
      </c>
      <c r="AM65" s="32">
        <f t="shared" si="854"/>
        <v>0.006780758461</v>
      </c>
      <c r="AN65" s="32">
        <f t="shared" si="854"/>
        <v>-0.01583949051</v>
      </c>
      <c r="AO65" s="32">
        <f t="shared" si="854"/>
        <v>-0.04387436629</v>
      </c>
      <c r="AP65" s="30"/>
      <c r="AQ65" s="32">
        <f t="shared" ref="AQ65:AW65" si="855">(12*K65+4*S65+2*AA65+AI65)/4</f>
        <v>0.04057792515</v>
      </c>
      <c r="AR65" s="32">
        <f t="shared" si="855"/>
        <v>-0.122772059</v>
      </c>
      <c r="AS65" s="32">
        <f t="shared" si="855"/>
        <v>0.03147064178</v>
      </c>
      <c r="AT65" s="32">
        <f t="shared" si="855"/>
        <v>0.006818065255</v>
      </c>
      <c r="AU65" s="33">
        <f t="shared" si="855"/>
        <v>0.02061958206</v>
      </c>
      <c r="AV65" s="32">
        <f t="shared" si="855"/>
        <v>0.03643343883</v>
      </c>
      <c r="AW65" s="32">
        <f t="shared" si="855"/>
        <v>-0.05556400444</v>
      </c>
      <c r="AX65" s="30"/>
      <c r="AY65" s="34">
        <f t="shared" ref="AY65:BB65" si="856">rank(AQ65,$AQ65:$AT65)</f>
        <v>1</v>
      </c>
      <c r="AZ65" s="34">
        <f t="shared" si="856"/>
        <v>4</v>
      </c>
      <c r="BA65" s="34">
        <f t="shared" si="856"/>
        <v>2</v>
      </c>
      <c r="BB65" s="34">
        <f t="shared" si="856"/>
        <v>3</v>
      </c>
      <c r="BC65" s="35">
        <f t="shared" ref="BC65:BE65" si="857">rank(AU65,$AU65:$AW65)</f>
        <v>2</v>
      </c>
      <c r="BD65" s="34">
        <f t="shared" si="857"/>
        <v>1</v>
      </c>
      <c r="BE65" s="34">
        <f t="shared" si="857"/>
        <v>3</v>
      </c>
      <c r="BF65" s="30"/>
      <c r="BG65" s="36">
        <f t="shared" ref="BG65:BJ65" si="858">if(and($BQ65=0,AY65&lt;=2),0.5,0)</f>
        <v>0</v>
      </c>
      <c r="BH65" s="36">
        <f t="shared" si="858"/>
        <v>0</v>
      </c>
      <c r="BI65" s="36">
        <f t="shared" si="858"/>
        <v>0</v>
      </c>
      <c r="BJ65" s="36">
        <f t="shared" si="858"/>
        <v>0</v>
      </c>
      <c r="BK65" s="37">
        <f t="shared" ref="BK65:BM65" si="859">if(and($BQ65&gt;0,BC65=1),1,0)</f>
        <v>0</v>
      </c>
      <c r="BL65" s="36">
        <f t="shared" si="859"/>
        <v>1</v>
      </c>
      <c r="BM65" s="36">
        <f t="shared" si="859"/>
        <v>0</v>
      </c>
      <c r="BN65" s="38"/>
      <c r="BO65" s="22">
        <f t="shared" si="21"/>
        <v>1</v>
      </c>
      <c r="BP65" s="38"/>
      <c r="BQ65" s="39">
        <f t="shared" si="22"/>
        <v>1</v>
      </c>
      <c r="BR65" s="30"/>
      <c r="BS65" s="36">
        <f t="shared" ref="BS65:BV65" si="860">if(and($BQ65=0,AY65=1),1,0)</f>
        <v>0</v>
      </c>
      <c r="BT65" s="36">
        <f t="shared" si="860"/>
        <v>0</v>
      </c>
      <c r="BU65" s="36">
        <f t="shared" si="860"/>
        <v>0</v>
      </c>
      <c r="BV65" s="36">
        <f t="shared" si="860"/>
        <v>0</v>
      </c>
      <c r="BW65" s="37">
        <f t="shared" ref="BW65:BY65" si="861">if(and($BQ65&gt;0,BC65=1),1,0)</f>
        <v>0</v>
      </c>
      <c r="BX65" s="36">
        <f t="shared" si="861"/>
        <v>1</v>
      </c>
      <c r="BY65" s="36">
        <f t="shared" si="861"/>
        <v>0</v>
      </c>
      <c r="BZ65" s="38"/>
      <c r="CA65" s="22">
        <f t="shared" si="25"/>
        <v>1</v>
      </c>
      <c r="CB65" s="38"/>
      <c r="CC65" s="22">
        <f t="shared" ref="CC65:CI65" si="862">BG64*K65</f>
        <v>0</v>
      </c>
      <c r="CD65" s="22">
        <f t="shared" si="862"/>
        <v>0</v>
      </c>
      <c r="CE65" s="22">
        <f t="shared" si="862"/>
        <v>0</v>
      </c>
      <c r="CF65" s="22">
        <f t="shared" si="862"/>
        <v>0</v>
      </c>
      <c r="CG65" s="22">
        <f t="shared" si="862"/>
        <v>0.003803593184</v>
      </c>
      <c r="CH65" s="22">
        <f t="shared" si="862"/>
        <v>0</v>
      </c>
      <c r="CI65" s="22">
        <f t="shared" si="862"/>
        <v>0</v>
      </c>
      <c r="CJ65" s="38"/>
      <c r="CK65" s="22">
        <f t="shared" ref="CK65:CQ65" si="863">BS64*K65</f>
        <v>0</v>
      </c>
      <c r="CL65" s="22">
        <f t="shared" si="863"/>
        <v>0</v>
      </c>
      <c r="CM65" s="22">
        <f t="shared" si="863"/>
        <v>0</v>
      </c>
      <c r="CN65" s="22">
        <f t="shared" si="863"/>
        <v>0</v>
      </c>
      <c r="CO65" s="22">
        <f t="shared" si="863"/>
        <v>0.003803593184</v>
      </c>
      <c r="CP65" s="22">
        <f t="shared" si="863"/>
        <v>0</v>
      </c>
      <c r="CQ65" s="22">
        <f t="shared" si="863"/>
        <v>0</v>
      </c>
      <c r="CR65" s="44">
        <f t="shared" si="28"/>
        <v>0.003803593184</v>
      </c>
      <c r="CS65" s="45"/>
      <c r="CT65" s="40"/>
      <c r="CU65" s="22">
        <f t="shared" si="792"/>
        <v>0.976359832</v>
      </c>
      <c r="CV65" s="47">
        <v>7.0</v>
      </c>
      <c r="CW65" s="45"/>
      <c r="CX65" s="44">
        <f t="shared" si="29"/>
        <v>0.003803593184</v>
      </c>
      <c r="CY65" s="40"/>
      <c r="CZ65" s="22">
        <f t="shared" si="793"/>
        <v>0.976359832</v>
      </c>
      <c r="DA65" s="47">
        <v>7.0</v>
      </c>
      <c r="DB65" s="45"/>
      <c r="DC65" s="40"/>
      <c r="DD65" s="48">
        <f t="shared" si="30"/>
        <v>139174.1379</v>
      </c>
      <c r="DE65" s="49">
        <f t="shared" si="31"/>
        <v>0.003803593184</v>
      </c>
      <c r="DF65" s="50"/>
      <c r="DG65" s="40"/>
      <c r="DH65" s="51">
        <f t="shared" si="32"/>
        <v>135565.2601</v>
      </c>
      <c r="DI65" s="52">
        <f t="shared" si="33"/>
        <v>0.003803593184</v>
      </c>
      <c r="DJ65" s="50"/>
      <c r="DK65" s="40"/>
      <c r="DL65" s="40"/>
      <c r="DM65" s="40"/>
      <c r="DN65" s="42"/>
      <c r="DO65" s="40"/>
      <c r="DP65" s="40"/>
      <c r="DQ65" s="42"/>
      <c r="DR65" s="40"/>
      <c r="DS65" s="40"/>
      <c r="DT65" s="40"/>
      <c r="DU65" s="40"/>
    </row>
    <row r="66" ht="13.5" customHeight="1">
      <c r="A66" s="27">
        <v>30.0</v>
      </c>
      <c r="B66" s="28">
        <f t="shared" si="2"/>
        <v>43465</v>
      </c>
      <c r="C66" s="29">
        <f t="shared" ref="C66:I66" si="864">indirect(CONCATENATE(C$2,"!$G$",$A66))</f>
        <v>220.4243445</v>
      </c>
      <c r="D66" s="29">
        <f t="shared" si="864"/>
        <v>34.91952794</v>
      </c>
      <c r="E66" s="29">
        <f t="shared" si="864"/>
        <v>35.97608139</v>
      </c>
      <c r="F66" s="29">
        <f t="shared" si="864"/>
        <v>74.82487658</v>
      </c>
      <c r="G66" s="29">
        <f t="shared" si="864"/>
        <v>81.02788631</v>
      </c>
      <c r="H66" s="29">
        <f t="shared" si="864"/>
        <v>100.7454612</v>
      </c>
      <c r="I66" s="29">
        <f t="shared" si="864"/>
        <v>105.4254428</v>
      </c>
      <c r="J66" s="30"/>
      <c r="K66" s="32">
        <f t="shared" ref="K66:Q66" si="865">C66/C65-1</f>
        <v>-0.08836950224</v>
      </c>
      <c r="L66" s="32">
        <f t="shared" si="865"/>
        <v>-0.05667447917</v>
      </c>
      <c r="M66" s="32">
        <f t="shared" si="865"/>
        <v>-0.03339593668</v>
      </c>
      <c r="N66" s="32">
        <f t="shared" si="865"/>
        <v>0.01874350507</v>
      </c>
      <c r="O66" s="32">
        <f t="shared" si="865"/>
        <v>0.007599829071</v>
      </c>
      <c r="P66" s="32">
        <f t="shared" si="865"/>
        <v>0.02803176107</v>
      </c>
      <c r="Q66" s="32">
        <f t="shared" si="865"/>
        <v>0.01856428326</v>
      </c>
      <c r="R66" s="30"/>
      <c r="S66" s="32">
        <f t="shared" ref="S66:Y66" si="866">C66/C63-1</f>
        <v>-0.1346935084</v>
      </c>
      <c r="T66" s="32">
        <f t="shared" si="866"/>
        <v>-0.1334136942</v>
      </c>
      <c r="U66" s="32">
        <f t="shared" si="866"/>
        <v>-0.06428011529</v>
      </c>
      <c r="V66" s="32">
        <f t="shared" si="866"/>
        <v>0.01639506414</v>
      </c>
      <c r="W66" s="32">
        <f t="shared" si="866"/>
        <v>0.01298040429</v>
      </c>
      <c r="X66" s="32">
        <f t="shared" si="866"/>
        <v>0.03855558742</v>
      </c>
      <c r="Y66" s="32">
        <f t="shared" si="866"/>
        <v>-0.005888396011</v>
      </c>
      <c r="Z66" s="30"/>
      <c r="AA66" s="32">
        <f t="shared" ref="AA66:AG66" si="867">C66/C60-1</f>
        <v>-0.06966836032</v>
      </c>
      <c r="AB66" s="32">
        <f t="shared" si="867"/>
        <v>-0.122771421</v>
      </c>
      <c r="AC66" s="32">
        <f t="shared" si="867"/>
        <v>-0.08040055268</v>
      </c>
      <c r="AD66" s="32">
        <f t="shared" si="867"/>
        <v>0.0172339291</v>
      </c>
      <c r="AE66" s="32">
        <f t="shared" si="867"/>
        <v>0.01443226972</v>
      </c>
      <c r="AF66" s="32">
        <f t="shared" si="867"/>
        <v>0.03097831039</v>
      </c>
      <c r="AG66" s="32">
        <f t="shared" si="867"/>
        <v>0.006266362426</v>
      </c>
      <c r="AH66" s="30"/>
      <c r="AI66" s="32">
        <f t="shared" ref="AI66:AO66" si="868">C66/C54-1</f>
        <v>-0.04503157001</v>
      </c>
      <c r="AJ66" s="32">
        <f t="shared" si="868"/>
        <v>-0.1475290483</v>
      </c>
      <c r="AK66" s="32">
        <f t="shared" si="868"/>
        <v>-0.147692852</v>
      </c>
      <c r="AL66" s="32">
        <f t="shared" si="868"/>
        <v>-0.001143942099</v>
      </c>
      <c r="AM66" s="32">
        <f t="shared" si="868"/>
        <v>0.0146420375</v>
      </c>
      <c r="AN66" s="32">
        <f t="shared" si="868"/>
        <v>0.009890625419</v>
      </c>
      <c r="AO66" s="32">
        <f t="shared" si="868"/>
        <v>-0.03785697187</v>
      </c>
      <c r="AP66" s="30"/>
      <c r="AQ66" s="32">
        <f t="shared" ref="AQ66:AW66" si="869">(12*K66+4*S66+2*AA66+AI66)/4</f>
        <v>-0.4458940878</v>
      </c>
      <c r="AR66" s="32">
        <f t="shared" si="869"/>
        <v>-0.4017051043</v>
      </c>
      <c r="AS66" s="32">
        <f t="shared" si="869"/>
        <v>-0.2415914146</v>
      </c>
      <c r="AT66" s="32">
        <f t="shared" si="869"/>
        <v>0.08095655836</v>
      </c>
      <c r="AU66" s="33">
        <f t="shared" si="869"/>
        <v>0.04665653574</v>
      </c>
      <c r="AV66" s="32">
        <f t="shared" si="869"/>
        <v>0.1406126822</v>
      </c>
      <c r="AW66" s="32">
        <f t="shared" si="869"/>
        <v>0.04347339202</v>
      </c>
      <c r="AX66" s="30"/>
      <c r="AY66" s="34">
        <f t="shared" ref="AY66:BB66" si="870">rank(AQ66,$AQ66:$AT66)</f>
        <v>4</v>
      </c>
      <c r="AZ66" s="34">
        <f t="shared" si="870"/>
        <v>3</v>
      </c>
      <c r="BA66" s="34">
        <f t="shared" si="870"/>
        <v>2</v>
      </c>
      <c r="BB66" s="34">
        <f t="shared" si="870"/>
        <v>1</v>
      </c>
      <c r="BC66" s="35">
        <f t="shared" ref="BC66:BE66" si="871">rank(AU66,$AU66:$AW66)</f>
        <v>2</v>
      </c>
      <c r="BD66" s="34">
        <f t="shared" si="871"/>
        <v>1</v>
      </c>
      <c r="BE66" s="34">
        <f t="shared" si="871"/>
        <v>3</v>
      </c>
      <c r="BF66" s="30"/>
      <c r="BG66" s="36">
        <f t="shared" ref="BG66:BJ66" si="872">if(and($BQ66=0,AY66&lt;=2),0.5,0)</f>
        <v>0</v>
      </c>
      <c r="BH66" s="36">
        <f t="shared" si="872"/>
        <v>0</v>
      </c>
      <c r="BI66" s="36">
        <f t="shared" si="872"/>
        <v>0</v>
      </c>
      <c r="BJ66" s="36">
        <f t="shared" si="872"/>
        <v>0</v>
      </c>
      <c r="BK66" s="37">
        <f t="shared" ref="BK66:BM66" si="873">if(and($BQ66&gt;0,BC66=1),1,0)</f>
        <v>0</v>
      </c>
      <c r="BL66" s="36">
        <f t="shared" si="873"/>
        <v>1</v>
      </c>
      <c r="BM66" s="36">
        <f t="shared" si="873"/>
        <v>0</v>
      </c>
      <c r="BN66" s="38"/>
      <c r="BO66" s="22">
        <f t="shared" si="21"/>
        <v>1</v>
      </c>
      <c r="BP66" s="38"/>
      <c r="BQ66" s="39">
        <f t="shared" si="22"/>
        <v>3</v>
      </c>
      <c r="BR66" s="30"/>
      <c r="BS66" s="36">
        <f t="shared" ref="BS66:BV66" si="874">if(and($BQ66=0,AY66=1),1,0)</f>
        <v>0</v>
      </c>
      <c r="BT66" s="36">
        <f t="shared" si="874"/>
        <v>0</v>
      </c>
      <c r="BU66" s="36">
        <f t="shared" si="874"/>
        <v>0</v>
      </c>
      <c r="BV66" s="36">
        <f t="shared" si="874"/>
        <v>0</v>
      </c>
      <c r="BW66" s="37">
        <f t="shared" ref="BW66:BY66" si="875">if(and($BQ66&gt;0,BC66=1),1,0)</f>
        <v>0</v>
      </c>
      <c r="BX66" s="36">
        <f t="shared" si="875"/>
        <v>1</v>
      </c>
      <c r="BY66" s="36">
        <f t="shared" si="875"/>
        <v>0</v>
      </c>
      <c r="BZ66" s="38"/>
      <c r="CA66" s="22">
        <f t="shared" si="25"/>
        <v>1</v>
      </c>
      <c r="CB66" s="38"/>
      <c r="CC66" s="22">
        <f t="shared" ref="CC66:CI66" si="876">BG65*K66</f>
        <v>0</v>
      </c>
      <c r="CD66" s="22">
        <f t="shared" si="876"/>
        <v>0</v>
      </c>
      <c r="CE66" s="22">
        <f t="shared" si="876"/>
        <v>0</v>
      </c>
      <c r="CF66" s="22">
        <f t="shared" si="876"/>
        <v>0</v>
      </c>
      <c r="CG66" s="22">
        <f t="shared" si="876"/>
        <v>0</v>
      </c>
      <c r="CH66" s="22">
        <f t="shared" si="876"/>
        <v>0.02803176107</v>
      </c>
      <c r="CI66" s="22">
        <f t="shared" si="876"/>
        <v>0</v>
      </c>
      <c r="CJ66" s="38"/>
      <c r="CK66" s="22">
        <f t="shared" ref="CK66:CQ66" si="877">BS65*K66</f>
        <v>0</v>
      </c>
      <c r="CL66" s="22">
        <f t="shared" si="877"/>
        <v>0</v>
      </c>
      <c r="CM66" s="22">
        <f t="shared" si="877"/>
        <v>0</v>
      </c>
      <c r="CN66" s="22">
        <f t="shared" si="877"/>
        <v>0</v>
      </c>
      <c r="CO66" s="22">
        <f t="shared" si="877"/>
        <v>0</v>
      </c>
      <c r="CP66" s="22">
        <f t="shared" si="877"/>
        <v>0.02803176107</v>
      </c>
      <c r="CQ66" s="22">
        <f t="shared" si="877"/>
        <v>0</v>
      </c>
      <c r="CR66" s="44">
        <f t="shared" si="28"/>
        <v>0.02803176107</v>
      </c>
      <c r="CS66" s="45"/>
      <c r="CT66" s="40"/>
      <c r="CU66" s="22">
        <f t="shared" si="792"/>
        <v>1.003728918</v>
      </c>
      <c r="CV66" s="47">
        <v>8.0</v>
      </c>
      <c r="CW66" s="45"/>
      <c r="CX66" s="44">
        <f t="shared" si="29"/>
        <v>0.02803176107</v>
      </c>
      <c r="CY66" s="40"/>
      <c r="CZ66" s="22">
        <f t="shared" si="793"/>
        <v>1.003728918</v>
      </c>
      <c r="DA66" s="47">
        <v>8.0</v>
      </c>
      <c r="DB66" s="45"/>
      <c r="DC66" s="40"/>
      <c r="DD66" s="48">
        <f t="shared" si="30"/>
        <v>143075.4341</v>
      </c>
      <c r="DE66" s="49">
        <f t="shared" si="31"/>
        <v>0.02803176107</v>
      </c>
      <c r="DF66" s="50"/>
      <c r="DG66" s="40"/>
      <c r="DH66" s="51">
        <f t="shared" si="32"/>
        <v>139365.393</v>
      </c>
      <c r="DI66" s="52">
        <f t="shared" si="33"/>
        <v>0.02803176107</v>
      </c>
      <c r="DJ66" s="50"/>
      <c r="DK66" s="40"/>
      <c r="DL66" s="40"/>
      <c r="DM66" s="40"/>
      <c r="DN66" s="42"/>
      <c r="DO66" s="40"/>
      <c r="DP66" s="40"/>
      <c r="DQ66" s="42"/>
      <c r="DR66" s="40"/>
      <c r="DS66" s="40"/>
      <c r="DT66" s="40"/>
      <c r="DU66" s="40"/>
    </row>
    <row r="67" ht="13.5" customHeight="1">
      <c r="A67" s="27">
        <v>29.0</v>
      </c>
      <c r="B67" s="28">
        <f t="shared" si="2"/>
        <v>43496</v>
      </c>
      <c r="C67" s="29">
        <f t="shared" ref="C67:I67" si="878">indirect(CONCATENATE(C$2,"!$G$",$A67))</f>
        <v>237.8810394</v>
      </c>
      <c r="D67" s="29">
        <f t="shared" si="878"/>
        <v>37.5267272</v>
      </c>
      <c r="E67" s="29">
        <f t="shared" si="878"/>
        <v>39.4509365</v>
      </c>
      <c r="F67" s="29">
        <f t="shared" si="878"/>
        <v>75.65615914</v>
      </c>
      <c r="G67" s="29">
        <f t="shared" si="878"/>
        <v>81.23137657</v>
      </c>
      <c r="H67" s="29">
        <f t="shared" si="878"/>
        <v>101.4029172</v>
      </c>
      <c r="I67" s="29">
        <f t="shared" si="878"/>
        <v>108.9763795</v>
      </c>
      <c r="J67" s="30"/>
      <c r="K67" s="32">
        <f t="shared" ref="K67:Q67" si="879">C67/C66-1</f>
        <v>0.07919585745</v>
      </c>
      <c r="L67" s="32">
        <f t="shared" si="879"/>
        <v>0.07466307278</v>
      </c>
      <c r="M67" s="32">
        <f t="shared" si="879"/>
        <v>0.09658792651</v>
      </c>
      <c r="N67" s="32">
        <f t="shared" si="879"/>
        <v>0.01110970837</v>
      </c>
      <c r="O67" s="32">
        <f t="shared" si="879"/>
        <v>0.002511360918</v>
      </c>
      <c r="P67" s="32">
        <f t="shared" si="879"/>
        <v>0.006525911708</v>
      </c>
      <c r="Q67" s="32">
        <f t="shared" si="879"/>
        <v>0.03368197128</v>
      </c>
      <c r="R67" s="30"/>
      <c r="S67" s="32">
        <f t="shared" ref="S67:Y67" si="880">C67/C64-1</f>
        <v>0.002374231752</v>
      </c>
      <c r="T67" s="32">
        <f t="shared" si="880"/>
        <v>0.01888356102</v>
      </c>
      <c r="U67" s="32">
        <f t="shared" si="880"/>
        <v>0.111200852</v>
      </c>
      <c r="V67" s="32">
        <f t="shared" si="880"/>
        <v>0.03661503594</v>
      </c>
      <c r="W67" s="32">
        <f t="shared" si="880"/>
        <v>0.01397240054</v>
      </c>
      <c r="X67" s="32">
        <f t="shared" si="880"/>
        <v>0.0485031229</v>
      </c>
      <c r="Y67" s="32">
        <f t="shared" si="880"/>
        <v>0.04908986819</v>
      </c>
      <c r="Z67" s="30"/>
      <c r="AA67" s="32">
        <f t="shared" ref="AA67:AG67" si="881">C67/C61-1</f>
        <v>-0.03053193509</v>
      </c>
      <c r="AB67" s="32">
        <f t="shared" si="881"/>
        <v>-0.07832932146</v>
      </c>
      <c r="AC67" s="32">
        <f t="shared" si="881"/>
        <v>-0.03018701735</v>
      </c>
      <c r="AD67" s="32">
        <f t="shared" si="881"/>
        <v>0.02891117111</v>
      </c>
      <c r="AE67" s="32">
        <f t="shared" si="881"/>
        <v>0.01759243758</v>
      </c>
      <c r="AF67" s="32">
        <f t="shared" si="881"/>
        <v>0.04321415745</v>
      </c>
      <c r="AG67" s="32">
        <f t="shared" si="881"/>
        <v>0.02636360372</v>
      </c>
      <c r="AH67" s="30"/>
      <c r="AI67" s="32">
        <f t="shared" ref="AI67:AO67" si="882">C67/C55-1</f>
        <v>-0.02391838699</v>
      </c>
      <c r="AJ67" s="32">
        <f t="shared" si="882"/>
        <v>-0.1254075188</v>
      </c>
      <c r="AK67" s="32">
        <f t="shared" si="882"/>
        <v>-0.1390680011</v>
      </c>
      <c r="AL67" s="32">
        <f t="shared" si="882"/>
        <v>0.0226150806</v>
      </c>
      <c r="AM67" s="32">
        <f t="shared" si="882"/>
        <v>0.02010998377</v>
      </c>
      <c r="AN67" s="32">
        <f t="shared" si="882"/>
        <v>0.03881808206</v>
      </c>
      <c r="AO67" s="32">
        <f t="shared" si="882"/>
        <v>0.006891697212</v>
      </c>
      <c r="AP67" s="30"/>
      <c r="AQ67" s="32">
        <f t="shared" ref="AQ67:AW67" si="883">(12*K67+4*S67+2*AA67+AI67)/4</f>
        <v>0.2187162398</v>
      </c>
      <c r="AR67" s="32">
        <f t="shared" si="883"/>
        <v>0.1723562389</v>
      </c>
      <c r="AS67" s="32">
        <f t="shared" si="883"/>
        <v>0.3511041225</v>
      </c>
      <c r="AT67" s="32">
        <f t="shared" si="883"/>
        <v>0.09005351675</v>
      </c>
      <c r="AU67" s="33">
        <f t="shared" si="883"/>
        <v>0.03533019802</v>
      </c>
      <c r="AV67" s="32">
        <f t="shared" si="883"/>
        <v>0.09939245726</v>
      </c>
      <c r="AW67" s="32">
        <f t="shared" si="883"/>
        <v>0.1650405082</v>
      </c>
      <c r="AX67" s="30"/>
      <c r="AY67" s="34">
        <f t="shared" ref="AY67:BB67" si="884">rank(AQ67,$AQ67:$AT67)</f>
        <v>2</v>
      </c>
      <c r="AZ67" s="34">
        <f t="shared" si="884"/>
        <v>3</v>
      </c>
      <c r="BA67" s="34">
        <f t="shared" si="884"/>
        <v>1</v>
      </c>
      <c r="BB67" s="34">
        <f t="shared" si="884"/>
        <v>4</v>
      </c>
      <c r="BC67" s="35">
        <f t="shared" ref="BC67:BE67" si="885">rank(AU67,$AU67:$AW67)</f>
        <v>3</v>
      </c>
      <c r="BD67" s="34">
        <f t="shared" si="885"/>
        <v>2</v>
      </c>
      <c r="BE67" s="34">
        <f t="shared" si="885"/>
        <v>1</v>
      </c>
      <c r="BF67" s="30"/>
      <c r="BG67" s="36">
        <f t="shared" ref="BG67:BJ67" si="886">if(and($BQ67=0,AY67&lt;=2),0.5,0)</f>
        <v>0.5</v>
      </c>
      <c r="BH67" s="36">
        <f t="shared" si="886"/>
        <v>0</v>
      </c>
      <c r="BI67" s="36">
        <f t="shared" si="886"/>
        <v>0.5</v>
      </c>
      <c r="BJ67" s="36">
        <f t="shared" si="886"/>
        <v>0</v>
      </c>
      <c r="BK67" s="37">
        <f t="shared" ref="BK67:BM67" si="887">if(and($BQ67&gt;0,BC67=1),1,0)</f>
        <v>0</v>
      </c>
      <c r="BL67" s="36">
        <f t="shared" si="887"/>
        <v>0</v>
      </c>
      <c r="BM67" s="36">
        <f t="shared" si="887"/>
        <v>0</v>
      </c>
      <c r="BN67" s="38"/>
      <c r="BO67" s="22">
        <f t="shared" si="21"/>
        <v>1</v>
      </c>
      <c r="BP67" s="38"/>
      <c r="BQ67" s="39">
        <f t="shared" si="22"/>
        <v>0</v>
      </c>
      <c r="BR67" s="30"/>
      <c r="BS67" s="36">
        <f t="shared" ref="BS67:BV67" si="888">if(and($BQ67=0,AY67=1),1,0)</f>
        <v>0</v>
      </c>
      <c r="BT67" s="36">
        <f t="shared" si="888"/>
        <v>0</v>
      </c>
      <c r="BU67" s="36">
        <f t="shared" si="888"/>
        <v>1</v>
      </c>
      <c r="BV67" s="36">
        <f t="shared" si="888"/>
        <v>0</v>
      </c>
      <c r="BW67" s="37">
        <f t="shared" ref="BW67:BY67" si="889">if(and($BQ67&gt;0,BC67=1),1,0)</f>
        <v>0</v>
      </c>
      <c r="BX67" s="36">
        <f t="shared" si="889"/>
        <v>0</v>
      </c>
      <c r="BY67" s="36">
        <f t="shared" si="889"/>
        <v>0</v>
      </c>
      <c r="BZ67" s="38"/>
      <c r="CA67" s="22">
        <f t="shared" si="25"/>
        <v>1</v>
      </c>
      <c r="CB67" s="38"/>
      <c r="CC67" s="22">
        <f t="shared" ref="CC67:CI67" si="890">BG66*K67</f>
        <v>0</v>
      </c>
      <c r="CD67" s="22">
        <f t="shared" si="890"/>
        <v>0</v>
      </c>
      <c r="CE67" s="22">
        <f t="shared" si="890"/>
        <v>0</v>
      </c>
      <c r="CF67" s="22">
        <f t="shared" si="890"/>
        <v>0</v>
      </c>
      <c r="CG67" s="22">
        <f t="shared" si="890"/>
        <v>0</v>
      </c>
      <c r="CH67" s="22">
        <f t="shared" si="890"/>
        <v>0.006525911708</v>
      </c>
      <c r="CI67" s="22">
        <f t="shared" si="890"/>
        <v>0</v>
      </c>
      <c r="CJ67" s="38"/>
      <c r="CK67" s="22">
        <f t="shared" ref="CK67:CQ67" si="891">BS66*K67</f>
        <v>0</v>
      </c>
      <c r="CL67" s="22">
        <f t="shared" si="891"/>
        <v>0</v>
      </c>
      <c r="CM67" s="22">
        <f t="shared" si="891"/>
        <v>0</v>
      </c>
      <c r="CN67" s="22">
        <f t="shared" si="891"/>
        <v>0</v>
      </c>
      <c r="CO67" s="22">
        <f t="shared" si="891"/>
        <v>0</v>
      </c>
      <c r="CP67" s="22">
        <f t="shared" si="891"/>
        <v>0.006525911708</v>
      </c>
      <c r="CQ67" s="22">
        <f t="shared" si="891"/>
        <v>0</v>
      </c>
      <c r="CR67" s="44">
        <f t="shared" si="28"/>
        <v>0.006525911708</v>
      </c>
      <c r="CS67" s="45"/>
      <c r="CT67" s="40"/>
      <c r="CU67" s="22">
        <f t="shared" si="792"/>
        <v>1.010279164</v>
      </c>
      <c r="CV67" s="47">
        <v>9.0</v>
      </c>
      <c r="CW67" s="45"/>
      <c r="CX67" s="44">
        <f t="shared" si="29"/>
        <v>0.006525911708</v>
      </c>
      <c r="CY67" s="40"/>
      <c r="CZ67" s="22">
        <f t="shared" si="793"/>
        <v>1.010279164</v>
      </c>
      <c r="DA67" s="47">
        <v>9.0</v>
      </c>
      <c r="DB67" s="45"/>
      <c r="DC67" s="40"/>
      <c r="DD67" s="48">
        <f t="shared" si="30"/>
        <v>144009.1317</v>
      </c>
      <c r="DE67" s="49">
        <f t="shared" si="31"/>
        <v>0.006525911708</v>
      </c>
      <c r="DF67" s="50"/>
      <c r="DG67" s="40"/>
      <c r="DH67" s="51">
        <f t="shared" si="32"/>
        <v>140274.8793</v>
      </c>
      <c r="DI67" s="52">
        <f t="shared" si="33"/>
        <v>0.006525911708</v>
      </c>
      <c r="DJ67" s="50"/>
      <c r="DK67" s="40"/>
      <c r="DL67" s="40"/>
      <c r="DM67" s="40"/>
      <c r="DN67" s="42"/>
      <c r="DO67" s="40"/>
      <c r="DP67" s="40"/>
      <c r="DQ67" s="42"/>
      <c r="DR67" s="40"/>
      <c r="DS67" s="40"/>
      <c r="DT67" s="40"/>
      <c r="DU67" s="40"/>
    </row>
    <row r="68" ht="13.5" customHeight="1">
      <c r="A68" s="27">
        <v>28.0</v>
      </c>
      <c r="B68" s="28">
        <f t="shared" si="2"/>
        <v>43524</v>
      </c>
      <c r="C68" s="29">
        <f t="shared" ref="C68:I68" si="892">indirect(CONCATENATE(C$2,"!$G$",$A68))</f>
        <v>245.6118615</v>
      </c>
      <c r="D68" s="29">
        <f t="shared" si="892"/>
        <v>38.40206846</v>
      </c>
      <c r="E68" s="29">
        <f t="shared" si="892"/>
        <v>39.29985584</v>
      </c>
      <c r="F68" s="29">
        <f t="shared" si="892"/>
        <v>75.58882378</v>
      </c>
      <c r="G68" s="29">
        <f t="shared" si="892"/>
        <v>81.30165106</v>
      </c>
      <c r="H68" s="29">
        <f t="shared" si="892"/>
        <v>100.871252</v>
      </c>
      <c r="I68" s="29">
        <f t="shared" si="892"/>
        <v>108.754611</v>
      </c>
      <c r="J68" s="30"/>
      <c r="K68" s="32">
        <f t="shared" ref="K68:Q68" si="893">C68/C67-1</f>
        <v>0.03249868957</v>
      </c>
      <c r="L68" s="32">
        <f t="shared" si="893"/>
        <v>0.02332580888</v>
      </c>
      <c r="M68" s="32">
        <f t="shared" si="893"/>
        <v>-0.003829583533</v>
      </c>
      <c r="N68" s="32">
        <f t="shared" si="893"/>
        <v>-0.0008900182632</v>
      </c>
      <c r="O68" s="32">
        <f t="shared" si="893"/>
        <v>0.0008651150914</v>
      </c>
      <c r="P68" s="32">
        <f t="shared" si="893"/>
        <v>-0.005243095523</v>
      </c>
      <c r="Q68" s="32">
        <f t="shared" si="893"/>
        <v>-0.002035014739</v>
      </c>
      <c r="R68" s="30"/>
      <c r="S68" s="32">
        <f t="shared" ref="S68:Y68" si="894">C68/C65-1</f>
        <v>0.01580097281</v>
      </c>
      <c r="T68" s="32">
        <f t="shared" si="894"/>
        <v>0.03740380728</v>
      </c>
      <c r="U68" s="32">
        <f t="shared" si="894"/>
        <v>0.05590711589</v>
      </c>
      <c r="V68" s="32">
        <f t="shared" si="894"/>
        <v>0.02914467481</v>
      </c>
      <c r="W68" s="32">
        <f t="shared" si="894"/>
        <v>0.01100415485</v>
      </c>
      <c r="X68" s="32">
        <f t="shared" si="894"/>
        <v>0.02931536174</v>
      </c>
      <c r="Y68" s="32">
        <f t="shared" si="894"/>
        <v>0.0507289271</v>
      </c>
      <c r="Z68" s="30"/>
      <c r="AA68" s="32">
        <f t="shared" ref="AA68:AG68" si="895">C68/C62-1</f>
        <v>-0.03024965318</v>
      </c>
      <c r="AB68" s="32">
        <f t="shared" si="895"/>
        <v>-0.04020702809</v>
      </c>
      <c r="AC68" s="32">
        <f t="shared" si="895"/>
        <v>0.008383069554</v>
      </c>
      <c r="AD68" s="32">
        <f t="shared" si="895"/>
        <v>0.02116596354</v>
      </c>
      <c r="AE68" s="32">
        <f t="shared" si="895"/>
        <v>0.01495223945</v>
      </c>
      <c r="AF68" s="32">
        <f t="shared" si="895"/>
        <v>0.02732377884</v>
      </c>
      <c r="AG68" s="32">
        <f t="shared" si="895"/>
        <v>0.02406348231</v>
      </c>
      <c r="AH68" s="30"/>
      <c r="AI68" s="32">
        <f t="shared" ref="AI68:AO68" si="896">C68/C56-1</f>
        <v>0.04680715261</v>
      </c>
      <c r="AJ68" s="32">
        <f t="shared" si="896"/>
        <v>-0.05683507949</v>
      </c>
      <c r="AK68" s="32">
        <f t="shared" si="896"/>
        <v>-0.09381963549</v>
      </c>
      <c r="AL68" s="32">
        <f t="shared" si="896"/>
        <v>0.03240213889</v>
      </c>
      <c r="AM68" s="32">
        <f t="shared" si="896"/>
        <v>0.02201756512</v>
      </c>
      <c r="AN68" s="32">
        <f t="shared" si="896"/>
        <v>0.04309518698</v>
      </c>
      <c r="AO68" s="32">
        <f t="shared" si="896"/>
        <v>0.02782194997</v>
      </c>
      <c r="AP68" s="30"/>
      <c r="AQ68" s="32">
        <f t="shared" ref="AQ68:AW68" si="897">(12*K68+4*S68+2*AA68+AI68)/4</f>
        <v>0.1098740031</v>
      </c>
      <c r="AR68" s="32">
        <f t="shared" si="897"/>
        <v>0.07306895</v>
      </c>
      <c r="AS68" s="32">
        <f t="shared" si="897"/>
        <v>0.0251549912</v>
      </c>
      <c r="AT68" s="32">
        <f t="shared" si="897"/>
        <v>0.04515813651</v>
      </c>
      <c r="AU68" s="33">
        <f t="shared" si="897"/>
        <v>0.02658001113</v>
      </c>
      <c r="AV68" s="32">
        <f t="shared" si="897"/>
        <v>0.03802176133</v>
      </c>
      <c r="AW68" s="32">
        <f t="shared" si="897"/>
        <v>0.06361111154</v>
      </c>
      <c r="AX68" s="30"/>
      <c r="AY68" s="34">
        <f t="shared" ref="AY68:BB68" si="898">rank(AQ68,$AQ68:$AT68)</f>
        <v>1</v>
      </c>
      <c r="AZ68" s="34">
        <f t="shared" si="898"/>
        <v>2</v>
      </c>
      <c r="BA68" s="34">
        <f t="shared" si="898"/>
        <v>4</v>
      </c>
      <c r="BB68" s="34">
        <f t="shared" si="898"/>
        <v>3</v>
      </c>
      <c r="BC68" s="35">
        <f t="shared" ref="BC68:BE68" si="899">rank(AU68,$AU68:$AW68)</f>
        <v>3</v>
      </c>
      <c r="BD68" s="34">
        <f t="shared" si="899"/>
        <v>2</v>
      </c>
      <c r="BE68" s="34">
        <f t="shared" si="899"/>
        <v>1</v>
      </c>
      <c r="BF68" s="30"/>
      <c r="BG68" s="36">
        <f t="shared" ref="BG68:BJ68" si="900">if(and($BQ68=0,AY68&lt;=2),0.5,0)</f>
        <v>0.5</v>
      </c>
      <c r="BH68" s="36">
        <f t="shared" si="900"/>
        <v>0.5</v>
      </c>
      <c r="BI68" s="36">
        <f t="shared" si="900"/>
        <v>0</v>
      </c>
      <c r="BJ68" s="36">
        <f t="shared" si="900"/>
        <v>0</v>
      </c>
      <c r="BK68" s="37">
        <f t="shared" ref="BK68:BM68" si="901">if(and($BQ68&gt;0,BC68=1),1,0)</f>
        <v>0</v>
      </c>
      <c r="BL68" s="36">
        <f t="shared" si="901"/>
        <v>0</v>
      </c>
      <c r="BM68" s="36">
        <f t="shared" si="901"/>
        <v>0</v>
      </c>
      <c r="BN68" s="38"/>
      <c r="BO68" s="22">
        <f t="shared" si="21"/>
        <v>1</v>
      </c>
      <c r="BP68" s="38"/>
      <c r="BQ68" s="39">
        <f t="shared" si="22"/>
        <v>0</v>
      </c>
      <c r="BR68" s="30"/>
      <c r="BS68" s="36">
        <f t="shared" ref="BS68:BV68" si="902">if(and($BQ68=0,AY68=1),1,0)</f>
        <v>1</v>
      </c>
      <c r="BT68" s="36">
        <f t="shared" si="902"/>
        <v>0</v>
      </c>
      <c r="BU68" s="36">
        <f t="shared" si="902"/>
        <v>0</v>
      </c>
      <c r="BV68" s="36">
        <f t="shared" si="902"/>
        <v>0</v>
      </c>
      <c r="BW68" s="37">
        <f t="shared" ref="BW68:BY68" si="903">if(and($BQ68&gt;0,BC68=1),1,0)</f>
        <v>0</v>
      </c>
      <c r="BX68" s="36">
        <f t="shared" si="903"/>
        <v>0</v>
      </c>
      <c r="BY68" s="36">
        <f t="shared" si="903"/>
        <v>0</v>
      </c>
      <c r="BZ68" s="38"/>
      <c r="CA68" s="22">
        <f t="shared" si="25"/>
        <v>1</v>
      </c>
      <c r="CB68" s="38"/>
      <c r="CC68" s="22">
        <f t="shared" ref="CC68:CI68" si="904">BG67*K68</f>
        <v>0.01624934478</v>
      </c>
      <c r="CD68" s="22">
        <f t="shared" si="904"/>
        <v>0</v>
      </c>
      <c r="CE68" s="22">
        <f t="shared" si="904"/>
        <v>-0.001914791766</v>
      </c>
      <c r="CF68" s="22">
        <f t="shared" si="904"/>
        <v>0</v>
      </c>
      <c r="CG68" s="22">
        <f t="shared" si="904"/>
        <v>0</v>
      </c>
      <c r="CH68" s="22">
        <f t="shared" si="904"/>
        <v>0</v>
      </c>
      <c r="CI68" s="22">
        <f t="shared" si="904"/>
        <v>0</v>
      </c>
      <c r="CJ68" s="38"/>
      <c r="CK68" s="22">
        <f t="shared" ref="CK68:CQ68" si="905">BS67*K68</f>
        <v>0</v>
      </c>
      <c r="CL68" s="22">
        <f t="shared" si="905"/>
        <v>0</v>
      </c>
      <c r="CM68" s="22">
        <f t="shared" si="905"/>
        <v>-0.003829583533</v>
      </c>
      <c r="CN68" s="22">
        <f t="shared" si="905"/>
        <v>0</v>
      </c>
      <c r="CO68" s="22">
        <f t="shared" si="905"/>
        <v>0</v>
      </c>
      <c r="CP68" s="22">
        <f t="shared" si="905"/>
        <v>0</v>
      </c>
      <c r="CQ68" s="22">
        <f t="shared" si="905"/>
        <v>0</v>
      </c>
      <c r="CR68" s="44">
        <f t="shared" si="28"/>
        <v>0.01433455302</v>
      </c>
      <c r="CS68" s="45"/>
      <c r="CT68" s="40"/>
      <c r="CU68" s="22">
        <f t="shared" si="792"/>
        <v>1.024761064</v>
      </c>
      <c r="CV68" s="47">
        <v>10.0</v>
      </c>
      <c r="CW68" s="45"/>
      <c r="CX68" s="44">
        <f t="shared" si="29"/>
        <v>-0.003829583533</v>
      </c>
      <c r="CY68" s="40"/>
      <c r="CZ68" s="22">
        <f t="shared" si="793"/>
        <v>1.006410215</v>
      </c>
      <c r="DA68" s="47">
        <v>10.0</v>
      </c>
      <c r="DB68" s="45"/>
      <c r="DC68" s="40"/>
      <c r="DD68" s="48">
        <f t="shared" si="30"/>
        <v>146073.4382</v>
      </c>
      <c r="DE68" s="49">
        <f t="shared" si="31"/>
        <v>0.01433455302</v>
      </c>
      <c r="DF68" s="50"/>
      <c r="DG68" s="40"/>
      <c r="DH68" s="51">
        <f t="shared" si="32"/>
        <v>139737.6849</v>
      </c>
      <c r="DI68" s="52">
        <f t="shared" si="33"/>
        <v>-0.003829583533</v>
      </c>
      <c r="DJ68" s="50"/>
      <c r="DK68" s="40"/>
      <c r="DL68" s="40"/>
      <c r="DM68" s="40"/>
      <c r="DN68" s="42"/>
      <c r="DO68" s="40"/>
      <c r="DP68" s="40"/>
      <c r="DQ68" s="42"/>
      <c r="DR68" s="40"/>
      <c r="DS68" s="40"/>
      <c r="DT68" s="40"/>
      <c r="DU68" s="40"/>
    </row>
    <row r="69" ht="13.5" customHeight="1">
      <c r="A69" s="27">
        <v>27.0</v>
      </c>
      <c r="B69" s="28">
        <f t="shared" si="2"/>
        <v>43553</v>
      </c>
      <c r="C69" s="29">
        <f t="shared" ref="C69:I69" si="906">indirect(CONCATENATE(C$2,"!$G$",$A69))</f>
        <v>250.3257258</v>
      </c>
      <c r="D69" s="29">
        <f t="shared" si="906"/>
        <v>38.63323529</v>
      </c>
      <c r="E69" s="29">
        <f t="shared" si="906"/>
        <v>40.20884219</v>
      </c>
      <c r="F69" s="29">
        <f t="shared" si="906"/>
        <v>77.05458322</v>
      </c>
      <c r="G69" s="29">
        <f t="shared" si="906"/>
        <v>81.81170272</v>
      </c>
      <c r="H69" s="29">
        <f t="shared" si="906"/>
        <v>103.5502465</v>
      </c>
      <c r="I69" s="29">
        <f t="shared" si="906"/>
        <v>111.9410233</v>
      </c>
      <c r="J69" s="30"/>
      <c r="K69" s="32">
        <f t="shared" ref="K69:Q69" si="907">C69/C68-1</f>
        <v>0.01919233178</v>
      </c>
      <c r="L69" s="32">
        <f t="shared" si="907"/>
        <v>0.006019645152</v>
      </c>
      <c r="M69" s="32">
        <f t="shared" si="907"/>
        <v>0.02312950848</v>
      </c>
      <c r="N69" s="32">
        <f t="shared" si="907"/>
        <v>0.01939121903</v>
      </c>
      <c r="O69" s="32">
        <f t="shared" si="907"/>
        <v>0.006273570734</v>
      </c>
      <c r="P69" s="32">
        <f t="shared" si="907"/>
        <v>0.02655855292</v>
      </c>
      <c r="Q69" s="32">
        <f t="shared" si="907"/>
        <v>0.02929910141</v>
      </c>
      <c r="R69" s="30"/>
      <c r="S69" s="32">
        <f t="shared" ref="S69:Y69" si="908">C69/C66-1</f>
        <v>0.1356537157</v>
      </c>
      <c r="T69" s="32">
        <f t="shared" si="908"/>
        <v>0.1063504453</v>
      </c>
      <c r="U69" s="32">
        <f t="shared" si="908"/>
        <v>0.1176548594</v>
      </c>
      <c r="V69" s="32">
        <f t="shared" si="908"/>
        <v>0.0297990018</v>
      </c>
      <c r="W69" s="32">
        <f t="shared" si="908"/>
        <v>0.009673415551</v>
      </c>
      <c r="X69" s="32">
        <f t="shared" si="908"/>
        <v>0.02784031414</v>
      </c>
      <c r="Y69" s="32">
        <f t="shared" si="908"/>
        <v>0.06180273378</v>
      </c>
      <c r="Z69" s="30"/>
      <c r="AA69" s="32">
        <f t="shared" ref="AA69:AG69" si="909">C69/C63-1</f>
        <v>-0.01731146765</v>
      </c>
      <c r="AB69" s="32">
        <f t="shared" si="909"/>
        <v>-0.04125185462</v>
      </c>
      <c r="AC69" s="32">
        <f t="shared" si="909"/>
        <v>0.04581187619</v>
      </c>
      <c r="AD69" s="32">
        <f t="shared" si="909"/>
        <v>0.04668262248</v>
      </c>
      <c r="AE69" s="32">
        <f t="shared" si="909"/>
        <v>0.02277938469</v>
      </c>
      <c r="AF69" s="32">
        <f t="shared" si="909"/>
        <v>0.06746930122</v>
      </c>
      <c r="AG69" s="32">
        <f t="shared" si="909"/>
        <v>0.0555504188</v>
      </c>
      <c r="AH69" s="30"/>
      <c r="AI69" s="32">
        <f t="shared" ref="AI69:AO69" si="910">C69/C57-1</f>
        <v>0.09402580354</v>
      </c>
      <c r="AJ69" s="32">
        <f t="shared" si="910"/>
        <v>-0.04736997479</v>
      </c>
      <c r="AK69" s="32">
        <f t="shared" si="910"/>
        <v>-0.07085611386</v>
      </c>
      <c r="AL69" s="32">
        <f t="shared" si="910"/>
        <v>0.04524492849</v>
      </c>
      <c r="AM69" s="32">
        <f t="shared" si="910"/>
        <v>0.02589106816</v>
      </c>
      <c r="AN69" s="32">
        <f t="shared" si="910"/>
        <v>0.05856763074</v>
      </c>
      <c r="AO69" s="32">
        <f t="shared" si="910"/>
        <v>0.05207261609</v>
      </c>
      <c r="AP69" s="30"/>
      <c r="AQ69" s="32">
        <f t="shared" ref="AQ69:AW69" si="911">(12*K69+4*S69+2*AA69+AI69)/4</f>
        <v>0.2080814281</v>
      </c>
      <c r="AR69" s="32">
        <f t="shared" si="911"/>
        <v>0.09194095979</v>
      </c>
      <c r="AS69" s="32">
        <f t="shared" si="911"/>
        <v>0.1922352945</v>
      </c>
      <c r="AT69" s="32">
        <f t="shared" si="911"/>
        <v>0.1226252022</v>
      </c>
      <c r="AU69" s="33">
        <f t="shared" si="911"/>
        <v>0.04635658714</v>
      </c>
      <c r="AV69" s="32">
        <f t="shared" si="911"/>
        <v>0.1558925312</v>
      </c>
      <c r="AW69" s="32">
        <f t="shared" si="911"/>
        <v>0.1904934014</v>
      </c>
      <c r="AX69" s="30"/>
      <c r="AY69" s="34">
        <f t="shared" ref="AY69:BB69" si="912">rank(AQ69,$AQ69:$AT69)</f>
        <v>1</v>
      </c>
      <c r="AZ69" s="34">
        <f t="shared" si="912"/>
        <v>4</v>
      </c>
      <c r="BA69" s="34">
        <f t="shared" si="912"/>
        <v>2</v>
      </c>
      <c r="BB69" s="34">
        <f t="shared" si="912"/>
        <v>3</v>
      </c>
      <c r="BC69" s="35">
        <f t="shared" ref="BC69:BE69" si="913">rank(AU69,$AU69:$AW69)</f>
        <v>3</v>
      </c>
      <c r="BD69" s="34">
        <f t="shared" si="913"/>
        <v>2</v>
      </c>
      <c r="BE69" s="34">
        <f t="shared" si="913"/>
        <v>1</v>
      </c>
      <c r="BF69" s="30"/>
      <c r="BG69" s="36">
        <f t="shared" ref="BG69:BJ69" si="914">if(and($BQ69=0,AY69&lt;=2),0.5,0)</f>
        <v>0.5</v>
      </c>
      <c r="BH69" s="36">
        <f t="shared" si="914"/>
        <v>0</v>
      </c>
      <c r="BI69" s="36">
        <f t="shared" si="914"/>
        <v>0.5</v>
      </c>
      <c r="BJ69" s="36">
        <f t="shared" si="914"/>
        <v>0</v>
      </c>
      <c r="BK69" s="37">
        <f t="shared" ref="BK69:BM69" si="915">if(and($BQ69&gt;0,BC69=1),1,0)</f>
        <v>0</v>
      </c>
      <c r="BL69" s="36">
        <f t="shared" si="915"/>
        <v>0</v>
      </c>
      <c r="BM69" s="36">
        <f t="shared" si="915"/>
        <v>0</v>
      </c>
      <c r="BN69" s="38"/>
      <c r="BO69" s="22">
        <f t="shared" si="21"/>
        <v>1</v>
      </c>
      <c r="BP69" s="38"/>
      <c r="BQ69" s="39">
        <f t="shared" si="22"/>
        <v>0</v>
      </c>
      <c r="BR69" s="30"/>
      <c r="BS69" s="36">
        <f t="shared" ref="BS69:BV69" si="916">if(and($BQ69=0,AY69=1),1,0)</f>
        <v>1</v>
      </c>
      <c r="BT69" s="36">
        <f t="shared" si="916"/>
        <v>0</v>
      </c>
      <c r="BU69" s="36">
        <f t="shared" si="916"/>
        <v>0</v>
      </c>
      <c r="BV69" s="36">
        <f t="shared" si="916"/>
        <v>0</v>
      </c>
      <c r="BW69" s="37">
        <f t="shared" ref="BW69:BY69" si="917">if(and($BQ69&gt;0,BC69=1),1,0)</f>
        <v>0</v>
      </c>
      <c r="BX69" s="36">
        <f t="shared" si="917"/>
        <v>0</v>
      </c>
      <c r="BY69" s="36">
        <f t="shared" si="917"/>
        <v>0</v>
      </c>
      <c r="BZ69" s="38"/>
      <c r="CA69" s="22">
        <f t="shared" si="25"/>
        <v>1</v>
      </c>
      <c r="CB69" s="38"/>
      <c r="CC69" s="22">
        <f t="shared" ref="CC69:CI69" si="918">BG68*K69</f>
        <v>0.009596165892</v>
      </c>
      <c r="CD69" s="22">
        <f t="shared" si="918"/>
        <v>0.003009822576</v>
      </c>
      <c r="CE69" s="22">
        <f t="shared" si="918"/>
        <v>0</v>
      </c>
      <c r="CF69" s="22">
        <f t="shared" si="918"/>
        <v>0</v>
      </c>
      <c r="CG69" s="22">
        <f t="shared" si="918"/>
        <v>0</v>
      </c>
      <c r="CH69" s="22">
        <f t="shared" si="918"/>
        <v>0</v>
      </c>
      <c r="CI69" s="22">
        <f t="shared" si="918"/>
        <v>0</v>
      </c>
      <c r="CJ69" s="38"/>
      <c r="CK69" s="22">
        <f t="shared" ref="CK69:CQ69" si="919">BS68*K69</f>
        <v>0.01919233178</v>
      </c>
      <c r="CL69" s="22">
        <f t="shared" si="919"/>
        <v>0</v>
      </c>
      <c r="CM69" s="22">
        <f t="shared" si="919"/>
        <v>0</v>
      </c>
      <c r="CN69" s="22">
        <f t="shared" si="919"/>
        <v>0</v>
      </c>
      <c r="CO69" s="22">
        <f t="shared" si="919"/>
        <v>0</v>
      </c>
      <c r="CP69" s="22">
        <f t="shared" si="919"/>
        <v>0</v>
      </c>
      <c r="CQ69" s="22">
        <f t="shared" si="919"/>
        <v>0</v>
      </c>
      <c r="CR69" s="44">
        <f t="shared" si="28"/>
        <v>0.01260598847</v>
      </c>
      <c r="CS69" s="45"/>
      <c r="CT69" s="40"/>
      <c r="CU69" s="22">
        <f t="shared" si="792"/>
        <v>1.03767919</v>
      </c>
      <c r="CV69" s="47">
        <v>11.0</v>
      </c>
      <c r="CW69" s="45"/>
      <c r="CX69" s="44">
        <f t="shared" si="29"/>
        <v>0.01919233178</v>
      </c>
      <c r="CY69" s="40"/>
      <c r="CZ69" s="22">
        <f t="shared" si="793"/>
        <v>1.025725574</v>
      </c>
      <c r="DA69" s="47">
        <v>11.0</v>
      </c>
      <c r="DB69" s="45"/>
      <c r="DC69" s="40"/>
      <c r="DD69" s="48">
        <f t="shared" si="30"/>
        <v>147914.8383</v>
      </c>
      <c r="DE69" s="49">
        <f t="shared" si="31"/>
        <v>0.01260598847</v>
      </c>
      <c r="DF69" s="50"/>
      <c r="DG69" s="40"/>
      <c r="DH69" s="51">
        <f t="shared" si="32"/>
        <v>142419.5769</v>
      </c>
      <c r="DI69" s="52">
        <f t="shared" si="33"/>
        <v>0.01919233178</v>
      </c>
      <c r="DJ69" s="50"/>
      <c r="DK69" s="40"/>
      <c r="DL69" s="40"/>
      <c r="DM69" s="40"/>
      <c r="DN69" s="42"/>
      <c r="DO69" s="40"/>
      <c r="DP69" s="40"/>
      <c r="DQ69" s="42"/>
      <c r="DR69" s="40"/>
      <c r="DS69" s="40"/>
      <c r="DT69" s="40"/>
      <c r="DU69" s="40"/>
    </row>
    <row r="70" ht="13.5" customHeight="1">
      <c r="A70" s="27">
        <v>26.0</v>
      </c>
      <c r="B70" s="28">
        <f t="shared" si="2"/>
        <v>43585</v>
      </c>
      <c r="C70" s="29">
        <f t="shared" ref="C70:I70" si="920">indirect(CONCATENATE(C$2,"!$G$",$A70))</f>
        <v>260.4240165</v>
      </c>
      <c r="D70" s="29">
        <f t="shared" si="920"/>
        <v>39.72974992</v>
      </c>
      <c r="E70" s="29">
        <f t="shared" si="920"/>
        <v>41.06978446</v>
      </c>
      <c r="F70" s="29">
        <f t="shared" si="920"/>
        <v>77.03593218</v>
      </c>
      <c r="G70" s="29">
        <f t="shared" si="920"/>
        <v>81.9617197</v>
      </c>
      <c r="H70" s="29">
        <f t="shared" si="920"/>
        <v>103.0146091</v>
      </c>
      <c r="I70" s="29">
        <f t="shared" si="920"/>
        <v>112.4307392</v>
      </c>
      <c r="J70" s="30"/>
      <c r="K70" s="32">
        <f t="shared" ref="K70:Q70" si="921">C70/C69-1</f>
        <v>0.0403406026</v>
      </c>
      <c r="L70" s="32">
        <f t="shared" si="921"/>
        <v>0.02838267678</v>
      </c>
      <c r="M70" s="32">
        <f t="shared" si="921"/>
        <v>0.02141176471</v>
      </c>
      <c r="N70" s="32">
        <f t="shared" si="921"/>
        <v>-0.0002420497024</v>
      </c>
      <c r="O70" s="32">
        <f t="shared" si="921"/>
        <v>0.001833686056</v>
      </c>
      <c r="P70" s="32">
        <f t="shared" si="921"/>
        <v>-0.005172729722</v>
      </c>
      <c r="Q70" s="32">
        <f t="shared" si="921"/>
        <v>0.004374767055</v>
      </c>
      <c r="R70" s="30"/>
      <c r="S70" s="32">
        <f t="shared" ref="S70:Y70" si="922">C70/C67-1</f>
        <v>0.09476575801</v>
      </c>
      <c r="T70" s="32">
        <f t="shared" si="922"/>
        <v>0.05870543174</v>
      </c>
      <c r="U70" s="32">
        <f t="shared" si="922"/>
        <v>0.04103446214</v>
      </c>
      <c r="V70" s="32">
        <f t="shared" si="922"/>
        <v>0.01823741849</v>
      </c>
      <c r="W70" s="32">
        <f t="shared" si="922"/>
        <v>0.008990899303</v>
      </c>
      <c r="X70" s="32">
        <f t="shared" si="922"/>
        <v>0.01589393984</v>
      </c>
      <c r="Y70" s="32">
        <f t="shared" si="922"/>
        <v>0.03169824281</v>
      </c>
      <c r="Z70" s="30"/>
      <c r="AA70" s="32">
        <f t="shared" ref="AA70:AG70" si="923">C70/C64-1</f>
        <v>0.09736498563</v>
      </c>
      <c r="AB70" s="32">
        <f t="shared" si="923"/>
        <v>0.07869756036</v>
      </c>
      <c r="AC70" s="32">
        <f t="shared" si="923"/>
        <v>0.1567983813</v>
      </c>
      <c r="AD70" s="32">
        <f t="shared" si="923"/>
        <v>0.05552021816</v>
      </c>
      <c r="AE70" s="32">
        <f t="shared" si="923"/>
        <v>0.02308892428</v>
      </c>
      <c r="AF70" s="32">
        <f t="shared" si="923"/>
        <v>0.06516796846</v>
      </c>
      <c r="AG70" s="32">
        <f t="shared" si="923"/>
        <v>0.08234417356</v>
      </c>
      <c r="AH70" s="30"/>
      <c r="AI70" s="32">
        <f t="shared" ref="AI70:AO70" si="924">C70/C58-1</f>
        <v>0.1342237896</v>
      </c>
      <c r="AJ70" s="32">
        <f t="shared" si="924"/>
        <v>-0.03257490455</v>
      </c>
      <c r="AK70" s="32">
        <f t="shared" si="924"/>
        <v>-0.02395296495</v>
      </c>
      <c r="AL70" s="32">
        <f t="shared" si="924"/>
        <v>0.05397849281</v>
      </c>
      <c r="AM70" s="32">
        <f t="shared" si="924"/>
        <v>0.03018639783</v>
      </c>
      <c r="AN70" s="32">
        <f t="shared" si="924"/>
        <v>0.06671010268</v>
      </c>
      <c r="AO70" s="32">
        <f t="shared" si="924"/>
        <v>0.07348525383</v>
      </c>
      <c r="AP70" s="30"/>
      <c r="AQ70" s="32">
        <f t="shared" ref="AQ70:AW70" si="925">(12*K70+4*S70+2*AA70+AI70)/4</f>
        <v>0.298026006</v>
      </c>
      <c r="AR70" s="32">
        <f t="shared" si="925"/>
        <v>0.1750585161</v>
      </c>
      <c r="AS70" s="32">
        <f t="shared" si="925"/>
        <v>0.1776807057</v>
      </c>
      <c r="AT70" s="32">
        <f t="shared" si="925"/>
        <v>0.05876600166</v>
      </c>
      <c r="AU70" s="33">
        <f t="shared" si="925"/>
        <v>0.03358301907</v>
      </c>
      <c r="AV70" s="32">
        <f t="shared" si="925"/>
        <v>0.04963726057</v>
      </c>
      <c r="AW70" s="32">
        <f t="shared" si="925"/>
        <v>0.1043659442</v>
      </c>
      <c r="AX70" s="30"/>
      <c r="AY70" s="34">
        <f t="shared" ref="AY70:BB70" si="926">rank(AQ70,$AQ70:$AT70)</f>
        <v>1</v>
      </c>
      <c r="AZ70" s="34">
        <f t="shared" si="926"/>
        <v>3</v>
      </c>
      <c r="BA70" s="34">
        <f t="shared" si="926"/>
        <v>2</v>
      </c>
      <c r="BB70" s="34">
        <f t="shared" si="926"/>
        <v>4</v>
      </c>
      <c r="BC70" s="35">
        <f t="shared" ref="BC70:BE70" si="927">rank(AU70,$AU70:$AW70)</f>
        <v>3</v>
      </c>
      <c r="BD70" s="34">
        <f t="shared" si="927"/>
        <v>2</v>
      </c>
      <c r="BE70" s="34">
        <f t="shared" si="927"/>
        <v>1</v>
      </c>
      <c r="BF70" s="30"/>
      <c r="BG70" s="36">
        <f t="shared" ref="BG70:BJ70" si="928">if(and($BQ70=0,AY70&lt;=2),0.5,0)</f>
        <v>0.5</v>
      </c>
      <c r="BH70" s="36">
        <f t="shared" si="928"/>
        <v>0</v>
      </c>
      <c r="BI70" s="36">
        <f t="shared" si="928"/>
        <v>0.5</v>
      </c>
      <c r="BJ70" s="36">
        <f t="shared" si="928"/>
        <v>0</v>
      </c>
      <c r="BK70" s="37">
        <f t="shared" ref="BK70:BM70" si="929">if(and($BQ70&gt;0,BC70=1),1,0)</f>
        <v>0</v>
      </c>
      <c r="BL70" s="36">
        <f t="shared" si="929"/>
        <v>0</v>
      </c>
      <c r="BM70" s="36">
        <f t="shared" si="929"/>
        <v>0</v>
      </c>
      <c r="BN70" s="38"/>
      <c r="BO70" s="22">
        <f t="shared" si="21"/>
        <v>1</v>
      </c>
      <c r="BP70" s="38"/>
      <c r="BQ70" s="39">
        <f t="shared" si="22"/>
        <v>0</v>
      </c>
      <c r="BR70" s="30"/>
      <c r="BS70" s="36">
        <f t="shared" ref="BS70:BV70" si="930">if(and($BQ70=0,AY70=1),1,0)</f>
        <v>1</v>
      </c>
      <c r="BT70" s="36">
        <f t="shared" si="930"/>
        <v>0</v>
      </c>
      <c r="BU70" s="36">
        <f t="shared" si="930"/>
        <v>0</v>
      </c>
      <c r="BV70" s="36">
        <f t="shared" si="930"/>
        <v>0</v>
      </c>
      <c r="BW70" s="37">
        <f t="shared" ref="BW70:BY70" si="931">if(and($BQ70&gt;0,BC70=1),1,0)</f>
        <v>0</v>
      </c>
      <c r="BX70" s="36">
        <f t="shared" si="931"/>
        <v>0</v>
      </c>
      <c r="BY70" s="36">
        <f t="shared" si="931"/>
        <v>0</v>
      </c>
      <c r="BZ70" s="38"/>
      <c r="CA70" s="22">
        <f t="shared" si="25"/>
        <v>1</v>
      </c>
      <c r="CB70" s="38"/>
      <c r="CC70" s="22">
        <f t="shared" ref="CC70:CI70" si="932">BG69*K70</f>
        <v>0.0201703013</v>
      </c>
      <c r="CD70" s="22">
        <f t="shared" si="932"/>
        <v>0</v>
      </c>
      <c r="CE70" s="22">
        <f t="shared" si="932"/>
        <v>0.01070588235</v>
      </c>
      <c r="CF70" s="22">
        <f t="shared" si="932"/>
        <v>0</v>
      </c>
      <c r="CG70" s="22">
        <f t="shared" si="932"/>
        <v>0</v>
      </c>
      <c r="CH70" s="22">
        <f t="shared" si="932"/>
        <v>0</v>
      </c>
      <c r="CI70" s="22">
        <f t="shared" si="932"/>
        <v>0</v>
      </c>
      <c r="CJ70" s="38"/>
      <c r="CK70" s="22">
        <f t="shared" ref="CK70:CQ70" si="933">BS69*K70</f>
        <v>0.0403406026</v>
      </c>
      <c r="CL70" s="22">
        <f t="shared" si="933"/>
        <v>0</v>
      </c>
      <c r="CM70" s="22">
        <f t="shared" si="933"/>
        <v>0</v>
      </c>
      <c r="CN70" s="22">
        <f t="shared" si="933"/>
        <v>0</v>
      </c>
      <c r="CO70" s="22">
        <f t="shared" si="933"/>
        <v>0</v>
      </c>
      <c r="CP70" s="22">
        <f t="shared" si="933"/>
        <v>0</v>
      </c>
      <c r="CQ70" s="22">
        <f t="shared" si="933"/>
        <v>0</v>
      </c>
      <c r="CR70" s="44">
        <f t="shared" si="28"/>
        <v>0.03087618366</v>
      </c>
      <c r="CS70" s="45"/>
      <c r="CT70" s="40"/>
      <c r="CU70" s="22">
        <f t="shared" si="792"/>
        <v>1.069718763</v>
      </c>
      <c r="CV70" s="47">
        <v>12.0</v>
      </c>
      <c r="CW70" s="45"/>
      <c r="CX70" s="44">
        <f t="shared" si="29"/>
        <v>0.0403406026</v>
      </c>
      <c r="CY70" s="40"/>
      <c r="CZ70" s="22">
        <f t="shared" si="793"/>
        <v>1.067103962</v>
      </c>
      <c r="DA70" s="47">
        <v>12.0</v>
      </c>
      <c r="DB70" s="45"/>
      <c r="DC70" s="40"/>
      <c r="DD70" s="48">
        <f t="shared" si="30"/>
        <v>152481.884</v>
      </c>
      <c r="DE70" s="49">
        <f t="shared" si="31"/>
        <v>0.03087618366</v>
      </c>
      <c r="DF70" s="50"/>
      <c r="DG70" s="40"/>
      <c r="DH70" s="51">
        <f t="shared" si="32"/>
        <v>148164.8685</v>
      </c>
      <c r="DI70" s="52">
        <f t="shared" si="33"/>
        <v>0.0403406026</v>
      </c>
      <c r="DJ70" s="50"/>
      <c r="DK70" s="40"/>
      <c r="DL70" s="40"/>
      <c r="DM70" s="40"/>
      <c r="DN70" s="42"/>
      <c r="DO70" s="40"/>
      <c r="DP70" s="40"/>
      <c r="DQ70" s="42"/>
      <c r="DR70" s="40"/>
      <c r="DS70" s="40"/>
      <c r="DT70" s="40"/>
      <c r="DU70" s="40"/>
    </row>
    <row r="71" ht="13.5" customHeight="1">
      <c r="A71" s="27">
        <v>25.0</v>
      </c>
      <c r="B71" s="28">
        <f t="shared" si="2"/>
        <v>43616</v>
      </c>
      <c r="C71" s="29">
        <f t="shared" ref="C71:I71" si="934">indirect(CONCATENATE(C$2,"!$G$",$A71))</f>
        <v>243.8925264</v>
      </c>
      <c r="D71" s="29">
        <f t="shared" si="934"/>
        <v>37.65960592</v>
      </c>
      <c r="E71" s="29">
        <f t="shared" si="934"/>
        <v>38.44911404</v>
      </c>
      <c r="F71" s="29">
        <f t="shared" si="934"/>
        <v>78.44260873</v>
      </c>
      <c r="G71" s="29">
        <f t="shared" si="934"/>
        <v>82.5538316</v>
      </c>
      <c r="H71" s="29">
        <f t="shared" si="934"/>
        <v>106.1547154</v>
      </c>
      <c r="I71" s="29">
        <f t="shared" si="934"/>
        <v>114.2862379</v>
      </c>
      <c r="J71" s="30"/>
      <c r="K71" s="32">
        <f t="shared" ref="K71:Q71" si="935">C71/C70-1</f>
        <v>-0.0634791304</v>
      </c>
      <c r="L71" s="32">
        <f t="shared" si="935"/>
        <v>-0.05210563883</v>
      </c>
      <c r="M71" s="32">
        <f t="shared" si="935"/>
        <v>-0.06381018199</v>
      </c>
      <c r="N71" s="32">
        <f t="shared" si="935"/>
        <v>0.0182600056</v>
      </c>
      <c r="O71" s="32">
        <f t="shared" si="935"/>
        <v>0.007224249372</v>
      </c>
      <c r="P71" s="32">
        <f t="shared" si="935"/>
        <v>0.03048214524</v>
      </c>
      <c r="Q71" s="32">
        <f t="shared" si="935"/>
        <v>0.01650348223</v>
      </c>
      <c r="R71" s="30"/>
      <c r="S71" s="32">
        <f t="shared" ref="S71:Y71" si="936">C71/C68-1</f>
        <v>-0.007000212151</v>
      </c>
      <c r="T71" s="32">
        <f t="shared" si="936"/>
        <v>-0.01933392065</v>
      </c>
      <c r="U71" s="32">
        <f t="shared" si="936"/>
        <v>-0.02164745354</v>
      </c>
      <c r="V71" s="32">
        <f t="shared" si="936"/>
        <v>0.03775405952</v>
      </c>
      <c r="W71" s="32">
        <f t="shared" si="936"/>
        <v>0.01540166187</v>
      </c>
      <c r="X71" s="32">
        <f t="shared" si="936"/>
        <v>0.05237828635</v>
      </c>
      <c r="Y71" s="32">
        <f t="shared" si="936"/>
        <v>0.0508633789</v>
      </c>
      <c r="Z71" s="30"/>
      <c r="AA71" s="32">
        <f t="shared" ref="AA71:AG71" si="937">C71/C65-1</f>
        <v>0.008690150497</v>
      </c>
      <c r="AB71" s="32">
        <f t="shared" si="937"/>
        <v>0.01734672438</v>
      </c>
      <c r="AC71" s="32">
        <f t="shared" si="937"/>
        <v>0.03304941566</v>
      </c>
      <c r="AD71" s="32">
        <f t="shared" si="937"/>
        <v>0.06799906412</v>
      </c>
      <c r="AE71" s="32">
        <f t="shared" si="937"/>
        <v>0.02657529899</v>
      </c>
      <c r="AF71" s="32">
        <f t="shared" si="937"/>
        <v>0.0832291365</v>
      </c>
      <c r="AG71" s="32">
        <f t="shared" si="937"/>
        <v>0.1041725506</v>
      </c>
      <c r="AH71" s="30"/>
      <c r="AI71" s="32">
        <f t="shared" ref="AI71:AO71" si="938">C71/C59-1</f>
        <v>0.03716192273</v>
      </c>
      <c r="AJ71" s="32">
        <f t="shared" si="938"/>
        <v>-0.06969611757</v>
      </c>
      <c r="AK71" s="32">
        <f t="shared" si="938"/>
        <v>-0.06431744616</v>
      </c>
      <c r="AL71" s="32">
        <f t="shared" si="938"/>
        <v>0.0659445092</v>
      </c>
      <c r="AM71" s="32">
        <f t="shared" si="938"/>
        <v>0.03398409446</v>
      </c>
      <c r="AN71" s="32">
        <f t="shared" si="938"/>
        <v>0.08848673735</v>
      </c>
      <c r="AO71" s="32">
        <f t="shared" si="938"/>
        <v>0.08552954337</v>
      </c>
      <c r="AP71" s="30"/>
      <c r="AQ71" s="32">
        <f t="shared" ref="AQ71:AW71" si="939">(12*K71+4*S71+2*AA71+AI71)/4</f>
        <v>-0.1838020474</v>
      </c>
      <c r="AR71" s="32">
        <f t="shared" si="939"/>
        <v>-0.1844015043</v>
      </c>
      <c r="AS71" s="32">
        <f t="shared" si="939"/>
        <v>-0.2126326532</v>
      </c>
      <c r="AT71" s="32">
        <f t="shared" si="939"/>
        <v>0.1430197357</v>
      </c>
      <c r="AU71" s="33">
        <f t="shared" si="939"/>
        <v>0.0588580831</v>
      </c>
      <c r="AV71" s="32">
        <f t="shared" si="939"/>
        <v>0.2075609747</v>
      </c>
      <c r="AW71" s="32">
        <f t="shared" si="939"/>
        <v>0.1738424868</v>
      </c>
      <c r="AX71" s="30"/>
      <c r="AY71" s="34">
        <f t="shared" ref="AY71:BB71" si="940">rank(AQ71,$AQ71:$AT71)</f>
        <v>2</v>
      </c>
      <c r="AZ71" s="34">
        <f t="shared" si="940"/>
        <v>3</v>
      </c>
      <c r="BA71" s="34">
        <f t="shared" si="940"/>
        <v>4</v>
      </c>
      <c r="BB71" s="34">
        <f t="shared" si="940"/>
        <v>1</v>
      </c>
      <c r="BC71" s="35">
        <f t="shared" ref="BC71:BE71" si="941">rank(AU71,$AU71:$AW71)</f>
        <v>3</v>
      </c>
      <c r="BD71" s="34">
        <f t="shared" si="941"/>
        <v>1</v>
      </c>
      <c r="BE71" s="34">
        <f t="shared" si="941"/>
        <v>2</v>
      </c>
      <c r="BF71" s="30"/>
      <c r="BG71" s="36">
        <f t="shared" ref="BG71:BJ71" si="942">if(and($BQ71=0,AY71&lt;=2),0.5,0)</f>
        <v>0</v>
      </c>
      <c r="BH71" s="36">
        <f t="shared" si="942"/>
        <v>0</v>
      </c>
      <c r="BI71" s="36">
        <f t="shared" si="942"/>
        <v>0</v>
      </c>
      <c r="BJ71" s="36">
        <f t="shared" si="942"/>
        <v>0</v>
      </c>
      <c r="BK71" s="37">
        <f t="shared" ref="BK71:BM71" si="943">if(and($BQ71&gt;0,BC71=1),1,0)</f>
        <v>0</v>
      </c>
      <c r="BL71" s="36">
        <f t="shared" si="943"/>
        <v>1</v>
      </c>
      <c r="BM71" s="36">
        <f t="shared" si="943"/>
        <v>0</v>
      </c>
      <c r="BN71" s="38"/>
      <c r="BO71" s="22">
        <f t="shared" si="21"/>
        <v>1</v>
      </c>
      <c r="BP71" s="38"/>
      <c r="BQ71" s="39">
        <f t="shared" si="22"/>
        <v>3</v>
      </c>
      <c r="BR71" s="30"/>
      <c r="BS71" s="36">
        <f t="shared" ref="BS71:BV71" si="944">if(and($BQ71=0,AY71=1),1,0)</f>
        <v>0</v>
      </c>
      <c r="BT71" s="36">
        <f t="shared" si="944"/>
        <v>0</v>
      </c>
      <c r="BU71" s="36">
        <f t="shared" si="944"/>
        <v>0</v>
      </c>
      <c r="BV71" s="36">
        <f t="shared" si="944"/>
        <v>0</v>
      </c>
      <c r="BW71" s="37">
        <f t="shared" ref="BW71:BY71" si="945">if(and($BQ71&gt;0,BC71=1),1,0)</f>
        <v>0</v>
      </c>
      <c r="BX71" s="36">
        <f t="shared" si="945"/>
        <v>1</v>
      </c>
      <c r="BY71" s="36">
        <f t="shared" si="945"/>
        <v>0</v>
      </c>
      <c r="BZ71" s="38"/>
      <c r="CA71" s="22">
        <f t="shared" si="25"/>
        <v>1</v>
      </c>
      <c r="CB71" s="38"/>
      <c r="CC71" s="22">
        <f t="shared" ref="CC71:CI71" si="946">BG70*K71</f>
        <v>-0.0317395652</v>
      </c>
      <c r="CD71" s="22">
        <f t="shared" si="946"/>
        <v>0</v>
      </c>
      <c r="CE71" s="22">
        <f t="shared" si="946"/>
        <v>-0.03190509099</v>
      </c>
      <c r="CF71" s="22">
        <f t="shared" si="946"/>
        <v>0</v>
      </c>
      <c r="CG71" s="22">
        <f t="shared" si="946"/>
        <v>0</v>
      </c>
      <c r="CH71" s="22">
        <f t="shared" si="946"/>
        <v>0</v>
      </c>
      <c r="CI71" s="22">
        <f t="shared" si="946"/>
        <v>0</v>
      </c>
      <c r="CJ71" s="38"/>
      <c r="CK71" s="22">
        <f t="shared" ref="CK71:CQ71" si="947">BS70*K71</f>
        <v>-0.0634791304</v>
      </c>
      <c r="CL71" s="22">
        <f t="shared" si="947"/>
        <v>0</v>
      </c>
      <c r="CM71" s="22">
        <f t="shared" si="947"/>
        <v>0</v>
      </c>
      <c r="CN71" s="22">
        <f t="shared" si="947"/>
        <v>0</v>
      </c>
      <c r="CO71" s="22">
        <f t="shared" si="947"/>
        <v>0</v>
      </c>
      <c r="CP71" s="22">
        <f t="shared" si="947"/>
        <v>0</v>
      </c>
      <c r="CQ71" s="22">
        <f t="shared" si="947"/>
        <v>0</v>
      </c>
      <c r="CR71" s="44">
        <f t="shared" si="28"/>
        <v>-0.06364465619</v>
      </c>
      <c r="CS71" s="45"/>
      <c r="CT71" s="40"/>
      <c r="CU71" s="22">
        <f t="shared" si="792"/>
        <v>1.001636881</v>
      </c>
      <c r="CV71" s="47">
        <v>13.0</v>
      </c>
      <c r="CW71" s="45"/>
      <c r="CX71" s="44">
        <f t="shared" si="29"/>
        <v>-0.0634791304</v>
      </c>
      <c r="CY71" s="40"/>
      <c r="CZ71" s="22">
        <f t="shared" si="793"/>
        <v>0.9993651304</v>
      </c>
      <c r="DA71" s="47">
        <v>13.0</v>
      </c>
      <c r="DB71" s="45"/>
      <c r="DC71" s="40"/>
      <c r="DD71" s="48">
        <f t="shared" si="30"/>
        <v>142777.227</v>
      </c>
      <c r="DE71" s="49">
        <f t="shared" si="31"/>
        <v>-0.06364465619</v>
      </c>
      <c r="DF71" s="50"/>
      <c r="DG71" s="40"/>
      <c r="DH71" s="51">
        <f t="shared" si="32"/>
        <v>138759.4915</v>
      </c>
      <c r="DI71" s="52">
        <f t="shared" si="33"/>
        <v>-0.0634791304</v>
      </c>
      <c r="DJ71" s="50"/>
      <c r="DK71" s="40"/>
      <c r="DL71" s="40"/>
      <c r="DM71" s="40"/>
      <c r="DN71" s="42"/>
      <c r="DO71" s="40"/>
      <c r="DP71" s="40"/>
      <c r="DQ71" s="42"/>
      <c r="DR71" s="40"/>
      <c r="DS71" s="40"/>
      <c r="DT71" s="40"/>
      <c r="DU71" s="40"/>
    </row>
    <row r="72" ht="13.5" customHeight="1">
      <c r="A72" s="27">
        <v>24.0</v>
      </c>
      <c r="B72" s="28">
        <f t="shared" si="2"/>
        <v>43644</v>
      </c>
      <c r="C72" s="29">
        <f t="shared" ref="C72:I72" si="948">indirect(CONCATENATE(C$2,"!$G$",$A72))</f>
        <v>260.9386366</v>
      </c>
      <c r="D72" s="29">
        <f t="shared" si="948"/>
        <v>39.86588533</v>
      </c>
      <c r="E72" s="29">
        <f t="shared" si="948"/>
        <v>40.5135898</v>
      </c>
      <c r="F72" s="29">
        <f t="shared" si="948"/>
        <v>79.42060194</v>
      </c>
      <c r="G72" s="29">
        <f t="shared" si="948"/>
        <v>82.93373431</v>
      </c>
      <c r="H72" s="29">
        <f t="shared" si="948"/>
        <v>107.4452916</v>
      </c>
      <c r="I72" s="29">
        <f t="shared" si="948"/>
        <v>117.9954963</v>
      </c>
      <c r="J72" s="30"/>
      <c r="K72" s="32">
        <f t="shared" ref="K72:Q72" si="949">C72/C71-1</f>
        <v>0.06989189272</v>
      </c>
      <c r="L72" s="32">
        <f t="shared" si="949"/>
        <v>0.05858477172</v>
      </c>
      <c r="M72" s="32">
        <f t="shared" si="949"/>
        <v>0.05369371483</v>
      </c>
      <c r="N72" s="32">
        <f t="shared" si="949"/>
        <v>0.01246762733</v>
      </c>
      <c r="O72" s="32">
        <f t="shared" si="949"/>
        <v>0.004601878508</v>
      </c>
      <c r="P72" s="32">
        <f t="shared" si="949"/>
        <v>0.01215750267</v>
      </c>
      <c r="Q72" s="32">
        <f t="shared" si="949"/>
        <v>0.03245586233</v>
      </c>
      <c r="R72" s="30"/>
      <c r="S72" s="32">
        <f t="shared" ref="S72:Y72" si="950">C72/C69-1</f>
        <v>0.04239640484</v>
      </c>
      <c r="T72" s="32">
        <f t="shared" si="950"/>
        <v>0.03190646698</v>
      </c>
      <c r="U72" s="32">
        <f t="shared" si="950"/>
        <v>0.007579119311</v>
      </c>
      <c r="V72" s="32">
        <f t="shared" si="950"/>
        <v>0.03070574945</v>
      </c>
      <c r="W72" s="32">
        <f t="shared" si="950"/>
        <v>0.01371480542</v>
      </c>
      <c r="X72" s="32">
        <f t="shared" si="950"/>
        <v>0.03761502464</v>
      </c>
      <c r="Y72" s="32">
        <f t="shared" si="950"/>
        <v>0.05408627538</v>
      </c>
      <c r="Z72" s="30"/>
      <c r="AA72" s="32">
        <f t="shared" ref="AA72:AG72" si="951">C72/C66-1</f>
        <v>0.1838013504</v>
      </c>
      <c r="AB72" s="32">
        <f t="shared" si="951"/>
        <v>0.1416501793</v>
      </c>
      <c r="AC72" s="32">
        <f t="shared" si="951"/>
        <v>0.1261256989</v>
      </c>
      <c r="AD72" s="32">
        <f t="shared" si="951"/>
        <v>0.06141975193</v>
      </c>
      <c r="AE72" s="32">
        <f t="shared" si="951"/>
        <v>0.02352088998</v>
      </c>
      <c r="AF72" s="32">
        <f t="shared" si="951"/>
        <v>0.06650255288</v>
      </c>
      <c r="AG72" s="32">
        <f t="shared" si="951"/>
        <v>0.1192316888</v>
      </c>
      <c r="AH72" s="30"/>
      <c r="AI72" s="32">
        <f t="shared" ref="AI72:AO72" si="952">C72/C60-1</f>
        <v>0.1013278513</v>
      </c>
      <c r="AJ72" s="32">
        <f t="shared" si="952"/>
        <v>0.001488164496</v>
      </c>
      <c r="AK72" s="32">
        <f t="shared" si="952"/>
        <v>0.03558457035</v>
      </c>
      <c r="AL72" s="32">
        <f t="shared" si="952"/>
        <v>0.07971218468</v>
      </c>
      <c r="AM72" s="32">
        <f t="shared" si="952"/>
        <v>0.03829261953</v>
      </c>
      <c r="AN72" s="32">
        <f t="shared" si="952"/>
        <v>0.099541</v>
      </c>
      <c r="AO72" s="32">
        <f t="shared" si="952"/>
        <v>0.1262452002</v>
      </c>
      <c r="AP72" s="30"/>
      <c r="AQ72" s="32">
        <f t="shared" ref="AQ72:AW72" si="953">(12*K72+4*S72+2*AA72+AI72)/4</f>
        <v>0.369304721</v>
      </c>
      <c r="AR72" s="32">
        <f t="shared" si="953"/>
        <v>0.2788579129</v>
      </c>
      <c r="AS72" s="32">
        <f t="shared" si="953"/>
        <v>0.2406192559</v>
      </c>
      <c r="AT72" s="32">
        <f t="shared" si="953"/>
        <v>0.1187465536</v>
      </c>
      <c r="AU72" s="33">
        <f t="shared" si="953"/>
        <v>0.04885404082</v>
      </c>
      <c r="AV72" s="32">
        <f t="shared" si="953"/>
        <v>0.1322240591</v>
      </c>
      <c r="AW72" s="32">
        <f t="shared" si="953"/>
        <v>0.2426310069</v>
      </c>
      <c r="AX72" s="30"/>
      <c r="AY72" s="34">
        <f t="shared" ref="AY72:BB72" si="954">rank(AQ72,$AQ72:$AT72)</f>
        <v>1</v>
      </c>
      <c r="AZ72" s="34">
        <f t="shared" si="954"/>
        <v>2</v>
      </c>
      <c r="BA72" s="34">
        <f t="shared" si="954"/>
        <v>3</v>
      </c>
      <c r="BB72" s="34">
        <f t="shared" si="954"/>
        <v>4</v>
      </c>
      <c r="BC72" s="35">
        <f t="shared" ref="BC72:BE72" si="955">rank(AU72,$AU72:$AW72)</f>
        <v>3</v>
      </c>
      <c r="BD72" s="34">
        <f t="shared" si="955"/>
        <v>2</v>
      </c>
      <c r="BE72" s="34">
        <f t="shared" si="955"/>
        <v>1</v>
      </c>
      <c r="BF72" s="30"/>
      <c r="BG72" s="36">
        <f t="shared" ref="BG72:BJ72" si="956">if(and($BQ72=0,AY72&lt;=2),0.5,0)</f>
        <v>0.5</v>
      </c>
      <c r="BH72" s="36">
        <f t="shared" si="956"/>
        <v>0.5</v>
      </c>
      <c r="BI72" s="36">
        <f t="shared" si="956"/>
        <v>0</v>
      </c>
      <c r="BJ72" s="36">
        <f t="shared" si="956"/>
        <v>0</v>
      </c>
      <c r="BK72" s="37">
        <f t="shared" ref="BK72:BM72" si="957">if(and($BQ72&gt;0,BC72=1),1,0)</f>
        <v>0</v>
      </c>
      <c r="BL72" s="36">
        <f t="shared" si="957"/>
        <v>0</v>
      </c>
      <c r="BM72" s="36">
        <f t="shared" si="957"/>
        <v>0</v>
      </c>
      <c r="BN72" s="38"/>
      <c r="BO72" s="22">
        <f t="shared" si="21"/>
        <v>1</v>
      </c>
      <c r="BP72" s="38"/>
      <c r="BQ72" s="39">
        <f t="shared" si="22"/>
        <v>0</v>
      </c>
      <c r="BR72" s="30"/>
      <c r="BS72" s="36">
        <f t="shared" ref="BS72:BV72" si="958">if(and($BQ72=0,AY72=1),1,0)</f>
        <v>1</v>
      </c>
      <c r="BT72" s="36">
        <f t="shared" si="958"/>
        <v>0</v>
      </c>
      <c r="BU72" s="36">
        <f t="shared" si="958"/>
        <v>0</v>
      </c>
      <c r="BV72" s="36">
        <f t="shared" si="958"/>
        <v>0</v>
      </c>
      <c r="BW72" s="37">
        <f t="shared" ref="BW72:BY72" si="959">if(and($BQ72&gt;0,BC72=1),1,0)</f>
        <v>0</v>
      </c>
      <c r="BX72" s="36">
        <f t="shared" si="959"/>
        <v>0</v>
      </c>
      <c r="BY72" s="36">
        <f t="shared" si="959"/>
        <v>0</v>
      </c>
      <c r="BZ72" s="38"/>
      <c r="CA72" s="22">
        <f t="shared" si="25"/>
        <v>1</v>
      </c>
      <c r="CB72" s="38"/>
      <c r="CC72" s="22">
        <f t="shared" ref="CC72:CI72" si="960">BG71*K72</f>
        <v>0</v>
      </c>
      <c r="CD72" s="22">
        <f t="shared" si="960"/>
        <v>0</v>
      </c>
      <c r="CE72" s="22">
        <f t="shared" si="960"/>
        <v>0</v>
      </c>
      <c r="CF72" s="22">
        <f t="shared" si="960"/>
        <v>0</v>
      </c>
      <c r="CG72" s="22">
        <f t="shared" si="960"/>
        <v>0</v>
      </c>
      <c r="CH72" s="22">
        <f t="shared" si="960"/>
        <v>0.01215750267</v>
      </c>
      <c r="CI72" s="22">
        <f t="shared" si="960"/>
        <v>0</v>
      </c>
      <c r="CJ72" s="38"/>
      <c r="CK72" s="22">
        <f t="shared" ref="CK72:CQ72" si="961">BS71*K72</f>
        <v>0</v>
      </c>
      <c r="CL72" s="22">
        <f t="shared" si="961"/>
        <v>0</v>
      </c>
      <c r="CM72" s="22">
        <f t="shared" si="961"/>
        <v>0</v>
      </c>
      <c r="CN72" s="22">
        <f t="shared" si="961"/>
        <v>0</v>
      </c>
      <c r="CO72" s="22">
        <f t="shared" si="961"/>
        <v>0</v>
      </c>
      <c r="CP72" s="22">
        <f t="shared" si="961"/>
        <v>0.01215750267</v>
      </c>
      <c r="CQ72" s="22">
        <f t="shared" si="961"/>
        <v>0</v>
      </c>
      <c r="CR72" s="44">
        <f t="shared" si="28"/>
        <v>0.01215750267</v>
      </c>
      <c r="CS72" s="45"/>
      <c r="CT72" s="40"/>
      <c r="CU72" s="22">
        <f t="shared" si="792"/>
        <v>1.013814284</v>
      </c>
      <c r="CV72" s="47">
        <v>14.0</v>
      </c>
      <c r="CW72" s="45"/>
      <c r="CX72" s="44">
        <f t="shared" si="29"/>
        <v>0.01215750267</v>
      </c>
      <c r="CY72" s="40"/>
      <c r="CZ72" s="22">
        <f t="shared" si="793"/>
        <v>1.011514915</v>
      </c>
      <c r="DA72" s="47">
        <v>14.0</v>
      </c>
      <c r="DB72" s="45"/>
      <c r="DC72" s="40"/>
      <c r="DD72" s="48">
        <f t="shared" si="30"/>
        <v>144513.0415</v>
      </c>
      <c r="DE72" s="49">
        <f t="shared" si="31"/>
        <v>0.01215750267</v>
      </c>
      <c r="DF72" s="50"/>
      <c r="DG72" s="40"/>
      <c r="DH72" s="51">
        <f t="shared" si="32"/>
        <v>140446.4604</v>
      </c>
      <c r="DI72" s="52">
        <f t="shared" si="33"/>
        <v>0.01215750267</v>
      </c>
      <c r="DJ72" s="50"/>
      <c r="DK72" s="40"/>
      <c r="DL72" s="40"/>
      <c r="DM72" s="40"/>
      <c r="DN72" s="42"/>
      <c r="DO72" s="40"/>
      <c r="DP72" s="40"/>
      <c r="DQ72" s="42"/>
      <c r="DR72" s="40"/>
      <c r="DS72" s="40"/>
      <c r="DT72" s="40"/>
      <c r="DU72" s="40"/>
    </row>
    <row r="73" ht="13.5" customHeight="1">
      <c r="A73" s="27">
        <v>23.0</v>
      </c>
      <c r="B73" s="28">
        <f t="shared" si="2"/>
        <v>43677</v>
      </c>
      <c r="C73" s="29">
        <f t="shared" ref="C73:I73" si="962">indirect(CONCATENATE(C$2,"!$G$",$A73))</f>
        <v>264.7487382</v>
      </c>
      <c r="D73" s="29">
        <f t="shared" si="962"/>
        <v>39.05346619</v>
      </c>
      <c r="E73" s="29">
        <f t="shared" si="962"/>
        <v>39.78009664</v>
      </c>
      <c r="F73" s="29">
        <f t="shared" si="962"/>
        <v>79.5398897</v>
      </c>
      <c r="G73" s="29">
        <f t="shared" si="962"/>
        <v>82.88085843</v>
      </c>
      <c r="H73" s="29">
        <f t="shared" si="962"/>
        <v>107.4868981</v>
      </c>
      <c r="I73" s="29">
        <f t="shared" si="962"/>
        <v>118.2940991</v>
      </c>
      <c r="J73" s="30"/>
      <c r="K73" s="32">
        <f t="shared" ref="K73:Q73" si="963">C73/C72-1</f>
        <v>0.01460152331</v>
      </c>
      <c r="L73" s="32">
        <f t="shared" si="963"/>
        <v>-0.02037880604</v>
      </c>
      <c r="M73" s="32">
        <f t="shared" si="963"/>
        <v>-0.01810486715</v>
      </c>
      <c r="N73" s="32">
        <f t="shared" si="963"/>
        <v>0.001501974961</v>
      </c>
      <c r="O73" s="32">
        <f t="shared" si="963"/>
        <v>-0.0006375678226</v>
      </c>
      <c r="P73" s="32">
        <f t="shared" si="963"/>
        <v>0.0003872345241</v>
      </c>
      <c r="Q73" s="32">
        <f t="shared" si="963"/>
        <v>0.002530628394</v>
      </c>
      <c r="R73" s="30"/>
      <c r="S73" s="32">
        <f t="shared" ref="S73:Y73" si="964">C73/C70-1</f>
        <v>0.01660646293</v>
      </c>
      <c r="T73" s="32">
        <f t="shared" si="964"/>
        <v>-0.01702209882</v>
      </c>
      <c r="U73" s="32">
        <f t="shared" si="964"/>
        <v>-0.03140235173</v>
      </c>
      <c r="V73" s="32">
        <f t="shared" si="964"/>
        <v>0.0325037609</v>
      </c>
      <c r="W73" s="32">
        <f t="shared" si="964"/>
        <v>0.01121424402</v>
      </c>
      <c r="X73" s="32">
        <f t="shared" si="964"/>
        <v>0.04341412425</v>
      </c>
      <c r="Y73" s="32">
        <f t="shared" si="964"/>
        <v>0.05215086111</v>
      </c>
      <c r="Z73" s="30"/>
      <c r="AA73" s="32">
        <f t="shared" ref="AA73:AG73" si="965">C73/C67-1</f>
        <v>0.112945945</v>
      </c>
      <c r="AB73" s="32">
        <f t="shared" si="965"/>
        <v>0.04068404326</v>
      </c>
      <c r="AC73" s="32">
        <f t="shared" si="965"/>
        <v>0.008343531802</v>
      </c>
      <c r="AD73" s="32">
        <f t="shared" si="965"/>
        <v>0.05133396408</v>
      </c>
      <c r="AE73" s="32">
        <f t="shared" si="965"/>
        <v>0.02030596946</v>
      </c>
      <c r="AF73" s="32">
        <f t="shared" si="965"/>
        <v>0.05999808557</v>
      </c>
      <c r="AG73" s="32">
        <f t="shared" si="965"/>
        <v>0.08550219458</v>
      </c>
      <c r="AH73" s="30"/>
      <c r="AI73" s="32">
        <f t="shared" ref="AI73:AO73" si="966">C73/C61-1</f>
        <v>0.07896555163</v>
      </c>
      <c r="AJ73" s="32">
        <f t="shared" si="966"/>
        <v>-0.04083203171</v>
      </c>
      <c r="AK73" s="32">
        <f t="shared" si="966"/>
        <v>-0.02209535188</v>
      </c>
      <c r="AL73" s="32">
        <f t="shared" si="966"/>
        <v>0.08172926021</v>
      </c>
      <c r="AM73" s="32">
        <f t="shared" si="966"/>
        <v>0.03825563854</v>
      </c>
      <c r="AN73" s="32">
        <f t="shared" si="966"/>
        <v>0.1058050097</v>
      </c>
      <c r="AO73" s="32">
        <f t="shared" si="966"/>
        <v>0.1141199443</v>
      </c>
      <c r="AP73" s="30"/>
      <c r="AQ73" s="32">
        <f t="shared" ref="AQ73:AW73" si="967">(12*K73+4*S73+2*AA73+AI73)/4</f>
        <v>0.1366253933</v>
      </c>
      <c r="AR73" s="32">
        <f t="shared" si="967"/>
        <v>-0.06802450324</v>
      </c>
      <c r="AS73" s="32">
        <f t="shared" si="967"/>
        <v>-0.08706902526</v>
      </c>
      <c r="AT73" s="32">
        <f t="shared" si="967"/>
        <v>0.08310898288</v>
      </c>
      <c r="AU73" s="33">
        <f t="shared" si="967"/>
        <v>0.02901843492</v>
      </c>
      <c r="AV73" s="32">
        <f t="shared" si="967"/>
        <v>0.101026123</v>
      </c>
      <c r="AW73" s="32">
        <f t="shared" si="967"/>
        <v>0.1310238296</v>
      </c>
      <c r="AX73" s="30"/>
      <c r="AY73" s="34">
        <f t="shared" ref="AY73:BB73" si="968">rank(AQ73,$AQ73:$AT73)</f>
        <v>1</v>
      </c>
      <c r="AZ73" s="34">
        <f t="shared" si="968"/>
        <v>3</v>
      </c>
      <c r="BA73" s="34">
        <f t="shared" si="968"/>
        <v>4</v>
      </c>
      <c r="BB73" s="34">
        <f t="shared" si="968"/>
        <v>2</v>
      </c>
      <c r="BC73" s="35">
        <f t="shared" ref="BC73:BE73" si="969">rank(AU73,$AU73:$AW73)</f>
        <v>3</v>
      </c>
      <c r="BD73" s="34">
        <f t="shared" si="969"/>
        <v>2</v>
      </c>
      <c r="BE73" s="34">
        <f t="shared" si="969"/>
        <v>1</v>
      </c>
      <c r="BF73" s="30"/>
      <c r="BG73" s="36">
        <f t="shared" ref="BG73:BJ73" si="970">if(and($BQ73=0,AY73&lt;=2),0.5,0)</f>
        <v>0</v>
      </c>
      <c r="BH73" s="36">
        <f t="shared" si="970"/>
        <v>0</v>
      </c>
      <c r="BI73" s="36">
        <f t="shared" si="970"/>
        <v>0</v>
      </c>
      <c r="BJ73" s="36">
        <f t="shared" si="970"/>
        <v>0</v>
      </c>
      <c r="BK73" s="37">
        <f t="shared" ref="BK73:BM73" si="971">if(and($BQ73&gt;0,BC73=1),1,0)</f>
        <v>0</v>
      </c>
      <c r="BL73" s="36">
        <f t="shared" si="971"/>
        <v>0</v>
      </c>
      <c r="BM73" s="36">
        <f t="shared" si="971"/>
        <v>1</v>
      </c>
      <c r="BN73" s="38"/>
      <c r="BO73" s="22">
        <f t="shared" si="21"/>
        <v>1</v>
      </c>
      <c r="BP73" s="38"/>
      <c r="BQ73" s="39">
        <f t="shared" si="22"/>
        <v>2</v>
      </c>
      <c r="BR73" s="30"/>
      <c r="BS73" s="36">
        <f t="shared" ref="BS73:BV73" si="972">if(and($BQ73=0,AY73=1),1,0)</f>
        <v>0</v>
      </c>
      <c r="BT73" s="36">
        <f t="shared" si="972"/>
        <v>0</v>
      </c>
      <c r="BU73" s="36">
        <f t="shared" si="972"/>
        <v>0</v>
      </c>
      <c r="BV73" s="36">
        <f t="shared" si="972"/>
        <v>0</v>
      </c>
      <c r="BW73" s="37">
        <f t="shared" ref="BW73:BY73" si="973">if(and($BQ73&gt;0,BC73=1),1,0)</f>
        <v>0</v>
      </c>
      <c r="BX73" s="36">
        <f t="shared" si="973"/>
        <v>0</v>
      </c>
      <c r="BY73" s="36">
        <f t="shared" si="973"/>
        <v>1</v>
      </c>
      <c r="BZ73" s="38"/>
      <c r="CA73" s="22">
        <f t="shared" si="25"/>
        <v>1</v>
      </c>
      <c r="CB73" s="38"/>
      <c r="CC73" s="22">
        <f t="shared" ref="CC73:CI73" si="974">BG72*K73</f>
        <v>0.007300761657</v>
      </c>
      <c r="CD73" s="22">
        <f t="shared" si="974"/>
        <v>-0.01018940302</v>
      </c>
      <c r="CE73" s="22">
        <f t="shared" si="974"/>
        <v>0</v>
      </c>
      <c r="CF73" s="22">
        <f t="shared" si="974"/>
        <v>0</v>
      </c>
      <c r="CG73" s="22">
        <f t="shared" si="974"/>
        <v>0</v>
      </c>
      <c r="CH73" s="22">
        <f t="shared" si="974"/>
        <v>0</v>
      </c>
      <c r="CI73" s="22">
        <f t="shared" si="974"/>
        <v>0</v>
      </c>
      <c r="CJ73" s="38"/>
      <c r="CK73" s="22">
        <f t="shared" ref="CK73:CQ73" si="975">BS72*K73</f>
        <v>0.01460152331</v>
      </c>
      <c r="CL73" s="22">
        <f t="shared" si="975"/>
        <v>0</v>
      </c>
      <c r="CM73" s="22">
        <f t="shared" si="975"/>
        <v>0</v>
      </c>
      <c r="CN73" s="22">
        <f t="shared" si="975"/>
        <v>0</v>
      </c>
      <c r="CO73" s="22">
        <f t="shared" si="975"/>
        <v>0</v>
      </c>
      <c r="CP73" s="22">
        <f t="shared" si="975"/>
        <v>0</v>
      </c>
      <c r="CQ73" s="22">
        <f t="shared" si="975"/>
        <v>0</v>
      </c>
      <c r="CR73" s="44">
        <f t="shared" si="28"/>
        <v>-0.002888641364</v>
      </c>
      <c r="CS73" s="45"/>
      <c r="CT73" s="40"/>
      <c r="CU73" s="22">
        <f t="shared" si="792"/>
        <v>1.010885738</v>
      </c>
      <c r="CV73" s="47">
        <v>15.0</v>
      </c>
      <c r="CW73" s="45"/>
      <c r="CX73" s="44">
        <f t="shared" si="29"/>
        <v>0.01460152331</v>
      </c>
      <c r="CY73" s="40"/>
      <c r="CZ73" s="22">
        <f t="shared" si="793"/>
        <v>1.026284573</v>
      </c>
      <c r="DA73" s="47">
        <v>15.0</v>
      </c>
      <c r="DB73" s="45"/>
      <c r="DC73" s="40"/>
      <c r="DD73" s="48">
        <f t="shared" si="30"/>
        <v>144095.5951</v>
      </c>
      <c r="DE73" s="49">
        <f t="shared" si="31"/>
        <v>-0.002888641364</v>
      </c>
      <c r="DF73" s="50"/>
      <c r="DG73" s="40"/>
      <c r="DH73" s="51">
        <f t="shared" si="32"/>
        <v>142497.1926</v>
      </c>
      <c r="DI73" s="52">
        <f t="shared" si="33"/>
        <v>0.01460152331</v>
      </c>
      <c r="DJ73" s="50"/>
      <c r="DK73" s="40"/>
      <c r="DL73" s="40"/>
      <c r="DM73" s="40"/>
      <c r="DN73" s="42"/>
      <c r="DO73" s="40"/>
      <c r="DP73" s="40"/>
      <c r="DQ73" s="42"/>
      <c r="DR73" s="40"/>
      <c r="DS73" s="40"/>
      <c r="DT73" s="40"/>
      <c r="DU73" s="40"/>
    </row>
    <row r="74" ht="13.5" customHeight="1">
      <c r="A74" s="27">
        <v>22.0</v>
      </c>
      <c r="B74" s="28">
        <f t="shared" si="2"/>
        <v>43707</v>
      </c>
      <c r="C74" s="29">
        <f t="shared" ref="C74:I74" si="976">indirect(CONCATENATE(C$2,"!$G$",$A74))</f>
        <v>260.4054163</v>
      </c>
      <c r="D74" s="29">
        <f t="shared" si="976"/>
        <v>38.31751002</v>
      </c>
      <c r="E74" s="29">
        <f t="shared" si="976"/>
        <v>38.48457625</v>
      </c>
      <c r="F74" s="29">
        <f t="shared" si="976"/>
        <v>81.74147284</v>
      </c>
      <c r="G74" s="29">
        <f t="shared" si="976"/>
        <v>83.52842799</v>
      </c>
      <c r="H74" s="29">
        <f t="shared" si="976"/>
        <v>111.7317195</v>
      </c>
      <c r="I74" s="29">
        <f t="shared" si="976"/>
        <v>122.8880523</v>
      </c>
      <c r="J74" s="30"/>
      <c r="K74" s="32">
        <f t="shared" ref="K74:Q74" si="977">C74/C73-1</f>
        <v>-0.01640544895</v>
      </c>
      <c r="L74" s="32">
        <f t="shared" si="977"/>
        <v>-0.01884483603</v>
      </c>
      <c r="M74" s="32">
        <f t="shared" si="977"/>
        <v>-0.03256704981</v>
      </c>
      <c r="N74" s="32">
        <f t="shared" si="977"/>
        <v>0.02767898158</v>
      </c>
      <c r="O74" s="32">
        <f t="shared" si="977"/>
        <v>0.007813258451</v>
      </c>
      <c r="P74" s="32">
        <f t="shared" si="977"/>
        <v>0.03949152341</v>
      </c>
      <c r="Q74" s="32">
        <f t="shared" si="977"/>
        <v>0.03883501553</v>
      </c>
      <c r="R74" s="30"/>
      <c r="S74" s="32">
        <f t="shared" ref="S74:Y74" si="978">C74/C71-1</f>
        <v>0.06770560054</v>
      </c>
      <c r="T74" s="32">
        <f t="shared" si="978"/>
        <v>0.01746975541</v>
      </c>
      <c r="U74" s="32">
        <f t="shared" si="978"/>
        <v>0.0009223155224</v>
      </c>
      <c r="V74" s="32">
        <f t="shared" si="978"/>
        <v>0.04205449262</v>
      </c>
      <c r="W74" s="32">
        <f t="shared" si="978"/>
        <v>0.01180558639</v>
      </c>
      <c r="X74" s="32">
        <f t="shared" si="978"/>
        <v>0.05253656511</v>
      </c>
      <c r="Y74" s="32">
        <f t="shared" si="978"/>
        <v>0.07526553056</v>
      </c>
      <c r="Z74" s="30"/>
      <c r="AA74" s="32">
        <f t="shared" ref="AA74:AG74" si="979">C74/C68-1</f>
        <v>0.06023143482</v>
      </c>
      <c r="AB74" s="32">
        <f t="shared" si="979"/>
        <v>-0.002201924107</v>
      </c>
      <c r="AC74" s="32">
        <f t="shared" si="979"/>
        <v>-0.0207451038</v>
      </c>
      <c r="AD74" s="32">
        <f t="shared" si="979"/>
        <v>0.08139627995</v>
      </c>
      <c r="AE74" s="32">
        <f t="shared" si="979"/>
        <v>0.02738907391</v>
      </c>
      <c r="AF74" s="32">
        <f t="shared" si="979"/>
        <v>0.1076666267</v>
      </c>
      <c r="AG74" s="32">
        <f t="shared" si="979"/>
        <v>0.1299571687</v>
      </c>
      <c r="AH74" s="30"/>
      <c r="AI74" s="32">
        <f t="shared" ref="AI74:AO74" si="980">C74/C62-1</f>
        <v>0.02815980163</v>
      </c>
      <c r="AJ74" s="32">
        <f t="shared" si="980"/>
        <v>-0.04232041937</v>
      </c>
      <c r="AK74" s="32">
        <f t="shared" si="980"/>
        <v>-0.01253594189</v>
      </c>
      <c r="AL74" s="32">
        <f t="shared" si="980"/>
        <v>0.1042850742</v>
      </c>
      <c r="AM74" s="32">
        <f t="shared" si="980"/>
        <v>0.04275084135</v>
      </c>
      <c r="AN74" s="32">
        <f t="shared" si="980"/>
        <v>0.1379322646</v>
      </c>
      <c r="AO74" s="32">
        <f t="shared" si="980"/>
        <v>0.157147873</v>
      </c>
      <c r="AP74" s="30"/>
      <c r="AQ74" s="32">
        <f t="shared" ref="AQ74:AW74" si="981">(12*K74+4*S74+2*AA74+AI74)/4</f>
        <v>0.0556449215</v>
      </c>
      <c r="AR74" s="32">
        <f t="shared" si="981"/>
        <v>-0.05074581956</v>
      </c>
      <c r="AS74" s="32">
        <f t="shared" si="981"/>
        <v>-0.1102853713</v>
      </c>
      <c r="AT74" s="32">
        <f t="shared" si="981"/>
        <v>0.1918608459</v>
      </c>
      <c r="AU74" s="33">
        <f t="shared" si="981"/>
        <v>0.05962760903</v>
      </c>
      <c r="AV74" s="32">
        <f t="shared" si="981"/>
        <v>0.2593275148</v>
      </c>
      <c r="AW74" s="32">
        <f t="shared" si="981"/>
        <v>0.2960361297</v>
      </c>
      <c r="AX74" s="30"/>
      <c r="AY74" s="34">
        <f t="shared" ref="AY74:BB74" si="982">rank(AQ74,$AQ74:$AT74)</f>
        <v>2</v>
      </c>
      <c r="AZ74" s="34">
        <f t="shared" si="982"/>
        <v>3</v>
      </c>
      <c r="BA74" s="34">
        <f t="shared" si="982"/>
        <v>4</v>
      </c>
      <c r="BB74" s="34">
        <f t="shared" si="982"/>
        <v>1</v>
      </c>
      <c r="BC74" s="35">
        <f t="shared" ref="BC74:BE74" si="983">rank(AU74,$AU74:$AW74)</f>
        <v>3</v>
      </c>
      <c r="BD74" s="34">
        <f t="shared" si="983"/>
        <v>2</v>
      </c>
      <c r="BE74" s="34">
        <f t="shared" si="983"/>
        <v>1</v>
      </c>
      <c r="BF74" s="30"/>
      <c r="BG74" s="36">
        <f t="shared" ref="BG74:BJ74" si="984">if(and($BQ74=0,AY74&lt;=2),0.5,0)</f>
        <v>0</v>
      </c>
      <c r="BH74" s="36">
        <f t="shared" si="984"/>
        <v>0</v>
      </c>
      <c r="BI74" s="36">
        <f t="shared" si="984"/>
        <v>0</v>
      </c>
      <c r="BJ74" s="36">
        <f t="shared" si="984"/>
        <v>0</v>
      </c>
      <c r="BK74" s="37">
        <f t="shared" ref="BK74:BM74" si="985">if(and($BQ74&gt;0,BC74=1),1,0)</f>
        <v>0</v>
      </c>
      <c r="BL74" s="36">
        <f t="shared" si="985"/>
        <v>0</v>
      </c>
      <c r="BM74" s="36">
        <f t="shared" si="985"/>
        <v>1</v>
      </c>
      <c r="BN74" s="38"/>
      <c r="BO74" s="22">
        <f t="shared" si="21"/>
        <v>1</v>
      </c>
      <c r="BP74" s="38"/>
      <c r="BQ74" s="39">
        <f t="shared" si="22"/>
        <v>2</v>
      </c>
      <c r="BR74" s="30"/>
      <c r="BS74" s="36">
        <f t="shared" ref="BS74:BV74" si="986">if(and($BQ74=0,AY74=1),1,0)</f>
        <v>0</v>
      </c>
      <c r="BT74" s="36">
        <f t="shared" si="986"/>
        <v>0</v>
      </c>
      <c r="BU74" s="36">
        <f t="shared" si="986"/>
        <v>0</v>
      </c>
      <c r="BV74" s="36">
        <f t="shared" si="986"/>
        <v>0</v>
      </c>
      <c r="BW74" s="37">
        <f t="shared" ref="BW74:BY74" si="987">if(and($BQ74&gt;0,BC74=1),1,0)</f>
        <v>0</v>
      </c>
      <c r="BX74" s="36">
        <f t="shared" si="987"/>
        <v>0</v>
      </c>
      <c r="BY74" s="36">
        <f t="shared" si="987"/>
        <v>1</v>
      </c>
      <c r="BZ74" s="38"/>
      <c r="CA74" s="22">
        <f t="shared" si="25"/>
        <v>1</v>
      </c>
      <c r="CB74" s="38"/>
      <c r="CC74" s="22">
        <f t="shared" ref="CC74:CI74" si="988">BG73*K74</f>
        <v>0</v>
      </c>
      <c r="CD74" s="22">
        <f t="shared" si="988"/>
        <v>0</v>
      </c>
      <c r="CE74" s="22">
        <f t="shared" si="988"/>
        <v>0</v>
      </c>
      <c r="CF74" s="22">
        <f t="shared" si="988"/>
        <v>0</v>
      </c>
      <c r="CG74" s="22">
        <f t="shared" si="988"/>
        <v>0</v>
      </c>
      <c r="CH74" s="22">
        <f t="shared" si="988"/>
        <v>0</v>
      </c>
      <c r="CI74" s="22">
        <f t="shared" si="988"/>
        <v>0.03883501553</v>
      </c>
      <c r="CJ74" s="38"/>
      <c r="CK74" s="22">
        <f t="shared" ref="CK74:CQ74" si="989">BS73*K74</f>
        <v>0</v>
      </c>
      <c r="CL74" s="22">
        <f t="shared" si="989"/>
        <v>0</v>
      </c>
      <c r="CM74" s="22">
        <f t="shared" si="989"/>
        <v>0</v>
      </c>
      <c r="CN74" s="22">
        <f t="shared" si="989"/>
        <v>0</v>
      </c>
      <c r="CO74" s="22">
        <f t="shared" si="989"/>
        <v>0</v>
      </c>
      <c r="CP74" s="22">
        <f t="shared" si="989"/>
        <v>0</v>
      </c>
      <c r="CQ74" s="22">
        <f t="shared" si="989"/>
        <v>0.03883501553</v>
      </c>
      <c r="CR74" s="44">
        <f t="shared" si="28"/>
        <v>0.03883501553</v>
      </c>
      <c r="CS74" s="45"/>
      <c r="CT74" s="40"/>
      <c r="CU74" s="22">
        <f t="shared" si="792"/>
        <v>1.050143501</v>
      </c>
      <c r="CV74" s="47">
        <v>16.0</v>
      </c>
      <c r="CW74" s="45"/>
      <c r="CX74" s="44">
        <f t="shared" si="29"/>
        <v>0.03883501553</v>
      </c>
      <c r="CY74" s="40"/>
      <c r="CZ74" s="22">
        <f t="shared" si="793"/>
        <v>1.066140351</v>
      </c>
      <c r="DA74" s="47">
        <v>16.0</v>
      </c>
      <c r="DB74" s="45"/>
      <c r="DC74" s="40"/>
      <c r="DD74" s="53">
        <f t="shared" si="30"/>
        <v>149691.5498</v>
      </c>
      <c r="DE74" s="54">
        <f t="shared" si="31"/>
        <v>0.03883501553</v>
      </c>
      <c r="DF74" s="55">
        <f>DD74/DD62-1</f>
        <v>0.04479853558</v>
      </c>
      <c r="DG74" s="40"/>
      <c r="DH74" s="51">
        <f t="shared" si="32"/>
        <v>148031.0733</v>
      </c>
      <c r="DI74" s="52">
        <f t="shared" si="33"/>
        <v>0.03883501553</v>
      </c>
      <c r="DJ74" s="55">
        <f>DH74/DH62-1</f>
        <v>0.06071396516</v>
      </c>
      <c r="DK74" s="40"/>
      <c r="DL74" s="40"/>
      <c r="DM74" s="40"/>
      <c r="DN74" s="42"/>
      <c r="DO74" s="40"/>
      <c r="DP74" s="40"/>
      <c r="DQ74" s="42"/>
      <c r="DR74" s="40"/>
      <c r="DS74" s="40"/>
      <c r="DT74" s="40"/>
      <c r="DU74" s="40"/>
    </row>
    <row r="75" ht="13.5" customHeight="1">
      <c r="A75" s="27">
        <v>21.0</v>
      </c>
      <c r="B75" s="28">
        <f t="shared" si="2"/>
        <v>43738</v>
      </c>
      <c r="C75" s="29">
        <f t="shared" ref="C75:I75" si="990">indirect(CONCATENATE(C$2,"!$G$",$A75))</f>
        <v>265.5441998</v>
      </c>
      <c r="D75" s="29">
        <f t="shared" si="990"/>
        <v>39.52689912</v>
      </c>
      <c r="E75" s="29">
        <f t="shared" si="990"/>
        <v>38.84072751</v>
      </c>
      <c r="F75" s="29">
        <f t="shared" si="990"/>
        <v>81.27749437</v>
      </c>
      <c r="G75" s="29">
        <f t="shared" si="990"/>
        <v>83.41642386</v>
      </c>
      <c r="H75" s="29">
        <f t="shared" si="990"/>
        <v>110.4063488</v>
      </c>
      <c r="I75" s="29">
        <f t="shared" si="990"/>
        <v>121.9595789</v>
      </c>
      <c r="J75" s="30"/>
      <c r="K75" s="32">
        <f t="shared" ref="K75:Q75" si="991">C75/C74-1</f>
        <v>0.01973378096</v>
      </c>
      <c r="L75" s="32">
        <f t="shared" si="991"/>
        <v>0.03156230921</v>
      </c>
      <c r="M75" s="32">
        <f t="shared" si="991"/>
        <v>0.009254389406</v>
      </c>
      <c r="N75" s="32">
        <f t="shared" si="991"/>
        <v>-0.005676169666</v>
      </c>
      <c r="O75" s="32">
        <f t="shared" si="991"/>
        <v>-0.001340910354</v>
      </c>
      <c r="P75" s="32">
        <f t="shared" si="991"/>
        <v>-0.01186208104</v>
      </c>
      <c r="Q75" s="32">
        <f t="shared" si="991"/>
        <v>-0.007555440666</v>
      </c>
      <c r="R75" s="30"/>
      <c r="S75" s="32">
        <f t="shared" ref="S75:Y75" si="992">C75/C72-1</f>
        <v>0.01764998539</v>
      </c>
      <c r="T75" s="32">
        <f t="shared" si="992"/>
        <v>-0.008503165275</v>
      </c>
      <c r="U75" s="32">
        <f t="shared" si="992"/>
        <v>-0.0412913865</v>
      </c>
      <c r="V75" s="32">
        <f t="shared" si="992"/>
        <v>0.02338048798</v>
      </c>
      <c r="W75" s="32">
        <f t="shared" si="992"/>
        <v>0.005820183514</v>
      </c>
      <c r="X75" s="32">
        <f t="shared" si="992"/>
        <v>0.02755874291</v>
      </c>
      <c r="Y75" s="32">
        <f t="shared" si="992"/>
        <v>0.03359520206</v>
      </c>
      <c r="Z75" s="30"/>
      <c r="AA75" s="32">
        <f t="shared" ref="AA75:AG75" si="993">C75/C69-1</f>
        <v>0.06079468616</v>
      </c>
      <c r="AB75" s="32">
        <f t="shared" si="993"/>
        <v>0.02313199574</v>
      </c>
      <c r="AC75" s="32">
        <f t="shared" si="993"/>
        <v>-0.03402521954</v>
      </c>
      <c r="AD75" s="32">
        <f t="shared" si="993"/>
        <v>0.05480415283</v>
      </c>
      <c r="AE75" s="32">
        <f t="shared" si="993"/>
        <v>0.01961481162</v>
      </c>
      <c r="AF75" s="32">
        <f t="shared" si="993"/>
        <v>0.06621039034</v>
      </c>
      <c r="AG75" s="32">
        <f t="shared" si="993"/>
        <v>0.08949851679</v>
      </c>
      <c r="AH75" s="30"/>
      <c r="AI75" s="32">
        <f t="shared" ref="AI75:AO75" si="994">C75/C63-1</f>
        <v>0.04243077326</v>
      </c>
      <c r="AJ75" s="32">
        <f t="shared" si="994"/>
        <v>-0.01907409661</v>
      </c>
      <c r="AK75" s="32">
        <f t="shared" si="994"/>
        <v>0.0102278975</v>
      </c>
      <c r="AL75" s="32">
        <f t="shared" si="994"/>
        <v>0.1040451769</v>
      </c>
      <c r="AM75" s="32">
        <f t="shared" si="994"/>
        <v>0.04284100964</v>
      </c>
      <c r="AN75" s="32">
        <f t="shared" si="994"/>
        <v>0.1381468603</v>
      </c>
      <c r="AO75" s="32">
        <f t="shared" si="994"/>
        <v>0.1500206157</v>
      </c>
      <c r="AP75" s="30"/>
      <c r="AQ75" s="32">
        <f t="shared" ref="AQ75:AW75" si="995">(12*K75+4*S75+2*AA75+AI75)/4</f>
        <v>0.1178563647</v>
      </c>
      <c r="AR75" s="32">
        <f t="shared" si="995"/>
        <v>0.09298123609</v>
      </c>
      <c r="AS75" s="32">
        <f t="shared" si="995"/>
        <v>-0.02798385368</v>
      </c>
      <c r="AT75" s="32">
        <f t="shared" si="995"/>
        <v>0.05976534962</v>
      </c>
      <c r="AU75" s="33">
        <f t="shared" si="995"/>
        <v>0.02231511067</v>
      </c>
      <c r="AV75" s="32">
        <f t="shared" si="995"/>
        <v>0.05961441005</v>
      </c>
      <c r="AW75" s="32">
        <f t="shared" si="995"/>
        <v>0.09318329238</v>
      </c>
      <c r="AX75" s="30"/>
      <c r="AY75" s="34">
        <f t="shared" ref="AY75:BB75" si="996">rank(AQ75,$AQ75:$AT75)</f>
        <v>1</v>
      </c>
      <c r="AZ75" s="34">
        <f t="shared" si="996"/>
        <v>2</v>
      </c>
      <c r="BA75" s="34">
        <f t="shared" si="996"/>
        <v>4</v>
      </c>
      <c r="BB75" s="34">
        <f t="shared" si="996"/>
        <v>3</v>
      </c>
      <c r="BC75" s="35">
        <f t="shared" ref="BC75:BE75" si="997">rank(AU75,$AU75:$AW75)</f>
        <v>3</v>
      </c>
      <c r="BD75" s="34">
        <f t="shared" si="997"/>
        <v>2</v>
      </c>
      <c r="BE75" s="34">
        <f t="shared" si="997"/>
        <v>1</v>
      </c>
      <c r="BF75" s="30"/>
      <c r="BG75" s="36">
        <f t="shared" ref="BG75:BJ75" si="998">if(and($BQ75=0,AY75&lt;=2),0.5,0)</f>
        <v>0</v>
      </c>
      <c r="BH75" s="36">
        <f t="shared" si="998"/>
        <v>0</v>
      </c>
      <c r="BI75" s="36">
        <f t="shared" si="998"/>
        <v>0</v>
      </c>
      <c r="BJ75" s="36">
        <f t="shared" si="998"/>
        <v>0</v>
      </c>
      <c r="BK75" s="37">
        <f t="shared" ref="BK75:BM75" si="999">if(and($BQ75&gt;0,BC75=1),1,0)</f>
        <v>0</v>
      </c>
      <c r="BL75" s="36">
        <f t="shared" si="999"/>
        <v>0</v>
      </c>
      <c r="BM75" s="36">
        <f t="shared" si="999"/>
        <v>1</v>
      </c>
      <c r="BN75" s="38"/>
      <c r="BO75" s="22">
        <f t="shared" si="21"/>
        <v>1</v>
      </c>
      <c r="BP75" s="38"/>
      <c r="BQ75" s="39">
        <f t="shared" si="22"/>
        <v>1</v>
      </c>
      <c r="BR75" s="30"/>
      <c r="BS75" s="36">
        <f t="shared" ref="BS75:BV75" si="1000">if(and($BQ75=0,AY75=1),1,0)</f>
        <v>0</v>
      </c>
      <c r="BT75" s="36">
        <f t="shared" si="1000"/>
        <v>0</v>
      </c>
      <c r="BU75" s="36">
        <f t="shared" si="1000"/>
        <v>0</v>
      </c>
      <c r="BV75" s="36">
        <f t="shared" si="1000"/>
        <v>0</v>
      </c>
      <c r="BW75" s="37">
        <f t="shared" ref="BW75:BY75" si="1001">if(and($BQ75&gt;0,BC75=1),1,0)</f>
        <v>0</v>
      </c>
      <c r="BX75" s="36">
        <f t="shared" si="1001"/>
        <v>0</v>
      </c>
      <c r="BY75" s="36">
        <f t="shared" si="1001"/>
        <v>1</v>
      </c>
      <c r="BZ75" s="38"/>
      <c r="CA75" s="22">
        <f t="shared" si="25"/>
        <v>1</v>
      </c>
      <c r="CB75" s="38"/>
      <c r="CC75" s="22">
        <f t="shared" ref="CC75:CI75" si="1002">BG74*K75</f>
        <v>0</v>
      </c>
      <c r="CD75" s="22">
        <f t="shared" si="1002"/>
        <v>0</v>
      </c>
      <c r="CE75" s="22">
        <f t="shared" si="1002"/>
        <v>0</v>
      </c>
      <c r="CF75" s="22">
        <f t="shared" si="1002"/>
        <v>0</v>
      </c>
      <c r="CG75" s="22">
        <f t="shared" si="1002"/>
        <v>0</v>
      </c>
      <c r="CH75" s="22">
        <f t="shared" si="1002"/>
        <v>0</v>
      </c>
      <c r="CI75" s="22">
        <f t="shared" si="1002"/>
        <v>-0.007555440666</v>
      </c>
      <c r="CJ75" s="38"/>
      <c r="CK75" s="22">
        <f t="shared" ref="CK75:CQ75" si="1003">BS74*K75</f>
        <v>0</v>
      </c>
      <c r="CL75" s="22">
        <f t="shared" si="1003"/>
        <v>0</v>
      </c>
      <c r="CM75" s="22">
        <f t="shared" si="1003"/>
        <v>0</v>
      </c>
      <c r="CN75" s="22">
        <f t="shared" si="1003"/>
        <v>0</v>
      </c>
      <c r="CO75" s="22">
        <f t="shared" si="1003"/>
        <v>0</v>
      </c>
      <c r="CP75" s="22">
        <f t="shared" si="1003"/>
        <v>0</v>
      </c>
      <c r="CQ75" s="22">
        <f t="shared" si="1003"/>
        <v>-0.007555440666</v>
      </c>
      <c r="CR75" s="44">
        <f t="shared" si="28"/>
        <v>-0.007555440666</v>
      </c>
      <c r="CS75" s="45"/>
      <c r="CT75" s="40"/>
      <c r="CU75" s="22">
        <f t="shared" si="792"/>
        <v>1.042209204</v>
      </c>
      <c r="CV75" s="47">
        <v>17.0</v>
      </c>
      <c r="CW75" s="45"/>
      <c r="CX75" s="44">
        <f t="shared" si="29"/>
        <v>-0.007555440666</v>
      </c>
      <c r="CY75" s="40"/>
      <c r="CZ75" s="22">
        <f t="shared" si="793"/>
        <v>1.05808519</v>
      </c>
      <c r="DA75" s="47">
        <v>17.0</v>
      </c>
      <c r="DB75" s="45"/>
      <c r="DC75" s="40"/>
      <c r="DD75" s="48">
        <f t="shared" si="30"/>
        <v>148560.5642</v>
      </c>
      <c r="DE75" s="49">
        <f t="shared" si="31"/>
        <v>-0.007555440666</v>
      </c>
      <c r="DF75" s="50"/>
      <c r="DG75" s="40"/>
      <c r="DH75" s="51">
        <f t="shared" si="32"/>
        <v>146912.6333</v>
      </c>
      <c r="DI75" s="52">
        <f t="shared" si="33"/>
        <v>-0.007555440666</v>
      </c>
      <c r="DJ75" s="50"/>
      <c r="DK75" s="40"/>
      <c r="DL75" s="40"/>
      <c r="DM75" s="40"/>
      <c r="DN75" s="42"/>
      <c r="DO75" s="40"/>
      <c r="DP75" s="40"/>
      <c r="DQ75" s="42"/>
      <c r="DR75" s="40"/>
      <c r="DS75" s="40"/>
      <c r="DT75" s="40"/>
      <c r="DU75" s="40"/>
    </row>
    <row r="76" ht="13.5" customHeight="1">
      <c r="A76" s="27">
        <v>20.0</v>
      </c>
      <c r="B76" s="28">
        <f t="shared" si="2"/>
        <v>43769</v>
      </c>
      <c r="C76" s="29">
        <f t="shared" ref="C76:I76" si="1004">indirect(CONCATENATE(C$2,"!$G$",$A76))</f>
        <v>271.3401939</v>
      </c>
      <c r="D76" s="29">
        <f t="shared" si="1004"/>
        <v>40.79699423</v>
      </c>
      <c r="E76" s="29">
        <f t="shared" si="1004"/>
        <v>40.37467576</v>
      </c>
      <c r="F76" s="29">
        <f t="shared" si="1004"/>
        <v>81.52975374</v>
      </c>
      <c r="G76" s="29">
        <f t="shared" si="1004"/>
        <v>83.67730494</v>
      </c>
      <c r="H76" s="29">
        <f t="shared" si="1004"/>
        <v>110.6130604</v>
      </c>
      <c r="I76" s="29">
        <f t="shared" si="1004"/>
        <v>122.5017041</v>
      </c>
      <c r="J76" s="30"/>
      <c r="K76" s="32">
        <f t="shared" ref="K76:Q76" si="1005">C76/C75-1</f>
        <v>0.02182685253</v>
      </c>
      <c r="L76" s="32">
        <f t="shared" si="1005"/>
        <v>0.03213242454</v>
      </c>
      <c r="M76" s="32">
        <f t="shared" si="1005"/>
        <v>0.03949329359</v>
      </c>
      <c r="N76" s="32">
        <f t="shared" si="1005"/>
        <v>0.003103680441</v>
      </c>
      <c r="O76" s="32">
        <f t="shared" si="1005"/>
        <v>0.003127454617</v>
      </c>
      <c r="P76" s="32">
        <f t="shared" si="1005"/>
        <v>0.001872280527</v>
      </c>
      <c r="Q76" s="32">
        <f t="shared" si="1005"/>
        <v>0.004445122277</v>
      </c>
      <c r="R76" s="30"/>
      <c r="S76" s="32">
        <f t="shared" ref="S76:Y76" si="1006">C76/C73-1</f>
        <v>0.02489702376</v>
      </c>
      <c r="T76" s="32">
        <f t="shared" si="1006"/>
        <v>0.0446446425</v>
      </c>
      <c r="U76" s="32">
        <f t="shared" si="1006"/>
        <v>0.01494664848</v>
      </c>
      <c r="V76" s="32">
        <f t="shared" si="1006"/>
        <v>0.02501718384</v>
      </c>
      <c r="W76" s="32">
        <f t="shared" si="1006"/>
        <v>0.009609535044</v>
      </c>
      <c r="X76" s="32">
        <f t="shared" si="1006"/>
        <v>0.02908412424</v>
      </c>
      <c r="Y76" s="32">
        <f t="shared" si="1006"/>
        <v>0.03556901876</v>
      </c>
      <c r="Z76" s="30"/>
      <c r="AA76" s="32">
        <f t="shared" ref="AA76:AG76" si="1007">C76/C70-1</f>
        <v>0.04191693819</v>
      </c>
      <c r="AB76" s="32">
        <f t="shared" si="1007"/>
        <v>0.02686259816</v>
      </c>
      <c r="AC76" s="32">
        <f t="shared" si="1007"/>
        <v>-0.01692506317</v>
      </c>
      <c r="AD76" s="32">
        <f t="shared" si="1007"/>
        <v>0.0583340973</v>
      </c>
      <c r="AE76" s="32">
        <f t="shared" si="1007"/>
        <v>0.02093154273</v>
      </c>
      <c r="AF76" s="32">
        <f t="shared" si="1007"/>
        <v>0.07376091027</v>
      </c>
      <c r="AG76" s="32">
        <f t="shared" si="1007"/>
        <v>0.08957483482</v>
      </c>
      <c r="AH76" s="30"/>
      <c r="AI76" s="32">
        <f t="shared" ref="AI76:AO76" si="1008">C76/C64-1</f>
        <v>0.1433631659</v>
      </c>
      <c r="AJ76" s="32">
        <f t="shared" si="1008"/>
        <v>0.1076741795</v>
      </c>
      <c r="AK76" s="32">
        <f t="shared" si="1008"/>
        <v>0.1372194956</v>
      </c>
      <c r="AL76" s="32">
        <f t="shared" si="1008"/>
        <v>0.1170930373</v>
      </c>
      <c r="AM76" s="32">
        <f t="shared" si="1008"/>
        <v>0.04450375382</v>
      </c>
      <c r="AN76" s="32">
        <f t="shared" si="1008"/>
        <v>0.1437357274</v>
      </c>
      <c r="AO76" s="32">
        <f t="shared" si="1008"/>
        <v>0.1792949741</v>
      </c>
      <c r="AP76" s="30"/>
      <c r="AQ76" s="32">
        <f t="shared" ref="AQ76:AW76" si="1009">(12*K76+4*S76+2*AA76+AI76)/4</f>
        <v>0.1471768419</v>
      </c>
      <c r="AR76" s="32">
        <f t="shared" si="1009"/>
        <v>0.1813917601</v>
      </c>
      <c r="AS76" s="32">
        <f t="shared" si="1009"/>
        <v>0.1592688716</v>
      </c>
      <c r="AT76" s="32">
        <f t="shared" si="1009"/>
        <v>0.09276853312</v>
      </c>
      <c r="AU76" s="33">
        <f t="shared" si="1009"/>
        <v>0.04058360872</v>
      </c>
      <c r="AV76" s="32">
        <f t="shared" si="1009"/>
        <v>0.1075153528</v>
      </c>
      <c r="AW76" s="32">
        <f t="shared" si="1009"/>
        <v>0.1385155465</v>
      </c>
      <c r="AX76" s="30"/>
      <c r="AY76" s="34">
        <f t="shared" ref="AY76:BB76" si="1010">rank(AQ76,$AQ76:$AT76)</f>
        <v>3</v>
      </c>
      <c r="AZ76" s="34">
        <f t="shared" si="1010"/>
        <v>1</v>
      </c>
      <c r="BA76" s="34">
        <f t="shared" si="1010"/>
        <v>2</v>
      </c>
      <c r="BB76" s="34">
        <f t="shared" si="1010"/>
        <v>4</v>
      </c>
      <c r="BC76" s="35">
        <f t="shared" ref="BC76:BE76" si="1011">rank(AU76,$AU76:$AW76)</f>
        <v>3</v>
      </c>
      <c r="BD76" s="34">
        <f t="shared" si="1011"/>
        <v>2</v>
      </c>
      <c r="BE76" s="34">
        <f t="shared" si="1011"/>
        <v>1</v>
      </c>
      <c r="BF76" s="30"/>
      <c r="BG76" s="36">
        <f t="shared" ref="BG76:BJ76" si="1012">if(and($BQ76=0,AY76&lt;=2),0.5,0)</f>
        <v>0</v>
      </c>
      <c r="BH76" s="36">
        <f t="shared" si="1012"/>
        <v>0.5</v>
      </c>
      <c r="BI76" s="36">
        <f t="shared" si="1012"/>
        <v>0.5</v>
      </c>
      <c r="BJ76" s="36">
        <f t="shared" si="1012"/>
        <v>0</v>
      </c>
      <c r="BK76" s="37">
        <f t="shared" ref="BK76:BM76" si="1013">if(and($BQ76&gt;0,BC76=1),1,0)</f>
        <v>0</v>
      </c>
      <c r="BL76" s="36">
        <f t="shared" si="1013"/>
        <v>0</v>
      </c>
      <c r="BM76" s="36">
        <f t="shared" si="1013"/>
        <v>0</v>
      </c>
      <c r="BN76" s="38"/>
      <c r="BO76" s="22">
        <f t="shared" si="21"/>
        <v>1</v>
      </c>
      <c r="BP76" s="38"/>
      <c r="BQ76" s="39">
        <f t="shared" si="22"/>
        <v>0</v>
      </c>
      <c r="BR76" s="30"/>
      <c r="BS76" s="36">
        <f t="shared" ref="BS76:BV76" si="1014">if(and($BQ76=0,AY76=1),1,0)</f>
        <v>0</v>
      </c>
      <c r="BT76" s="36">
        <f t="shared" si="1014"/>
        <v>1</v>
      </c>
      <c r="BU76" s="36">
        <f t="shared" si="1014"/>
        <v>0</v>
      </c>
      <c r="BV76" s="36">
        <f t="shared" si="1014"/>
        <v>0</v>
      </c>
      <c r="BW76" s="37">
        <f t="shared" ref="BW76:BY76" si="1015">if(and($BQ76&gt;0,BC76=1),1,0)</f>
        <v>0</v>
      </c>
      <c r="BX76" s="36">
        <f t="shared" si="1015"/>
        <v>0</v>
      </c>
      <c r="BY76" s="36">
        <f t="shared" si="1015"/>
        <v>0</v>
      </c>
      <c r="BZ76" s="38"/>
      <c r="CA76" s="22">
        <f t="shared" si="25"/>
        <v>1</v>
      </c>
      <c r="CB76" s="38"/>
      <c r="CC76" s="22">
        <f t="shared" ref="CC76:CI76" si="1016">BG75*K76</f>
        <v>0</v>
      </c>
      <c r="CD76" s="22">
        <f t="shared" si="1016"/>
        <v>0</v>
      </c>
      <c r="CE76" s="22">
        <f t="shared" si="1016"/>
        <v>0</v>
      </c>
      <c r="CF76" s="22">
        <f t="shared" si="1016"/>
        <v>0</v>
      </c>
      <c r="CG76" s="22">
        <f t="shared" si="1016"/>
        <v>0</v>
      </c>
      <c r="CH76" s="22">
        <f t="shared" si="1016"/>
        <v>0</v>
      </c>
      <c r="CI76" s="22">
        <f t="shared" si="1016"/>
        <v>0.004445122277</v>
      </c>
      <c r="CJ76" s="38"/>
      <c r="CK76" s="22">
        <f t="shared" ref="CK76:CQ76" si="1017">BS75*K76</f>
        <v>0</v>
      </c>
      <c r="CL76" s="22">
        <f t="shared" si="1017"/>
        <v>0</v>
      </c>
      <c r="CM76" s="22">
        <f t="shared" si="1017"/>
        <v>0</v>
      </c>
      <c r="CN76" s="22">
        <f t="shared" si="1017"/>
        <v>0</v>
      </c>
      <c r="CO76" s="22">
        <f t="shared" si="1017"/>
        <v>0</v>
      </c>
      <c r="CP76" s="22">
        <f t="shared" si="1017"/>
        <v>0</v>
      </c>
      <c r="CQ76" s="22">
        <f t="shared" si="1017"/>
        <v>0.004445122277</v>
      </c>
      <c r="CR76" s="44">
        <f t="shared" si="28"/>
        <v>0.004445122277</v>
      </c>
      <c r="CS76" s="45"/>
      <c r="CT76" s="40"/>
      <c r="CU76" s="22">
        <f t="shared" si="792"/>
        <v>1.046841952</v>
      </c>
      <c r="CV76" s="47">
        <v>18.0</v>
      </c>
      <c r="CW76" s="45"/>
      <c r="CX76" s="44">
        <f t="shared" si="29"/>
        <v>0.004445122277</v>
      </c>
      <c r="CY76" s="40"/>
      <c r="CZ76" s="22">
        <f t="shared" si="793"/>
        <v>1.062788508</v>
      </c>
      <c r="DA76" s="47">
        <v>18.0</v>
      </c>
      <c r="DB76" s="45"/>
      <c r="DC76" s="40"/>
      <c r="DD76" s="48">
        <f t="shared" si="30"/>
        <v>149220.934</v>
      </c>
      <c r="DE76" s="49">
        <f t="shared" si="31"/>
        <v>0.004445122277</v>
      </c>
      <c r="DF76" s="50"/>
      <c r="DG76" s="40"/>
      <c r="DH76" s="51">
        <f t="shared" si="32"/>
        <v>147565.6779</v>
      </c>
      <c r="DI76" s="52">
        <f t="shared" si="33"/>
        <v>0.004445122277</v>
      </c>
      <c r="DJ76" s="50"/>
      <c r="DK76" s="40"/>
      <c r="DL76" s="40"/>
      <c r="DM76" s="40"/>
      <c r="DN76" s="42"/>
      <c r="DO76" s="40"/>
      <c r="DP76" s="40"/>
      <c r="DQ76" s="42"/>
      <c r="DR76" s="40"/>
      <c r="DS76" s="40"/>
      <c r="DT76" s="40"/>
      <c r="DU76" s="40"/>
    </row>
    <row r="77" ht="13.5" customHeight="1">
      <c r="A77" s="27">
        <v>19.0</v>
      </c>
      <c r="B77" s="28">
        <f t="shared" si="2"/>
        <v>43798</v>
      </c>
      <c r="C77" s="29">
        <f t="shared" ref="C77:I77" si="1018">indirect(CONCATENATE(C$2,"!$G$",$A77))</f>
        <v>281.1787721</v>
      </c>
      <c r="D77" s="29">
        <f t="shared" si="1018"/>
        <v>41.34544438</v>
      </c>
      <c r="E77" s="29">
        <f t="shared" si="1018"/>
        <v>40.5772727</v>
      </c>
      <c r="F77" s="29">
        <f t="shared" si="1018"/>
        <v>81.49636714</v>
      </c>
      <c r="G77" s="29">
        <f t="shared" si="1018"/>
        <v>83.63748209</v>
      </c>
      <c r="H77" s="29">
        <f t="shared" si="1018"/>
        <v>109.853321</v>
      </c>
      <c r="I77" s="29">
        <f t="shared" si="1018"/>
        <v>123.0833625</v>
      </c>
      <c r="J77" s="30"/>
      <c r="K77" s="32">
        <f t="shared" ref="K77:Q77" si="1019">C77/C76-1</f>
        <v>0.03625919943</v>
      </c>
      <c r="L77" s="32">
        <f t="shared" si="1019"/>
        <v>0.01344339623</v>
      </c>
      <c r="M77" s="32">
        <f t="shared" si="1019"/>
        <v>0.005017921147</v>
      </c>
      <c r="N77" s="32">
        <f t="shared" si="1019"/>
        <v>-0.0004095020869</v>
      </c>
      <c r="O77" s="32">
        <f t="shared" si="1019"/>
        <v>-0.0004759097737</v>
      </c>
      <c r="P77" s="32">
        <f t="shared" si="1019"/>
        <v>-0.006868441745</v>
      </c>
      <c r="Q77" s="32">
        <f t="shared" si="1019"/>
        <v>0.004748165848</v>
      </c>
      <c r="R77" s="30"/>
      <c r="S77" s="32">
        <f t="shared" ref="S77:Y77" si="1020">C77/C74-1</f>
        <v>0.07977313234</v>
      </c>
      <c r="T77" s="32">
        <f t="shared" si="1020"/>
        <v>0.07902221098</v>
      </c>
      <c r="U77" s="32">
        <f t="shared" si="1020"/>
        <v>0.05437753647</v>
      </c>
      <c r="V77" s="32">
        <f t="shared" si="1020"/>
        <v>-0.002998547675</v>
      </c>
      <c r="W77" s="32">
        <f t="shared" si="1020"/>
        <v>0.001305592615</v>
      </c>
      <c r="X77" s="32">
        <f t="shared" si="1020"/>
        <v>-0.0168116845</v>
      </c>
      <c r="Y77" s="32">
        <f t="shared" si="1020"/>
        <v>0.001589334828</v>
      </c>
      <c r="Z77" s="30"/>
      <c r="AA77" s="32">
        <f t="shared" ref="AA77:AG77" si="1021">C77/C71-1</f>
        <v>0.1528798207</v>
      </c>
      <c r="AB77" s="32">
        <f t="shared" si="1021"/>
        <v>0.09787246509</v>
      </c>
      <c r="AC77" s="32">
        <f t="shared" si="1021"/>
        <v>0.05535000524</v>
      </c>
      <c r="AD77" s="32">
        <f t="shared" si="1021"/>
        <v>0.03892984254</v>
      </c>
      <c r="AE77" s="32">
        <f t="shared" si="1021"/>
        <v>0.01312659229</v>
      </c>
      <c r="AF77" s="32">
        <f t="shared" si="1021"/>
        <v>0.03484165245</v>
      </c>
      <c r="AG77" s="32">
        <f t="shared" si="1021"/>
        <v>0.07697448752</v>
      </c>
      <c r="AH77" s="30"/>
      <c r="AI77" s="32">
        <f t="shared" ref="AI77:AO77" si="1022">C77/C65-1</f>
        <v>0.1628985199</v>
      </c>
      <c r="AJ77" s="32">
        <f t="shared" si="1022"/>
        <v>0.1169169561</v>
      </c>
      <c r="AK77" s="32">
        <f t="shared" si="1022"/>
        <v>0.09022870623</v>
      </c>
      <c r="AL77" s="32">
        <f t="shared" si="1022"/>
        <v>0.1095760995</v>
      </c>
      <c r="AM77" s="32">
        <f t="shared" si="1022"/>
        <v>0.0400507344</v>
      </c>
      <c r="AN77" s="32">
        <f t="shared" si="1022"/>
        <v>0.1209706296</v>
      </c>
      <c r="AO77" s="32">
        <f t="shared" si="1022"/>
        <v>0.1891656669</v>
      </c>
      <c r="AP77" s="30"/>
      <c r="AQ77" s="32">
        <f t="shared" ref="AQ77:AW77" si="1023">(12*K77+4*S77+2*AA77+AI77)/4</f>
        <v>0.3057152709</v>
      </c>
      <c r="AR77" s="32">
        <f t="shared" si="1023"/>
        <v>0.1975178712</v>
      </c>
      <c r="AS77" s="32">
        <f t="shared" si="1023"/>
        <v>0.1196634791</v>
      </c>
      <c r="AT77" s="32">
        <f t="shared" si="1023"/>
        <v>0.04263189221</v>
      </c>
      <c r="AU77" s="33">
        <f t="shared" si="1023"/>
        <v>0.01645384304</v>
      </c>
      <c r="AV77" s="32">
        <f t="shared" si="1023"/>
        <v>0.0102464739</v>
      </c>
      <c r="AW77" s="32">
        <f t="shared" si="1023"/>
        <v>0.1016124928</v>
      </c>
      <c r="AX77" s="30"/>
      <c r="AY77" s="34">
        <f t="shared" ref="AY77:BB77" si="1024">rank(AQ77,$AQ77:$AT77)</f>
        <v>1</v>
      </c>
      <c r="AZ77" s="34">
        <f t="shared" si="1024"/>
        <v>2</v>
      </c>
      <c r="BA77" s="34">
        <f t="shared" si="1024"/>
        <v>3</v>
      </c>
      <c r="BB77" s="34">
        <f t="shared" si="1024"/>
        <v>4</v>
      </c>
      <c r="BC77" s="35">
        <f t="shared" ref="BC77:BE77" si="1025">rank(AU77,$AU77:$AW77)</f>
        <v>2</v>
      </c>
      <c r="BD77" s="34">
        <f t="shared" si="1025"/>
        <v>3</v>
      </c>
      <c r="BE77" s="34">
        <f t="shared" si="1025"/>
        <v>1</v>
      </c>
      <c r="BF77" s="30"/>
      <c r="BG77" s="36">
        <f t="shared" ref="BG77:BJ77" si="1026">if(and($BQ77=0,AY77&lt;=2),0.5,0)</f>
        <v>0.5</v>
      </c>
      <c r="BH77" s="36">
        <f t="shared" si="1026"/>
        <v>0.5</v>
      </c>
      <c r="BI77" s="36">
        <f t="shared" si="1026"/>
        <v>0</v>
      </c>
      <c r="BJ77" s="36">
        <f t="shared" si="1026"/>
        <v>0</v>
      </c>
      <c r="BK77" s="37">
        <f t="shared" ref="BK77:BM77" si="1027">if(and($BQ77&gt;0,BC77=1),1,0)</f>
        <v>0</v>
      </c>
      <c r="BL77" s="36">
        <f t="shared" si="1027"/>
        <v>0</v>
      </c>
      <c r="BM77" s="36">
        <f t="shared" si="1027"/>
        <v>0</v>
      </c>
      <c r="BN77" s="38"/>
      <c r="BO77" s="22">
        <f t="shared" si="21"/>
        <v>1</v>
      </c>
      <c r="BP77" s="38"/>
      <c r="BQ77" s="39">
        <f t="shared" si="22"/>
        <v>0</v>
      </c>
      <c r="BR77" s="30"/>
      <c r="BS77" s="36">
        <f t="shared" ref="BS77:BV77" si="1028">if(and($BQ77=0,AY77=1),1,0)</f>
        <v>1</v>
      </c>
      <c r="BT77" s="36">
        <f t="shared" si="1028"/>
        <v>0</v>
      </c>
      <c r="BU77" s="36">
        <f t="shared" si="1028"/>
        <v>0</v>
      </c>
      <c r="BV77" s="36">
        <f t="shared" si="1028"/>
        <v>0</v>
      </c>
      <c r="BW77" s="37">
        <f t="shared" ref="BW77:BY77" si="1029">if(and($BQ77&gt;0,BC77=1),1,0)</f>
        <v>0</v>
      </c>
      <c r="BX77" s="36">
        <f t="shared" si="1029"/>
        <v>0</v>
      </c>
      <c r="BY77" s="36">
        <f t="shared" si="1029"/>
        <v>0</v>
      </c>
      <c r="BZ77" s="38"/>
      <c r="CA77" s="22">
        <f t="shared" si="25"/>
        <v>1</v>
      </c>
      <c r="CB77" s="38"/>
      <c r="CC77" s="22">
        <f t="shared" ref="CC77:CI77" si="1030">BG76*K77</f>
        <v>0</v>
      </c>
      <c r="CD77" s="22">
        <f t="shared" si="1030"/>
        <v>0.006721698113</v>
      </c>
      <c r="CE77" s="22">
        <f t="shared" si="1030"/>
        <v>0.002508960573</v>
      </c>
      <c r="CF77" s="22">
        <f t="shared" si="1030"/>
        <v>0</v>
      </c>
      <c r="CG77" s="22">
        <f t="shared" si="1030"/>
        <v>0</v>
      </c>
      <c r="CH77" s="22">
        <f t="shared" si="1030"/>
        <v>0</v>
      </c>
      <c r="CI77" s="22">
        <f t="shared" si="1030"/>
        <v>0</v>
      </c>
      <c r="CJ77" s="38"/>
      <c r="CK77" s="22">
        <f t="shared" ref="CK77:CQ77" si="1031">BS76*K77</f>
        <v>0</v>
      </c>
      <c r="CL77" s="22">
        <f t="shared" si="1031"/>
        <v>0.01344339623</v>
      </c>
      <c r="CM77" s="22">
        <f t="shared" si="1031"/>
        <v>0</v>
      </c>
      <c r="CN77" s="22">
        <f t="shared" si="1031"/>
        <v>0</v>
      </c>
      <c r="CO77" s="22">
        <f t="shared" si="1031"/>
        <v>0</v>
      </c>
      <c r="CP77" s="22">
        <f t="shared" si="1031"/>
        <v>0</v>
      </c>
      <c r="CQ77" s="22">
        <f t="shared" si="1031"/>
        <v>0</v>
      </c>
      <c r="CR77" s="44">
        <f t="shared" si="28"/>
        <v>0.009230658687</v>
      </c>
      <c r="CS77" s="45"/>
      <c r="CT77" s="40"/>
      <c r="CU77" s="22">
        <f t="shared" si="792"/>
        <v>1.056504992</v>
      </c>
      <c r="CV77" s="47">
        <v>19.0</v>
      </c>
      <c r="CW77" s="45"/>
      <c r="CX77" s="44">
        <f t="shared" si="29"/>
        <v>0.01344339623</v>
      </c>
      <c r="CY77" s="40"/>
      <c r="CZ77" s="22">
        <f t="shared" si="793"/>
        <v>1.077075995</v>
      </c>
      <c r="DA77" s="47">
        <v>19.0</v>
      </c>
      <c r="DB77" s="45"/>
      <c r="DC77" s="40"/>
      <c r="DD77" s="48">
        <f t="shared" si="30"/>
        <v>150598.3416</v>
      </c>
      <c r="DE77" s="49">
        <f t="shared" si="31"/>
        <v>0.009230658687</v>
      </c>
      <c r="DF77" s="50"/>
      <c r="DG77" s="40"/>
      <c r="DH77" s="51">
        <f t="shared" si="32"/>
        <v>149549.4618</v>
      </c>
      <c r="DI77" s="52">
        <f t="shared" si="33"/>
        <v>0.01344339623</v>
      </c>
      <c r="DJ77" s="50"/>
      <c r="DK77" s="40"/>
      <c r="DL77" s="40"/>
      <c r="DM77" s="40"/>
      <c r="DN77" s="42"/>
      <c r="DO77" s="40"/>
      <c r="DP77" s="40"/>
      <c r="DQ77" s="42"/>
      <c r="DR77" s="40"/>
      <c r="DS77" s="40"/>
      <c r="DT77" s="40"/>
      <c r="DU77" s="40"/>
    </row>
    <row r="78" ht="13.5" customHeight="1">
      <c r="A78" s="27">
        <v>18.0</v>
      </c>
      <c r="B78" s="28">
        <f t="shared" si="2"/>
        <v>43830</v>
      </c>
      <c r="C78" s="29">
        <f t="shared" ref="C78:I78" si="1032">indirect(CONCATENATE(C$2,"!$G$",$A78))</f>
        <v>289.5387371</v>
      </c>
      <c r="D78" s="29">
        <f t="shared" si="1032"/>
        <v>42.8195306</v>
      </c>
      <c r="E78" s="29">
        <f t="shared" si="1032"/>
        <v>43.44465645</v>
      </c>
      <c r="F78" s="29">
        <f t="shared" si="1032"/>
        <v>81.43638258</v>
      </c>
      <c r="G78" s="29">
        <f t="shared" si="1032"/>
        <v>83.76680785</v>
      </c>
      <c r="H78" s="29">
        <f t="shared" si="1032"/>
        <v>108.8348011</v>
      </c>
      <c r="I78" s="29">
        <f t="shared" si="1032"/>
        <v>123.733806</v>
      </c>
      <c r="J78" s="30"/>
      <c r="K78" s="32">
        <f t="shared" ref="K78:Q78" si="1033">C78/C77-1</f>
        <v>0.02973185007</v>
      </c>
      <c r="L78" s="32">
        <f t="shared" si="1033"/>
        <v>0.03565292958</v>
      </c>
      <c r="M78" s="32">
        <f t="shared" si="1033"/>
        <v>0.07066477258</v>
      </c>
      <c r="N78" s="32">
        <f t="shared" si="1033"/>
        <v>-0.0007360396509</v>
      </c>
      <c r="O78" s="32">
        <f t="shared" si="1033"/>
        <v>0.001546265546</v>
      </c>
      <c r="P78" s="32">
        <f t="shared" si="1033"/>
        <v>-0.009271635036</v>
      </c>
      <c r="Q78" s="32">
        <f t="shared" si="1033"/>
        <v>0.005284576758</v>
      </c>
      <c r="R78" s="30"/>
      <c r="S78" s="32">
        <f t="shared" ref="S78:Y78" si="1034">C78/C75-1</f>
        <v>0.09035986252</v>
      </c>
      <c r="T78" s="32">
        <f t="shared" si="1034"/>
        <v>0.08330103174</v>
      </c>
      <c r="U78" s="32">
        <f t="shared" si="1034"/>
        <v>0.1185335404</v>
      </c>
      <c r="V78" s="32">
        <f t="shared" si="1034"/>
        <v>0.001954885652</v>
      </c>
      <c r="W78" s="32">
        <f t="shared" si="1034"/>
        <v>0.004200419694</v>
      </c>
      <c r="X78" s="32">
        <f t="shared" si="1034"/>
        <v>-0.01423421409</v>
      </c>
      <c r="Y78" s="32">
        <f t="shared" si="1034"/>
        <v>0.01454766523</v>
      </c>
      <c r="Z78" s="30"/>
      <c r="AA78" s="32">
        <f t="shared" ref="AA78:AG78" si="1035">C78/C72-1</f>
        <v>0.1096046982</v>
      </c>
      <c r="AB78" s="32">
        <f t="shared" si="1035"/>
        <v>0.07408954403</v>
      </c>
      <c r="AC78" s="32">
        <f t="shared" si="1035"/>
        <v>0.07234773962</v>
      </c>
      <c r="AD78" s="32">
        <f t="shared" si="1035"/>
        <v>0.02538107981</v>
      </c>
      <c r="AE78" s="32">
        <f t="shared" si="1035"/>
        <v>0.01004505042</v>
      </c>
      <c r="AF78" s="32">
        <f t="shared" si="1035"/>
        <v>0.01293225178</v>
      </c>
      <c r="AG78" s="32">
        <f t="shared" si="1035"/>
        <v>0.04863159905</v>
      </c>
      <c r="AH78" s="30"/>
      <c r="AI78" s="32">
        <f t="shared" ref="AI78:AO78" si="1036">C78/C66-1</f>
        <v>0.3135515401</v>
      </c>
      <c r="AJ78" s="32">
        <f t="shared" si="1036"/>
        <v>0.2262345205</v>
      </c>
      <c r="AK78" s="32">
        <f t="shared" si="1036"/>
        <v>0.2075983478</v>
      </c>
      <c r="AL78" s="32">
        <f t="shared" si="1036"/>
        <v>0.08835973137</v>
      </c>
      <c r="AM78" s="32">
        <f t="shared" si="1036"/>
        <v>0.03380220893</v>
      </c>
      <c r="AN78" s="32">
        <f t="shared" si="1036"/>
        <v>0.08029483241</v>
      </c>
      <c r="AO78" s="32">
        <f t="shared" si="1036"/>
        <v>0.1736617156</v>
      </c>
      <c r="AP78" s="30"/>
      <c r="AQ78" s="32">
        <f t="shared" ref="AQ78:AW78" si="1037">(12*K78+4*S78+2*AA78+AI78)/4</f>
        <v>0.3127456468</v>
      </c>
      <c r="AR78" s="32">
        <f t="shared" si="1037"/>
        <v>0.2838632226</v>
      </c>
      <c r="AS78" s="32">
        <f t="shared" si="1037"/>
        <v>0.4186013148</v>
      </c>
      <c r="AT78" s="32">
        <f t="shared" si="1037"/>
        <v>0.03452723945</v>
      </c>
      <c r="AU78" s="33">
        <f t="shared" si="1037"/>
        <v>0.02231229378</v>
      </c>
      <c r="AV78" s="32">
        <f t="shared" si="1037"/>
        <v>-0.01550928521</v>
      </c>
      <c r="AW78" s="32">
        <f t="shared" si="1037"/>
        <v>0.09813262393</v>
      </c>
      <c r="AX78" s="30"/>
      <c r="AY78" s="34">
        <f t="shared" ref="AY78:BB78" si="1038">rank(AQ78,$AQ78:$AT78)</f>
        <v>2</v>
      </c>
      <c r="AZ78" s="34">
        <f t="shared" si="1038"/>
        <v>3</v>
      </c>
      <c r="BA78" s="34">
        <f t="shared" si="1038"/>
        <v>1</v>
      </c>
      <c r="BB78" s="34">
        <f t="shared" si="1038"/>
        <v>4</v>
      </c>
      <c r="BC78" s="35">
        <f t="shared" ref="BC78:BE78" si="1039">rank(AU78,$AU78:$AW78)</f>
        <v>2</v>
      </c>
      <c r="BD78" s="34">
        <f t="shared" si="1039"/>
        <v>3</v>
      </c>
      <c r="BE78" s="34">
        <f t="shared" si="1039"/>
        <v>1</v>
      </c>
      <c r="BF78" s="30"/>
      <c r="BG78" s="36">
        <f t="shared" ref="BG78:BJ78" si="1040">if(and($BQ78=0,AY78&lt;=2),0.5,0)</f>
        <v>0.5</v>
      </c>
      <c r="BH78" s="36">
        <f t="shared" si="1040"/>
        <v>0</v>
      </c>
      <c r="BI78" s="36">
        <f t="shared" si="1040"/>
        <v>0.5</v>
      </c>
      <c r="BJ78" s="36">
        <f t="shared" si="1040"/>
        <v>0</v>
      </c>
      <c r="BK78" s="37">
        <f t="shared" ref="BK78:BM78" si="1041">if(and($BQ78&gt;0,BC78=1),1,0)</f>
        <v>0</v>
      </c>
      <c r="BL78" s="36">
        <f t="shared" si="1041"/>
        <v>0</v>
      </c>
      <c r="BM78" s="36">
        <f t="shared" si="1041"/>
        <v>0</v>
      </c>
      <c r="BN78" s="38"/>
      <c r="BO78" s="22">
        <f t="shared" si="21"/>
        <v>1</v>
      </c>
      <c r="BP78" s="38"/>
      <c r="BQ78" s="39">
        <f t="shared" si="22"/>
        <v>0</v>
      </c>
      <c r="BR78" s="30"/>
      <c r="BS78" s="36">
        <f t="shared" ref="BS78:BV78" si="1042">if(and($BQ78=0,AY78=1),1,0)</f>
        <v>0</v>
      </c>
      <c r="BT78" s="36">
        <f t="shared" si="1042"/>
        <v>0</v>
      </c>
      <c r="BU78" s="36">
        <f t="shared" si="1042"/>
        <v>1</v>
      </c>
      <c r="BV78" s="36">
        <f t="shared" si="1042"/>
        <v>0</v>
      </c>
      <c r="BW78" s="37">
        <f t="shared" ref="BW78:BY78" si="1043">if(and($BQ78&gt;0,BC78=1),1,0)</f>
        <v>0</v>
      </c>
      <c r="BX78" s="36">
        <f t="shared" si="1043"/>
        <v>0</v>
      </c>
      <c r="BY78" s="36">
        <f t="shared" si="1043"/>
        <v>0</v>
      </c>
      <c r="BZ78" s="38"/>
      <c r="CA78" s="22">
        <f t="shared" si="25"/>
        <v>1</v>
      </c>
      <c r="CB78" s="38"/>
      <c r="CC78" s="22">
        <f t="shared" ref="CC78:CI78" si="1044">BG77*K78</f>
        <v>0.01486592504</v>
      </c>
      <c r="CD78" s="22">
        <f t="shared" si="1044"/>
        <v>0.01782646479</v>
      </c>
      <c r="CE78" s="22">
        <f t="shared" si="1044"/>
        <v>0</v>
      </c>
      <c r="CF78" s="22">
        <f t="shared" si="1044"/>
        <v>0</v>
      </c>
      <c r="CG78" s="22">
        <f t="shared" si="1044"/>
        <v>0</v>
      </c>
      <c r="CH78" s="22">
        <f t="shared" si="1044"/>
        <v>0</v>
      </c>
      <c r="CI78" s="22">
        <f t="shared" si="1044"/>
        <v>0</v>
      </c>
      <c r="CJ78" s="38"/>
      <c r="CK78" s="22">
        <f t="shared" ref="CK78:CQ78" si="1045">BS77*K78</f>
        <v>0.02973185007</v>
      </c>
      <c r="CL78" s="22">
        <f t="shared" si="1045"/>
        <v>0</v>
      </c>
      <c r="CM78" s="22">
        <f t="shared" si="1045"/>
        <v>0</v>
      </c>
      <c r="CN78" s="22">
        <f t="shared" si="1045"/>
        <v>0</v>
      </c>
      <c r="CO78" s="22">
        <f t="shared" si="1045"/>
        <v>0</v>
      </c>
      <c r="CP78" s="22">
        <f t="shared" si="1045"/>
        <v>0</v>
      </c>
      <c r="CQ78" s="22">
        <f t="shared" si="1045"/>
        <v>0</v>
      </c>
      <c r="CR78" s="44">
        <f t="shared" si="28"/>
        <v>0.03269238982</v>
      </c>
      <c r="CS78" s="45"/>
      <c r="CT78" s="40"/>
      <c r="CU78" s="22">
        <f t="shared" si="792"/>
        <v>1.091044665</v>
      </c>
      <c r="CV78" s="47">
        <v>20.0</v>
      </c>
      <c r="CW78" s="45"/>
      <c r="CX78" s="44">
        <f t="shared" si="29"/>
        <v>0.02973185007</v>
      </c>
      <c r="CY78" s="40"/>
      <c r="CZ78" s="22">
        <f t="shared" si="793"/>
        <v>1.109099457</v>
      </c>
      <c r="DA78" s="47">
        <v>20.0</v>
      </c>
      <c r="DB78" s="45"/>
      <c r="DC78" s="40"/>
      <c r="DD78" s="48">
        <f t="shared" si="30"/>
        <v>155521.7612</v>
      </c>
      <c r="DE78" s="49">
        <f t="shared" si="31"/>
        <v>0.03269238982</v>
      </c>
      <c r="DF78" s="50"/>
      <c r="DG78" s="40"/>
      <c r="DH78" s="51">
        <f t="shared" si="32"/>
        <v>153995.844</v>
      </c>
      <c r="DI78" s="52">
        <f t="shared" si="33"/>
        <v>0.02973185007</v>
      </c>
      <c r="DJ78" s="50"/>
      <c r="DK78" s="40"/>
      <c r="DL78" s="40"/>
      <c r="DM78" s="40"/>
      <c r="DN78" s="42"/>
      <c r="DO78" s="40"/>
      <c r="DP78" s="40"/>
      <c r="DQ78" s="42"/>
      <c r="DR78" s="40"/>
      <c r="DS78" s="40"/>
      <c r="DT78" s="40"/>
      <c r="DU78" s="40"/>
    </row>
    <row r="79" ht="13.5" customHeight="1">
      <c r="A79" s="27">
        <v>17.0</v>
      </c>
      <c r="B79" s="28">
        <f t="shared" si="2"/>
        <v>43861</v>
      </c>
      <c r="C79" s="29">
        <f t="shared" ref="C79:I79" si="1046">indirect(CONCATENATE(C$2,"!$G$",$A79))</f>
        <v>289.4310655</v>
      </c>
      <c r="D79" s="29">
        <f t="shared" si="1046"/>
        <v>41.53669401</v>
      </c>
      <c r="E79" s="29">
        <f t="shared" si="1046"/>
        <v>41.0413766</v>
      </c>
      <c r="F79" s="29">
        <f t="shared" si="1046"/>
        <v>83.04840732</v>
      </c>
      <c r="G79" s="29">
        <f t="shared" si="1046"/>
        <v>84.25181005</v>
      </c>
      <c r="H79" s="29">
        <f t="shared" si="1046"/>
        <v>112.606793</v>
      </c>
      <c r="I79" s="29">
        <f t="shared" si="1046"/>
        <v>126.7604301</v>
      </c>
      <c r="J79" s="30"/>
      <c r="K79" s="32">
        <f t="shared" ref="K79:Q79" si="1047">C79/C78-1</f>
        <v>-0.0003718728871</v>
      </c>
      <c r="L79" s="32">
        <f t="shared" si="1047"/>
        <v>-0.02995914662</v>
      </c>
      <c r="M79" s="32">
        <f t="shared" si="1047"/>
        <v>-0.05531819204</v>
      </c>
      <c r="N79" s="32">
        <f t="shared" si="1047"/>
        <v>0.01979489626</v>
      </c>
      <c r="O79" s="32">
        <f t="shared" si="1047"/>
        <v>0.005789909016</v>
      </c>
      <c r="P79" s="32">
        <f t="shared" si="1047"/>
        <v>0.03465795681</v>
      </c>
      <c r="Q79" s="32">
        <f t="shared" si="1047"/>
        <v>0.02446076899</v>
      </c>
      <c r="R79" s="30"/>
      <c r="S79" s="32">
        <f t="shared" ref="S79:Y79" si="1048">C79/C76-1</f>
        <v>0.06667228851</v>
      </c>
      <c r="T79" s="32">
        <f t="shared" si="1048"/>
        <v>0.01813123231</v>
      </c>
      <c r="U79" s="32">
        <f t="shared" si="1048"/>
        <v>0.01651284687</v>
      </c>
      <c r="V79" s="32">
        <f t="shared" si="1048"/>
        <v>0.01862698601</v>
      </c>
      <c r="W79" s="32">
        <f t="shared" si="1048"/>
        <v>0.006865721907</v>
      </c>
      <c r="X79" s="32">
        <f t="shared" si="1048"/>
        <v>0.01802438671</v>
      </c>
      <c r="Y79" s="32">
        <f t="shared" si="1048"/>
        <v>0.03476462601</v>
      </c>
      <c r="Z79" s="30"/>
      <c r="AA79" s="32">
        <f t="shared" ref="AA79:AG79" si="1049">C79/C73-1</f>
        <v>0.09322925382</v>
      </c>
      <c r="AB79" s="32">
        <f t="shared" si="1049"/>
        <v>0.06358533719</v>
      </c>
      <c r="AC79" s="32">
        <f t="shared" si="1049"/>
        <v>0.03170630706</v>
      </c>
      <c r="AD79" s="32">
        <f t="shared" si="1049"/>
        <v>0.04411016458</v>
      </c>
      <c r="AE79" s="32">
        <f t="shared" si="1049"/>
        <v>0.01654123335</v>
      </c>
      <c r="AF79" s="32">
        <f t="shared" si="1049"/>
        <v>0.04763273445</v>
      </c>
      <c r="AG79" s="32">
        <f t="shared" si="1049"/>
        <v>0.0715701884</v>
      </c>
      <c r="AH79" s="30"/>
      <c r="AI79" s="32">
        <f t="shared" ref="AI79:AO79" si="1050">C79/C67-1</f>
        <v>0.216705065</v>
      </c>
      <c r="AJ79" s="32">
        <f t="shared" si="1050"/>
        <v>0.1068562891</v>
      </c>
      <c r="AK79" s="32">
        <f t="shared" si="1050"/>
        <v>0.04031438144</v>
      </c>
      <c r="AL79" s="32">
        <f t="shared" si="1050"/>
        <v>0.09770847827</v>
      </c>
      <c r="AM79" s="32">
        <f t="shared" si="1050"/>
        <v>0.03718308859</v>
      </c>
      <c r="AN79" s="32">
        <f t="shared" si="1050"/>
        <v>0.1104886929</v>
      </c>
      <c r="AO79" s="32">
        <f t="shared" si="1050"/>
        <v>0.1631917912</v>
      </c>
      <c r="AP79" s="30"/>
      <c r="AQ79" s="32">
        <f t="shared" ref="AQ79:AW79" si="1051">(12*K79+4*S79+2*AA79+AI79)/4</f>
        <v>0.166347563</v>
      </c>
      <c r="AR79" s="32">
        <f t="shared" si="1051"/>
        <v>-0.01323946669</v>
      </c>
      <c r="AS79" s="32">
        <f t="shared" si="1051"/>
        <v>-0.1235099804</v>
      </c>
      <c r="AT79" s="32">
        <f t="shared" si="1051"/>
        <v>0.1244938766</v>
      </c>
      <c r="AU79" s="33">
        <f t="shared" si="1051"/>
        <v>0.04180183777</v>
      </c>
      <c r="AV79" s="32">
        <f t="shared" si="1051"/>
        <v>0.1734367976</v>
      </c>
      <c r="AW79" s="32">
        <f t="shared" si="1051"/>
        <v>0.184729975</v>
      </c>
      <c r="AX79" s="30"/>
      <c r="AY79" s="34">
        <f t="shared" ref="AY79:BB79" si="1052">rank(AQ79,$AQ79:$AT79)</f>
        <v>1</v>
      </c>
      <c r="AZ79" s="34">
        <f t="shared" si="1052"/>
        <v>3</v>
      </c>
      <c r="BA79" s="34">
        <f t="shared" si="1052"/>
        <v>4</v>
      </c>
      <c r="BB79" s="34">
        <f t="shared" si="1052"/>
        <v>2</v>
      </c>
      <c r="BC79" s="35">
        <f t="shared" ref="BC79:BE79" si="1053">rank(AU79,$AU79:$AW79)</f>
        <v>3</v>
      </c>
      <c r="BD79" s="34">
        <f t="shared" si="1053"/>
        <v>2</v>
      </c>
      <c r="BE79" s="34">
        <f t="shared" si="1053"/>
        <v>1</v>
      </c>
      <c r="BF79" s="30"/>
      <c r="BG79" s="36">
        <f t="shared" ref="BG79:BJ79" si="1054">if(and($BQ79=0,AY79&lt;=2),0.5,0)</f>
        <v>0</v>
      </c>
      <c r="BH79" s="36">
        <f t="shared" si="1054"/>
        <v>0</v>
      </c>
      <c r="BI79" s="36">
        <f t="shared" si="1054"/>
        <v>0</v>
      </c>
      <c r="BJ79" s="36">
        <f t="shared" si="1054"/>
        <v>0</v>
      </c>
      <c r="BK79" s="37">
        <f t="shared" ref="BK79:BM79" si="1055">if(and($BQ79&gt;0,BC79=1),1,0)</f>
        <v>0</v>
      </c>
      <c r="BL79" s="36">
        <f t="shared" si="1055"/>
        <v>0</v>
      </c>
      <c r="BM79" s="36">
        <f t="shared" si="1055"/>
        <v>1</v>
      </c>
      <c r="BN79" s="38"/>
      <c r="BO79" s="22">
        <f t="shared" si="21"/>
        <v>1</v>
      </c>
      <c r="BP79" s="38"/>
      <c r="BQ79" s="39">
        <f t="shared" si="22"/>
        <v>2</v>
      </c>
      <c r="BR79" s="30"/>
      <c r="BS79" s="36">
        <f t="shared" ref="BS79:BV79" si="1056">if(and($BQ79=0,AY79=1),1,0)</f>
        <v>0</v>
      </c>
      <c r="BT79" s="36">
        <f t="shared" si="1056"/>
        <v>0</v>
      </c>
      <c r="BU79" s="36">
        <f t="shared" si="1056"/>
        <v>0</v>
      </c>
      <c r="BV79" s="36">
        <f t="shared" si="1056"/>
        <v>0</v>
      </c>
      <c r="BW79" s="37">
        <f t="shared" ref="BW79:BY79" si="1057">if(and($BQ79&gt;0,BC79=1),1,0)</f>
        <v>0</v>
      </c>
      <c r="BX79" s="36">
        <f t="shared" si="1057"/>
        <v>0</v>
      </c>
      <c r="BY79" s="36">
        <f t="shared" si="1057"/>
        <v>1</v>
      </c>
      <c r="BZ79" s="38"/>
      <c r="CA79" s="22">
        <f t="shared" si="25"/>
        <v>1</v>
      </c>
      <c r="CB79" s="38"/>
      <c r="CC79" s="22">
        <f t="shared" ref="CC79:CI79" si="1058">BG78*K79</f>
        <v>-0.0001859364435</v>
      </c>
      <c r="CD79" s="22">
        <f t="shared" si="1058"/>
        <v>0</v>
      </c>
      <c r="CE79" s="22">
        <f t="shared" si="1058"/>
        <v>-0.02765909602</v>
      </c>
      <c r="CF79" s="22">
        <f t="shared" si="1058"/>
        <v>0</v>
      </c>
      <c r="CG79" s="22">
        <f t="shared" si="1058"/>
        <v>0</v>
      </c>
      <c r="CH79" s="22">
        <f t="shared" si="1058"/>
        <v>0</v>
      </c>
      <c r="CI79" s="22">
        <f t="shared" si="1058"/>
        <v>0</v>
      </c>
      <c r="CJ79" s="38"/>
      <c r="CK79" s="22">
        <f t="shared" ref="CK79:CQ79" si="1059">BS78*K79</f>
        <v>0</v>
      </c>
      <c r="CL79" s="22">
        <f t="shared" si="1059"/>
        <v>0</v>
      </c>
      <c r="CM79" s="22">
        <f t="shared" si="1059"/>
        <v>-0.05531819204</v>
      </c>
      <c r="CN79" s="22">
        <f t="shared" si="1059"/>
        <v>0</v>
      </c>
      <c r="CO79" s="22">
        <f t="shared" si="1059"/>
        <v>0</v>
      </c>
      <c r="CP79" s="22">
        <f t="shared" si="1059"/>
        <v>0</v>
      </c>
      <c r="CQ79" s="22">
        <f t="shared" si="1059"/>
        <v>0</v>
      </c>
      <c r="CR79" s="44">
        <f t="shared" si="28"/>
        <v>-0.02784503246</v>
      </c>
      <c r="CS79" s="45"/>
      <c r="CT79" s="40"/>
      <c r="CU79" s="22">
        <f t="shared" si="792"/>
        <v>1.060664491</v>
      </c>
      <c r="CV79" s="47">
        <v>21.0</v>
      </c>
      <c r="CW79" s="45"/>
      <c r="CX79" s="44">
        <f t="shared" si="29"/>
        <v>-0.05531819204</v>
      </c>
      <c r="CY79" s="40"/>
      <c r="CZ79" s="22">
        <f t="shared" si="793"/>
        <v>1.047746081</v>
      </c>
      <c r="DA79" s="47">
        <v>21.0</v>
      </c>
      <c r="DB79" s="45"/>
      <c r="DC79" s="40"/>
      <c r="DD79" s="48">
        <f t="shared" si="30"/>
        <v>151191.2528</v>
      </c>
      <c r="DE79" s="49">
        <f t="shared" si="31"/>
        <v>-0.02784503246</v>
      </c>
      <c r="DF79" s="50"/>
      <c r="DG79" s="40"/>
      <c r="DH79" s="51">
        <f t="shared" si="32"/>
        <v>145477.0723</v>
      </c>
      <c r="DI79" s="52">
        <f t="shared" si="33"/>
        <v>-0.05531819204</v>
      </c>
      <c r="DJ79" s="50"/>
      <c r="DK79" s="40"/>
      <c r="DL79" s="40"/>
      <c r="DM79" s="40"/>
      <c r="DN79" s="42"/>
      <c r="DO79" s="40"/>
      <c r="DP79" s="40"/>
      <c r="DQ79" s="42"/>
      <c r="DR79" s="40"/>
      <c r="DS79" s="40"/>
      <c r="DT79" s="40"/>
      <c r="DU79" s="40"/>
    </row>
    <row r="80" ht="13.5" customHeight="1">
      <c r="A80" s="27">
        <v>16.0</v>
      </c>
      <c r="B80" s="28">
        <f t="shared" si="2"/>
        <v>43889</v>
      </c>
      <c r="C80" s="29">
        <f t="shared" ref="C80:I80" si="1060">indirect(CONCATENATE(C$2,"!$G$",$A80))</f>
        <v>265.9880204</v>
      </c>
      <c r="D80" s="29">
        <f t="shared" si="1060"/>
        <v>38.35875789</v>
      </c>
      <c r="E80" s="29">
        <f t="shared" si="1060"/>
        <v>39.58573149</v>
      </c>
      <c r="F80" s="29">
        <f t="shared" si="1060"/>
        <v>84.43291595</v>
      </c>
      <c r="G80" s="29">
        <f t="shared" si="1060"/>
        <v>84.99028755</v>
      </c>
      <c r="H80" s="29">
        <f t="shared" si="1060"/>
        <v>115.9423067</v>
      </c>
      <c r="I80" s="29">
        <f t="shared" si="1060"/>
        <v>128.1439155</v>
      </c>
      <c r="J80" s="30"/>
      <c r="K80" s="32">
        <f t="shared" ref="K80:Q80" si="1061">C80/C79-1</f>
        <v>-0.08099699009</v>
      </c>
      <c r="L80" s="32">
        <f t="shared" si="1061"/>
        <v>-0.07650912494</v>
      </c>
      <c r="M80" s="32">
        <f t="shared" si="1061"/>
        <v>-0.03546774577</v>
      </c>
      <c r="N80" s="32">
        <f t="shared" si="1061"/>
        <v>0.01667110386</v>
      </c>
      <c r="O80" s="32">
        <f t="shared" si="1061"/>
        <v>0.008765123278</v>
      </c>
      <c r="P80" s="32">
        <f t="shared" si="1061"/>
        <v>0.02962089271</v>
      </c>
      <c r="Q80" s="32">
        <f t="shared" si="1061"/>
        <v>0.01091417421</v>
      </c>
      <c r="R80" s="30"/>
      <c r="S80" s="32">
        <f t="shared" ref="S80:Y80" si="1062">C80/C77-1</f>
        <v>-0.05402524362</v>
      </c>
      <c r="T80" s="32">
        <f t="shared" si="1062"/>
        <v>-0.07223737788</v>
      </c>
      <c r="U80" s="32">
        <f t="shared" si="1062"/>
        <v>-0.02443587621</v>
      </c>
      <c r="V80" s="32">
        <f t="shared" si="1062"/>
        <v>0.03603287992</v>
      </c>
      <c r="W80" s="32">
        <f t="shared" si="1062"/>
        <v>0.01617463152</v>
      </c>
      <c r="X80" s="32">
        <f t="shared" si="1062"/>
        <v>0.05542832582</v>
      </c>
      <c r="Y80" s="32">
        <f t="shared" si="1062"/>
        <v>0.04111484148</v>
      </c>
      <c r="Z80" s="30"/>
      <c r="AA80" s="32">
        <f t="shared" ref="AA80:AG80" si="1063">C80/C74-1</f>
        <v>0.02143812581</v>
      </c>
      <c r="AB80" s="32">
        <f t="shared" si="1063"/>
        <v>0.001076475777</v>
      </c>
      <c r="AC80" s="32">
        <f t="shared" si="1063"/>
        <v>0.02861289751</v>
      </c>
      <c r="AD80" s="32">
        <f t="shared" si="1063"/>
        <v>0.03292628594</v>
      </c>
      <c r="AE80" s="32">
        <f t="shared" si="1063"/>
        <v>0.01750134162</v>
      </c>
      <c r="AF80" s="32">
        <f t="shared" si="1063"/>
        <v>0.03768479779</v>
      </c>
      <c r="AG80" s="32">
        <f t="shared" si="1063"/>
        <v>0.04276952155</v>
      </c>
      <c r="AH80" s="30"/>
      <c r="AI80" s="32">
        <f t="shared" ref="AI80:AO80" si="1064">C80/C68-1</f>
        <v>0.08296080971</v>
      </c>
      <c r="AJ80" s="32">
        <f t="shared" si="1064"/>
        <v>-0.001127818647</v>
      </c>
      <c r="AK80" s="32">
        <f t="shared" si="1064"/>
        <v>0.007274216188</v>
      </c>
      <c r="AL80" s="32">
        <f t="shared" si="1064"/>
        <v>0.1170026431</v>
      </c>
      <c r="AM80" s="32">
        <f t="shared" si="1064"/>
        <v>0.04536976106</v>
      </c>
      <c r="AN80" s="32">
        <f t="shared" si="1064"/>
        <v>0.1494088196</v>
      </c>
      <c r="AO80" s="32">
        <f t="shared" si="1064"/>
        <v>0.1782848961</v>
      </c>
      <c r="AP80" s="30"/>
      <c r="AQ80" s="32">
        <f t="shared" ref="AQ80:AW80" si="1065">(12*K80+4*S80+2*AA80+AI80)/4</f>
        <v>-0.2655569486</v>
      </c>
      <c r="AR80" s="32">
        <f t="shared" si="1065"/>
        <v>-0.3015084695</v>
      </c>
      <c r="AS80" s="32">
        <f t="shared" si="1065"/>
        <v>-0.1147141107</v>
      </c>
      <c r="AT80" s="32">
        <f t="shared" si="1065"/>
        <v>0.1317599952</v>
      </c>
      <c r="AU80" s="33">
        <f t="shared" si="1065"/>
        <v>0.06256311243</v>
      </c>
      <c r="AV80" s="32">
        <f t="shared" si="1065"/>
        <v>0.2004856077</v>
      </c>
      <c r="AW80" s="32">
        <f t="shared" si="1065"/>
        <v>0.1398133489</v>
      </c>
      <c r="AX80" s="30"/>
      <c r="AY80" s="34">
        <f t="shared" ref="AY80:BB80" si="1066">rank(AQ80,$AQ80:$AT80)</f>
        <v>3</v>
      </c>
      <c r="AZ80" s="34">
        <f t="shared" si="1066"/>
        <v>4</v>
      </c>
      <c r="BA80" s="34">
        <f t="shared" si="1066"/>
        <v>2</v>
      </c>
      <c r="BB80" s="34">
        <f t="shared" si="1066"/>
        <v>1</v>
      </c>
      <c r="BC80" s="35">
        <f t="shared" ref="BC80:BE80" si="1067">rank(AU80,$AU80:$AW80)</f>
        <v>3</v>
      </c>
      <c r="BD80" s="34">
        <f t="shared" si="1067"/>
        <v>1</v>
      </c>
      <c r="BE80" s="34">
        <f t="shared" si="1067"/>
        <v>2</v>
      </c>
      <c r="BF80" s="30"/>
      <c r="BG80" s="36">
        <f t="shared" ref="BG80:BJ80" si="1068">if(and($BQ80=0,AY80&lt;=2),0.5,0)</f>
        <v>0</v>
      </c>
      <c r="BH80" s="36">
        <f t="shared" si="1068"/>
        <v>0</v>
      </c>
      <c r="BI80" s="36">
        <f t="shared" si="1068"/>
        <v>0</v>
      </c>
      <c r="BJ80" s="36">
        <f t="shared" si="1068"/>
        <v>0</v>
      </c>
      <c r="BK80" s="37">
        <f t="shared" ref="BK80:BM80" si="1069">if(and($BQ80&gt;0,BC80=1),1,0)</f>
        <v>0</v>
      </c>
      <c r="BL80" s="36">
        <f t="shared" si="1069"/>
        <v>1</v>
      </c>
      <c r="BM80" s="36">
        <f t="shared" si="1069"/>
        <v>0</v>
      </c>
      <c r="BN80" s="38"/>
      <c r="BO80" s="22">
        <f t="shared" si="21"/>
        <v>1</v>
      </c>
      <c r="BP80" s="38"/>
      <c r="BQ80" s="39">
        <f t="shared" si="22"/>
        <v>3</v>
      </c>
      <c r="BR80" s="30"/>
      <c r="BS80" s="36">
        <f t="shared" ref="BS80:BV80" si="1070">if(and($BQ80=0,AY80=1),1,0)</f>
        <v>0</v>
      </c>
      <c r="BT80" s="36">
        <f t="shared" si="1070"/>
        <v>0</v>
      </c>
      <c r="BU80" s="36">
        <f t="shared" si="1070"/>
        <v>0</v>
      </c>
      <c r="BV80" s="36">
        <f t="shared" si="1070"/>
        <v>0</v>
      </c>
      <c r="BW80" s="37">
        <f t="shared" ref="BW80:BY80" si="1071">if(and($BQ80&gt;0,BC80=1),1,0)</f>
        <v>0</v>
      </c>
      <c r="BX80" s="36">
        <f t="shared" si="1071"/>
        <v>1</v>
      </c>
      <c r="BY80" s="36">
        <f t="shared" si="1071"/>
        <v>0</v>
      </c>
      <c r="BZ80" s="38"/>
      <c r="CA80" s="22">
        <f t="shared" si="25"/>
        <v>1</v>
      </c>
      <c r="CB80" s="38"/>
      <c r="CC80" s="22">
        <f t="shared" ref="CC80:CI80" si="1072">BG79*K80</f>
        <v>0</v>
      </c>
      <c r="CD80" s="22">
        <f t="shared" si="1072"/>
        <v>0</v>
      </c>
      <c r="CE80" s="22">
        <f t="shared" si="1072"/>
        <v>0</v>
      </c>
      <c r="CF80" s="22">
        <f t="shared" si="1072"/>
        <v>0</v>
      </c>
      <c r="CG80" s="22">
        <f t="shared" si="1072"/>
        <v>0</v>
      </c>
      <c r="CH80" s="22">
        <f t="shared" si="1072"/>
        <v>0</v>
      </c>
      <c r="CI80" s="22">
        <f t="shared" si="1072"/>
        <v>0.01091417421</v>
      </c>
      <c r="CJ80" s="38"/>
      <c r="CK80" s="22">
        <f t="shared" ref="CK80:CQ80" si="1073">BS79*K80</f>
        <v>0</v>
      </c>
      <c r="CL80" s="22">
        <f t="shared" si="1073"/>
        <v>0</v>
      </c>
      <c r="CM80" s="22">
        <f t="shared" si="1073"/>
        <v>0</v>
      </c>
      <c r="CN80" s="22">
        <f t="shared" si="1073"/>
        <v>0</v>
      </c>
      <c r="CO80" s="22">
        <f t="shared" si="1073"/>
        <v>0</v>
      </c>
      <c r="CP80" s="22">
        <f t="shared" si="1073"/>
        <v>0</v>
      </c>
      <c r="CQ80" s="22">
        <f t="shared" si="1073"/>
        <v>0.01091417421</v>
      </c>
      <c r="CR80" s="44">
        <f t="shared" si="28"/>
        <v>0.01091417421</v>
      </c>
      <c r="CS80" s="45"/>
      <c r="CT80" s="40"/>
      <c r="CU80" s="22">
        <f t="shared" si="792"/>
        <v>1.072240768</v>
      </c>
      <c r="CV80" s="47">
        <v>22.0</v>
      </c>
      <c r="CW80" s="45"/>
      <c r="CX80" s="44">
        <f t="shared" si="29"/>
        <v>0.01091417421</v>
      </c>
      <c r="CY80" s="40"/>
      <c r="CZ80" s="22">
        <f t="shared" si="793"/>
        <v>1.059181364</v>
      </c>
      <c r="DA80" s="47">
        <v>22.0</v>
      </c>
      <c r="DB80" s="45"/>
      <c r="DC80" s="40"/>
      <c r="DD80" s="48">
        <f t="shared" si="30"/>
        <v>152841.3804</v>
      </c>
      <c r="DE80" s="49">
        <f t="shared" si="31"/>
        <v>0.01091417421</v>
      </c>
      <c r="DF80" s="50"/>
      <c r="DG80" s="40"/>
      <c r="DH80" s="51">
        <f t="shared" si="32"/>
        <v>147064.8344</v>
      </c>
      <c r="DI80" s="52">
        <f t="shared" si="33"/>
        <v>0.01091417421</v>
      </c>
      <c r="DJ80" s="50"/>
      <c r="DK80" s="40"/>
      <c r="DL80" s="40"/>
      <c r="DM80" s="40"/>
      <c r="DN80" s="42"/>
      <c r="DO80" s="40"/>
      <c r="DP80" s="40"/>
      <c r="DQ80" s="42"/>
      <c r="DR80" s="40"/>
      <c r="DS80" s="40"/>
      <c r="DT80" s="40"/>
      <c r="DU80" s="40"/>
    </row>
    <row r="81" ht="13.5" customHeight="1">
      <c r="A81" s="27">
        <v>15.0</v>
      </c>
      <c r="B81" s="28">
        <f t="shared" si="2"/>
        <v>43921</v>
      </c>
      <c r="C81" s="29">
        <f t="shared" ref="C81:I81" si="1074">indirect(CONCATENATE(C$2,"!$G$",$A81))</f>
        <v>232.8422763</v>
      </c>
      <c r="D81" s="29">
        <f t="shared" si="1074"/>
        <v>32.54905118</v>
      </c>
      <c r="E81" s="29">
        <f t="shared" si="1074"/>
        <v>32.83895701</v>
      </c>
      <c r="F81" s="29">
        <f t="shared" si="1074"/>
        <v>83.22655899</v>
      </c>
      <c r="G81" s="29">
        <f t="shared" si="1074"/>
        <v>86.04765717</v>
      </c>
      <c r="H81" s="29">
        <f t="shared" si="1074"/>
        <v>120.2588597</v>
      </c>
      <c r="I81" s="29">
        <f t="shared" si="1074"/>
        <v>120.0562157</v>
      </c>
      <c r="J81" s="30"/>
      <c r="K81" s="32">
        <f t="shared" ref="K81:Q81" si="1075">C81/C80-1</f>
        <v>-0.1246136726</v>
      </c>
      <c r="L81" s="32">
        <f t="shared" si="1075"/>
        <v>-0.1514571125</v>
      </c>
      <c r="M81" s="32">
        <f t="shared" si="1075"/>
        <v>-0.1704345033</v>
      </c>
      <c r="N81" s="32">
        <f t="shared" si="1075"/>
        <v>-0.01428775671</v>
      </c>
      <c r="O81" s="32">
        <f t="shared" si="1075"/>
        <v>0.01244106421</v>
      </c>
      <c r="P81" s="32">
        <f t="shared" si="1075"/>
        <v>0.03723018052</v>
      </c>
      <c r="Q81" s="32">
        <f t="shared" si="1075"/>
        <v>-0.06311419304</v>
      </c>
      <c r="R81" s="30"/>
      <c r="S81" s="32">
        <f t="shared" ref="S81:Y81" si="1076">C81/C78-1</f>
        <v>-0.1958164956</v>
      </c>
      <c r="T81" s="32">
        <f t="shared" si="1076"/>
        <v>-0.2398550211</v>
      </c>
      <c r="U81" s="32">
        <f t="shared" si="1076"/>
        <v>-0.2441197678</v>
      </c>
      <c r="V81" s="32">
        <f t="shared" si="1076"/>
        <v>0.02198251384</v>
      </c>
      <c r="W81" s="32">
        <f t="shared" si="1076"/>
        <v>0.02722855723</v>
      </c>
      <c r="X81" s="32">
        <f t="shared" si="1076"/>
        <v>0.1049669633</v>
      </c>
      <c r="Y81" s="32">
        <f t="shared" si="1076"/>
        <v>-0.02972179128</v>
      </c>
      <c r="Z81" s="30"/>
      <c r="AA81" s="32">
        <f t="shared" ref="AA81:AG81" si="1077">C81/C75-1</f>
        <v>-0.1231505847</v>
      </c>
      <c r="AB81" s="32">
        <f t="shared" si="1077"/>
        <v>-0.1765341601</v>
      </c>
      <c r="AC81" s="32">
        <f t="shared" si="1077"/>
        <v>-0.1545226078</v>
      </c>
      <c r="AD81" s="32">
        <f t="shared" si="1077"/>
        <v>0.02398037279</v>
      </c>
      <c r="AE81" s="32">
        <f t="shared" si="1077"/>
        <v>0.0315433483</v>
      </c>
      <c r="AF81" s="32">
        <f t="shared" si="1077"/>
        <v>0.08923862701</v>
      </c>
      <c r="AG81" s="32">
        <f t="shared" si="1077"/>
        <v>-0.01560650872</v>
      </c>
      <c r="AH81" s="30"/>
      <c r="AI81" s="32">
        <f t="shared" ref="AI81:AO81" si="1078">C81/C69-1</f>
        <v>-0.06984279966</v>
      </c>
      <c r="AJ81" s="32">
        <f t="shared" si="1078"/>
        <v>-0.1574857518</v>
      </c>
      <c r="AK81" s="32">
        <f t="shared" si="1078"/>
        <v>-0.1832901617</v>
      </c>
      <c r="AL81" s="32">
        <f t="shared" si="1078"/>
        <v>0.08009874964</v>
      </c>
      <c r="AM81" s="32">
        <f t="shared" si="1078"/>
        <v>0.05177687675</v>
      </c>
      <c r="AN81" s="32">
        <f t="shared" si="1078"/>
        <v>0.1613575417</v>
      </c>
      <c r="AO81" s="32">
        <f t="shared" si="1078"/>
        <v>0.07249524869</v>
      </c>
      <c r="AP81" s="30"/>
      <c r="AQ81" s="32">
        <f t="shared" ref="AQ81:AW81" si="1079">(12*K81+4*S81+2*AA81+AI81)/4</f>
        <v>-0.6486935056</v>
      </c>
      <c r="AR81" s="32">
        <f t="shared" si="1079"/>
        <v>-0.8218648767</v>
      </c>
      <c r="AS81" s="32">
        <f t="shared" si="1079"/>
        <v>-0.878507122</v>
      </c>
      <c r="AT81" s="32">
        <f t="shared" si="1079"/>
        <v>0.0111341175</v>
      </c>
      <c r="AU81" s="33">
        <f t="shared" si="1079"/>
        <v>0.09326764319</v>
      </c>
      <c r="AV81" s="32">
        <f t="shared" si="1079"/>
        <v>0.3016162038</v>
      </c>
      <c r="AW81" s="32">
        <f t="shared" si="1079"/>
        <v>-0.2087438126</v>
      </c>
      <c r="AX81" s="30"/>
      <c r="AY81" s="34">
        <f t="shared" ref="AY81:BB81" si="1080">rank(AQ81,$AQ81:$AT81)</f>
        <v>2</v>
      </c>
      <c r="AZ81" s="34">
        <f t="shared" si="1080"/>
        <v>3</v>
      </c>
      <c r="BA81" s="34">
        <f t="shared" si="1080"/>
        <v>4</v>
      </c>
      <c r="BB81" s="34">
        <f t="shared" si="1080"/>
        <v>1</v>
      </c>
      <c r="BC81" s="35">
        <f t="shared" ref="BC81:BE81" si="1081">rank(AU81,$AU81:$AW81)</f>
        <v>2</v>
      </c>
      <c r="BD81" s="34">
        <f t="shared" si="1081"/>
        <v>1</v>
      </c>
      <c r="BE81" s="34">
        <f t="shared" si="1081"/>
        <v>3</v>
      </c>
      <c r="BF81" s="30"/>
      <c r="BG81" s="36">
        <f t="shared" ref="BG81:BJ81" si="1082">if(and($BQ81=0,AY81&lt;=2),0.5,0)</f>
        <v>0</v>
      </c>
      <c r="BH81" s="36">
        <f t="shared" si="1082"/>
        <v>0</v>
      </c>
      <c r="BI81" s="36">
        <f t="shared" si="1082"/>
        <v>0</v>
      </c>
      <c r="BJ81" s="36">
        <f t="shared" si="1082"/>
        <v>0</v>
      </c>
      <c r="BK81" s="37">
        <f t="shared" ref="BK81:BM81" si="1083">if(and($BQ81&gt;0,BC81=1),1,0)</f>
        <v>0</v>
      </c>
      <c r="BL81" s="36">
        <f t="shared" si="1083"/>
        <v>1</v>
      </c>
      <c r="BM81" s="36">
        <f t="shared" si="1083"/>
        <v>0</v>
      </c>
      <c r="BN81" s="38"/>
      <c r="BO81" s="22">
        <f t="shared" si="21"/>
        <v>1</v>
      </c>
      <c r="BP81" s="38"/>
      <c r="BQ81" s="39">
        <f t="shared" si="22"/>
        <v>3</v>
      </c>
      <c r="BR81" s="30"/>
      <c r="BS81" s="36">
        <f t="shared" ref="BS81:BV81" si="1084">if(and($BQ81=0,AY81=1),1,0)</f>
        <v>0</v>
      </c>
      <c r="BT81" s="36">
        <f t="shared" si="1084"/>
        <v>0</v>
      </c>
      <c r="BU81" s="36">
        <f t="shared" si="1084"/>
        <v>0</v>
      </c>
      <c r="BV81" s="36">
        <f t="shared" si="1084"/>
        <v>0</v>
      </c>
      <c r="BW81" s="37">
        <f t="shared" ref="BW81:BY81" si="1085">if(and($BQ81&gt;0,BC81=1),1,0)</f>
        <v>0</v>
      </c>
      <c r="BX81" s="36">
        <f t="shared" si="1085"/>
        <v>1</v>
      </c>
      <c r="BY81" s="36">
        <f t="shared" si="1085"/>
        <v>0</v>
      </c>
      <c r="BZ81" s="38"/>
      <c r="CA81" s="22">
        <f t="shared" si="25"/>
        <v>1</v>
      </c>
      <c r="CB81" s="38"/>
      <c r="CC81" s="22">
        <f t="shared" ref="CC81:CI81" si="1086">BG80*K81</f>
        <v>0</v>
      </c>
      <c r="CD81" s="22">
        <f t="shared" si="1086"/>
        <v>0</v>
      </c>
      <c r="CE81" s="22">
        <f t="shared" si="1086"/>
        <v>0</v>
      </c>
      <c r="CF81" s="22">
        <f t="shared" si="1086"/>
        <v>0</v>
      </c>
      <c r="CG81" s="22">
        <f t="shared" si="1086"/>
        <v>0</v>
      </c>
      <c r="CH81" s="22">
        <f t="shared" si="1086"/>
        <v>0.03723018052</v>
      </c>
      <c r="CI81" s="22">
        <f t="shared" si="1086"/>
        <v>0</v>
      </c>
      <c r="CJ81" s="38"/>
      <c r="CK81" s="22">
        <f t="shared" ref="CK81:CQ81" si="1087">BS80*K81</f>
        <v>0</v>
      </c>
      <c r="CL81" s="22">
        <f t="shared" si="1087"/>
        <v>0</v>
      </c>
      <c r="CM81" s="22">
        <f t="shared" si="1087"/>
        <v>0</v>
      </c>
      <c r="CN81" s="22">
        <f t="shared" si="1087"/>
        <v>0</v>
      </c>
      <c r="CO81" s="22">
        <f t="shared" si="1087"/>
        <v>0</v>
      </c>
      <c r="CP81" s="22">
        <f t="shared" si="1087"/>
        <v>0.03723018052</v>
      </c>
      <c r="CQ81" s="22">
        <f t="shared" si="1087"/>
        <v>0</v>
      </c>
      <c r="CR81" s="44">
        <f t="shared" si="28"/>
        <v>0.03723018052</v>
      </c>
      <c r="CS81" s="45"/>
      <c r="CT81" s="40"/>
      <c r="CU81" s="22">
        <f t="shared" si="792"/>
        <v>1.112160486</v>
      </c>
      <c r="CV81" s="47">
        <v>23.0</v>
      </c>
      <c r="CW81" s="45"/>
      <c r="CX81" s="44">
        <f t="shared" si="29"/>
        <v>0.03723018052</v>
      </c>
      <c r="CY81" s="40"/>
      <c r="CZ81" s="22">
        <f t="shared" si="793"/>
        <v>1.098614877</v>
      </c>
      <c r="DA81" s="47">
        <v>23.0</v>
      </c>
      <c r="DB81" s="45"/>
      <c r="DC81" s="40"/>
      <c r="DD81" s="48">
        <f t="shared" si="30"/>
        <v>158531.6926</v>
      </c>
      <c r="DE81" s="49">
        <f t="shared" si="31"/>
        <v>0.03723018052</v>
      </c>
      <c r="DF81" s="50"/>
      <c r="DG81" s="40"/>
      <c r="DH81" s="51">
        <f t="shared" si="32"/>
        <v>152540.0848</v>
      </c>
      <c r="DI81" s="52">
        <f t="shared" si="33"/>
        <v>0.03723018052</v>
      </c>
      <c r="DJ81" s="50"/>
      <c r="DK81" s="40"/>
      <c r="DL81" s="40"/>
      <c r="DM81" s="40"/>
      <c r="DN81" s="42"/>
      <c r="DO81" s="40"/>
      <c r="DP81" s="40"/>
      <c r="DQ81" s="42"/>
      <c r="DR81" s="40"/>
      <c r="DS81" s="40"/>
      <c r="DT81" s="40"/>
      <c r="DU81" s="40"/>
    </row>
    <row r="82" ht="13.5" customHeight="1">
      <c r="A82" s="27">
        <v>14.0</v>
      </c>
      <c r="B82" s="28">
        <f t="shared" si="2"/>
        <v>43951</v>
      </c>
      <c r="C82" s="29">
        <f t="shared" ref="C82:I82" si="1088">indirect(CONCATENATE(C$2,"!$G$",$A82))</f>
        <v>262.6136813</v>
      </c>
      <c r="D82" s="29">
        <f t="shared" si="1088"/>
        <v>34.83353768</v>
      </c>
      <c r="E82" s="29">
        <f t="shared" si="1088"/>
        <v>35.40342995</v>
      </c>
      <c r="F82" s="29">
        <f t="shared" si="1088"/>
        <v>85.5226874</v>
      </c>
      <c r="G82" s="29">
        <f t="shared" si="1088"/>
        <v>86.28218721</v>
      </c>
      <c r="H82" s="29">
        <f t="shared" si="1088"/>
        <v>120.5893309</v>
      </c>
      <c r="I82" s="29">
        <f t="shared" si="1088"/>
        <v>125.878571</v>
      </c>
      <c r="J82" s="30"/>
      <c r="K82" s="32">
        <f t="shared" ref="K82:Q82" si="1089">C82/C81-1</f>
        <v>0.1278608226</v>
      </c>
      <c r="L82" s="32">
        <f t="shared" si="1089"/>
        <v>0.07018596281</v>
      </c>
      <c r="M82" s="32">
        <f t="shared" si="1089"/>
        <v>0.0780923994</v>
      </c>
      <c r="N82" s="32">
        <f t="shared" si="1089"/>
        <v>0.02758889039</v>
      </c>
      <c r="O82" s="32">
        <f t="shared" si="1089"/>
        <v>0.002725583073</v>
      </c>
      <c r="P82" s="32">
        <f t="shared" si="1089"/>
        <v>0.002747998543</v>
      </c>
      <c r="Q82" s="32">
        <f t="shared" si="1089"/>
        <v>0.0484969089</v>
      </c>
      <c r="R82" s="30"/>
      <c r="S82" s="32">
        <f t="shared" ref="S82:Y82" si="1090">C82/C79-1</f>
        <v>-0.09265551438</v>
      </c>
      <c r="T82" s="32">
        <f t="shared" si="1090"/>
        <v>-0.1613791489</v>
      </c>
      <c r="U82" s="32">
        <f t="shared" si="1090"/>
        <v>-0.1373722598</v>
      </c>
      <c r="V82" s="32">
        <f t="shared" si="1090"/>
        <v>0.02979322729</v>
      </c>
      <c r="W82" s="32">
        <f t="shared" si="1090"/>
        <v>0.02409891446</v>
      </c>
      <c r="X82" s="32">
        <f t="shared" si="1090"/>
        <v>0.07088860008</v>
      </c>
      <c r="Y82" s="32">
        <f t="shared" si="1090"/>
        <v>-0.006956895361</v>
      </c>
      <c r="Z82" s="30"/>
      <c r="AA82" s="32">
        <f t="shared" ref="AA82:AG82" si="1091">C82/C76-1</f>
        <v>-0.03216078106</v>
      </c>
      <c r="AB82" s="32">
        <f t="shared" si="1091"/>
        <v>-0.1461739194</v>
      </c>
      <c r="AC82" s="32">
        <f t="shared" si="1091"/>
        <v>-0.12312782</v>
      </c>
      <c r="AD82" s="32">
        <f t="shared" si="1091"/>
        <v>0.04897517133</v>
      </c>
      <c r="AE82" s="32">
        <f t="shared" si="1091"/>
        <v>0.03113009282</v>
      </c>
      <c r="AF82" s="32">
        <f t="shared" si="1091"/>
        <v>0.09019071033</v>
      </c>
      <c r="AG82" s="32">
        <f t="shared" si="1091"/>
        <v>0.02756587679</v>
      </c>
      <c r="AH82" s="30"/>
      <c r="AI82" s="32">
        <f t="shared" ref="AI82:AO82" si="1092">C82/C70-1</f>
        <v>0.008408075652</v>
      </c>
      <c r="AJ82" s="32">
        <f t="shared" si="1092"/>
        <v>-0.1232379325</v>
      </c>
      <c r="AK82" s="32">
        <f t="shared" si="1092"/>
        <v>-0.1379689371</v>
      </c>
      <c r="AL82" s="32">
        <f t="shared" si="1092"/>
        <v>0.110166191</v>
      </c>
      <c r="AM82" s="32">
        <f t="shared" si="1092"/>
        <v>0.05271323642</v>
      </c>
      <c r="AN82" s="32">
        <f t="shared" si="1092"/>
        <v>0.1706041695</v>
      </c>
      <c r="AO82" s="32">
        <f t="shared" si="1092"/>
        <v>0.1196099205</v>
      </c>
      <c r="AP82" s="30"/>
      <c r="AQ82" s="32">
        <f t="shared" ref="AQ82:AW82" si="1093">(12*K82+4*S82+2*AA82+AI82)/4</f>
        <v>0.2769485817</v>
      </c>
      <c r="AR82" s="32">
        <f t="shared" si="1093"/>
        <v>-0.05471770327</v>
      </c>
      <c r="AS82" s="32">
        <f t="shared" si="1093"/>
        <v>0.000848794132</v>
      </c>
      <c r="AT82" s="32">
        <f t="shared" si="1093"/>
        <v>0.1645890319</v>
      </c>
      <c r="AU82" s="33">
        <f t="shared" si="1093"/>
        <v>0.06101901919</v>
      </c>
      <c r="AV82" s="32">
        <f t="shared" si="1093"/>
        <v>0.1668789932</v>
      </c>
      <c r="AW82" s="32">
        <f t="shared" si="1093"/>
        <v>0.1822192499</v>
      </c>
      <c r="AX82" s="30"/>
      <c r="AY82" s="34">
        <f t="shared" ref="AY82:BB82" si="1094">rank(AQ82,$AQ82:$AT82)</f>
        <v>1</v>
      </c>
      <c r="AZ82" s="34">
        <f t="shared" si="1094"/>
        <v>4</v>
      </c>
      <c r="BA82" s="34">
        <f t="shared" si="1094"/>
        <v>3</v>
      </c>
      <c r="BB82" s="34">
        <f t="shared" si="1094"/>
        <v>2</v>
      </c>
      <c r="BC82" s="35">
        <f t="shared" ref="BC82:BE82" si="1095">rank(AU82,$AU82:$AW82)</f>
        <v>3</v>
      </c>
      <c r="BD82" s="34">
        <f t="shared" si="1095"/>
        <v>2</v>
      </c>
      <c r="BE82" s="34">
        <f t="shared" si="1095"/>
        <v>1</v>
      </c>
      <c r="BF82" s="30"/>
      <c r="BG82" s="36">
        <f t="shared" ref="BG82:BJ82" si="1096">if(and($BQ82=0,AY82&lt;=2),0.5,0)</f>
        <v>0</v>
      </c>
      <c r="BH82" s="36">
        <f t="shared" si="1096"/>
        <v>0</v>
      </c>
      <c r="BI82" s="36">
        <f t="shared" si="1096"/>
        <v>0</v>
      </c>
      <c r="BJ82" s="36">
        <f t="shared" si="1096"/>
        <v>0</v>
      </c>
      <c r="BK82" s="37">
        <f t="shared" ref="BK82:BM82" si="1097">if(and($BQ82&gt;0,BC82=1),1,0)</f>
        <v>0</v>
      </c>
      <c r="BL82" s="36">
        <f t="shared" si="1097"/>
        <v>0</v>
      </c>
      <c r="BM82" s="36">
        <f t="shared" si="1097"/>
        <v>1</v>
      </c>
      <c r="BN82" s="38"/>
      <c r="BO82" s="22">
        <f t="shared" si="21"/>
        <v>1</v>
      </c>
      <c r="BP82" s="38"/>
      <c r="BQ82" s="39">
        <f t="shared" si="22"/>
        <v>1</v>
      </c>
      <c r="BR82" s="30"/>
      <c r="BS82" s="36">
        <f t="shared" ref="BS82:BV82" si="1098">if(and($BQ82=0,AY82=1),1,0)</f>
        <v>0</v>
      </c>
      <c r="BT82" s="36">
        <f t="shared" si="1098"/>
        <v>0</v>
      </c>
      <c r="BU82" s="36">
        <f t="shared" si="1098"/>
        <v>0</v>
      </c>
      <c r="BV82" s="36">
        <f t="shared" si="1098"/>
        <v>0</v>
      </c>
      <c r="BW82" s="37">
        <f t="shared" ref="BW82:BY82" si="1099">if(and($BQ82&gt;0,BC82=1),1,0)</f>
        <v>0</v>
      </c>
      <c r="BX82" s="36">
        <f t="shared" si="1099"/>
        <v>0</v>
      </c>
      <c r="BY82" s="36">
        <f t="shared" si="1099"/>
        <v>1</v>
      </c>
      <c r="BZ82" s="38"/>
      <c r="CA82" s="22">
        <f t="shared" si="25"/>
        <v>1</v>
      </c>
      <c r="CB82" s="38"/>
      <c r="CC82" s="22">
        <f t="shared" ref="CC82:CI82" si="1100">BG81*K82</f>
        <v>0</v>
      </c>
      <c r="CD82" s="22">
        <f t="shared" si="1100"/>
        <v>0</v>
      </c>
      <c r="CE82" s="22">
        <f t="shared" si="1100"/>
        <v>0</v>
      </c>
      <c r="CF82" s="22">
        <f t="shared" si="1100"/>
        <v>0</v>
      </c>
      <c r="CG82" s="22">
        <f t="shared" si="1100"/>
        <v>0</v>
      </c>
      <c r="CH82" s="22">
        <f t="shared" si="1100"/>
        <v>0.002747998543</v>
      </c>
      <c r="CI82" s="22">
        <f t="shared" si="1100"/>
        <v>0</v>
      </c>
      <c r="CJ82" s="38"/>
      <c r="CK82" s="22">
        <f t="shared" ref="CK82:CQ82" si="1101">BS81*K82</f>
        <v>0</v>
      </c>
      <c r="CL82" s="22">
        <f t="shared" si="1101"/>
        <v>0</v>
      </c>
      <c r="CM82" s="22">
        <f t="shared" si="1101"/>
        <v>0</v>
      </c>
      <c r="CN82" s="22">
        <f t="shared" si="1101"/>
        <v>0</v>
      </c>
      <c r="CO82" s="22">
        <f t="shared" si="1101"/>
        <v>0</v>
      </c>
      <c r="CP82" s="22">
        <f t="shared" si="1101"/>
        <v>0.002747998543</v>
      </c>
      <c r="CQ82" s="22">
        <f t="shared" si="1101"/>
        <v>0</v>
      </c>
      <c r="CR82" s="44">
        <f t="shared" si="28"/>
        <v>0.002747998543</v>
      </c>
      <c r="CS82" s="45"/>
      <c r="CT82" s="46">
        <v>1.0</v>
      </c>
      <c r="CU82" s="22">
        <f t="shared" si="792"/>
        <v>1.115216701</v>
      </c>
      <c r="CV82" s="47">
        <v>24.0</v>
      </c>
      <c r="CW82" s="45"/>
      <c r="CX82" s="44">
        <f t="shared" si="29"/>
        <v>0.002747998543</v>
      </c>
      <c r="CY82" s="46">
        <v>1.0</v>
      </c>
      <c r="CZ82" s="22">
        <f t="shared" si="793"/>
        <v>1.101633869</v>
      </c>
      <c r="DA82" s="47">
        <v>24.0</v>
      </c>
      <c r="DB82" s="45"/>
      <c r="DC82" s="40"/>
      <c r="DD82" s="48">
        <f t="shared" si="30"/>
        <v>158967.3375</v>
      </c>
      <c r="DE82" s="49">
        <f t="shared" si="31"/>
        <v>0.002747998543</v>
      </c>
      <c r="DF82" s="50"/>
      <c r="DG82" s="40"/>
      <c r="DH82" s="51">
        <f t="shared" si="32"/>
        <v>152959.2647</v>
      </c>
      <c r="DI82" s="52">
        <f t="shared" si="33"/>
        <v>0.002747998543</v>
      </c>
      <c r="DJ82" s="50"/>
      <c r="DK82" s="40"/>
      <c r="DL82" s="40"/>
      <c r="DM82" s="40"/>
      <c r="DN82" s="42"/>
      <c r="DO82" s="40"/>
      <c r="DP82" s="40"/>
      <c r="DQ82" s="42"/>
      <c r="DR82" s="40"/>
      <c r="DS82" s="40"/>
      <c r="DT82" s="40"/>
      <c r="DU82" s="40"/>
    </row>
    <row r="83" ht="13.5" customHeight="1">
      <c r="A83" s="27">
        <v>13.0</v>
      </c>
      <c r="B83" s="56">
        <f t="shared" si="2"/>
        <v>43980</v>
      </c>
      <c r="C83" s="29">
        <f t="shared" ref="C83:I83" si="1102">indirect(CONCATENATE(C$2,"!$G$",$A83))</f>
        <v>275.0512068</v>
      </c>
      <c r="D83" s="29">
        <f t="shared" si="1102"/>
        <v>36.77632748</v>
      </c>
      <c r="E83" s="29">
        <f t="shared" si="1102"/>
        <v>36.56820965</v>
      </c>
      <c r="F83" s="29">
        <f t="shared" si="1102"/>
        <v>86.09448506</v>
      </c>
      <c r="G83" s="29">
        <f t="shared" si="1102"/>
        <v>86.21500255</v>
      </c>
      <c r="H83" s="29">
        <f t="shared" si="1102"/>
        <v>120.9840187</v>
      </c>
      <c r="I83" s="29">
        <f t="shared" si="1102"/>
        <v>128.9769103</v>
      </c>
      <c r="J83" s="30"/>
      <c r="K83" s="32">
        <f t="shared" ref="K83:Q83" si="1103">C83/C82-1</f>
        <v>0.04736053912</v>
      </c>
      <c r="L83" s="32">
        <f t="shared" si="1103"/>
        <v>0.0557735426</v>
      </c>
      <c r="M83" s="32">
        <f t="shared" si="1103"/>
        <v>0.03290019353</v>
      </c>
      <c r="N83" s="32">
        <f t="shared" si="1103"/>
        <v>0.006685917878</v>
      </c>
      <c r="O83" s="32">
        <f t="shared" si="1103"/>
        <v>-0.0007786620353</v>
      </c>
      <c r="P83" s="32">
        <f t="shared" si="1103"/>
        <v>0.003272991323</v>
      </c>
      <c r="Q83" s="32">
        <f t="shared" si="1103"/>
        <v>0.02461371516</v>
      </c>
      <c r="R83" s="30"/>
      <c r="S83" s="32">
        <f t="shared" ref="S83:Y83" si="1104">C83/C80-1</f>
        <v>0.03407366394</v>
      </c>
      <c r="T83" s="32">
        <f t="shared" si="1104"/>
        <v>-0.04125343216</v>
      </c>
      <c r="U83" s="32">
        <f t="shared" si="1104"/>
        <v>-0.07622751246</v>
      </c>
      <c r="V83" s="32">
        <f t="shared" si="1104"/>
        <v>0.01967916301</v>
      </c>
      <c r="W83" s="32">
        <f t="shared" si="1104"/>
        <v>0.0144100583</v>
      </c>
      <c r="X83" s="32">
        <f t="shared" si="1104"/>
        <v>0.04348466196</v>
      </c>
      <c r="Y83" s="32">
        <f t="shared" si="1104"/>
        <v>0.006500463361</v>
      </c>
      <c r="Z83" s="30"/>
      <c r="AA83" s="32">
        <f t="shared" ref="AA83:AG83" si="1105">C83/C77-1</f>
        <v>-0.02179241767</v>
      </c>
      <c r="AB83" s="32">
        <f t="shared" si="1105"/>
        <v>-0.1105107703</v>
      </c>
      <c r="AC83" s="32">
        <f t="shared" si="1105"/>
        <v>-0.09880070261</v>
      </c>
      <c r="AD83" s="32">
        <f t="shared" si="1105"/>
        <v>0.05642113985</v>
      </c>
      <c r="AE83" s="32">
        <f t="shared" si="1105"/>
        <v>0.03081776721</v>
      </c>
      <c r="AF83" s="32">
        <f t="shared" si="1105"/>
        <v>0.1013232698</v>
      </c>
      <c r="AG83" s="32">
        <f t="shared" si="1105"/>
        <v>0.04788257036</v>
      </c>
      <c r="AH83" s="30"/>
      <c r="AI83" s="32">
        <f t="shared" ref="AI83:AO83" si="1106">C83/C71-1</f>
        <v>0.1277557821</v>
      </c>
      <c r="AJ83" s="32">
        <f t="shared" si="1106"/>
        <v>-0.02345426669</v>
      </c>
      <c r="AK83" s="32">
        <f t="shared" si="1106"/>
        <v>-0.04891931678</v>
      </c>
      <c r="AL83" s="32">
        <f t="shared" si="1106"/>
        <v>0.09754744848</v>
      </c>
      <c r="AM83" s="32">
        <f t="shared" si="1106"/>
        <v>0.04434889176</v>
      </c>
      <c r="AN83" s="32">
        <f t="shared" si="1106"/>
        <v>0.1396951924</v>
      </c>
      <c r="AO83" s="32">
        <f t="shared" si="1106"/>
        <v>0.1285427942</v>
      </c>
      <c r="AP83" s="30"/>
      <c r="AQ83" s="32">
        <f t="shared" ref="AQ83:AW83" si="1107">(12*K83+4*S83+2*AA83+AI83)/4</f>
        <v>0.197198018</v>
      </c>
      <c r="AR83" s="32">
        <f t="shared" si="1107"/>
        <v>0.06494824383</v>
      </c>
      <c r="AS83" s="32">
        <f t="shared" si="1107"/>
        <v>-0.03915711237</v>
      </c>
      <c r="AT83" s="32">
        <f t="shared" si="1107"/>
        <v>0.09233434868</v>
      </c>
      <c r="AU83" s="33">
        <f t="shared" si="1107"/>
        <v>0.03857017874</v>
      </c>
      <c r="AV83" s="32">
        <f t="shared" si="1107"/>
        <v>0.1388890689</v>
      </c>
      <c r="AW83" s="32">
        <f t="shared" si="1107"/>
        <v>0.1364185926</v>
      </c>
      <c r="AX83" s="30"/>
      <c r="AY83" s="34">
        <f t="shared" ref="AY83:BB83" si="1108">rank(AQ83,$AQ83:$AT83)</f>
        <v>1</v>
      </c>
      <c r="AZ83" s="34">
        <f t="shared" si="1108"/>
        <v>3</v>
      </c>
      <c r="BA83" s="34">
        <f t="shared" si="1108"/>
        <v>4</v>
      </c>
      <c r="BB83" s="34">
        <f t="shared" si="1108"/>
        <v>2</v>
      </c>
      <c r="BC83" s="35">
        <f t="shared" ref="BC83:BE83" si="1109">rank(AU83,$AU83:$AW83)</f>
        <v>3</v>
      </c>
      <c r="BD83" s="34">
        <f t="shared" si="1109"/>
        <v>1</v>
      </c>
      <c r="BE83" s="34">
        <f t="shared" si="1109"/>
        <v>2</v>
      </c>
      <c r="BF83" s="30"/>
      <c r="BG83" s="36">
        <f t="shared" ref="BG83:BJ83" si="1110">if(and($BQ83=0,AY83&lt;=2),0.5,0)</f>
        <v>0</v>
      </c>
      <c r="BH83" s="36">
        <f t="shared" si="1110"/>
        <v>0</v>
      </c>
      <c r="BI83" s="36">
        <f t="shared" si="1110"/>
        <v>0</v>
      </c>
      <c r="BJ83" s="36">
        <f t="shared" si="1110"/>
        <v>0</v>
      </c>
      <c r="BK83" s="37">
        <f t="shared" ref="BK83:BM83" si="1111">if(and($BQ83&gt;0,BC83=1),1,0)</f>
        <v>0</v>
      </c>
      <c r="BL83" s="36">
        <f t="shared" si="1111"/>
        <v>1</v>
      </c>
      <c r="BM83" s="36">
        <f t="shared" si="1111"/>
        <v>0</v>
      </c>
      <c r="BN83" s="38"/>
      <c r="BO83" s="22">
        <f t="shared" si="21"/>
        <v>1</v>
      </c>
      <c r="BP83" s="38"/>
      <c r="BQ83" s="39">
        <f t="shared" si="22"/>
        <v>1</v>
      </c>
      <c r="BR83" s="30"/>
      <c r="BS83" s="36">
        <f t="shared" ref="BS83:BV83" si="1112">if(and($BQ83=0,AY83=1),1,0)</f>
        <v>0</v>
      </c>
      <c r="BT83" s="36">
        <f t="shared" si="1112"/>
        <v>0</v>
      </c>
      <c r="BU83" s="36">
        <f t="shared" si="1112"/>
        <v>0</v>
      </c>
      <c r="BV83" s="36">
        <f t="shared" si="1112"/>
        <v>0</v>
      </c>
      <c r="BW83" s="37">
        <f t="shared" ref="BW83:BY83" si="1113">if(and($BQ83&gt;0,BC83=1),1,0)</f>
        <v>0</v>
      </c>
      <c r="BX83" s="36">
        <f t="shared" si="1113"/>
        <v>1</v>
      </c>
      <c r="BY83" s="36">
        <f t="shared" si="1113"/>
        <v>0</v>
      </c>
      <c r="BZ83" s="38"/>
      <c r="CA83" s="22">
        <f t="shared" si="25"/>
        <v>1</v>
      </c>
      <c r="CB83" s="38"/>
      <c r="CC83" s="22">
        <f t="shared" ref="CC83:CI83" si="1114">BG82*K83</f>
        <v>0</v>
      </c>
      <c r="CD83" s="22">
        <f t="shared" si="1114"/>
        <v>0</v>
      </c>
      <c r="CE83" s="22">
        <f t="shared" si="1114"/>
        <v>0</v>
      </c>
      <c r="CF83" s="22">
        <f t="shared" si="1114"/>
        <v>0</v>
      </c>
      <c r="CG83" s="22">
        <f t="shared" si="1114"/>
        <v>0</v>
      </c>
      <c r="CH83" s="22">
        <f t="shared" si="1114"/>
        <v>0</v>
      </c>
      <c r="CI83" s="22">
        <f t="shared" si="1114"/>
        <v>0.02461371516</v>
      </c>
      <c r="CJ83" s="38"/>
      <c r="CK83" s="22">
        <f t="shared" ref="CK83:CQ83" si="1115">BS82*K83</f>
        <v>0</v>
      </c>
      <c r="CL83" s="22">
        <f t="shared" si="1115"/>
        <v>0</v>
      </c>
      <c r="CM83" s="22">
        <f t="shared" si="1115"/>
        <v>0</v>
      </c>
      <c r="CN83" s="22">
        <f t="shared" si="1115"/>
        <v>0</v>
      </c>
      <c r="CO83" s="22">
        <f t="shared" si="1115"/>
        <v>0</v>
      </c>
      <c r="CP83" s="22">
        <f t="shared" si="1115"/>
        <v>0</v>
      </c>
      <c r="CQ83" s="22">
        <f t="shared" si="1115"/>
        <v>0.02461371516</v>
      </c>
      <c r="CR83" s="44">
        <f t="shared" si="28"/>
        <v>0.02461371516</v>
      </c>
      <c r="CS83" s="45"/>
      <c r="CT83" s="22">
        <f t="shared" ref="CT83:CT94" si="1130">CT82*(1+CR83)</f>
        <v>1.024613715</v>
      </c>
      <c r="CU83" s="22">
        <f t="shared" si="792"/>
        <v>1.142666327</v>
      </c>
      <c r="CV83" s="47">
        <v>25.0</v>
      </c>
      <c r="CW83" s="45"/>
      <c r="CX83" s="44">
        <f t="shared" si="29"/>
        <v>0.02461371516</v>
      </c>
      <c r="CY83" s="22">
        <f t="shared" ref="CY83:CY94" si="1131">CY82*(1+CX83)</f>
        <v>1.024613715</v>
      </c>
      <c r="CZ83" s="22">
        <f t="shared" si="793"/>
        <v>1.128749172</v>
      </c>
      <c r="DA83" s="47">
        <v>25.0</v>
      </c>
      <c r="DB83" s="45"/>
      <c r="DC83" s="40"/>
      <c r="DD83" s="48">
        <f t="shared" si="30"/>
        <v>162880.1142</v>
      </c>
      <c r="DE83" s="49">
        <f t="shared" si="31"/>
        <v>0.02461371516</v>
      </c>
      <c r="DF83" s="50"/>
      <c r="DG83" s="40"/>
      <c r="DH83" s="51">
        <f t="shared" si="32"/>
        <v>156724.1605</v>
      </c>
      <c r="DI83" s="52">
        <f t="shared" si="33"/>
        <v>0.02461371516</v>
      </c>
      <c r="DJ83" s="50"/>
      <c r="DK83" s="40"/>
      <c r="DL83" s="40"/>
      <c r="DM83" s="40"/>
      <c r="DN83" s="42"/>
      <c r="DO83" s="40"/>
      <c r="DP83" s="40"/>
      <c r="DQ83" s="42"/>
      <c r="DR83" s="40"/>
      <c r="DS83" s="40"/>
      <c r="DT83" s="40"/>
      <c r="DU83" s="40"/>
    </row>
    <row r="84" ht="13.5" customHeight="1">
      <c r="A84" s="27">
        <v>12.0</v>
      </c>
      <c r="B84" s="56">
        <f t="shared" si="2"/>
        <v>44012</v>
      </c>
      <c r="C84" s="29">
        <f t="shared" ref="C84:I84" si="1116">indirect(CONCATENATE(C$2,"!$G$",$A84))</f>
        <v>280.0974148</v>
      </c>
      <c r="D84" s="29">
        <f t="shared" si="1116"/>
        <v>38.06059891</v>
      </c>
      <c r="E84" s="29">
        <f t="shared" si="1116"/>
        <v>38.93501108</v>
      </c>
      <c r="F84" s="29">
        <f t="shared" si="1116"/>
        <v>86.67224464</v>
      </c>
      <c r="G84" s="29">
        <f t="shared" si="1116"/>
        <v>86.23498369</v>
      </c>
      <c r="H84" s="29">
        <f t="shared" si="1116"/>
        <v>121.0359279</v>
      </c>
      <c r="I84" s="29">
        <f t="shared" si="1116"/>
        <v>131.7210393</v>
      </c>
      <c r="J84" s="30"/>
      <c r="K84" s="32">
        <f t="shared" ref="K84:Q84" si="1117">C84/C83-1</f>
        <v>0.01834643104</v>
      </c>
      <c r="L84" s="32">
        <f t="shared" si="1117"/>
        <v>0.03492114405</v>
      </c>
      <c r="M84" s="32">
        <f t="shared" si="1117"/>
        <v>0.06472292332</v>
      </c>
      <c r="N84" s="32">
        <f t="shared" si="1117"/>
        <v>0.006710761701</v>
      </c>
      <c r="O84" s="32">
        <f t="shared" si="1117"/>
        <v>0.0002317594717</v>
      </c>
      <c r="P84" s="32">
        <f t="shared" si="1117"/>
        <v>0.0004290582969</v>
      </c>
      <c r="Q84" s="32">
        <f t="shared" si="1117"/>
        <v>0.02127612605</v>
      </c>
      <c r="R84" s="30"/>
      <c r="S84" s="32">
        <f t="shared" ref="S84:Y84" si="1118">C84/C81-1</f>
        <v>0.2029491347</v>
      </c>
      <c r="T84" s="32">
        <f t="shared" si="1118"/>
        <v>0.1693305188</v>
      </c>
      <c r="U84" s="32">
        <f t="shared" si="1118"/>
        <v>0.1856348261</v>
      </c>
      <c r="V84" s="32">
        <f t="shared" si="1118"/>
        <v>0.04140127494</v>
      </c>
      <c r="W84" s="32">
        <f t="shared" si="1118"/>
        <v>0.002177008927</v>
      </c>
      <c r="X84" s="32">
        <f t="shared" si="1118"/>
        <v>0.006461629553</v>
      </c>
      <c r="Y84" s="32">
        <f t="shared" si="1118"/>
        <v>0.09716134715</v>
      </c>
      <c r="Z84" s="30"/>
      <c r="AA84" s="32">
        <f t="shared" ref="AA84:AG84" si="1119">C84/C78-1</f>
        <v>-0.03260814919</v>
      </c>
      <c r="AB84" s="32">
        <f t="shared" si="1119"/>
        <v>-0.1111392775</v>
      </c>
      <c r="AC84" s="32">
        <f t="shared" si="1119"/>
        <v>-0.1038020723</v>
      </c>
      <c r="AD84" s="32">
        <f t="shared" si="1119"/>
        <v>0.06429389288</v>
      </c>
      <c r="AE84" s="32">
        <f t="shared" si="1119"/>
        <v>0.02946484297</v>
      </c>
      <c r="AF84" s="32">
        <f t="shared" si="1119"/>
        <v>0.1121068505</v>
      </c>
      <c r="AG84" s="32">
        <f t="shared" si="1119"/>
        <v>0.06455174659</v>
      </c>
      <c r="AH84" s="30"/>
      <c r="AI84" s="32">
        <f t="shared" ref="AI84:AO84" si="1120">C84/C72-1</f>
        <v>0.07342254262</v>
      </c>
      <c r="AJ84" s="32">
        <f t="shared" si="1120"/>
        <v>-0.04528399187</v>
      </c>
      <c r="AK84" s="32">
        <f t="shared" si="1120"/>
        <v>-0.03896417802</v>
      </c>
      <c r="AL84" s="32">
        <f t="shared" si="1120"/>
        <v>0.09130682111</v>
      </c>
      <c r="AM84" s="32">
        <f t="shared" si="1120"/>
        <v>0.03980586923</v>
      </c>
      <c r="AN84" s="32">
        <f t="shared" si="1120"/>
        <v>0.1264888963</v>
      </c>
      <c r="AO84" s="32">
        <f t="shared" si="1120"/>
        <v>0.1163226003</v>
      </c>
      <c r="AP84" s="30"/>
      <c r="AQ84" s="32">
        <f t="shared" ref="AQ84:AW84" si="1121">(12*K84+4*S84+2*AA84+AI84)/4</f>
        <v>0.2600399889</v>
      </c>
      <c r="AR84" s="32">
        <f t="shared" si="1121"/>
        <v>0.2072033142</v>
      </c>
      <c r="AS84" s="32">
        <f t="shared" si="1121"/>
        <v>0.3181615154</v>
      </c>
      <c r="AT84" s="32">
        <f t="shared" si="1121"/>
        <v>0.1165072118</v>
      </c>
      <c r="AU84" s="33">
        <f t="shared" si="1121"/>
        <v>0.02755617613</v>
      </c>
      <c r="AV84" s="32">
        <f t="shared" si="1121"/>
        <v>0.09542445378</v>
      </c>
      <c r="AW84" s="32">
        <f t="shared" si="1121"/>
        <v>0.2223462487</v>
      </c>
      <c r="AX84" s="30"/>
      <c r="AY84" s="34">
        <f t="shared" ref="AY84:BB84" si="1122">rank(AQ84,$AQ84:$AT84)</f>
        <v>2</v>
      </c>
      <c r="AZ84" s="34">
        <f t="shared" si="1122"/>
        <v>3</v>
      </c>
      <c r="BA84" s="34">
        <f t="shared" si="1122"/>
        <v>1</v>
      </c>
      <c r="BB84" s="34">
        <f t="shared" si="1122"/>
        <v>4</v>
      </c>
      <c r="BC84" s="35">
        <f t="shared" ref="BC84:BE84" si="1123">rank(AU84,$AU84:$AW84)</f>
        <v>3</v>
      </c>
      <c r="BD84" s="34">
        <f t="shared" si="1123"/>
        <v>2</v>
      </c>
      <c r="BE84" s="34">
        <f t="shared" si="1123"/>
        <v>1</v>
      </c>
      <c r="BF84" s="30"/>
      <c r="BG84" s="36">
        <f t="shared" ref="BG84:BJ84" si="1124">if(and($BQ84=0,AY84&lt;=2),0.5,0)</f>
        <v>0.5</v>
      </c>
      <c r="BH84" s="36">
        <f t="shared" si="1124"/>
        <v>0</v>
      </c>
      <c r="BI84" s="36">
        <f t="shared" si="1124"/>
        <v>0.5</v>
      </c>
      <c r="BJ84" s="36">
        <f t="shared" si="1124"/>
        <v>0</v>
      </c>
      <c r="BK84" s="37">
        <f t="shared" ref="BK84:BM84" si="1125">if(and($BQ84&gt;0,BC84=1),1,0)</f>
        <v>0</v>
      </c>
      <c r="BL84" s="36">
        <f t="shared" si="1125"/>
        <v>0</v>
      </c>
      <c r="BM84" s="36">
        <f t="shared" si="1125"/>
        <v>0</v>
      </c>
      <c r="BN84" s="38"/>
      <c r="BO84" s="22">
        <f t="shared" si="21"/>
        <v>1</v>
      </c>
      <c r="BP84" s="38"/>
      <c r="BQ84" s="39">
        <f t="shared" si="22"/>
        <v>0</v>
      </c>
      <c r="BR84" s="30"/>
      <c r="BS84" s="36">
        <f t="shared" ref="BS84:BV84" si="1126">if(and($BQ84=0,AY84=1),1,0)</f>
        <v>0</v>
      </c>
      <c r="BT84" s="36">
        <f t="shared" si="1126"/>
        <v>0</v>
      </c>
      <c r="BU84" s="36">
        <f t="shared" si="1126"/>
        <v>1</v>
      </c>
      <c r="BV84" s="36">
        <f t="shared" si="1126"/>
        <v>0</v>
      </c>
      <c r="BW84" s="37">
        <f t="shared" ref="BW84:BY84" si="1127">if(and($BQ84&gt;0,BC84=1),1,0)</f>
        <v>0</v>
      </c>
      <c r="BX84" s="36">
        <f t="shared" si="1127"/>
        <v>0</v>
      </c>
      <c r="BY84" s="36">
        <f t="shared" si="1127"/>
        <v>0</v>
      </c>
      <c r="BZ84" s="38"/>
      <c r="CA84" s="22">
        <f t="shared" si="25"/>
        <v>1</v>
      </c>
      <c r="CB84" s="38"/>
      <c r="CC84" s="22">
        <f t="shared" ref="CC84:CI84" si="1128">BG83*K84</f>
        <v>0</v>
      </c>
      <c r="CD84" s="22">
        <f t="shared" si="1128"/>
        <v>0</v>
      </c>
      <c r="CE84" s="22">
        <f t="shared" si="1128"/>
        <v>0</v>
      </c>
      <c r="CF84" s="22">
        <f t="shared" si="1128"/>
        <v>0</v>
      </c>
      <c r="CG84" s="22">
        <f t="shared" si="1128"/>
        <v>0</v>
      </c>
      <c r="CH84" s="22">
        <f t="shared" si="1128"/>
        <v>0.0004290582969</v>
      </c>
      <c r="CI84" s="22">
        <f t="shared" si="1128"/>
        <v>0</v>
      </c>
      <c r="CJ84" s="38"/>
      <c r="CK84" s="22">
        <f t="shared" ref="CK84:CQ84" si="1129">BS83*K84</f>
        <v>0</v>
      </c>
      <c r="CL84" s="22">
        <f t="shared" si="1129"/>
        <v>0</v>
      </c>
      <c r="CM84" s="22">
        <f t="shared" si="1129"/>
        <v>0</v>
      </c>
      <c r="CN84" s="22">
        <f t="shared" si="1129"/>
        <v>0</v>
      </c>
      <c r="CO84" s="22">
        <f t="shared" si="1129"/>
        <v>0</v>
      </c>
      <c r="CP84" s="22">
        <f t="shared" si="1129"/>
        <v>0.0004290582969</v>
      </c>
      <c r="CQ84" s="22">
        <f t="shared" si="1129"/>
        <v>0</v>
      </c>
      <c r="CR84" s="44">
        <f t="shared" si="28"/>
        <v>0.0004290582969</v>
      </c>
      <c r="CS84" s="45"/>
      <c r="CT84" s="22">
        <f t="shared" si="1130"/>
        <v>1.025053334</v>
      </c>
      <c r="CU84" s="22">
        <f t="shared" si="792"/>
        <v>1.143156598</v>
      </c>
      <c r="CV84" s="47">
        <v>26.0</v>
      </c>
      <c r="CW84" s="45"/>
      <c r="CX84" s="44">
        <f t="shared" si="29"/>
        <v>0.0004290582969</v>
      </c>
      <c r="CY84" s="22">
        <f t="shared" si="1131"/>
        <v>1.025053334</v>
      </c>
      <c r="CZ84" s="22">
        <f t="shared" si="793"/>
        <v>1.129233471</v>
      </c>
      <c r="DA84" s="47">
        <v>26.0</v>
      </c>
      <c r="DB84" s="45"/>
      <c r="DC84" s="40"/>
      <c r="DD84" s="48">
        <f t="shared" si="30"/>
        <v>162949.9993</v>
      </c>
      <c r="DE84" s="49">
        <f t="shared" si="31"/>
        <v>0.0004290582969</v>
      </c>
      <c r="DF84" s="50"/>
      <c r="DG84" s="40"/>
      <c r="DH84" s="51">
        <f t="shared" si="32"/>
        <v>156791.4043</v>
      </c>
      <c r="DI84" s="52">
        <f t="shared" si="33"/>
        <v>0.0004290582969</v>
      </c>
      <c r="DJ84" s="50"/>
      <c r="DK84" s="40"/>
      <c r="DL84" s="40"/>
      <c r="DM84" s="40"/>
      <c r="DN84" s="42"/>
      <c r="DO84" s="40"/>
      <c r="DP84" s="40"/>
      <c r="DQ84" s="42"/>
      <c r="DR84" s="40"/>
      <c r="DS84" s="40"/>
      <c r="DT84" s="40"/>
      <c r="DU84" s="40"/>
    </row>
    <row r="85" ht="13.5" customHeight="1">
      <c r="A85" s="27">
        <v>11.0</v>
      </c>
      <c r="B85" s="56">
        <f t="shared" si="2"/>
        <v>44043</v>
      </c>
      <c r="C85" s="29">
        <f t="shared" ref="C85:I85" si="1132">indirect(CONCATENATE(C$2,"!$G$",$A85))</f>
        <v>296.5714081</v>
      </c>
      <c r="D85" s="29">
        <f t="shared" si="1132"/>
        <v>39.06141899</v>
      </c>
      <c r="E85" s="29">
        <f t="shared" si="1132"/>
        <v>42.27707212</v>
      </c>
      <c r="F85" s="29">
        <f t="shared" si="1132"/>
        <v>87.93270466</v>
      </c>
      <c r="G85" s="29">
        <f t="shared" si="1132"/>
        <v>86.3153473</v>
      </c>
      <c r="H85" s="29">
        <f t="shared" si="1132"/>
        <v>122.0699677</v>
      </c>
      <c r="I85" s="29">
        <f t="shared" si="1132"/>
        <v>135.803606</v>
      </c>
      <c r="J85" s="30"/>
      <c r="K85" s="32">
        <f t="shared" ref="K85:Q85" si="1133">C85/C84-1</f>
        <v>0.05881522775</v>
      </c>
      <c r="L85" s="32">
        <f t="shared" si="1133"/>
        <v>0.02629543697</v>
      </c>
      <c r="M85" s="32">
        <f t="shared" si="1133"/>
        <v>0.08583690987</v>
      </c>
      <c r="N85" s="32">
        <f t="shared" si="1133"/>
        <v>0.01454283353</v>
      </c>
      <c r="O85" s="32">
        <f t="shared" si="1133"/>
        <v>0.0009319142309</v>
      </c>
      <c r="P85" s="32">
        <f t="shared" si="1133"/>
        <v>0.008543246617</v>
      </c>
      <c r="Q85" s="32">
        <f t="shared" si="1133"/>
        <v>0.03099403668</v>
      </c>
      <c r="R85" s="30"/>
      <c r="S85" s="32">
        <f t="shared" ref="S85:Y85" si="1134">C85/C82-1</f>
        <v>0.1293067696</v>
      </c>
      <c r="T85" s="32">
        <f t="shared" si="1134"/>
        <v>0.1213738709</v>
      </c>
      <c r="U85" s="32">
        <f t="shared" si="1134"/>
        <v>0.1941518709</v>
      </c>
      <c r="V85" s="32">
        <f t="shared" si="1134"/>
        <v>0.0281798589</v>
      </c>
      <c r="W85" s="32">
        <f t="shared" si="1134"/>
        <v>0.0003843213705</v>
      </c>
      <c r="X85" s="32">
        <f t="shared" si="1134"/>
        <v>0.01227834006</v>
      </c>
      <c r="Y85" s="32">
        <f t="shared" si="1134"/>
        <v>0.07884610492</v>
      </c>
      <c r="Z85" s="30"/>
      <c r="AA85" s="32">
        <f t="shared" ref="AA85:AG85" si="1135">C85/C79-1</f>
        <v>0.02467026992</v>
      </c>
      <c r="AB85" s="32">
        <f t="shared" si="1135"/>
        <v>-0.05959248992</v>
      </c>
      <c r="AC85" s="32">
        <f t="shared" si="1135"/>
        <v>0.03010852988</v>
      </c>
      <c r="AD85" s="32">
        <f t="shared" si="1135"/>
        <v>0.05881265513</v>
      </c>
      <c r="AE85" s="32">
        <f t="shared" si="1135"/>
        <v>0.02449249756</v>
      </c>
      <c r="AF85" s="32">
        <f t="shared" si="1135"/>
        <v>0.08403733448</v>
      </c>
      <c r="AG85" s="32">
        <f t="shared" si="1135"/>
        <v>0.07134068545</v>
      </c>
      <c r="AH85" s="30"/>
      <c r="AI85" s="32">
        <f t="shared" ref="AI85:AO85" si="1136">C85/C73-1</f>
        <v>0.1201995146</v>
      </c>
      <c r="AJ85" s="32">
        <f t="shared" si="1136"/>
        <v>0.0002036387047</v>
      </c>
      <c r="AK85" s="32">
        <f t="shared" si="1136"/>
        <v>0.06276946724</v>
      </c>
      <c r="AL85" s="32">
        <f t="shared" si="1136"/>
        <v>0.1055170556</v>
      </c>
      <c r="AM85" s="32">
        <f t="shared" si="1136"/>
        <v>0.04143886703</v>
      </c>
      <c r="AN85" s="32">
        <f t="shared" si="1136"/>
        <v>0.135672997</v>
      </c>
      <c r="AO85" s="32">
        <f t="shared" si="1136"/>
        <v>0.1480167402</v>
      </c>
      <c r="AP85" s="30"/>
      <c r="AQ85" s="32">
        <f t="shared" ref="AQ85:AW85" si="1137">(12*K85+4*S85+2*AA85+AI85)/4</f>
        <v>0.3481374664</v>
      </c>
      <c r="AR85" s="32">
        <f t="shared" si="1137"/>
        <v>0.1705148466</v>
      </c>
      <c r="AS85" s="32">
        <f t="shared" si="1137"/>
        <v>0.4824092323</v>
      </c>
      <c r="AT85" s="32">
        <f t="shared" si="1137"/>
        <v>0.127593951</v>
      </c>
      <c r="AU85" s="33">
        <f t="shared" si="1137"/>
        <v>0.0257860296</v>
      </c>
      <c r="AV85" s="32">
        <f t="shared" si="1137"/>
        <v>0.1138449964</v>
      </c>
      <c r="AW85" s="32">
        <f t="shared" si="1137"/>
        <v>0.2445027427</v>
      </c>
      <c r="AX85" s="30"/>
      <c r="AY85" s="34">
        <f t="shared" ref="AY85:BB85" si="1138">rank(AQ85,$AQ85:$AT85)</f>
        <v>2</v>
      </c>
      <c r="AZ85" s="34">
        <f t="shared" si="1138"/>
        <v>3</v>
      </c>
      <c r="BA85" s="34">
        <f t="shared" si="1138"/>
        <v>1</v>
      </c>
      <c r="BB85" s="34">
        <f t="shared" si="1138"/>
        <v>4</v>
      </c>
      <c r="BC85" s="35">
        <f t="shared" ref="BC85:BE85" si="1139">rank(AU85,$AU85:$AW85)</f>
        <v>3</v>
      </c>
      <c r="BD85" s="34">
        <f t="shared" si="1139"/>
        <v>2</v>
      </c>
      <c r="BE85" s="34">
        <f t="shared" si="1139"/>
        <v>1</v>
      </c>
      <c r="BF85" s="30"/>
      <c r="BG85" s="36">
        <f t="shared" ref="BG85:BJ85" si="1140">if(and($BQ85=0,AY85&lt;=2),0.5,0)</f>
        <v>0.5</v>
      </c>
      <c r="BH85" s="36">
        <f t="shared" si="1140"/>
        <v>0</v>
      </c>
      <c r="BI85" s="36">
        <f t="shared" si="1140"/>
        <v>0.5</v>
      </c>
      <c r="BJ85" s="36">
        <f t="shared" si="1140"/>
        <v>0</v>
      </c>
      <c r="BK85" s="37">
        <f t="shared" ref="BK85:BM85" si="1141">if(and($BQ85&gt;0,BC85=1),1,0)</f>
        <v>0</v>
      </c>
      <c r="BL85" s="36">
        <f t="shared" si="1141"/>
        <v>0</v>
      </c>
      <c r="BM85" s="36">
        <f t="shared" si="1141"/>
        <v>0</v>
      </c>
      <c r="BN85" s="38"/>
      <c r="BO85" s="22">
        <f t="shared" si="21"/>
        <v>1</v>
      </c>
      <c r="BP85" s="38"/>
      <c r="BQ85" s="39">
        <f t="shared" si="22"/>
        <v>0</v>
      </c>
      <c r="BR85" s="30"/>
      <c r="BS85" s="36">
        <f t="shared" ref="BS85:BV85" si="1142">if(and($BQ85=0,AY85=1),1,0)</f>
        <v>0</v>
      </c>
      <c r="BT85" s="36">
        <f t="shared" si="1142"/>
        <v>0</v>
      </c>
      <c r="BU85" s="36">
        <f t="shared" si="1142"/>
        <v>1</v>
      </c>
      <c r="BV85" s="36">
        <f t="shared" si="1142"/>
        <v>0</v>
      </c>
      <c r="BW85" s="37">
        <f t="shared" ref="BW85:BY85" si="1143">if(and($BQ85&gt;0,BC85=1),1,0)</f>
        <v>0</v>
      </c>
      <c r="BX85" s="36">
        <f t="shared" si="1143"/>
        <v>0</v>
      </c>
      <c r="BY85" s="36">
        <f t="shared" si="1143"/>
        <v>0</v>
      </c>
      <c r="BZ85" s="38"/>
      <c r="CA85" s="22">
        <f t="shared" si="25"/>
        <v>1</v>
      </c>
      <c r="CB85" s="38"/>
      <c r="CC85" s="22">
        <f t="shared" ref="CC85:CI85" si="1144">BG84*K85</f>
        <v>0.02940761387</v>
      </c>
      <c r="CD85" s="22">
        <f t="shared" si="1144"/>
        <v>0</v>
      </c>
      <c r="CE85" s="22">
        <f t="shared" si="1144"/>
        <v>0.04291845494</v>
      </c>
      <c r="CF85" s="22">
        <f t="shared" si="1144"/>
        <v>0</v>
      </c>
      <c r="CG85" s="22">
        <f t="shared" si="1144"/>
        <v>0</v>
      </c>
      <c r="CH85" s="22">
        <f t="shared" si="1144"/>
        <v>0</v>
      </c>
      <c r="CI85" s="22">
        <f t="shared" si="1144"/>
        <v>0</v>
      </c>
      <c r="CJ85" s="38"/>
      <c r="CK85" s="22">
        <f t="shared" ref="CK85:CQ85" si="1145">BS84*K85</f>
        <v>0</v>
      </c>
      <c r="CL85" s="22">
        <f t="shared" si="1145"/>
        <v>0</v>
      </c>
      <c r="CM85" s="22">
        <f t="shared" si="1145"/>
        <v>0.08583690987</v>
      </c>
      <c r="CN85" s="22">
        <f t="shared" si="1145"/>
        <v>0</v>
      </c>
      <c r="CO85" s="22">
        <f t="shared" si="1145"/>
        <v>0</v>
      </c>
      <c r="CP85" s="22">
        <f t="shared" si="1145"/>
        <v>0</v>
      </c>
      <c r="CQ85" s="22">
        <f t="shared" si="1145"/>
        <v>0</v>
      </c>
      <c r="CR85" s="44">
        <f t="shared" si="28"/>
        <v>0.07232606881</v>
      </c>
      <c r="CS85" s="45"/>
      <c r="CT85" s="22">
        <f t="shared" si="1130"/>
        <v>1.099191412</v>
      </c>
      <c r="CU85" s="22">
        <f t="shared" si="792"/>
        <v>1.22583662</v>
      </c>
      <c r="CV85" s="47">
        <v>27.0</v>
      </c>
      <c r="CW85" s="45"/>
      <c r="CX85" s="44">
        <f t="shared" si="29"/>
        <v>0.08583690987</v>
      </c>
      <c r="CY85" s="22">
        <f t="shared" si="1131"/>
        <v>1.113040745</v>
      </c>
      <c r="CZ85" s="22">
        <f t="shared" si="793"/>
        <v>1.226163383</v>
      </c>
      <c r="DA85" s="47">
        <v>27.0</v>
      </c>
      <c r="DB85" s="45"/>
      <c r="DC85" s="40"/>
      <c r="DD85" s="48">
        <f t="shared" si="30"/>
        <v>174735.5322</v>
      </c>
      <c r="DE85" s="49">
        <f t="shared" si="31"/>
        <v>0.07232606881</v>
      </c>
      <c r="DF85" s="50"/>
      <c r="DG85" s="40"/>
      <c r="DH85" s="51">
        <f t="shared" si="32"/>
        <v>170249.8939</v>
      </c>
      <c r="DI85" s="52">
        <f t="shared" si="33"/>
        <v>0.08583690987</v>
      </c>
      <c r="DJ85" s="50"/>
      <c r="DK85" s="40"/>
      <c r="DL85" s="40"/>
      <c r="DM85" s="40"/>
      <c r="DN85" s="42"/>
      <c r="DO85" s="40"/>
      <c r="DP85" s="40"/>
      <c r="DQ85" s="42"/>
      <c r="DR85" s="40"/>
      <c r="DS85" s="40"/>
      <c r="DT85" s="40"/>
      <c r="DU85" s="40"/>
    </row>
    <row r="86" ht="13.5" customHeight="1">
      <c r="A86" s="27">
        <v>10.0</v>
      </c>
      <c r="B86" s="56">
        <f t="shared" si="2"/>
        <v>44074</v>
      </c>
      <c r="C86" s="29">
        <f t="shared" ref="C86:I86" si="1146">indirect(CONCATENATE(C$2,"!$G$",$A86))</f>
        <v>317.2454296</v>
      </c>
      <c r="D86" s="29">
        <f t="shared" si="1146"/>
        <v>41.08268307</v>
      </c>
      <c r="E86" s="29">
        <f t="shared" si="1146"/>
        <v>43.43696389</v>
      </c>
      <c r="F86" s="29">
        <f t="shared" si="1146"/>
        <v>87.10439122</v>
      </c>
      <c r="G86" s="29">
        <f t="shared" si="1146"/>
        <v>86.29584972</v>
      </c>
      <c r="H86" s="29">
        <f t="shared" si="1146"/>
        <v>120.8860041</v>
      </c>
      <c r="I86" s="29">
        <f t="shared" si="1146"/>
        <v>133.3886475</v>
      </c>
      <c r="J86" s="30"/>
      <c r="K86" s="32">
        <f t="shared" ref="K86:Q86" si="1147">C86/C85-1</f>
        <v>0.06971009663</v>
      </c>
      <c r="L86" s="32">
        <f t="shared" si="1147"/>
        <v>0.05174579251</v>
      </c>
      <c r="M86" s="32">
        <f t="shared" si="1147"/>
        <v>0.02743548012</v>
      </c>
      <c r="N86" s="32">
        <f t="shared" si="1147"/>
        <v>-0.00941985628</v>
      </c>
      <c r="O86" s="32">
        <f t="shared" si="1147"/>
        <v>-0.0002258877103</v>
      </c>
      <c r="P86" s="32">
        <f t="shared" si="1147"/>
        <v>-0.009699057438</v>
      </c>
      <c r="Q86" s="32">
        <f t="shared" si="1147"/>
        <v>-0.01778272742</v>
      </c>
      <c r="R86" s="30"/>
      <c r="S86" s="32">
        <f t="shared" ref="S86:Y86" si="1148">C86/C83-1</f>
        <v>0.1534049723</v>
      </c>
      <c r="T86" s="32">
        <f t="shared" si="1148"/>
        <v>0.1170958572</v>
      </c>
      <c r="U86" s="32">
        <f t="shared" si="1148"/>
        <v>0.1878340313</v>
      </c>
      <c r="V86" s="32">
        <f t="shared" si="1148"/>
        <v>0.01173020732</v>
      </c>
      <c r="W86" s="32">
        <f t="shared" si="1148"/>
        <v>0.0009377390638</v>
      </c>
      <c r="X86" s="32">
        <f t="shared" si="1148"/>
        <v>-0.000810145427</v>
      </c>
      <c r="Y86" s="32">
        <f t="shared" si="1148"/>
        <v>0.03420563576</v>
      </c>
      <c r="Z86" s="30"/>
      <c r="AA86" s="32">
        <f t="shared" ref="AA86:AG86" si="1149">C86/C80-1</f>
        <v>0.1927057057</v>
      </c>
      <c r="AB86" s="32">
        <f t="shared" si="1149"/>
        <v>0.07101181905</v>
      </c>
      <c r="AC86" s="32">
        <f t="shared" si="1149"/>
        <v>0.09728839792</v>
      </c>
      <c r="AD86" s="32">
        <f t="shared" si="1149"/>
        <v>0.03164021099</v>
      </c>
      <c r="AE86" s="32">
        <f t="shared" si="1149"/>
        <v>0.01536131024</v>
      </c>
      <c r="AF86" s="32">
        <f t="shared" si="1149"/>
        <v>0.04263928763</v>
      </c>
      <c r="AG86" s="32">
        <f t="shared" si="1149"/>
        <v>0.04092845161</v>
      </c>
      <c r="AH86" s="30"/>
      <c r="AI86" s="32">
        <f t="shared" ref="AI86:AO86" si="1150">C86/C74-1</f>
        <v>0.2182750807</v>
      </c>
      <c r="AJ86" s="32">
        <f t="shared" si="1150"/>
        <v>0.07216473733</v>
      </c>
      <c r="AK86" s="32">
        <f t="shared" si="1150"/>
        <v>0.1286849984</v>
      </c>
      <c r="AL86" s="32">
        <f t="shared" si="1150"/>
        <v>0.06560829156</v>
      </c>
      <c r="AM86" s="32">
        <f t="shared" si="1150"/>
        <v>0.0331314954</v>
      </c>
      <c r="AN86" s="32">
        <f t="shared" si="1150"/>
        <v>0.08193093836</v>
      </c>
      <c r="AO86" s="32">
        <f t="shared" si="1150"/>
        <v>0.08544846345</v>
      </c>
      <c r="AP86" s="30"/>
      <c r="AQ86" s="32">
        <f t="shared" ref="AQ86:AW86" si="1151">(12*K86+4*S86+2*AA86+AI86)/4</f>
        <v>0.5134568852</v>
      </c>
      <c r="AR86" s="32">
        <f t="shared" si="1151"/>
        <v>0.3258803286</v>
      </c>
      <c r="AS86" s="32">
        <f t="shared" si="1151"/>
        <v>0.3509559203</v>
      </c>
      <c r="AT86" s="32">
        <f t="shared" si="1151"/>
        <v>0.01569281686</v>
      </c>
      <c r="AU86" s="33">
        <f t="shared" si="1151"/>
        <v>0.0162236049</v>
      </c>
      <c r="AV86" s="32">
        <f t="shared" si="1151"/>
        <v>0.01189506066</v>
      </c>
      <c r="AW86" s="32">
        <f t="shared" si="1151"/>
        <v>0.02268379517</v>
      </c>
      <c r="AX86" s="30"/>
      <c r="AY86" s="34">
        <f t="shared" ref="AY86:BB86" si="1152">rank(AQ86,$AQ86:$AT86)</f>
        <v>1</v>
      </c>
      <c r="AZ86" s="34">
        <f t="shared" si="1152"/>
        <v>3</v>
      </c>
      <c r="BA86" s="34">
        <f t="shared" si="1152"/>
        <v>2</v>
      </c>
      <c r="BB86" s="34">
        <f t="shared" si="1152"/>
        <v>4</v>
      </c>
      <c r="BC86" s="35">
        <f t="shared" ref="BC86:BE86" si="1153">rank(AU86,$AU86:$AW86)</f>
        <v>2</v>
      </c>
      <c r="BD86" s="34">
        <f t="shared" si="1153"/>
        <v>3</v>
      </c>
      <c r="BE86" s="34">
        <f t="shared" si="1153"/>
        <v>1</v>
      </c>
      <c r="BF86" s="30"/>
      <c r="BG86" s="36">
        <f t="shared" ref="BG86:BJ86" si="1154">if(and($BQ86=0,AY86&lt;=2),0.5,0)</f>
        <v>0.5</v>
      </c>
      <c r="BH86" s="36">
        <f t="shared" si="1154"/>
        <v>0</v>
      </c>
      <c r="BI86" s="36">
        <f t="shared" si="1154"/>
        <v>0.5</v>
      </c>
      <c r="BJ86" s="36">
        <f t="shared" si="1154"/>
        <v>0</v>
      </c>
      <c r="BK86" s="37">
        <f t="shared" ref="BK86:BM86" si="1155">if(and($BQ86&gt;0,BC86=1),1,0)</f>
        <v>0</v>
      </c>
      <c r="BL86" s="36">
        <f t="shared" si="1155"/>
        <v>0</v>
      </c>
      <c r="BM86" s="36">
        <f t="shared" si="1155"/>
        <v>0</v>
      </c>
      <c r="BN86" s="38"/>
      <c r="BO86" s="22">
        <f t="shared" si="21"/>
        <v>1</v>
      </c>
      <c r="BP86" s="38"/>
      <c r="BQ86" s="39">
        <f t="shared" si="22"/>
        <v>0</v>
      </c>
      <c r="BR86" s="30"/>
      <c r="BS86" s="36">
        <f t="shared" ref="BS86:BV86" si="1156">if(and($BQ86=0,AY86=1),1,0)</f>
        <v>1</v>
      </c>
      <c r="BT86" s="36">
        <f t="shared" si="1156"/>
        <v>0</v>
      </c>
      <c r="BU86" s="36">
        <f t="shared" si="1156"/>
        <v>0</v>
      </c>
      <c r="BV86" s="36">
        <f t="shared" si="1156"/>
        <v>0</v>
      </c>
      <c r="BW86" s="37">
        <f t="shared" ref="BW86:BY86" si="1157">if(and($BQ86&gt;0,BC86=1),1,0)</f>
        <v>0</v>
      </c>
      <c r="BX86" s="36">
        <f t="shared" si="1157"/>
        <v>0</v>
      </c>
      <c r="BY86" s="36">
        <f t="shared" si="1157"/>
        <v>0</v>
      </c>
      <c r="BZ86" s="38"/>
      <c r="CA86" s="22">
        <f t="shared" si="25"/>
        <v>1</v>
      </c>
      <c r="CB86" s="38"/>
      <c r="CC86" s="22">
        <f t="shared" ref="CC86:CI86" si="1158">BG85*K86</f>
        <v>0.03485504832</v>
      </c>
      <c r="CD86" s="22">
        <f t="shared" si="1158"/>
        <v>0</v>
      </c>
      <c r="CE86" s="22">
        <f t="shared" si="1158"/>
        <v>0.01371774006</v>
      </c>
      <c r="CF86" s="22">
        <f t="shared" si="1158"/>
        <v>0</v>
      </c>
      <c r="CG86" s="22">
        <f t="shared" si="1158"/>
        <v>0</v>
      </c>
      <c r="CH86" s="22">
        <f t="shared" si="1158"/>
        <v>0</v>
      </c>
      <c r="CI86" s="22">
        <f t="shared" si="1158"/>
        <v>0</v>
      </c>
      <c r="CJ86" s="38"/>
      <c r="CK86" s="22">
        <f t="shared" ref="CK86:CQ86" si="1159">BS85*K86</f>
        <v>0</v>
      </c>
      <c r="CL86" s="22">
        <f t="shared" si="1159"/>
        <v>0</v>
      </c>
      <c r="CM86" s="22">
        <f t="shared" si="1159"/>
        <v>0.02743548012</v>
      </c>
      <c r="CN86" s="22">
        <f t="shared" si="1159"/>
        <v>0</v>
      </c>
      <c r="CO86" s="22">
        <f t="shared" si="1159"/>
        <v>0</v>
      </c>
      <c r="CP86" s="22">
        <f t="shared" si="1159"/>
        <v>0</v>
      </c>
      <c r="CQ86" s="22">
        <f t="shared" si="1159"/>
        <v>0</v>
      </c>
      <c r="CR86" s="44">
        <f t="shared" si="28"/>
        <v>0.04857278838</v>
      </c>
      <c r="CS86" s="45"/>
      <c r="CT86" s="22">
        <f t="shared" si="1130"/>
        <v>1.152582204</v>
      </c>
      <c r="CU86" s="22">
        <f t="shared" si="792"/>
        <v>1.285378923</v>
      </c>
      <c r="CV86" s="47">
        <v>28.0</v>
      </c>
      <c r="CW86" s="45"/>
      <c r="CX86" s="44">
        <f t="shared" si="29"/>
        <v>0.02743548012</v>
      </c>
      <c r="CY86" s="22">
        <f t="shared" si="1131"/>
        <v>1.143577552</v>
      </c>
      <c r="CZ86" s="22">
        <f t="shared" si="793"/>
        <v>1.259803764</v>
      </c>
      <c r="DA86" s="47">
        <v>28.0</v>
      </c>
      <c r="DB86" s="45"/>
      <c r="DC86" s="40"/>
      <c r="DD86" s="53">
        <f t="shared" si="30"/>
        <v>183222.9242</v>
      </c>
      <c r="DE86" s="54">
        <f t="shared" si="31"/>
        <v>0.04857278838</v>
      </c>
      <c r="DF86" s="55">
        <f>DD86/DD74-1</f>
        <v>0.2240031214</v>
      </c>
      <c r="DG86" s="40"/>
      <c r="DH86" s="51">
        <f t="shared" si="32"/>
        <v>174920.7815</v>
      </c>
      <c r="DI86" s="52">
        <f t="shared" si="33"/>
        <v>0.02743548012</v>
      </c>
      <c r="DJ86" s="55">
        <f>DH86/DH74-1</f>
        <v>0.1816490793</v>
      </c>
      <c r="DK86" s="40"/>
      <c r="DL86" s="40"/>
      <c r="DM86" s="40"/>
      <c r="DN86" s="42"/>
      <c r="DO86" s="40"/>
      <c r="DP86" s="40"/>
      <c r="DQ86" s="42"/>
      <c r="DR86" s="40"/>
      <c r="DS86" s="40"/>
      <c r="DT86" s="40"/>
      <c r="DU86" s="40"/>
    </row>
    <row r="87" ht="13.5" customHeight="1">
      <c r="A87" s="27">
        <v>9.0</v>
      </c>
      <c r="B87" s="56">
        <f t="shared" si="2"/>
        <v>44104</v>
      </c>
      <c r="C87" s="29">
        <f t="shared" ref="C87:I87" si="1160">indirect(CONCATENATE(C$2,"!$G$",$A87))</f>
        <v>305.3357029</v>
      </c>
      <c r="D87" s="29">
        <f t="shared" si="1160"/>
        <v>40.34842176</v>
      </c>
      <c r="E87" s="29">
        <f t="shared" si="1160"/>
        <v>42.92063118</v>
      </c>
      <c r="F87" s="29">
        <f t="shared" si="1160"/>
        <v>87.01823168</v>
      </c>
      <c r="G87" s="29">
        <f t="shared" si="1160"/>
        <v>86.2949957</v>
      </c>
      <c r="H87" s="29">
        <f t="shared" si="1160"/>
        <v>121.2819682</v>
      </c>
      <c r="I87" s="29">
        <f t="shared" si="1160"/>
        <v>132.8004084</v>
      </c>
      <c r="J87" s="30"/>
      <c r="K87" s="32">
        <f t="shared" ref="K87:Q87" si="1161">C87/C86-1</f>
        <v>-0.03754105047</v>
      </c>
      <c r="L87" s="32">
        <f t="shared" si="1161"/>
        <v>-0.0178727691</v>
      </c>
      <c r="M87" s="32">
        <f t="shared" si="1161"/>
        <v>-0.01188694289</v>
      </c>
      <c r="N87" s="32">
        <f t="shared" si="1161"/>
        <v>-0.0009891526928</v>
      </c>
      <c r="O87" s="32">
        <f t="shared" si="1161"/>
        <v>-0.000009896472811</v>
      </c>
      <c r="P87" s="32">
        <f t="shared" si="1161"/>
        <v>0.003275516418</v>
      </c>
      <c r="Q87" s="32">
        <f t="shared" si="1161"/>
        <v>-0.004409964184</v>
      </c>
      <c r="R87" s="30"/>
      <c r="S87" s="32">
        <f t="shared" ref="S87:Y87" si="1162">C87/C84-1</f>
        <v>0.09010539455</v>
      </c>
      <c r="T87" s="32">
        <f t="shared" si="1162"/>
        <v>0.06011000664</v>
      </c>
      <c r="U87" s="32">
        <f t="shared" si="1162"/>
        <v>0.102365968</v>
      </c>
      <c r="V87" s="32">
        <f t="shared" si="1162"/>
        <v>0.003991901257</v>
      </c>
      <c r="W87" s="32">
        <f t="shared" si="1162"/>
        <v>0.0006959125547</v>
      </c>
      <c r="X87" s="32">
        <f t="shared" si="1162"/>
        <v>0.002032786866</v>
      </c>
      <c r="Y87" s="32">
        <f t="shared" si="1162"/>
        <v>0.008194355759</v>
      </c>
      <c r="Z87" s="30"/>
      <c r="AA87" s="32">
        <f t="shared" ref="AA87:AG87" si="1163">C87/C81-1</f>
        <v>0.3113413411</v>
      </c>
      <c r="AB87" s="32">
        <f t="shared" si="1163"/>
        <v>0.239618984</v>
      </c>
      <c r="AC87" s="32">
        <f t="shared" si="1163"/>
        <v>0.3070034828</v>
      </c>
      <c r="AD87" s="32">
        <f t="shared" si="1163"/>
        <v>0.045558446</v>
      </c>
      <c r="AE87" s="32">
        <f t="shared" si="1163"/>
        <v>0.002874436489</v>
      </c>
      <c r="AF87" s="32">
        <f t="shared" si="1163"/>
        <v>0.008507551535</v>
      </c>
      <c r="AG87" s="32">
        <f t="shared" si="1163"/>
        <v>0.1061518776</v>
      </c>
      <c r="AH87" s="30"/>
      <c r="AI87" s="32">
        <f t="shared" ref="AI87:AO87" si="1164">C87/C75-1</f>
        <v>0.1498488883</v>
      </c>
      <c r="AJ87" s="32">
        <f t="shared" si="1164"/>
        <v>0.02078388783</v>
      </c>
      <c r="AK87" s="32">
        <f t="shared" si="1164"/>
        <v>0.1050418962</v>
      </c>
      <c r="AL87" s="32">
        <f t="shared" si="1164"/>
        <v>0.07063132731</v>
      </c>
      <c r="AM87" s="32">
        <f t="shared" si="1164"/>
        <v>0.03450845414</v>
      </c>
      <c r="AN87" s="32">
        <f t="shared" si="1164"/>
        <v>0.09850538076</v>
      </c>
      <c r="AO87" s="32">
        <f t="shared" si="1164"/>
        <v>0.08888870864</v>
      </c>
      <c r="AP87" s="30"/>
      <c r="AQ87" s="32">
        <f t="shared" ref="AQ87:AW87" si="1165">(12*K87+4*S87+2*AA87+AI87)/4</f>
        <v>0.1706151358</v>
      </c>
      <c r="AR87" s="32">
        <f t="shared" si="1165"/>
        <v>0.1314971633</v>
      </c>
      <c r="AS87" s="32">
        <f t="shared" si="1165"/>
        <v>0.2464673548</v>
      </c>
      <c r="AT87" s="32">
        <f t="shared" si="1165"/>
        <v>0.04146149801</v>
      </c>
      <c r="AU87" s="33">
        <f t="shared" si="1165"/>
        <v>0.01073055492</v>
      </c>
      <c r="AV87" s="32">
        <f t="shared" si="1165"/>
        <v>0.04073945708</v>
      </c>
      <c r="AW87" s="32">
        <f t="shared" si="1165"/>
        <v>0.07026257914</v>
      </c>
      <c r="AX87" s="30"/>
      <c r="AY87" s="34">
        <f t="shared" ref="AY87:BB87" si="1166">rank(AQ87,$AQ87:$AT87)</f>
        <v>2</v>
      </c>
      <c r="AZ87" s="34">
        <f t="shared" si="1166"/>
        <v>3</v>
      </c>
      <c r="BA87" s="34">
        <f t="shared" si="1166"/>
        <v>1</v>
      </c>
      <c r="BB87" s="34">
        <f t="shared" si="1166"/>
        <v>4</v>
      </c>
      <c r="BC87" s="35">
        <f t="shared" ref="BC87:BE87" si="1167">rank(AU87,$AU87:$AW87)</f>
        <v>3</v>
      </c>
      <c r="BD87" s="34">
        <f t="shared" si="1167"/>
        <v>2</v>
      </c>
      <c r="BE87" s="34">
        <f t="shared" si="1167"/>
        <v>1</v>
      </c>
      <c r="BF87" s="30"/>
      <c r="BG87" s="36">
        <f t="shared" ref="BG87:BJ87" si="1168">if(and($BQ87=0,AY87&lt;=2),0.5,0)</f>
        <v>0.5</v>
      </c>
      <c r="BH87" s="36">
        <f t="shared" si="1168"/>
        <v>0</v>
      </c>
      <c r="BI87" s="36">
        <f t="shared" si="1168"/>
        <v>0.5</v>
      </c>
      <c r="BJ87" s="36">
        <f t="shared" si="1168"/>
        <v>0</v>
      </c>
      <c r="BK87" s="37">
        <f t="shared" ref="BK87:BM87" si="1169">if(and($BQ87&gt;0,BC87=1),1,0)</f>
        <v>0</v>
      </c>
      <c r="BL87" s="36">
        <f t="shared" si="1169"/>
        <v>0</v>
      </c>
      <c r="BM87" s="36">
        <f t="shared" si="1169"/>
        <v>0</v>
      </c>
      <c r="BN87" s="38"/>
      <c r="BO87" s="22">
        <f t="shared" si="21"/>
        <v>1</v>
      </c>
      <c r="BP87" s="38"/>
      <c r="BQ87" s="39">
        <f t="shared" si="22"/>
        <v>0</v>
      </c>
      <c r="BR87" s="30"/>
      <c r="BS87" s="36">
        <f t="shared" ref="BS87:BV87" si="1170">if(and($BQ87=0,AY87=1),1,0)</f>
        <v>0</v>
      </c>
      <c r="BT87" s="36">
        <f t="shared" si="1170"/>
        <v>0</v>
      </c>
      <c r="BU87" s="36">
        <f t="shared" si="1170"/>
        <v>1</v>
      </c>
      <c r="BV87" s="36">
        <f t="shared" si="1170"/>
        <v>0</v>
      </c>
      <c r="BW87" s="37">
        <f t="shared" ref="BW87:BY87" si="1171">if(and($BQ87&gt;0,BC87=1),1,0)</f>
        <v>0</v>
      </c>
      <c r="BX87" s="36">
        <f t="shared" si="1171"/>
        <v>0</v>
      </c>
      <c r="BY87" s="36">
        <f t="shared" si="1171"/>
        <v>0</v>
      </c>
      <c r="BZ87" s="38"/>
      <c r="CA87" s="22">
        <f t="shared" si="25"/>
        <v>1</v>
      </c>
      <c r="CB87" s="38"/>
      <c r="CC87" s="22">
        <f t="shared" ref="CC87:CI87" si="1172">BG86*K87</f>
        <v>-0.01877052523</v>
      </c>
      <c r="CD87" s="22">
        <f t="shared" si="1172"/>
        <v>0</v>
      </c>
      <c r="CE87" s="22">
        <f t="shared" si="1172"/>
        <v>-0.005943471447</v>
      </c>
      <c r="CF87" s="22">
        <f t="shared" si="1172"/>
        <v>0</v>
      </c>
      <c r="CG87" s="22">
        <f t="shared" si="1172"/>
        <v>0</v>
      </c>
      <c r="CH87" s="22">
        <f t="shared" si="1172"/>
        <v>0</v>
      </c>
      <c r="CI87" s="22">
        <f t="shared" si="1172"/>
        <v>0</v>
      </c>
      <c r="CJ87" s="38"/>
      <c r="CK87" s="22">
        <f t="shared" ref="CK87:CQ87" si="1173">BS86*K87</f>
        <v>-0.03754105047</v>
      </c>
      <c r="CL87" s="22">
        <f t="shared" si="1173"/>
        <v>0</v>
      </c>
      <c r="CM87" s="22">
        <f t="shared" si="1173"/>
        <v>0</v>
      </c>
      <c r="CN87" s="22">
        <f t="shared" si="1173"/>
        <v>0</v>
      </c>
      <c r="CO87" s="22">
        <f t="shared" si="1173"/>
        <v>0</v>
      </c>
      <c r="CP87" s="22">
        <f t="shared" si="1173"/>
        <v>0</v>
      </c>
      <c r="CQ87" s="22">
        <f t="shared" si="1173"/>
        <v>0</v>
      </c>
      <c r="CR87" s="44">
        <f t="shared" si="28"/>
        <v>-0.02471399668</v>
      </c>
      <c r="CS87" s="45"/>
      <c r="CT87" s="22">
        <f t="shared" si="1130"/>
        <v>1.124097291</v>
      </c>
      <c r="CU87" s="22">
        <f t="shared" si="792"/>
        <v>1.253612073</v>
      </c>
      <c r="CV87" s="47">
        <v>29.0</v>
      </c>
      <c r="CW87" s="45"/>
      <c r="CX87" s="44">
        <f t="shared" si="29"/>
        <v>-0.03754105047</v>
      </c>
      <c r="CY87" s="22">
        <f t="shared" si="1131"/>
        <v>1.100646449</v>
      </c>
      <c r="CZ87" s="22">
        <f t="shared" si="793"/>
        <v>1.212509407</v>
      </c>
      <c r="DA87" s="47">
        <v>29.0</v>
      </c>
      <c r="DB87" s="45"/>
      <c r="DC87" s="40"/>
      <c r="DD87" s="48">
        <f t="shared" si="30"/>
        <v>178694.7534</v>
      </c>
      <c r="DE87" s="49">
        <f t="shared" si="31"/>
        <v>-0.02471399668</v>
      </c>
      <c r="DF87" s="50"/>
      <c r="DG87" s="40"/>
      <c r="DH87" s="51">
        <f t="shared" si="32"/>
        <v>168354.0716</v>
      </c>
      <c r="DI87" s="52">
        <f t="shared" si="33"/>
        <v>-0.03754105047</v>
      </c>
      <c r="DJ87" s="50"/>
      <c r="DK87" s="40"/>
      <c r="DL87" s="40"/>
      <c r="DM87" s="40"/>
      <c r="DN87" s="42"/>
      <c r="DO87" s="40"/>
      <c r="DP87" s="40"/>
      <c r="DQ87" s="42"/>
      <c r="DR87" s="40"/>
      <c r="DS87" s="40"/>
      <c r="DT87" s="40"/>
      <c r="DU87" s="40"/>
    </row>
    <row r="88" ht="13.5" customHeight="1">
      <c r="A88" s="27">
        <v>8.0</v>
      </c>
      <c r="B88" s="56">
        <f t="shared" si="2"/>
        <v>44134</v>
      </c>
      <c r="C88" s="29">
        <f t="shared" ref="C88:I88" si="1174">indirect(CONCATENATE(C$2,"!$G$",$A88))</f>
        <v>297.5646041</v>
      </c>
      <c r="D88" s="29">
        <f t="shared" si="1174"/>
        <v>38.91797649</v>
      </c>
      <c r="E88" s="29">
        <f t="shared" si="1174"/>
        <v>43.48642118</v>
      </c>
      <c r="F88" s="29">
        <f t="shared" si="1174"/>
        <v>86.53421743</v>
      </c>
      <c r="G88" s="29">
        <f t="shared" si="1174"/>
        <v>86.25513375</v>
      </c>
      <c r="H88" s="29">
        <f t="shared" si="1174"/>
        <v>119.6075138</v>
      </c>
      <c r="I88" s="29">
        <f t="shared" si="1174"/>
        <v>132.1223426</v>
      </c>
      <c r="J88" s="30"/>
      <c r="K88" s="32">
        <f t="shared" ref="K88:Q88" si="1175">C88/C87-1</f>
        <v>-0.02545099951</v>
      </c>
      <c r="L88" s="32">
        <f t="shared" si="1175"/>
        <v>-0.03545232274</v>
      </c>
      <c r="M88" s="32">
        <f t="shared" si="1175"/>
        <v>0.01318223867</v>
      </c>
      <c r="N88" s="32">
        <f t="shared" si="1175"/>
        <v>-0.005562216618</v>
      </c>
      <c r="O88" s="32">
        <f t="shared" si="1175"/>
        <v>-0.0004619265404</v>
      </c>
      <c r="P88" s="32">
        <f t="shared" si="1175"/>
        <v>-0.01380629324</v>
      </c>
      <c r="Q88" s="32">
        <f t="shared" si="1175"/>
        <v>-0.005105901366</v>
      </c>
      <c r="R88" s="30"/>
      <c r="S88" s="32">
        <f t="shared" ref="S88:Y88" si="1176">C88/C85-1</f>
        <v>0.003348927036</v>
      </c>
      <c r="T88" s="32">
        <f t="shared" si="1176"/>
        <v>-0.003672229541</v>
      </c>
      <c r="U88" s="32">
        <f t="shared" si="1176"/>
        <v>0.02860531739</v>
      </c>
      <c r="V88" s="32">
        <f t="shared" si="1176"/>
        <v>-0.01590406258</v>
      </c>
      <c r="W88" s="32">
        <f t="shared" si="1176"/>
        <v>-0.0006975995741</v>
      </c>
      <c r="X88" s="32">
        <f t="shared" si="1176"/>
        <v>-0.02017247977</v>
      </c>
      <c r="Y88" s="32">
        <f t="shared" si="1176"/>
        <v>-0.0271072585</v>
      </c>
      <c r="Z88" s="30"/>
      <c r="AA88" s="32">
        <f t="shared" ref="AA88:AG88" si="1177">C88/C82-1</f>
        <v>0.1330887355</v>
      </c>
      <c r="AB88" s="32">
        <f t="shared" si="1177"/>
        <v>0.1172559287</v>
      </c>
      <c r="AC88" s="32">
        <f t="shared" si="1177"/>
        <v>0.2283109642</v>
      </c>
      <c r="AD88" s="32">
        <f t="shared" si="1177"/>
        <v>0.01182762208</v>
      </c>
      <c r="AE88" s="32">
        <f t="shared" si="1177"/>
        <v>-0.000313546306</v>
      </c>
      <c r="AF88" s="32">
        <f t="shared" si="1177"/>
        <v>-0.008141824275</v>
      </c>
      <c r="AG88" s="32">
        <f t="shared" si="1177"/>
        <v>0.04960154467</v>
      </c>
      <c r="AH88" s="30"/>
      <c r="AI88" s="32">
        <f t="shared" ref="AI88:AO88" si="1178">C88/C76-1</f>
        <v>0.09664771678</v>
      </c>
      <c r="AJ88" s="32">
        <f t="shared" si="1178"/>
        <v>-0.04605774939</v>
      </c>
      <c r="AK88" s="32">
        <f t="shared" si="1178"/>
        <v>0.07707171289</v>
      </c>
      <c r="AL88" s="32">
        <f t="shared" si="1178"/>
        <v>0.06138205323</v>
      </c>
      <c r="AM88" s="32">
        <f t="shared" si="1178"/>
        <v>0.03080678578</v>
      </c>
      <c r="AN88" s="32">
        <f t="shared" si="1178"/>
        <v>0.08131456914</v>
      </c>
      <c r="AO88" s="32">
        <f t="shared" si="1178"/>
        <v>0.07853473153</v>
      </c>
      <c r="AP88" s="30"/>
      <c r="AQ88" s="32">
        <f t="shared" ref="AQ88:AW88" si="1179">(12*K88+4*S88+2*AA88+AI88)/4</f>
        <v>0.01770222546</v>
      </c>
      <c r="AR88" s="32">
        <f t="shared" si="1179"/>
        <v>-0.06291567076</v>
      </c>
      <c r="AS88" s="32">
        <f t="shared" si="1179"/>
        <v>0.2015754437</v>
      </c>
      <c r="AT88" s="32">
        <f t="shared" si="1179"/>
        <v>-0.01133138808</v>
      </c>
      <c r="AU88" s="33">
        <f t="shared" si="1179"/>
        <v>0.005461544098</v>
      </c>
      <c r="AV88" s="32">
        <f t="shared" si="1179"/>
        <v>-0.04533362933</v>
      </c>
      <c r="AW88" s="32">
        <f t="shared" si="1179"/>
        <v>0.002009492626</v>
      </c>
      <c r="AX88" s="30"/>
      <c r="AY88" s="34">
        <f t="shared" ref="AY88:BB88" si="1180">rank(AQ88,$AQ88:$AT88)</f>
        <v>2</v>
      </c>
      <c r="AZ88" s="34">
        <f t="shared" si="1180"/>
        <v>4</v>
      </c>
      <c r="BA88" s="34">
        <f t="shared" si="1180"/>
        <v>1</v>
      </c>
      <c r="BB88" s="34">
        <f t="shared" si="1180"/>
        <v>3</v>
      </c>
      <c r="BC88" s="35">
        <f t="shared" ref="BC88:BE88" si="1181">rank(AU88,$AU88:$AW88)</f>
        <v>1</v>
      </c>
      <c r="BD88" s="34">
        <f t="shared" si="1181"/>
        <v>3</v>
      </c>
      <c r="BE88" s="34">
        <f t="shared" si="1181"/>
        <v>2</v>
      </c>
      <c r="BF88" s="30"/>
      <c r="BG88" s="36">
        <f t="shared" ref="BG88:BJ88" si="1182">if(and($BQ88=0,AY88&lt;=2),0.5,0)</f>
        <v>0</v>
      </c>
      <c r="BH88" s="36">
        <f t="shared" si="1182"/>
        <v>0</v>
      </c>
      <c r="BI88" s="36">
        <f t="shared" si="1182"/>
        <v>0</v>
      </c>
      <c r="BJ88" s="36">
        <f t="shared" si="1182"/>
        <v>0</v>
      </c>
      <c r="BK88" s="37">
        <f t="shared" ref="BK88:BM88" si="1183">if(and($BQ88&gt;0,BC88=1),1,0)</f>
        <v>1</v>
      </c>
      <c r="BL88" s="36">
        <f t="shared" si="1183"/>
        <v>0</v>
      </c>
      <c r="BM88" s="36">
        <f t="shared" si="1183"/>
        <v>0</v>
      </c>
      <c r="BN88" s="38"/>
      <c r="BO88" s="22">
        <f t="shared" si="21"/>
        <v>1</v>
      </c>
      <c r="BP88" s="38"/>
      <c r="BQ88" s="39">
        <f t="shared" si="22"/>
        <v>2</v>
      </c>
      <c r="BR88" s="30"/>
      <c r="BS88" s="36">
        <f t="shared" ref="BS88:BV88" si="1184">if(and($BQ88=0,AY88=1),1,0)</f>
        <v>0</v>
      </c>
      <c r="BT88" s="36">
        <f t="shared" si="1184"/>
        <v>0</v>
      </c>
      <c r="BU88" s="36">
        <f t="shared" si="1184"/>
        <v>0</v>
      </c>
      <c r="BV88" s="36">
        <f t="shared" si="1184"/>
        <v>0</v>
      </c>
      <c r="BW88" s="37">
        <f t="shared" ref="BW88:BY88" si="1185">if(and($BQ88&gt;0,BC88=1),1,0)</f>
        <v>1</v>
      </c>
      <c r="BX88" s="36">
        <f t="shared" si="1185"/>
        <v>0</v>
      </c>
      <c r="BY88" s="36">
        <f t="shared" si="1185"/>
        <v>0</v>
      </c>
      <c r="BZ88" s="38"/>
      <c r="CA88" s="22">
        <f t="shared" si="25"/>
        <v>1</v>
      </c>
      <c r="CB88" s="38"/>
      <c r="CC88" s="22">
        <f t="shared" ref="CC88:CI88" si="1186">BG87*K88</f>
        <v>-0.01272549976</v>
      </c>
      <c r="CD88" s="22">
        <f t="shared" si="1186"/>
        <v>0</v>
      </c>
      <c r="CE88" s="22">
        <f t="shared" si="1186"/>
        <v>0.006591119334</v>
      </c>
      <c r="CF88" s="22">
        <f t="shared" si="1186"/>
        <v>0</v>
      </c>
      <c r="CG88" s="22">
        <f t="shared" si="1186"/>
        <v>0</v>
      </c>
      <c r="CH88" s="22">
        <f t="shared" si="1186"/>
        <v>0</v>
      </c>
      <c r="CI88" s="22">
        <f t="shared" si="1186"/>
        <v>0</v>
      </c>
      <c r="CJ88" s="38"/>
      <c r="CK88" s="22">
        <f t="shared" ref="CK88:CQ88" si="1187">BS87*K88</f>
        <v>0</v>
      </c>
      <c r="CL88" s="22">
        <f t="shared" si="1187"/>
        <v>0</v>
      </c>
      <c r="CM88" s="22">
        <f t="shared" si="1187"/>
        <v>0.01318223867</v>
      </c>
      <c r="CN88" s="22">
        <f t="shared" si="1187"/>
        <v>0</v>
      </c>
      <c r="CO88" s="22">
        <f t="shared" si="1187"/>
        <v>0</v>
      </c>
      <c r="CP88" s="22">
        <f t="shared" si="1187"/>
        <v>0</v>
      </c>
      <c r="CQ88" s="22">
        <f t="shared" si="1187"/>
        <v>0</v>
      </c>
      <c r="CR88" s="44">
        <f t="shared" si="28"/>
        <v>-0.006134380422</v>
      </c>
      <c r="CS88" s="45"/>
      <c r="CT88" s="22">
        <f t="shared" si="1130"/>
        <v>1.117201651</v>
      </c>
      <c r="CU88" s="22">
        <f t="shared" si="792"/>
        <v>1.245921939</v>
      </c>
      <c r="CV88" s="47">
        <v>30.0</v>
      </c>
      <c r="CW88" s="45"/>
      <c r="CX88" s="44">
        <f t="shared" si="29"/>
        <v>0.01318223867</v>
      </c>
      <c r="CY88" s="22">
        <f t="shared" si="1131"/>
        <v>1.115155434</v>
      </c>
      <c r="CZ88" s="22">
        <f t="shared" si="793"/>
        <v>1.228492995</v>
      </c>
      <c r="DA88" s="47">
        <v>30.0</v>
      </c>
      <c r="DB88" s="45"/>
      <c r="DC88" s="40"/>
      <c r="DD88" s="48">
        <f t="shared" si="30"/>
        <v>177598.5719</v>
      </c>
      <c r="DE88" s="49">
        <f t="shared" si="31"/>
        <v>-0.006134380422</v>
      </c>
      <c r="DF88" s="50"/>
      <c r="DG88" s="40"/>
      <c r="DH88" s="51">
        <f t="shared" si="32"/>
        <v>170573.3552</v>
      </c>
      <c r="DI88" s="52">
        <f t="shared" si="33"/>
        <v>0.01318223867</v>
      </c>
      <c r="DJ88" s="50"/>
      <c r="DK88" s="40"/>
      <c r="DL88" s="40"/>
      <c r="DM88" s="40"/>
      <c r="DN88" s="42"/>
      <c r="DO88" s="40"/>
      <c r="DP88" s="40"/>
      <c r="DQ88" s="42"/>
      <c r="DR88" s="40"/>
      <c r="DS88" s="40"/>
      <c r="DT88" s="40"/>
      <c r="DU88" s="40"/>
    </row>
    <row r="89" ht="13.5" customHeight="1">
      <c r="A89" s="27">
        <v>7.0</v>
      </c>
      <c r="B89" s="56">
        <f t="shared" si="2"/>
        <v>44165</v>
      </c>
      <c r="C89" s="29">
        <f t="shared" ref="C89:I89" si="1188">indirect(CONCATENATE(C$2,"!$G$",$A89))</f>
        <v>330.1377156</v>
      </c>
      <c r="D89" s="29">
        <f t="shared" si="1188"/>
        <v>44.48191533</v>
      </c>
      <c r="E89" s="29">
        <f t="shared" si="1188"/>
        <v>47.20872384</v>
      </c>
      <c r="F89" s="29">
        <f t="shared" si="1188"/>
        <v>87.58412007</v>
      </c>
      <c r="G89" s="29">
        <f t="shared" si="1188"/>
        <v>86.27371003</v>
      </c>
      <c r="H89" s="29">
        <f t="shared" si="1188"/>
        <v>120.0120527</v>
      </c>
      <c r="I89" s="29">
        <f t="shared" si="1188"/>
        <v>137.1038435</v>
      </c>
      <c r="J89" s="30"/>
      <c r="K89" s="32">
        <f t="shared" ref="K89:Q89" si="1189">C89/C88-1</f>
        <v>0.1094656794</v>
      </c>
      <c r="L89" s="32">
        <f t="shared" si="1189"/>
        <v>0.1429657795</v>
      </c>
      <c r="M89" s="32">
        <f t="shared" si="1189"/>
        <v>0.08559689569</v>
      </c>
      <c r="N89" s="32">
        <f t="shared" si="1189"/>
        <v>0.01213280341</v>
      </c>
      <c r="O89" s="32">
        <f t="shared" si="1189"/>
        <v>0.0002153643107</v>
      </c>
      <c r="P89" s="32">
        <f t="shared" si="1189"/>
        <v>0.00338222032</v>
      </c>
      <c r="Q89" s="32">
        <f t="shared" si="1189"/>
        <v>0.03770369839</v>
      </c>
      <c r="R89" s="30"/>
      <c r="S89" s="32">
        <f t="shared" ref="S89:Y89" si="1190">C89/C86-1</f>
        <v>0.04063820891</v>
      </c>
      <c r="T89" s="32">
        <f t="shared" si="1190"/>
        <v>0.08274124306</v>
      </c>
      <c r="U89" s="32">
        <f t="shared" si="1190"/>
        <v>0.0868329555</v>
      </c>
      <c r="V89" s="32">
        <f t="shared" si="1190"/>
        <v>0.005507516261</v>
      </c>
      <c r="W89" s="32">
        <f t="shared" si="1190"/>
        <v>-0.0002565557439</v>
      </c>
      <c r="X89" s="32">
        <f t="shared" si="1190"/>
        <v>-0.0072295496</v>
      </c>
      <c r="Y89" s="32">
        <f t="shared" si="1190"/>
        <v>0.02785241532</v>
      </c>
      <c r="Z89" s="30"/>
      <c r="AA89" s="32">
        <f t="shared" ref="AA89:AG89" si="1191">C89/C83-1</f>
        <v>0.2002772845</v>
      </c>
      <c r="AB89" s="32">
        <f t="shared" si="1191"/>
        <v>0.2095257571</v>
      </c>
      <c r="AC89" s="32">
        <f t="shared" si="1191"/>
        <v>0.2909771709</v>
      </c>
      <c r="AD89" s="32">
        <f t="shared" si="1191"/>
        <v>0.01730232788</v>
      </c>
      <c r="AE89" s="32">
        <f t="shared" si="1191"/>
        <v>0.0006809427376</v>
      </c>
      <c r="AF89" s="32">
        <f t="shared" si="1191"/>
        <v>-0.00803383804</v>
      </c>
      <c r="AG89" s="32">
        <f t="shared" si="1191"/>
        <v>0.06301076066</v>
      </c>
      <c r="AH89" s="30"/>
      <c r="AI89" s="32">
        <f t="shared" ref="AI89:AO89" si="1192">C89/C77-1</f>
        <v>0.1741203406</v>
      </c>
      <c r="AJ89" s="32">
        <f t="shared" si="1192"/>
        <v>0.07586013397</v>
      </c>
      <c r="AK89" s="32">
        <f t="shared" si="1192"/>
        <v>0.1634277194</v>
      </c>
      <c r="AL89" s="32">
        <f t="shared" si="1192"/>
        <v>0.07469968479</v>
      </c>
      <c r="AM89" s="32">
        <f t="shared" si="1192"/>
        <v>0.03151969508</v>
      </c>
      <c r="AN89" s="32">
        <f t="shared" si="1192"/>
        <v>0.09247541701</v>
      </c>
      <c r="AO89" s="32">
        <f t="shared" si="1192"/>
        <v>0.1139104482</v>
      </c>
      <c r="AP89" s="30"/>
      <c r="AQ89" s="32">
        <f t="shared" ref="AQ89:AW89" si="1193">(12*K89+4*S89+2*AA89+AI89)/4</f>
        <v>0.5127039745</v>
      </c>
      <c r="AR89" s="32">
        <f t="shared" si="1193"/>
        <v>0.6353664935</v>
      </c>
      <c r="AS89" s="32">
        <f t="shared" si="1193"/>
        <v>0.5299691579</v>
      </c>
      <c r="AT89" s="32">
        <f t="shared" si="1193"/>
        <v>0.06923201164</v>
      </c>
      <c r="AU89" s="33">
        <f t="shared" si="1193"/>
        <v>0.008609932328</v>
      </c>
      <c r="AV89" s="32">
        <f t="shared" si="1193"/>
        <v>0.02201904659</v>
      </c>
      <c r="AW89" s="32">
        <f t="shared" si="1193"/>
        <v>0.2009465029</v>
      </c>
      <c r="AX89" s="30"/>
      <c r="AY89" s="34">
        <f t="shared" ref="AY89:BB89" si="1194">rank(AQ89,$AQ89:$AT89)</f>
        <v>3</v>
      </c>
      <c r="AZ89" s="34">
        <f t="shared" si="1194"/>
        <v>1</v>
      </c>
      <c r="BA89" s="34">
        <f t="shared" si="1194"/>
        <v>2</v>
      </c>
      <c r="BB89" s="34">
        <f t="shared" si="1194"/>
        <v>4</v>
      </c>
      <c r="BC89" s="35">
        <f t="shared" ref="BC89:BE89" si="1195">rank(AU89,$AU89:$AW89)</f>
        <v>3</v>
      </c>
      <c r="BD89" s="34">
        <f t="shared" si="1195"/>
        <v>2</v>
      </c>
      <c r="BE89" s="34">
        <f t="shared" si="1195"/>
        <v>1</v>
      </c>
      <c r="BF89" s="30"/>
      <c r="BG89" s="36">
        <f t="shared" ref="BG89:BJ89" si="1196">if(and($BQ89=0,AY89&lt;=2),0.5,0)</f>
        <v>0</v>
      </c>
      <c r="BH89" s="36">
        <f t="shared" si="1196"/>
        <v>0.5</v>
      </c>
      <c r="BI89" s="36">
        <f t="shared" si="1196"/>
        <v>0.5</v>
      </c>
      <c r="BJ89" s="36">
        <f t="shared" si="1196"/>
        <v>0</v>
      </c>
      <c r="BK89" s="37">
        <f t="shared" ref="BK89:BM89" si="1197">if(and($BQ89&gt;0,BC89=1),1,0)</f>
        <v>0</v>
      </c>
      <c r="BL89" s="36">
        <f t="shared" si="1197"/>
        <v>0</v>
      </c>
      <c r="BM89" s="36">
        <f t="shared" si="1197"/>
        <v>0</v>
      </c>
      <c r="BN89" s="38"/>
      <c r="BO89" s="22">
        <f t="shared" si="21"/>
        <v>1</v>
      </c>
      <c r="BP89" s="38"/>
      <c r="BQ89" s="39">
        <f t="shared" si="22"/>
        <v>0</v>
      </c>
      <c r="BR89" s="30"/>
      <c r="BS89" s="36">
        <f t="shared" ref="BS89:BV89" si="1198">if(and($BQ89=0,AY89=1),1,0)</f>
        <v>0</v>
      </c>
      <c r="BT89" s="36">
        <f t="shared" si="1198"/>
        <v>1</v>
      </c>
      <c r="BU89" s="36">
        <f t="shared" si="1198"/>
        <v>0</v>
      </c>
      <c r="BV89" s="36">
        <f t="shared" si="1198"/>
        <v>0</v>
      </c>
      <c r="BW89" s="37">
        <f t="shared" ref="BW89:BY89" si="1199">if(and($BQ89&gt;0,BC89=1),1,0)</f>
        <v>0</v>
      </c>
      <c r="BX89" s="36">
        <f t="shared" si="1199"/>
        <v>0</v>
      </c>
      <c r="BY89" s="36">
        <f t="shared" si="1199"/>
        <v>0</v>
      </c>
      <c r="BZ89" s="38"/>
      <c r="CA89" s="22">
        <f t="shared" si="25"/>
        <v>1</v>
      </c>
      <c r="CB89" s="38"/>
      <c r="CC89" s="22">
        <f t="shared" ref="CC89:CI89" si="1200">BG88*K89</f>
        <v>0</v>
      </c>
      <c r="CD89" s="22">
        <f t="shared" si="1200"/>
        <v>0</v>
      </c>
      <c r="CE89" s="22">
        <f t="shared" si="1200"/>
        <v>0</v>
      </c>
      <c r="CF89" s="22">
        <f t="shared" si="1200"/>
        <v>0</v>
      </c>
      <c r="CG89" s="22">
        <f t="shared" si="1200"/>
        <v>0.0002153643107</v>
      </c>
      <c r="CH89" s="22">
        <f t="shared" si="1200"/>
        <v>0</v>
      </c>
      <c r="CI89" s="22">
        <f t="shared" si="1200"/>
        <v>0</v>
      </c>
      <c r="CJ89" s="38"/>
      <c r="CK89" s="22">
        <f t="shared" ref="CK89:CQ89" si="1201">BS88*K89</f>
        <v>0</v>
      </c>
      <c r="CL89" s="22">
        <f t="shared" si="1201"/>
        <v>0</v>
      </c>
      <c r="CM89" s="22">
        <f t="shared" si="1201"/>
        <v>0</v>
      </c>
      <c r="CN89" s="22">
        <f t="shared" si="1201"/>
        <v>0</v>
      </c>
      <c r="CO89" s="22">
        <f t="shared" si="1201"/>
        <v>0.0002153643107</v>
      </c>
      <c r="CP89" s="22">
        <f t="shared" si="1201"/>
        <v>0</v>
      </c>
      <c r="CQ89" s="22">
        <f t="shared" si="1201"/>
        <v>0</v>
      </c>
      <c r="CR89" s="44">
        <f t="shared" si="28"/>
        <v>0.0002153643107</v>
      </c>
      <c r="CS89" s="45"/>
      <c r="CT89" s="22">
        <f t="shared" si="1130"/>
        <v>1.117442256</v>
      </c>
      <c r="CU89" s="22">
        <f t="shared" si="792"/>
        <v>1.246190266</v>
      </c>
      <c r="CV89" s="47">
        <v>31.0</v>
      </c>
      <c r="CW89" s="45"/>
      <c r="CX89" s="44">
        <f t="shared" si="29"/>
        <v>0.0002153643107</v>
      </c>
      <c r="CY89" s="22">
        <f t="shared" si="1131"/>
        <v>1.115395598</v>
      </c>
      <c r="CZ89" s="22">
        <f t="shared" si="793"/>
        <v>1.228757569</v>
      </c>
      <c r="DA89" s="47">
        <v>31.0</v>
      </c>
      <c r="DB89" s="45"/>
      <c r="DC89" s="40"/>
      <c r="DD89" s="48">
        <f t="shared" si="30"/>
        <v>177636.8202</v>
      </c>
      <c r="DE89" s="49">
        <f t="shared" si="31"/>
        <v>0.0002153643107</v>
      </c>
      <c r="DF89" s="50"/>
      <c r="DG89" s="40"/>
      <c r="DH89" s="51">
        <f t="shared" si="32"/>
        <v>170610.0906</v>
      </c>
      <c r="DI89" s="52">
        <f t="shared" si="33"/>
        <v>0.0002153643107</v>
      </c>
      <c r="DJ89" s="50"/>
      <c r="DK89" s="40"/>
      <c r="DL89" s="40"/>
      <c r="DM89" s="40"/>
      <c r="DN89" s="42"/>
      <c r="DO89" s="40"/>
      <c r="DP89" s="40"/>
      <c r="DQ89" s="42"/>
      <c r="DR89" s="40"/>
      <c r="DS89" s="40"/>
      <c r="DT89" s="40"/>
      <c r="DU89" s="40"/>
    </row>
    <row r="90" ht="13.5" customHeight="1">
      <c r="A90" s="27">
        <v>6.0</v>
      </c>
      <c r="B90" s="56">
        <f t="shared" si="2"/>
        <v>44196</v>
      </c>
      <c r="C90" s="29">
        <f t="shared" ref="C90:I90" si="1202">indirect(CONCATENATE(C$2,"!$G$",$A90))</f>
        <v>342.5020961</v>
      </c>
      <c r="D90" s="29">
        <f t="shared" si="1202"/>
        <v>46.99065336</v>
      </c>
      <c r="E90" s="29">
        <f t="shared" si="1202"/>
        <v>50.04495962</v>
      </c>
      <c r="F90" s="29">
        <f t="shared" si="1202"/>
        <v>87.71848599</v>
      </c>
      <c r="G90" s="29">
        <f t="shared" si="1202"/>
        <v>86.30852823</v>
      </c>
      <c r="H90" s="29">
        <f t="shared" si="1202"/>
        <v>119.7256273</v>
      </c>
      <c r="I90" s="29">
        <f t="shared" si="1202"/>
        <v>137.3110397</v>
      </c>
      <c r="J90" s="30"/>
      <c r="K90" s="32">
        <f t="shared" ref="K90:Q90" si="1203">C90/C89-1</f>
        <v>0.03745219013</v>
      </c>
      <c r="L90" s="32">
        <f t="shared" si="1203"/>
        <v>0.05639905582</v>
      </c>
      <c r="M90" s="32">
        <f t="shared" si="1203"/>
        <v>0.06007863691</v>
      </c>
      <c r="N90" s="32">
        <f t="shared" si="1203"/>
        <v>0.00153413562</v>
      </c>
      <c r="O90" s="32">
        <f t="shared" si="1203"/>
        <v>0.0004035784265</v>
      </c>
      <c r="P90" s="32">
        <f t="shared" si="1203"/>
        <v>-0.002386638988</v>
      </c>
      <c r="Q90" s="32">
        <f t="shared" si="1203"/>
        <v>0.001511235465</v>
      </c>
      <c r="R90" s="30"/>
      <c r="S90" s="32">
        <f t="shared" ref="S90:Y90" si="1204">C90/C87-1</f>
        <v>0.1217230506</v>
      </c>
      <c r="T90" s="32">
        <f t="shared" si="1204"/>
        <v>0.1646218442</v>
      </c>
      <c r="U90" s="32">
        <f t="shared" si="1204"/>
        <v>0.165988436</v>
      </c>
      <c r="V90" s="32">
        <f t="shared" si="1204"/>
        <v>0.008047213775</v>
      </c>
      <c r="W90" s="32">
        <f t="shared" si="1204"/>
        <v>0.000156817167</v>
      </c>
      <c r="X90" s="32">
        <f t="shared" si="1204"/>
        <v>-0.01283241789</v>
      </c>
      <c r="Y90" s="32">
        <f t="shared" si="1204"/>
        <v>0.03396549314</v>
      </c>
      <c r="Z90" s="30"/>
      <c r="AA90" s="32">
        <f t="shared" ref="AA90:AG90" si="1205">C90/C84-1</f>
        <v>0.2227963487</v>
      </c>
      <c r="AB90" s="32">
        <f t="shared" si="1205"/>
        <v>0.234627271</v>
      </c>
      <c r="AC90" s="32">
        <f t="shared" si="1205"/>
        <v>0.2853459709</v>
      </c>
      <c r="AD90" s="32">
        <f t="shared" si="1205"/>
        <v>0.01207123871</v>
      </c>
      <c r="AE90" s="32">
        <f t="shared" si="1205"/>
        <v>0.0008528388528</v>
      </c>
      <c r="AF90" s="32">
        <f t="shared" si="1205"/>
        <v>-0.01082571659</v>
      </c>
      <c r="AG90" s="32">
        <f t="shared" si="1205"/>
        <v>0.04243817423</v>
      </c>
      <c r="AH90" s="30"/>
      <c r="AI90" s="32">
        <f t="shared" ref="AI90:AO90" si="1206">C90/C78-1</f>
        <v>0.1829232229</v>
      </c>
      <c r="AJ90" s="32">
        <f t="shared" si="1206"/>
        <v>0.09741168809</v>
      </c>
      <c r="AK90" s="32">
        <f t="shared" si="1206"/>
        <v>0.1519243955</v>
      </c>
      <c r="AL90" s="32">
        <f t="shared" si="1206"/>
        <v>0.07714123852</v>
      </c>
      <c r="AM90" s="32">
        <f t="shared" si="1206"/>
        <v>0.03034281059</v>
      </c>
      <c r="AN90" s="32">
        <f t="shared" si="1206"/>
        <v>0.1000674969</v>
      </c>
      <c r="AO90" s="32">
        <f t="shared" si="1206"/>
        <v>0.1097293791</v>
      </c>
      <c r="AP90" s="30"/>
      <c r="AQ90" s="32">
        <f t="shared" ref="AQ90:AW90" si="1207">(12*K90+4*S90+2*AA90+AI90)/4</f>
        <v>0.3912086011</v>
      </c>
      <c r="AR90" s="32">
        <f t="shared" si="1207"/>
        <v>0.4754855691</v>
      </c>
      <c r="AS90" s="32">
        <f t="shared" si="1207"/>
        <v>0.526878431</v>
      </c>
      <c r="AT90" s="32">
        <f t="shared" si="1207"/>
        <v>0.03797054962</v>
      </c>
      <c r="AU90" s="33">
        <f t="shared" si="1207"/>
        <v>0.00937967452</v>
      </c>
      <c r="AV90" s="32">
        <f t="shared" si="1207"/>
        <v>-0.0003883189148</v>
      </c>
      <c r="AW90" s="32">
        <f t="shared" si="1207"/>
        <v>0.08715063142</v>
      </c>
      <c r="AX90" s="30"/>
      <c r="AY90" s="34">
        <f t="shared" ref="AY90:BB90" si="1208">rank(AQ90,$AQ90:$AT90)</f>
        <v>3</v>
      </c>
      <c r="AZ90" s="34">
        <f t="shared" si="1208"/>
        <v>2</v>
      </c>
      <c r="BA90" s="34">
        <f t="shared" si="1208"/>
        <v>1</v>
      </c>
      <c r="BB90" s="34">
        <f t="shared" si="1208"/>
        <v>4</v>
      </c>
      <c r="BC90" s="35">
        <f t="shared" ref="BC90:BE90" si="1209">rank(AU90,$AU90:$AW90)</f>
        <v>2</v>
      </c>
      <c r="BD90" s="34">
        <f t="shared" si="1209"/>
        <v>3</v>
      </c>
      <c r="BE90" s="34">
        <f t="shared" si="1209"/>
        <v>1</v>
      </c>
      <c r="BF90" s="30"/>
      <c r="BG90" s="36">
        <f t="shared" ref="BG90:BJ90" si="1210">if(and($BQ90=0,AY90&lt;=2),0.5,0)</f>
        <v>0</v>
      </c>
      <c r="BH90" s="36">
        <f t="shared" si="1210"/>
        <v>0.5</v>
      </c>
      <c r="BI90" s="36">
        <f t="shared" si="1210"/>
        <v>0.5</v>
      </c>
      <c r="BJ90" s="36">
        <f t="shared" si="1210"/>
        <v>0</v>
      </c>
      <c r="BK90" s="37">
        <f t="shared" ref="BK90:BM90" si="1211">if(and($BQ90&gt;0,BC90=1),1,0)</f>
        <v>0</v>
      </c>
      <c r="BL90" s="36">
        <f t="shared" si="1211"/>
        <v>0</v>
      </c>
      <c r="BM90" s="36">
        <f t="shared" si="1211"/>
        <v>0</v>
      </c>
      <c r="BN90" s="38"/>
      <c r="BO90" s="22">
        <f t="shared" si="21"/>
        <v>1</v>
      </c>
      <c r="BP90" s="38"/>
      <c r="BQ90" s="39">
        <f t="shared" si="22"/>
        <v>0</v>
      </c>
      <c r="BR90" s="30"/>
      <c r="BS90" s="36">
        <f t="shared" ref="BS90:BV90" si="1212">if(and($BQ90=0,AY90=1),1,0)</f>
        <v>0</v>
      </c>
      <c r="BT90" s="36">
        <f t="shared" si="1212"/>
        <v>0</v>
      </c>
      <c r="BU90" s="36">
        <f t="shared" si="1212"/>
        <v>1</v>
      </c>
      <c r="BV90" s="36">
        <f t="shared" si="1212"/>
        <v>0</v>
      </c>
      <c r="BW90" s="37">
        <f t="shared" ref="BW90:BY90" si="1213">if(and($BQ90&gt;0,BC90=1),1,0)</f>
        <v>0</v>
      </c>
      <c r="BX90" s="36">
        <f t="shared" si="1213"/>
        <v>0</v>
      </c>
      <c r="BY90" s="36">
        <f t="shared" si="1213"/>
        <v>0</v>
      </c>
      <c r="BZ90" s="38"/>
      <c r="CA90" s="22">
        <f t="shared" si="25"/>
        <v>1</v>
      </c>
      <c r="CB90" s="38"/>
      <c r="CC90" s="22">
        <f t="shared" ref="CC90:CI90" si="1214">BG89*K90</f>
        <v>0</v>
      </c>
      <c r="CD90" s="22">
        <f t="shared" si="1214"/>
        <v>0.02819952791</v>
      </c>
      <c r="CE90" s="22">
        <f t="shared" si="1214"/>
        <v>0.03003931846</v>
      </c>
      <c r="CF90" s="22">
        <f t="shared" si="1214"/>
        <v>0</v>
      </c>
      <c r="CG90" s="22">
        <f t="shared" si="1214"/>
        <v>0</v>
      </c>
      <c r="CH90" s="22">
        <f t="shared" si="1214"/>
        <v>0</v>
      </c>
      <c r="CI90" s="22">
        <f t="shared" si="1214"/>
        <v>0</v>
      </c>
      <c r="CJ90" s="38"/>
      <c r="CK90" s="22">
        <f t="shared" ref="CK90:CQ90" si="1215">BS89*K90</f>
        <v>0</v>
      </c>
      <c r="CL90" s="22">
        <f t="shared" si="1215"/>
        <v>0.05639905582</v>
      </c>
      <c r="CM90" s="22">
        <f t="shared" si="1215"/>
        <v>0</v>
      </c>
      <c r="CN90" s="22">
        <f t="shared" si="1215"/>
        <v>0</v>
      </c>
      <c r="CO90" s="22">
        <f t="shared" si="1215"/>
        <v>0</v>
      </c>
      <c r="CP90" s="22">
        <f t="shared" si="1215"/>
        <v>0</v>
      </c>
      <c r="CQ90" s="22">
        <f t="shared" si="1215"/>
        <v>0</v>
      </c>
      <c r="CR90" s="44">
        <f t="shared" si="28"/>
        <v>0.05823884637</v>
      </c>
      <c r="CS90" s="45"/>
      <c r="CT90" s="22">
        <f t="shared" si="1130"/>
        <v>1.182520804</v>
      </c>
      <c r="CU90" s="22">
        <f t="shared" si="792"/>
        <v>1.31876695</v>
      </c>
      <c r="CV90" s="47">
        <v>32.0</v>
      </c>
      <c r="CW90" s="45"/>
      <c r="CX90" s="44">
        <f t="shared" si="29"/>
        <v>0.05639905582</v>
      </c>
      <c r="CY90" s="22">
        <f t="shared" si="1131"/>
        <v>1.178302857</v>
      </c>
      <c r="CZ90" s="22">
        <f t="shared" si="793"/>
        <v>1.298058336</v>
      </c>
      <c r="DA90" s="47">
        <v>32.0</v>
      </c>
      <c r="DB90" s="45"/>
      <c r="DC90" s="40"/>
      <c r="DD90" s="48">
        <f t="shared" si="30"/>
        <v>187982.1837</v>
      </c>
      <c r="DE90" s="49">
        <f t="shared" si="31"/>
        <v>0.05823884637</v>
      </c>
      <c r="DF90" s="50"/>
      <c r="DG90" s="40"/>
      <c r="DH90" s="51">
        <f t="shared" si="32"/>
        <v>180232.3386</v>
      </c>
      <c r="DI90" s="52">
        <f t="shared" si="33"/>
        <v>0.05639905582</v>
      </c>
      <c r="DJ90" s="50"/>
      <c r="DK90" s="40"/>
      <c r="DL90" s="40"/>
      <c r="DM90" s="40"/>
      <c r="DN90" s="42"/>
      <c r="DO90" s="40"/>
      <c r="DP90" s="40"/>
      <c r="DQ90" s="42"/>
      <c r="DR90" s="40"/>
      <c r="DS90" s="40"/>
      <c r="DT90" s="40"/>
      <c r="DU90" s="40"/>
    </row>
    <row r="91" ht="13.5" customHeight="1">
      <c r="A91" s="27">
        <v>5.0</v>
      </c>
      <c r="B91" s="56">
        <f t="shared" si="2"/>
        <v>44225</v>
      </c>
      <c r="C91" s="29">
        <f t="shared" ref="C91:I91" si="1216">indirect(CONCATENATE(C$2,"!$G$",$A91))</f>
        <v>339.0042278</v>
      </c>
      <c r="D91" s="29">
        <f t="shared" si="1216"/>
        <v>46.65223307</v>
      </c>
      <c r="E91" s="29">
        <f t="shared" si="1216"/>
        <v>51.61292183</v>
      </c>
      <c r="F91" s="29">
        <f t="shared" si="1216"/>
        <v>86.96254939</v>
      </c>
      <c r="G91" s="29">
        <f t="shared" si="1216"/>
        <v>86.32851169</v>
      </c>
      <c r="H91" s="29">
        <f t="shared" si="1216"/>
        <v>118.4180777</v>
      </c>
      <c r="I91" s="29">
        <f t="shared" si="1216"/>
        <v>134.7960399</v>
      </c>
      <c r="J91" s="30"/>
      <c r="K91" s="32">
        <f t="shared" ref="K91:Q91" si="1217">C91/C90-1</f>
        <v>-0.01021269167</v>
      </c>
      <c r="L91" s="32">
        <f t="shared" si="1217"/>
        <v>-0.007201864012</v>
      </c>
      <c r="M91" s="32">
        <f t="shared" si="1217"/>
        <v>0.03133107164</v>
      </c>
      <c r="N91" s="32">
        <f t="shared" si="1217"/>
        <v>-0.008617757115</v>
      </c>
      <c r="O91" s="32">
        <f t="shared" si="1217"/>
        <v>0.0002315350776</v>
      </c>
      <c r="P91" s="32">
        <f t="shared" si="1217"/>
        <v>-0.01092121717</v>
      </c>
      <c r="Q91" s="32">
        <f t="shared" si="1217"/>
        <v>-0.01831607906</v>
      </c>
      <c r="R91" s="30"/>
      <c r="S91" s="32">
        <f t="shared" ref="S91:Y91" si="1218">C91/C88-1</f>
        <v>0.1392626111</v>
      </c>
      <c r="T91" s="32">
        <f t="shared" si="1218"/>
        <v>0.1987322382</v>
      </c>
      <c r="U91" s="32">
        <f t="shared" si="1218"/>
        <v>0.186874441</v>
      </c>
      <c r="V91" s="32">
        <f t="shared" si="1218"/>
        <v>0.004949856517</v>
      </c>
      <c r="W91" s="32">
        <f t="shared" si="1218"/>
        <v>0.0008507080583</v>
      </c>
      <c r="X91" s="32">
        <f t="shared" si="1218"/>
        <v>-0.009944492784</v>
      </c>
      <c r="Y91" s="32">
        <f t="shared" si="1218"/>
        <v>0.0202365265</v>
      </c>
      <c r="Z91" s="30"/>
      <c r="AA91" s="32">
        <f t="shared" ref="AA91:AG91" si="1219">C91/C85-1</f>
        <v>0.1430779185</v>
      </c>
      <c r="AB91" s="32">
        <f t="shared" si="1219"/>
        <v>0.1943302183</v>
      </c>
      <c r="AC91" s="32">
        <f t="shared" si="1219"/>
        <v>0.2208253611</v>
      </c>
      <c r="AD91" s="32">
        <f t="shared" si="1219"/>
        <v>-0.01103292889</v>
      </c>
      <c r="AE91" s="32">
        <f t="shared" si="1219"/>
        <v>0.0001525150306</v>
      </c>
      <c r="AF91" s="32">
        <f t="shared" si="1219"/>
        <v>-0.02991636747</v>
      </c>
      <c r="AG91" s="32">
        <f t="shared" si="1219"/>
        <v>-0.007419288752</v>
      </c>
      <c r="AH91" s="30"/>
      <c r="AI91" s="32">
        <f t="shared" ref="AI91:AO91" si="1220">C91/C79-1</f>
        <v>0.1712779593</v>
      </c>
      <c r="AJ91" s="32">
        <f t="shared" si="1220"/>
        <v>0.1231571068</v>
      </c>
      <c r="AK91" s="32">
        <f t="shared" si="1220"/>
        <v>0.257582618</v>
      </c>
      <c r="AL91" s="32">
        <f t="shared" si="1220"/>
        <v>0.0471308504</v>
      </c>
      <c r="AM91" s="32">
        <f t="shared" si="1220"/>
        <v>0.02464874807</v>
      </c>
      <c r="AN91" s="32">
        <f t="shared" si="1220"/>
        <v>0.05160687522</v>
      </c>
      <c r="AO91" s="32">
        <f t="shared" si="1220"/>
        <v>0.06339209956</v>
      </c>
      <c r="AP91" s="30"/>
      <c r="AQ91" s="32">
        <f t="shared" ref="AQ91:AW91" si="1221">(12*K91+4*S91+2*AA91+AI91)/4</f>
        <v>0.2229829852</v>
      </c>
      <c r="AR91" s="32">
        <f t="shared" si="1221"/>
        <v>0.305081032</v>
      </c>
      <c r="AS91" s="32">
        <f t="shared" si="1221"/>
        <v>0.455675991</v>
      </c>
      <c r="AT91" s="32">
        <f t="shared" si="1221"/>
        <v>-0.01463716667</v>
      </c>
      <c r="AU91" s="33">
        <f t="shared" si="1221"/>
        <v>0.007783757823</v>
      </c>
      <c r="AV91" s="32">
        <f t="shared" si="1221"/>
        <v>-0.04476460924</v>
      </c>
      <c r="AW91" s="32">
        <f t="shared" si="1221"/>
        <v>-0.02257333016</v>
      </c>
      <c r="AX91" s="30"/>
      <c r="AY91" s="34">
        <f t="shared" ref="AY91:BB91" si="1222">rank(AQ91,$AQ91:$AT91)</f>
        <v>3</v>
      </c>
      <c r="AZ91" s="34">
        <f t="shared" si="1222"/>
        <v>2</v>
      </c>
      <c r="BA91" s="34">
        <f t="shared" si="1222"/>
        <v>1</v>
      </c>
      <c r="BB91" s="34">
        <f t="shared" si="1222"/>
        <v>4</v>
      </c>
      <c r="BC91" s="35">
        <f t="shared" ref="BC91:BE91" si="1223">rank(AU91,$AU91:$AW91)</f>
        <v>1</v>
      </c>
      <c r="BD91" s="34">
        <f t="shared" si="1223"/>
        <v>3</v>
      </c>
      <c r="BE91" s="34">
        <f t="shared" si="1223"/>
        <v>2</v>
      </c>
      <c r="BF91" s="30"/>
      <c r="BG91" s="36">
        <f t="shared" ref="BG91:BJ91" si="1224">if(and($BQ91=0,AY91&lt;=2),0.5,0)</f>
        <v>0</v>
      </c>
      <c r="BH91" s="36">
        <f t="shared" si="1224"/>
        <v>0</v>
      </c>
      <c r="BI91" s="36">
        <f t="shared" si="1224"/>
        <v>0</v>
      </c>
      <c r="BJ91" s="36">
        <f t="shared" si="1224"/>
        <v>0</v>
      </c>
      <c r="BK91" s="37">
        <f t="shared" ref="BK91:BM91" si="1225">if(and($BQ91&gt;0,BC91=1),1,0)</f>
        <v>1</v>
      </c>
      <c r="BL91" s="36">
        <f t="shared" si="1225"/>
        <v>0</v>
      </c>
      <c r="BM91" s="36">
        <f t="shared" si="1225"/>
        <v>0</v>
      </c>
      <c r="BN91" s="38"/>
      <c r="BO91" s="22">
        <f t="shared" si="21"/>
        <v>1</v>
      </c>
      <c r="BP91" s="38"/>
      <c r="BQ91" s="39">
        <f t="shared" si="22"/>
        <v>1</v>
      </c>
      <c r="BR91" s="30"/>
      <c r="BS91" s="36">
        <f t="shared" ref="BS91:BV91" si="1226">if(and($BQ91=0,AY91=1),1,0)</f>
        <v>0</v>
      </c>
      <c r="BT91" s="36">
        <f t="shared" si="1226"/>
        <v>0</v>
      </c>
      <c r="BU91" s="36">
        <f t="shared" si="1226"/>
        <v>0</v>
      </c>
      <c r="BV91" s="36">
        <f t="shared" si="1226"/>
        <v>0</v>
      </c>
      <c r="BW91" s="37">
        <f t="shared" ref="BW91:BY91" si="1227">if(and($BQ91&gt;0,BC91=1),1,0)</f>
        <v>1</v>
      </c>
      <c r="BX91" s="36">
        <f t="shared" si="1227"/>
        <v>0</v>
      </c>
      <c r="BY91" s="36">
        <f t="shared" si="1227"/>
        <v>0</v>
      </c>
      <c r="BZ91" s="38"/>
      <c r="CA91" s="22">
        <f t="shared" si="25"/>
        <v>1</v>
      </c>
      <c r="CB91" s="38"/>
      <c r="CC91" s="22">
        <f t="shared" ref="CC91:CI91" si="1228">BG90*K91</f>
        <v>0</v>
      </c>
      <c r="CD91" s="22">
        <f t="shared" si="1228"/>
        <v>-0.003600932006</v>
      </c>
      <c r="CE91" s="22">
        <f t="shared" si="1228"/>
        <v>0.01566553582</v>
      </c>
      <c r="CF91" s="22">
        <f t="shared" si="1228"/>
        <v>0</v>
      </c>
      <c r="CG91" s="22">
        <f t="shared" si="1228"/>
        <v>0</v>
      </c>
      <c r="CH91" s="22">
        <f t="shared" si="1228"/>
        <v>0</v>
      </c>
      <c r="CI91" s="22">
        <f t="shared" si="1228"/>
        <v>0</v>
      </c>
      <c r="CJ91" s="38"/>
      <c r="CK91" s="22">
        <f t="shared" ref="CK91:CQ91" si="1229">BS90*K91</f>
        <v>0</v>
      </c>
      <c r="CL91" s="22">
        <f t="shared" si="1229"/>
        <v>0</v>
      </c>
      <c r="CM91" s="22">
        <f t="shared" si="1229"/>
        <v>0.03133107164</v>
      </c>
      <c r="CN91" s="22">
        <f t="shared" si="1229"/>
        <v>0</v>
      </c>
      <c r="CO91" s="22">
        <f t="shared" si="1229"/>
        <v>0</v>
      </c>
      <c r="CP91" s="22">
        <f t="shared" si="1229"/>
        <v>0</v>
      </c>
      <c r="CQ91" s="22">
        <f t="shared" si="1229"/>
        <v>0</v>
      </c>
      <c r="CR91" s="44">
        <f t="shared" si="28"/>
        <v>0.01206460382</v>
      </c>
      <c r="CS91" s="45"/>
      <c r="CT91" s="22">
        <f t="shared" si="1130"/>
        <v>1.196787449</v>
      </c>
      <c r="CU91" s="22">
        <f t="shared" si="792"/>
        <v>1.334677351</v>
      </c>
      <c r="CV91" s="47">
        <v>33.0</v>
      </c>
      <c r="CW91" s="45"/>
      <c r="CX91" s="44">
        <f t="shared" si="29"/>
        <v>0.03133107164</v>
      </c>
      <c r="CY91" s="22">
        <f t="shared" si="1131"/>
        <v>1.215220348</v>
      </c>
      <c r="CZ91" s="22">
        <f t="shared" si="793"/>
        <v>1.338727894</v>
      </c>
      <c r="DA91" s="47">
        <v>33.0</v>
      </c>
      <c r="DB91" s="45"/>
      <c r="DC91" s="40"/>
      <c r="DD91" s="48">
        <f t="shared" si="30"/>
        <v>190250.1143</v>
      </c>
      <c r="DE91" s="49">
        <f t="shared" si="31"/>
        <v>0.01206460382</v>
      </c>
      <c r="DF91" s="50"/>
      <c r="DG91" s="40"/>
      <c r="DH91" s="51">
        <f t="shared" si="32"/>
        <v>185879.2109</v>
      </c>
      <c r="DI91" s="52">
        <f t="shared" si="33"/>
        <v>0.03133107164</v>
      </c>
      <c r="DJ91" s="50"/>
      <c r="DK91" s="40"/>
      <c r="DL91" s="40"/>
      <c r="DM91" s="40"/>
      <c r="DN91" s="42"/>
      <c r="DO91" s="40"/>
      <c r="DP91" s="40"/>
      <c r="DQ91" s="42"/>
      <c r="DR91" s="40"/>
      <c r="DS91" s="40"/>
      <c r="DT91" s="40"/>
      <c r="DU91" s="40"/>
    </row>
    <row r="92" ht="13.5" customHeight="1">
      <c r="A92" s="27">
        <v>4.0</v>
      </c>
      <c r="B92" s="56">
        <f t="shared" si="2"/>
        <v>44253</v>
      </c>
      <c r="C92" s="29">
        <f t="shared" ref="C92:I92" si="1230">indirect(CONCATENATE(C$2,"!$G$",$A92))</f>
        <v>348.3817038</v>
      </c>
      <c r="D92" s="29">
        <f t="shared" si="1230"/>
        <v>47.78693641</v>
      </c>
      <c r="E92" s="29">
        <f t="shared" si="1230"/>
        <v>52.42187049</v>
      </c>
      <c r="F92" s="29">
        <f t="shared" si="1230"/>
        <v>85.61677947</v>
      </c>
      <c r="G92" s="29">
        <f t="shared" si="1230"/>
        <v>86.27863907</v>
      </c>
      <c r="H92" s="29">
        <f t="shared" si="1230"/>
        <v>115.6189492</v>
      </c>
      <c r="I92" s="29">
        <f t="shared" si="1230"/>
        <v>131.7449333</v>
      </c>
      <c r="J92" s="30"/>
      <c r="K92" s="32">
        <f t="shared" ref="K92:Q92" si="1231">C92/C91-1</f>
        <v>0.02766182609</v>
      </c>
      <c r="L92" s="32">
        <f t="shared" si="1231"/>
        <v>0.02432259441</v>
      </c>
      <c r="M92" s="32">
        <f t="shared" si="1231"/>
        <v>0.01567337461</v>
      </c>
      <c r="N92" s="32">
        <f t="shared" si="1231"/>
        <v>-0.01547528131</v>
      </c>
      <c r="O92" s="32">
        <f t="shared" si="1231"/>
        <v>-0.0005777073204</v>
      </c>
      <c r="P92" s="32">
        <f t="shared" si="1231"/>
        <v>-0.02363767894</v>
      </c>
      <c r="Q92" s="32">
        <f t="shared" si="1231"/>
        <v>-0.02263498686</v>
      </c>
      <c r="R92" s="30"/>
      <c r="S92" s="32">
        <f t="shared" ref="S92:Y92" si="1232">C92/C89-1</f>
        <v>0.05526175084</v>
      </c>
      <c r="T92" s="32">
        <f t="shared" si="1232"/>
        <v>0.07430033192</v>
      </c>
      <c r="U92" s="32">
        <f t="shared" si="1232"/>
        <v>0.1104276123</v>
      </c>
      <c r="V92" s="32">
        <f t="shared" si="1232"/>
        <v>-0.02246229798</v>
      </c>
      <c r="W92" s="32">
        <f t="shared" si="1232"/>
        <v>0.00005713266259</v>
      </c>
      <c r="X92" s="32">
        <f t="shared" si="1232"/>
        <v>-0.03660551938</v>
      </c>
      <c r="Y92" s="32">
        <f t="shared" si="1232"/>
        <v>-0.03908650642</v>
      </c>
      <c r="Z92" s="30"/>
      <c r="AA92" s="32">
        <f t="shared" ref="AA92:AG92" si="1233">C92/C86-1</f>
        <v>0.09814569833</v>
      </c>
      <c r="AB92" s="32">
        <f t="shared" si="1233"/>
        <v>0.1631892768</v>
      </c>
      <c r="AC92" s="32">
        <f t="shared" si="1233"/>
        <v>0.2068493237</v>
      </c>
      <c r="AD92" s="32">
        <f t="shared" si="1233"/>
        <v>-0.01707849319</v>
      </c>
      <c r="AE92" s="32">
        <f t="shared" si="1233"/>
        <v>-0.000199437739</v>
      </c>
      <c r="AF92" s="32">
        <f t="shared" si="1233"/>
        <v>-0.04357042756</v>
      </c>
      <c r="AG92" s="32">
        <f t="shared" si="1233"/>
        <v>-0.0123227447</v>
      </c>
      <c r="AH92" s="30"/>
      <c r="AI92" s="32">
        <f t="shared" ref="AI92:AO92" si="1234">C92/C80-1</f>
        <v>0.3097646401</v>
      </c>
      <c r="AJ92" s="32">
        <f t="shared" si="1234"/>
        <v>0.2457894632</v>
      </c>
      <c r="AK92" s="32">
        <f t="shared" si="1234"/>
        <v>0.324261761</v>
      </c>
      <c r="AL92" s="32">
        <f t="shared" si="1234"/>
        <v>0.01402135066</v>
      </c>
      <c r="AM92" s="32">
        <f t="shared" si="1234"/>
        <v>0.01515880888</v>
      </c>
      <c r="AN92" s="32">
        <f t="shared" si="1234"/>
        <v>-0.002788951922</v>
      </c>
      <c r="AO92" s="32">
        <f t="shared" si="1234"/>
        <v>0.02810135604</v>
      </c>
      <c r="AP92" s="30"/>
      <c r="AQ92" s="32">
        <f t="shared" ref="AQ92:AW92" si="1235">(12*K92+4*S92+2*AA92+AI92)/4</f>
        <v>0.2647612383</v>
      </c>
      <c r="AR92" s="32">
        <f t="shared" si="1235"/>
        <v>0.2903101194</v>
      </c>
      <c r="AS92" s="32">
        <f t="shared" si="1235"/>
        <v>0.3419378382</v>
      </c>
      <c r="AT92" s="32">
        <f t="shared" si="1235"/>
        <v>-0.07392205085</v>
      </c>
      <c r="AU92" s="33">
        <f t="shared" si="1235"/>
        <v>0.002013994051</v>
      </c>
      <c r="AV92" s="32">
        <f t="shared" si="1235"/>
        <v>-0.130001008</v>
      </c>
      <c r="AW92" s="32">
        <f t="shared" si="1235"/>
        <v>-0.1061275003</v>
      </c>
      <c r="AX92" s="30"/>
      <c r="AY92" s="34">
        <f t="shared" ref="AY92:BB92" si="1236">rank(AQ92,$AQ92:$AT92)</f>
        <v>3</v>
      </c>
      <c r="AZ92" s="34">
        <f t="shared" si="1236"/>
        <v>2</v>
      </c>
      <c r="BA92" s="34">
        <f t="shared" si="1236"/>
        <v>1</v>
      </c>
      <c r="BB92" s="34">
        <f t="shared" si="1236"/>
        <v>4</v>
      </c>
      <c r="BC92" s="35">
        <f t="shared" ref="BC92:BE92" si="1237">rank(AU92,$AU92:$AW92)</f>
        <v>1</v>
      </c>
      <c r="BD92" s="34">
        <f t="shared" si="1237"/>
        <v>3</v>
      </c>
      <c r="BE92" s="34">
        <f t="shared" si="1237"/>
        <v>2</v>
      </c>
      <c r="BF92" s="30"/>
      <c r="BG92" s="36">
        <f t="shared" ref="BG92:BJ92" si="1238">if(and($BQ92=0,AY92&lt;=2),0.5,0)</f>
        <v>0</v>
      </c>
      <c r="BH92" s="36">
        <f t="shared" si="1238"/>
        <v>0</v>
      </c>
      <c r="BI92" s="36">
        <f t="shared" si="1238"/>
        <v>0</v>
      </c>
      <c r="BJ92" s="36">
        <f t="shared" si="1238"/>
        <v>0</v>
      </c>
      <c r="BK92" s="37">
        <f t="shared" ref="BK92:BM92" si="1239">if(and($BQ92&gt;0,BC92=1),1,0)</f>
        <v>1</v>
      </c>
      <c r="BL92" s="36">
        <f t="shared" si="1239"/>
        <v>0</v>
      </c>
      <c r="BM92" s="36">
        <f t="shared" si="1239"/>
        <v>0</v>
      </c>
      <c r="BN92" s="38"/>
      <c r="BO92" s="22">
        <f t="shared" si="21"/>
        <v>1</v>
      </c>
      <c r="BP92" s="38"/>
      <c r="BQ92" s="39">
        <f t="shared" si="22"/>
        <v>1</v>
      </c>
      <c r="BR92" s="30"/>
      <c r="BS92" s="36">
        <f t="shared" ref="BS92:BV92" si="1240">if(and($BQ92=0,AY92=1),1,0)</f>
        <v>0</v>
      </c>
      <c r="BT92" s="36">
        <f t="shared" si="1240"/>
        <v>0</v>
      </c>
      <c r="BU92" s="36">
        <f t="shared" si="1240"/>
        <v>0</v>
      </c>
      <c r="BV92" s="36">
        <f t="shared" si="1240"/>
        <v>0</v>
      </c>
      <c r="BW92" s="37">
        <f t="shared" ref="BW92:BY92" si="1241">if(and($BQ92&gt;0,BC92=1),1,0)</f>
        <v>1</v>
      </c>
      <c r="BX92" s="36">
        <f t="shared" si="1241"/>
        <v>0</v>
      </c>
      <c r="BY92" s="36">
        <f t="shared" si="1241"/>
        <v>0</v>
      </c>
      <c r="BZ92" s="38"/>
      <c r="CA92" s="22">
        <f t="shared" si="25"/>
        <v>1</v>
      </c>
      <c r="CB92" s="38"/>
      <c r="CC92" s="22">
        <f t="shared" ref="CC92:CI92" si="1242">BG91*K92</f>
        <v>0</v>
      </c>
      <c r="CD92" s="22">
        <f t="shared" si="1242"/>
        <v>0</v>
      </c>
      <c r="CE92" s="22">
        <f t="shared" si="1242"/>
        <v>0</v>
      </c>
      <c r="CF92" s="22">
        <f t="shared" si="1242"/>
        <v>0</v>
      </c>
      <c r="CG92" s="22">
        <f t="shared" si="1242"/>
        <v>-0.0005777073204</v>
      </c>
      <c r="CH92" s="22">
        <f t="shared" si="1242"/>
        <v>0</v>
      </c>
      <c r="CI92" s="22">
        <f t="shared" si="1242"/>
        <v>0</v>
      </c>
      <c r="CJ92" s="38"/>
      <c r="CK92" s="22">
        <f t="shared" ref="CK92:CQ92" si="1243">BS91*K92</f>
        <v>0</v>
      </c>
      <c r="CL92" s="22">
        <f t="shared" si="1243"/>
        <v>0</v>
      </c>
      <c r="CM92" s="22">
        <f t="shared" si="1243"/>
        <v>0</v>
      </c>
      <c r="CN92" s="22">
        <f t="shared" si="1243"/>
        <v>0</v>
      </c>
      <c r="CO92" s="22">
        <f t="shared" si="1243"/>
        <v>-0.0005777073204</v>
      </c>
      <c r="CP92" s="22">
        <f t="shared" si="1243"/>
        <v>0</v>
      </c>
      <c r="CQ92" s="22">
        <f t="shared" si="1243"/>
        <v>0</v>
      </c>
      <c r="CR92" s="44">
        <f t="shared" si="28"/>
        <v>-0.0005777073204</v>
      </c>
      <c r="CS92" s="45"/>
      <c r="CT92" s="22">
        <f t="shared" si="1130"/>
        <v>1.196096056</v>
      </c>
      <c r="CU92" s="22">
        <f t="shared" si="792"/>
        <v>1.333906298</v>
      </c>
      <c r="CV92" s="47">
        <v>34.0</v>
      </c>
      <c r="CW92" s="45"/>
      <c r="CX92" s="44">
        <f t="shared" si="29"/>
        <v>-0.0005777073204</v>
      </c>
      <c r="CY92" s="22">
        <f t="shared" si="1131"/>
        <v>1.214518306</v>
      </c>
      <c r="CZ92" s="22">
        <f t="shared" si="793"/>
        <v>1.337954501</v>
      </c>
      <c r="DA92" s="47">
        <v>34.0</v>
      </c>
      <c r="DB92" s="45"/>
      <c r="DC92" s="40"/>
      <c r="DD92" s="48">
        <f t="shared" si="30"/>
        <v>190140.2054</v>
      </c>
      <c r="DE92" s="49">
        <f t="shared" si="31"/>
        <v>-0.0005777073204</v>
      </c>
      <c r="DF92" s="50"/>
      <c r="DG92" s="40"/>
      <c r="DH92" s="51">
        <f t="shared" si="32"/>
        <v>185771.8271</v>
      </c>
      <c r="DI92" s="52">
        <f t="shared" si="33"/>
        <v>-0.0005777073204</v>
      </c>
      <c r="DJ92" s="50"/>
      <c r="DK92" s="40"/>
      <c r="DL92" s="40"/>
      <c r="DM92" s="40"/>
      <c r="DN92" s="42"/>
      <c r="DO92" s="40"/>
      <c r="DP92" s="40"/>
      <c r="DQ92" s="42"/>
      <c r="DR92" s="40"/>
      <c r="DS92" s="40"/>
      <c r="DT92" s="40"/>
      <c r="DU92" s="40"/>
    </row>
    <row r="93" ht="13.5" customHeight="1">
      <c r="A93" s="27">
        <v>3.0</v>
      </c>
      <c r="B93" s="56">
        <f t="shared" si="2"/>
        <v>44286</v>
      </c>
      <c r="C93" s="29">
        <f t="shared" ref="C93:I93" si="1244">indirect(CONCATENATE(C$2,"!$G$",$A93))</f>
        <v>364.3</v>
      </c>
      <c r="D93" s="29">
        <f t="shared" si="1244"/>
        <v>49.11</v>
      </c>
      <c r="E93" s="29">
        <f t="shared" si="1244"/>
        <v>52.05</v>
      </c>
      <c r="F93" s="29">
        <f t="shared" si="1244"/>
        <v>84.52816691</v>
      </c>
      <c r="G93" s="29">
        <f t="shared" si="1244"/>
        <v>86.23068685</v>
      </c>
      <c r="H93" s="29">
        <f t="shared" si="1244"/>
        <v>112.8605951</v>
      </c>
      <c r="I93" s="29">
        <f t="shared" si="1244"/>
        <v>129.7976593</v>
      </c>
      <c r="J93" s="30"/>
      <c r="K93" s="32">
        <f t="shared" ref="K93:Q93" si="1245">C93/C92-1</f>
        <v>0.04569211308</v>
      </c>
      <c r="L93" s="32">
        <f t="shared" si="1245"/>
        <v>0.02768672133</v>
      </c>
      <c r="M93" s="32">
        <f t="shared" si="1245"/>
        <v>-0.007093804355</v>
      </c>
      <c r="N93" s="32">
        <f t="shared" si="1245"/>
        <v>-0.012714944</v>
      </c>
      <c r="O93" s="32">
        <f t="shared" si="1245"/>
        <v>-0.0005557832993</v>
      </c>
      <c r="P93" s="32">
        <f t="shared" si="1245"/>
        <v>-0.02385728383</v>
      </c>
      <c r="Q93" s="32">
        <f t="shared" si="1245"/>
        <v>-0.01478063668</v>
      </c>
      <c r="R93" s="30"/>
      <c r="S93" s="32">
        <f t="shared" ref="S93:Y93" si="1246">C93/C90-1</f>
        <v>0.06364312552</v>
      </c>
      <c r="T93" s="32">
        <f t="shared" si="1246"/>
        <v>0.04510145078</v>
      </c>
      <c r="U93" s="32">
        <f t="shared" si="1246"/>
        <v>0.04006478167</v>
      </c>
      <c r="V93" s="32">
        <f t="shared" si="1246"/>
        <v>-0.03636997427</v>
      </c>
      <c r="W93" s="32">
        <f t="shared" si="1246"/>
        <v>-0.0009018968305</v>
      </c>
      <c r="X93" s="32">
        <f t="shared" si="1246"/>
        <v>-0.05733970513</v>
      </c>
      <c r="Y93" s="32">
        <f t="shared" si="1246"/>
        <v>-0.05471796338</v>
      </c>
      <c r="Z93" s="30"/>
      <c r="AA93" s="32">
        <f t="shared" ref="AA93:AG93" si="1247">C93/C87-1</f>
        <v>0.1931130115</v>
      </c>
      <c r="AB93" s="32">
        <f t="shared" si="1247"/>
        <v>0.217147979</v>
      </c>
      <c r="AC93" s="32">
        <f t="shared" si="1247"/>
        <v>0.2127035081</v>
      </c>
      <c r="AD93" s="32">
        <f t="shared" si="1247"/>
        <v>-0.02861543745</v>
      </c>
      <c r="AE93" s="32">
        <f t="shared" si="1247"/>
        <v>-0.0007452210964</v>
      </c>
      <c r="AF93" s="32">
        <f t="shared" si="1247"/>
        <v>-0.06943631596</v>
      </c>
      <c r="AG93" s="32">
        <f t="shared" si="1247"/>
        <v>-0.02261099285</v>
      </c>
      <c r="AH93" s="30"/>
      <c r="AI93" s="32">
        <f t="shared" ref="AI93:AO93" si="1248">C93/C81-1</f>
        <v>0.5645784167</v>
      </c>
      <c r="AJ93" s="32">
        <f t="shared" si="1248"/>
        <v>0.5087997411</v>
      </c>
      <c r="AK93" s="32">
        <f t="shared" si="1248"/>
        <v>0.5850077087</v>
      </c>
      <c r="AL93" s="32">
        <f t="shared" si="1248"/>
        <v>0.01563933369</v>
      </c>
      <c r="AM93" s="32">
        <f t="shared" si="1248"/>
        <v>0.002127073302</v>
      </c>
      <c r="AN93" s="32">
        <f t="shared" si="1248"/>
        <v>-0.06151949746</v>
      </c>
      <c r="AO93" s="32">
        <f t="shared" si="1248"/>
        <v>0.08114068536</v>
      </c>
      <c r="AP93" s="30"/>
      <c r="AQ93" s="32">
        <f t="shared" ref="AQ93:AW93" si="1249">(12*K93+4*S93+2*AA93+AI93)/4</f>
        <v>0.4384205747</v>
      </c>
      <c r="AR93" s="32">
        <f t="shared" si="1249"/>
        <v>0.3639355395</v>
      </c>
      <c r="AS93" s="32">
        <f t="shared" si="1249"/>
        <v>0.2713870498</v>
      </c>
      <c r="AT93" s="32">
        <f t="shared" si="1249"/>
        <v>-0.08491269156</v>
      </c>
      <c r="AU93" s="33">
        <f t="shared" si="1249"/>
        <v>-0.002410088951</v>
      </c>
      <c r="AV93" s="32">
        <f t="shared" si="1249"/>
        <v>-0.179009589</v>
      </c>
      <c r="AW93" s="32">
        <f t="shared" si="1249"/>
        <v>-0.09008019849</v>
      </c>
      <c r="AX93" s="30"/>
      <c r="AY93" s="34">
        <f t="shared" ref="AY93:BB93" si="1250">rank(AQ93,$AQ93:$AT93)</f>
        <v>1</v>
      </c>
      <c r="AZ93" s="34">
        <f t="shared" si="1250"/>
        <v>2</v>
      </c>
      <c r="BA93" s="34">
        <f t="shared" si="1250"/>
        <v>3</v>
      </c>
      <c r="BB93" s="34">
        <f t="shared" si="1250"/>
        <v>4</v>
      </c>
      <c r="BC93" s="35">
        <f t="shared" ref="BC93:BE93" si="1251">rank(AU93,$AU93:$AW93)</f>
        <v>1</v>
      </c>
      <c r="BD93" s="34">
        <f t="shared" si="1251"/>
        <v>3</v>
      </c>
      <c r="BE93" s="34">
        <f t="shared" si="1251"/>
        <v>2</v>
      </c>
      <c r="BF93" s="30"/>
      <c r="BG93" s="36">
        <f t="shared" ref="BG93:BJ93" si="1252">if(and($BQ93=0,AY93&lt;=2),0.5,0)</f>
        <v>0</v>
      </c>
      <c r="BH93" s="36">
        <f t="shared" si="1252"/>
        <v>0</v>
      </c>
      <c r="BI93" s="36">
        <f t="shared" si="1252"/>
        <v>0</v>
      </c>
      <c r="BJ93" s="36">
        <f t="shared" si="1252"/>
        <v>0</v>
      </c>
      <c r="BK93" s="37">
        <f t="shared" ref="BK93:BM93" si="1253">if(and($BQ93&gt;0,BC93=1),1,0)</f>
        <v>1</v>
      </c>
      <c r="BL93" s="36">
        <f t="shared" si="1253"/>
        <v>0</v>
      </c>
      <c r="BM93" s="36">
        <f t="shared" si="1253"/>
        <v>0</v>
      </c>
      <c r="BN93" s="38"/>
      <c r="BO93" s="22">
        <f t="shared" si="21"/>
        <v>1</v>
      </c>
      <c r="BP93" s="38"/>
      <c r="BQ93" s="39">
        <f t="shared" si="22"/>
        <v>1</v>
      </c>
      <c r="BR93" s="30"/>
      <c r="BS93" s="36">
        <f t="shared" ref="BS93:BV93" si="1254">if(and($BQ93=0,AY93=1),1,0)</f>
        <v>0</v>
      </c>
      <c r="BT93" s="36">
        <f t="shared" si="1254"/>
        <v>0</v>
      </c>
      <c r="BU93" s="36">
        <f t="shared" si="1254"/>
        <v>0</v>
      </c>
      <c r="BV93" s="36">
        <f t="shared" si="1254"/>
        <v>0</v>
      </c>
      <c r="BW93" s="37">
        <f t="shared" ref="BW93:BY93" si="1255">if(and($BQ93&gt;0,BC93=1),1,0)</f>
        <v>1</v>
      </c>
      <c r="BX93" s="36">
        <f t="shared" si="1255"/>
        <v>0</v>
      </c>
      <c r="BY93" s="36">
        <f t="shared" si="1255"/>
        <v>0</v>
      </c>
      <c r="BZ93" s="38"/>
      <c r="CA93" s="22">
        <f t="shared" si="25"/>
        <v>1</v>
      </c>
      <c r="CB93" s="38"/>
      <c r="CC93" s="22">
        <f t="shared" ref="CC93:CI93" si="1256">BG92*K93</f>
        <v>0</v>
      </c>
      <c r="CD93" s="22">
        <f t="shared" si="1256"/>
        <v>0</v>
      </c>
      <c r="CE93" s="22">
        <f t="shared" si="1256"/>
        <v>0</v>
      </c>
      <c r="CF93" s="22">
        <f t="shared" si="1256"/>
        <v>0</v>
      </c>
      <c r="CG93" s="22">
        <f t="shared" si="1256"/>
        <v>-0.0005557832993</v>
      </c>
      <c r="CH93" s="22">
        <f t="shared" si="1256"/>
        <v>0</v>
      </c>
      <c r="CI93" s="22">
        <f t="shared" si="1256"/>
        <v>0</v>
      </c>
      <c r="CJ93" s="38"/>
      <c r="CK93" s="22">
        <f t="shared" ref="CK93:CQ93" si="1257">BS92*K93</f>
        <v>0</v>
      </c>
      <c r="CL93" s="22">
        <f t="shared" si="1257"/>
        <v>0</v>
      </c>
      <c r="CM93" s="22">
        <f t="shared" si="1257"/>
        <v>0</v>
      </c>
      <c r="CN93" s="22">
        <f t="shared" si="1257"/>
        <v>0</v>
      </c>
      <c r="CO93" s="22">
        <f t="shared" si="1257"/>
        <v>-0.0005557832993</v>
      </c>
      <c r="CP93" s="22">
        <f t="shared" si="1257"/>
        <v>0</v>
      </c>
      <c r="CQ93" s="22">
        <f t="shared" si="1257"/>
        <v>0</v>
      </c>
      <c r="CR93" s="44">
        <f t="shared" si="28"/>
        <v>-0.0005557832993</v>
      </c>
      <c r="CS93" s="45"/>
      <c r="CT93" s="22">
        <f t="shared" si="1130"/>
        <v>1.195431286</v>
      </c>
      <c r="CU93" s="22">
        <f t="shared" si="792"/>
        <v>1.333164935</v>
      </c>
      <c r="CV93" s="47">
        <v>35.0</v>
      </c>
      <c r="CW93" s="45"/>
      <c r="CX93" s="44">
        <f t="shared" si="29"/>
        <v>-0.0005557832993</v>
      </c>
      <c r="CY93" s="22">
        <f t="shared" si="1131"/>
        <v>1.213843297</v>
      </c>
      <c r="CZ93" s="22">
        <f t="shared" si="793"/>
        <v>1.337210889</v>
      </c>
      <c r="DA93" s="47">
        <v>35.0</v>
      </c>
      <c r="DB93" s="45"/>
      <c r="DC93" s="40"/>
      <c r="DD93" s="48">
        <f t="shared" si="30"/>
        <v>190034.5287</v>
      </c>
      <c r="DE93" s="49">
        <f t="shared" si="31"/>
        <v>-0.0005557832993</v>
      </c>
      <c r="DF93" s="50"/>
      <c r="DG93" s="40"/>
      <c r="DH93" s="51">
        <f t="shared" si="32"/>
        <v>185668.5782</v>
      </c>
      <c r="DI93" s="52">
        <f t="shared" si="33"/>
        <v>-0.0005557832993</v>
      </c>
      <c r="DJ93" s="50"/>
      <c r="DK93" s="40"/>
      <c r="DL93" s="40"/>
      <c r="DM93" s="40"/>
      <c r="DN93" s="42"/>
      <c r="DO93" s="40"/>
      <c r="DP93" s="40"/>
      <c r="DQ93" s="42"/>
      <c r="DR93" s="40"/>
      <c r="DS93" s="40"/>
      <c r="DT93" s="40"/>
      <c r="DU93" s="40"/>
    </row>
    <row r="94" ht="13.5" customHeight="1">
      <c r="A94" s="27">
        <v>2.0</v>
      </c>
      <c r="B94" s="56">
        <f t="shared" si="2"/>
        <v>44316</v>
      </c>
      <c r="C94" s="57" t="str">
        <f>IFERROR(__xludf.DUMMYFUNCTION("CONCATENATE(GOOGLEFINANCE(C2))"),"384.52")</f>
        <v>384.52</v>
      </c>
      <c r="D94" s="57" t="str">
        <f>IFERROR(__xludf.DUMMYFUNCTION("CONCATENATE(GOOGLEFINANCE(D2))"),"51.27")</f>
        <v>51.27</v>
      </c>
      <c r="E94" s="57" t="str">
        <f>IFERROR(__xludf.DUMMYFUNCTION("CONCATENATE(GOOGLEFINANCE(E2))"),"53.98")</f>
        <v>53.98</v>
      </c>
      <c r="F94" s="57" t="str">
        <f>IFERROR(__xludf.DUMMYFUNCTION("CONCATENATE(GOOGLEFINANCE(F2))"),"85.17")</f>
        <v>85.17</v>
      </c>
      <c r="G94" s="57" t="str">
        <f>IFERROR(__xludf.DUMMYFUNCTION("CONCATENATE(GOOGLEFINANCE(G2))"),"86.24")</f>
        <v>86.24</v>
      </c>
      <c r="H94" s="57" t="str">
        <f>IFERROR(__xludf.DUMMYFUNCTION("CONCATENATE(GOOGLEFINANCE(H2))"),"113.95")</f>
        <v>113.95</v>
      </c>
      <c r="I94" s="57" t="str">
        <f>IFERROR(__xludf.DUMMYFUNCTION("CONCATENATE(GOOGLEFINANCE(I2))"),"130.96")</f>
        <v>130.96</v>
      </c>
      <c r="J94" s="30"/>
      <c r="K94" s="32">
        <f t="shared" ref="K94:Q94" si="1258">C94/C93-1</f>
        <v>0.05550370574</v>
      </c>
      <c r="L94" s="32">
        <f t="shared" si="1258"/>
        <v>0.04398289554</v>
      </c>
      <c r="M94" s="32">
        <f t="shared" si="1258"/>
        <v>0.03707973103</v>
      </c>
      <c r="N94" s="32">
        <f t="shared" si="1258"/>
        <v>0.007593126762</v>
      </c>
      <c r="O94" s="32">
        <f t="shared" si="1258"/>
        <v>0.0001080027792</v>
      </c>
      <c r="P94" s="32">
        <f t="shared" si="1258"/>
        <v>0.009652659409</v>
      </c>
      <c r="Q94" s="32">
        <f t="shared" si="1258"/>
        <v>0.008955020669</v>
      </c>
      <c r="R94" s="30"/>
      <c r="S94" s="32">
        <f t="shared" ref="S94:Y94" si="1259">C94/C91-1</f>
        <v>0.1342631403</v>
      </c>
      <c r="T94" s="32">
        <f t="shared" si="1259"/>
        <v>0.09898276313</v>
      </c>
      <c r="U94" s="32">
        <f t="shared" si="1259"/>
        <v>0.04586212292</v>
      </c>
      <c r="V94" s="32">
        <f t="shared" si="1259"/>
        <v>-0.02061288909</v>
      </c>
      <c r="W94" s="32">
        <f t="shared" si="1259"/>
        <v>-0.001025289146</v>
      </c>
      <c r="X94" s="32">
        <f t="shared" si="1259"/>
        <v>-0.03773138181</v>
      </c>
      <c r="Y94" s="32">
        <f t="shared" si="1259"/>
        <v>-0.02845810505</v>
      </c>
      <c r="Z94" s="30"/>
      <c r="AA94" s="32">
        <f t="shared" ref="AA94:AG94" si="1260">C94/C88-1</f>
        <v>0.2922235869</v>
      </c>
      <c r="AB94" s="32">
        <f t="shared" si="1260"/>
        <v>0.3173860674</v>
      </c>
      <c r="AC94" s="32">
        <f t="shared" si="1260"/>
        <v>0.2413070226</v>
      </c>
      <c r="AD94" s="32">
        <f t="shared" si="1260"/>
        <v>-0.01576506341</v>
      </c>
      <c r="AE94" s="32">
        <f t="shared" si="1260"/>
        <v>-0.0001754533092</v>
      </c>
      <c r="AF94" s="32">
        <f t="shared" si="1260"/>
        <v>-0.04730065514</v>
      </c>
      <c r="AG94" s="32">
        <f t="shared" si="1260"/>
        <v>-0.008797471747</v>
      </c>
      <c r="AH94" s="30"/>
      <c r="AI94" s="32">
        <f t="shared" ref="AI94:AO94" si="1261">C94/C82-1</f>
        <v>0.4642039901</v>
      </c>
      <c r="AJ94" s="32">
        <f t="shared" si="1261"/>
        <v>0.4718573942</v>
      </c>
      <c r="AK94" s="32">
        <f t="shared" si="1261"/>
        <v>0.5247110258</v>
      </c>
      <c r="AL94" s="32">
        <f t="shared" si="1261"/>
        <v>-0.004123904545</v>
      </c>
      <c r="AM94" s="32">
        <f t="shared" si="1261"/>
        <v>-0.0004889446025</v>
      </c>
      <c r="AN94" s="32">
        <f t="shared" si="1261"/>
        <v>-0.05505736579</v>
      </c>
      <c r="AO94" s="32">
        <f t="shared" si="1261"/>
        <v>0.04036770474</v>
      </c>
      <c r="AP94" s="30"/>
      <c r="AQ94" s="32">
        <f t="shared" ref="AQ94:AW94" si="1262">(12*K94+4*S94+2*AA94+AI94)/4</f>
        <v>0.5629370485</v>
      </c>
      <c r="AR94" s="32">
        <f t="shared" si="1262"/>
        <v>0.507588832</v>
      </c>
      <c r="AS94" s="32">
        <f t="shared" si="1262"/>
        <v>0.4089325837</v>
      </c>
      <c r="AT94" s="32">
        <f t="shared" si="1262"/>
        <v>-0.006747016642</v>
      </c>
      <c r="AU94" s="33">
        <f t="shared" si="1262"/>
        <v>-0.0009112436134</v>
      </c>
      <c r="AV94" s="32">
        <f t="shared" si="1262"/>
        <v>-0.04618807259</v>
      </c>
      <c r="AW94" s="32">
        <f t="shared" si="1262"/>
        <v>0.004100147267</v>
      </c>
      <c r="AX94" s="30"/>
      <c r="AY94" s="34">
        <f t="shared" ref="AY94:BB94" si="1263">rank(AQ94,$AQ94:$AT94)</f>
        <v>1</v>
      </c>
      <c r="AZ94" s="34">
        <f t="shared" si="1263"/>
        <v>2</v>
      </c>
      <c r="BA94" s="34">
        <f t="shared" si="1263"/>
        <v>3</v>
      </c>
      <c r="BB94" s="34">
        <f t="shared" si="1263"/>
        <v>4</v>
      </c>
      <c r="BC94" s="35">
        <f t="shared" ref="BC94:BE94" si="1264">rank(AU94,$AU94:$AW94)</f>
        <v>2</v>
      </c>
      <c r="BD94" s="34">
        <f t="shared" si="1264"/>
        <v>3</v>
      </c>
      <c r="BE94" s="34">
        <f t="shared" si="1264"/>
        <v>1</v>
      </c>
      <c r="BF94" s="30"/>
      <c r="BG94" s="36">
        <f t="shared" ref="BG94:BJ94" si="1265">if(and($BQ94=0,AY94&lt;=2),0.5,0)</f>
        <v>0</v>
      </c>
      <c r="BH94" s="36">
        <f t="shared" si="1265"/>
        <v>0</v>
      </c>
      <c r="BI94" s="36">
        <f t="shared" si="1265"/>
        <v>0</v>
      </c>
      <c r="BJ94" s="36">
        <f t="shared" si="1265"/>
        <v>0</v>
      </c>
      <c r="BK94" s="37">
        <f t="shared" ref="BK94:BM94" si="1266">if(and($BQ94&gt;0,BC94=1),1,0)</f>
        <v>0</v>
      </c>
      <c r="BL94" s="36">
        <f t="shared" si="1266"/>
        <v>0</v>
      </c>
      <c r="BM94" s="36">
        <f t="shared" si="1266"/>
        <v>1</v>
      </c>
      <c r="BN94" s="38"/>
      <c r="BO94" s="22">
        <f t="shared" si="21"/>
        <v>1</v>
      </c>
      <c r="BP94" s="38"/>
      <c r="BQ94" s="39">
        <f t="shared" si="22"/>
        <v>1</v>
      </c>
      <c r="BR94" s="30"/>
      <c r="BS94" s="36">
        <f t="shared" ref="BS94:BV94" si="1267">if(and($BQ94=0,AY94=1),1,0)</f>
        <v>0</v>
      </c>
      <c r="BT94" s="36">
        <f t="shared" si="1267"/>
        <v>0</v>
      </c>
      <c r="BU94" s="36">
        <f t="shared" si="1267"/>
        <v>0</v>
      </c>
      <c r="BV94" s="36">
        <f t="shared" si="1267"/>
        <v>0</v>
      </c>
      <c r="BW94" s="37">
        <f t="shared" ref="BW94:BY94" si="1268">if(and($BQ94&gt;0,BC94=1),1,0)</f>
        <v>0</v>
      </c>
      <c r="BX94" s="36">
        <f t="shared" si="1268"/>
        <v>0</v>
      </c>
      <c r="BY94" s="36">
        <f t="shared" si="1268"/>
        <v>1</v>
      </c>
      <c r="BZ94" s="38"/>
      <c r="CA94" s="22">
        <f t="shared" si="25"/>
        <v>1</v>
      </c>
      <c r="CB94" s="38"/>
      <c r="CC94" s="22">
        <f t="shared" ref="CC94:CI94" si="1269">BG93*K94</f>
        <v>0</v>
      </c>
      <c r="CD94" s="22">
        <f t="shared" si="1269"/>
        <v>0</v>
      </c>
      <c r="CE94" s="22">
        <f t="shared" si="1269"/>
        <v>0</v>
      </c>
      <c r="CF94" s="22">
        <f t="shared" si="1269"/>
        <v>0</v>
      </c>
      <c r="CG94" s="22">
        <f t="shared" si="1269"/>
        <v>0.0001080027792</v>
      </c>
      <c r="CH94" s="22">
        <f t="shared" si="1269"/>
        <v>0</v>
      </c>
      <c r="CI94" s="22">
        <f t="shared" si="1269"/>
        <v>0</v>
      </c>
      <c r="CJ94" s="38"/>
      <c r="CK94" s="22">
        <f t="shared" ref="CK94:CQ94" si="1270">BS93*K94</f>
        <v>0</v>
      </c>
      <c r="CL94" s="22">
        <f t="shared" si="1270"/>
        <v>0</v>
      </c>
      <c r="CM94" s="22">
        <f t="shared" si="1270"/>
        <v>0</v>
      </c>
      <c r="CN94" s="22">
        <f t="shared" si="1270"/>
        <v>0</v>
      </c>
      <c r="CO94" s="22">
        <f t="shared" si="1270"/>
        <v>0.0001080027792</v>
      </c>
      <c r="CP94" s="22">
        <f t="shared" si="1270"/>
        <v>0</v>
      </c>
      <c r="CQ94" s="22">
        <f t="shared" si="1270"/>
        <v>0</v>
      </c>
      <c r="CR94" s="44">
        <f t="shared" si="28"/>
        <v>0.0001080027792</v>
      </c>
      <c r="CS94" s="45"/>
      <c r="CT94" s="22">
        <f t="shared" si="1130"/>
        <v>1.195560396</v>
      </c>
      <c r="CU94" s="22">
        <f t="shared" si="792"/>
        <v>1.333308921</v>
      </c>
      <c r="CV94" s="47">
        <v>36.0</v>
      </c>
      <c r="CW94" s="45"/>
      <c r="CX94" s="44">
        <f t="shared" si="29"/>
        <v>0.0001080027792</v>
      </c>
      <c r="CY94" s="22">
        <f t="shared" si="1131"/>
        <v>1.213974396</v>
      </c>
      <c r="CZ94" s="22">
        <f t="shared" si="793"/>
        <v>1.337355311</v>
      </c>
      <c r="DA94" s="47">
        <v>36.0</v>
      </c>
      <c r="DB94" s="45"/>
      <c r="DC94" s="40"/>
      <c r="DD94" s="53">
        <f t="shared" si="30"/>
        <v>190055.0529</v>
      </c>
      <c r="DE94" s="54">
        <f t="shared" si="31"/>
        <v>0.0001080027792</v>
      </c>
      <c r="DF94" s="58">
        <f>DD94/DD86-1</f>
        <v>0.03728861311</v>
      </c>
      <c r="DG94" s="40"/>
      <c r="DH94" s="59">
        <f t="shared" si="32"/>
        <v>185688.631</v>
      </c>
      <c r="DI94" s="60">
        <f t="shared" si="33"/>
        <v>0.0001080027792</v>
      </c>
      <c r="DJ94" s="58">
        <f>DH94/DH86-1</f>
        <v>0.06155843454</v>
      </c>
      <c r="DK94" s="40"/>
      <c r="DL94" s="40"/>
      <c r="DM94" s="40"/>
      <c r="DN94" s="42"/>
      <c r="DO94" s="40"/>
      <c r="DP94" s="40"/>
      <c r="DQ94" s="42"/>
      <c r="DR94" s="40"/>
      <c r="DS94" s="40"/>
      <c r="DT94" s="40"/>
      <c r="DU94" s="40"/>
    </row>
    <row r="95" ht="13.5" customHeight="1">
      <c r="A95" s="61"/>
      <c r="B95" s="61"/>
      <c r="C95" s="42"/>
      <c r="D95" s="42"/>
      <c r="E95" s="42"/>
      <c r="F95" s="42"/>
      <c r="G95" s="42"/>
      <c r="H95" s="42"/>
      <c r="I95" s="42"/>
      <c r="J95" s="30"/>
      <c r="K95" s="42"/>
      <c r="L95" s="42"/>
      <c r="M95" s="42"/>
      <c r="N95" s="42"/>
      <c r="O95" s="42"/>
      <c r="P95" s="42"/>
      <c r="Q95" s="42"/>
      <c r="R95" s="30"/>
      <c r="S95" s="42"/>
      <c r="T95" s="42"/>
      <c r="U95" s="42"/>
      <c r="V95" s="42"/>
      <c r="W95" s="42"/>
      <c r="X95" s="42"/>
      <c r="Y95" s="42"/>
      <c r="Z95" s="30"/>
      <c r="AA95" s="42"/>
      <c r="AB95" s="42"/>
      <c r="AC95" s="42"/>
      <c r="AD95" s="42"/>
      <c r="AE95" s="42"/>
      <c r="AF95" s="42"/>
      <c r="AG95" s="42"/>
      <c r="AH95" s="30"/>
      <c r="AI95" s="42"/>
      <c r="AJ95" s="42"/>
      <c r="AK95" s="42"/>
      <c r="AL95" s="42"/>
      <c r="AM95" s="42"/>
      <c r="AN95" s="42"/>
      <c r="AO95" s="42"/>
      <c r="AP95" s="30"/>
      <c r="AQ95" s="42"/>
      <c r="AR95" s="42"/>
      <c r="AS95" s="42"/>
      <c r="AT95" s="42"/>
      <c r="AU95" s="42"/>
      <c r="AV95" s="42"/>
      <c r="AW95" s="42"/>
      <c r="AX95" s="30"/>
      <c r="AY95" s="42"/>
      <c r="AZ95" s="42"/>
      <c r="BA95" s="42"/>
      <c r="BB95" s="42"/>
      <c r="BC95" s="42"/>
      <c r="BD95" s="42"/>
      <c r="BE95" s="42"/>
      <c r="BF95" s="30"/>
      <c r="BG95" s="42"/>
      <c r="BH95" s="42"/>
      <c r="BI95" s="42"/>
      <c r="BJ95" s="42"/>
      <c r="BK95" s="42"/>
      <c r="BL95" s="42"/>
      <c r="BM95" s="42"/>
      <c r="BN95" s="30"/>
      <c r="BO95" s="42"/>
      <c r="BP95" s="30"/>
      <c r="BQ95" s="42"/>
      <c r="BR95" s="30"/>
      <c r="BS95" s="42"/>
      <c r="BT95" s="42"/>
      <c r="BU95" s="42"/>
      <c r="BV95" s="42"/>
      <c r="BW95" s="42"/>
      <c r="BX95" s="42"/>
      <c r="BY95" s="42"/>
      <c r="BZ95" s="30"/>
      <c r="CA95" s="42"/>
      <c r="CB95" s="30"/>
      <c r="CC95" s="42"/>
      <c r="CD95" s="42"/>
      <c r="CE95" s="42"/>
      <c r="CF95" s="42"/>
      <c r="CG95" s="42"/>
      <c r="CH95" s="42"/>
      <c r="CI95" s="42"/>
      <c r="CJ95" s="30"/>
      <c r="CK95" s="42"/>
      <c r="CL95" s="42"/>
      <c r="CM95" s="42"/>
      <c r="CN95" s="42"/>
      <c r="CO95" s="42"/>
      <c r="CP95" s="42"/>
      <c r="CQ95" s="42"/>
      <c r="CR95" s="42"/>
      <c r="CS95" s="30"/>
      <c r="CT95" s="22"/>
      <c r="CU95" s="42"/>
      <c r="CV95" s="42"/>
      <c r="CW95" s="30"/>
      <c r="CX95" s="42"/>
      <c r="CY95" s="22"/>
      <c r="CZ95" s="42"/>
      <c r="DA95" s="42"/>
      <c r="DB95" s="30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</row>
    <row r="96">
      <c r="A96" s="61"/>
      <c r="B96" s="62" t="s">
        <v>28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63">
        <f t="shared" ref="AQ96:AW96" si="1271">AY94</f>
        <v>1</v>
      </c>
      <c r="AR96" s="64">
        <f t="shared" si="1271"/>
        <v>2</v>
      </c>
      <c r="AS96" s="64">
        <f t="shared" si="1271"/>
        <v>3</v>
      </c>
      <c r="AT96" s="64">
        <f t="shared" si="1271"/>
        <v>4</v>
      </c>
      <c r="AU96" s="65">
        <f t="shared" si="1271"/>
        <v>2</v>
      </c>
      <c r="AV96" s="64">
        <f t="shared" si="1271"/>
        <v>3</v>
      </c>
      <c r="AW96" s="66">
        <f t="shared" si="1271"/>
        <v>1</v>
      </c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23" t="s">
        <v>29</v>
      </c>
      <c r="CS96" s="67"/>
      <c r="CU96" s="23"/>
      <c r="CV96" s="42"/>
      <c r="CW96" s="67"/>
      <c r="CX96" s="23" t="s">
        <v>29</v>
      </c>
      <c r="CZ96" s="23"/>
      <c r="DA96" s="42"/>
      <c r="DB96" s="67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</row>
    <row r="97">
      <c r="A97" s="61"/>
      <c r="B97" s="68" t="s">
        <v>30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69">
        <f t="shared" ref="AQ97:AW97" si="1272">BG94</f>
        <v>0</v>
      </c>
      <c r="AR97" s="70">
        <f t="shared" si="1272"/>
        <v>0</v>
      </c>
      <c r="AS97" s="70">
        <f t="shared" si="1272"/>
        <v>0</v>
      </c>
      <c r="AT97" s="70">
        <f t="shared" si="1272"/>
        <v>0</v>
      </c>
      <c r="AU97" s="71">
        <f t="shared" si="1272"/>
        <v>0</v>
      </c>
      <c r="AV97" s="70">
        <f t="shared" si="1272"/>
        <v>0</v>
      </c>
      <c r="AW97" s="72">
        <f t="shared" si="1272"/>
        <v>1</v>
      </c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70">
        <f>CT94-1</f>
        <v>0.1955603959</v>
      </c>
      <c r="CS97" s="73"/>
      <c r="CU97" s="42"/>
      <c r="CV97" s="42"/>
      <c r="CW97" s="73"/>
      <c r="CX97" s="70">
        <f>CY94-1</f>
        <v>0.2139743959</v>
      </c>
      <c r="CZ97" s="42"/>
      <c r="DA97" s="42"/>
      <c r="DB97" s="73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</row>
    <row r="98">
      <c r="A98" s="61"/>
      <c r="C98" s="42"/>
      <c r="D98" s="42"/>
      <c r="E98" s="42"/>
      <c r="F98" s="47"/>
      <c r="G98" s="47"/>
      <c r="H98" s="47"/>
      <c r="I98" s="47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74" t="s">
        <v>31</v>
      </c>
      <c r="AW98" s="75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76" t="s">
        <v>32</v>
      </c>
      <c r="CS98" s="73"/>
      <c r="CT98" s="42"/>
      <c r="CU98" s="42"/>
      <c r="CV98" s="42"/>
      <c r="CW98" s="73"/>
      <c r="CX98" s="76" t="s">
        <v>32</v>
      </c>
      <c r="CY98" s="42"/>
      <c r="CZ98" s="42"/>
      <c r="DA98" s="42"/>
      <c r="DB98" s="73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</row>
    <row r="99">
      <c r="A99" s="61"/>
      <c r="B99" s="77">
        <f>now()</f>
        <v>44314.43399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78"/>
      <c r="AR99" s="79"/>
      <c r="AS99" s="79"/>
      <c r="AT99" s="79"/>
      <c r="AU99" s="79"/>
      <c r="AV99" s="79"/>
      <c r="AW99" s="80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70">
        <f>CU94-1</f>
        <v>0.3333089205</v>
      </c>
      <c r="CS99" s="73"/>
      <c r="CT99" s="42"/>
      <c r="CU99" s="42"/>
      <c r="CV99" s="42"/>
      <c r="CW99" s="73"/>
      <c r="CX99" s="70">
        <f>CZ94-1</f>
        <v>0.3373553112</v>
      </c>
      <c r="CY99" s="42"/>
      <c r="CZ99" s="42"/>
      <c r="DA99" s="42"/>
      <c r="DB99" s="73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</row>
    <row r="100">
      <c r="A100" s="61"/>
      <c r="B100" s="81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7"/>
      <c r="AR101" s="47"/>
      <c r="AS101" s="47"/>
      <c r="AT101" s="47"/>
      <c r="AU101" s="47"/>
      <c r="AV101" s="47"/>
      <c r="AW101" s="47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7"/>
      <c r="AR102" s="47"/>
      <c r="AS102" s="47"/>
      <c r="AT102" s="42"/>
      <c r="AU102" s="42"/>
      <c r="AV102" s="47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7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7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7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30"/>
      <c r="CT115" s="42"/>
      <c r="CU115" s="42"/>
      <c r="CV115" s="42"/>
      <c r="CW115" s="30"/>
      <c r="CX115" s="42"/>
      <c r="CY115" s="42"/>
      <c r="CZ115" s="42"/>
      <c r="DA115" s="42"/>
      <c r="DB115" s="30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30"/>
      <c r="CT116" s="42"/>
      <c r="CU116" s="42"/>
      <c r="CV116" s="42"/>
      <c r="CW116" s="30"/>
      <c r="CX116" s="42"/>
      <c r="CY116" s="42"/>
      <c r="CZ116" s="42"/>
      <c r="DA116" s="42"/>
      <c r="DB116" s="30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30"/>
      <c r="CT117" s="42"/>
      <c r="CU117" s="42"/>
      <c r="CV117" s="42"/>
      <c r="CW117" s="30"/>
      <c r="CX117" s="42"/>
      <c r="CY117" s="42"/>
      <c r="CZ117" s="42"/>
      <c r="DA117" s="42"/>
      <c r="DB117" s="30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30"/>
      <c r="CT118" s="42"/>
      <c r="CU118" s="42"/>
      <c r="CV118" s="42"/>
      <c r="CW118" s="30"/>
      <c r="CX118" s="42"/>
      <c r="CY118" s="42"/>
      <c r="CZ118" s="42"/>
      <c r="DA118" s="42"/>
      <c r="DB118" s="30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30"/>
      <c r="CT119" s="42"/>
      <c r="CU119" s="42"/>
      <c r="CV119" s="42"/>
      <c r="CW119" s="30"/>
      <c r="CX119" s="42"/>
      <c r="CY119" s="42"/>
      <c r="CZ119" s="42"/>
      <c r="DA119" s="42"/>
      <c r="DB119" s="30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30"/>
      <c r="CT120" s="42"/>
      <c r="CU120" s="42"/>
      <c r="CV120" s="42"/>
      <c r="CW120" s="30"/>
      <c r="CX120" s="42"/>
      <c r="CY120" s="42"/>
      <c r="CZ120" s="42"/>
      <c r="DA120" s="42"/>
      <c r="DB120" s="30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30"/>
      <c r="CT121" s="42"/>
      <c r="CU121" s="42"/>
      <c r="CV121" s="42"/>
      <c r="CW121" s="30"/>
      <c r="CX121" s="42"/>
      <c r="CY121" s="42"/>
      <c r="CZ121" s="42"/>
      <c r="DA121" s="42"/>
      <c r="DB121" s="30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30"/>
      <c r="CT122" s="42"/>
      <c r="CU122" s="42"/>
      <c r="CV122" s="42"/>
      <c r="CW122" s="30"/>
      <c r="CX122" s="42"/>
      <c r="CY122" s="42"/>
      <c r="CZ122" s="42"/>
      <c r="DA122" s="42"/>
      <c r="DB122" s="30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30"/>
      <c r="CT123" s="42"/>
      <c r="CU123" s="42"/>
      <c r="CV123" s="42"/>
      <c r="CW123" s="30"/>
      <c r="CX123" s="42"/>
      <c r="CY123" s="42"/>
      <c r="CZ123" s="42"/>
      <c r="DA123" s="42"/>
      <c r="DB123" s="30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30"/>
      <c r="CT124" s="42"/>
      <c r="CU124" s="42"/>
      <c r="CV124" s="42"/>
      <c r="CW124" s="30"/>
      <c r="CX124" s="42"/>
      <c r="CY124" s="42"/>
      <c r="CZ124" s="42"/>
      <c r="DA124" s="42"/>
      <c r="DB124" s="30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30"/>
      <c r="CT125" s="42"/>
      <c r="CU125" s="42"/>
      <c r="CV125" s="42"/>
      <c r="CW125" s="30"/>
      <c r="CX125" s="42"/>
      <c r="CY125" s="42"/>
      <c r="CZ125" s="42"/>
      <c r="DA125" s="42"/>
      <c r="DB125" s="30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30"/>
      <c r="CT126" s="42"/>
      <c r="CU126" s="42"/>
      <c r="CV126" s="42"/>
      <c r="CW126" s="30"/>
      <c r="CX126" s="42"/>
      <c r="CY126" s="42"/>
      <c r="CZ126" s="42"/>
      <c r="DA126" s="42"/>
      <c r="DB126" s="30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30"/>
      <c r="CT127" s="42"/>
      <c r="CU127" s="42"/>
      <c r="CV127" s="42"/>
      <c r="CW127" s="30"/>
      <c r="CX127" s="42"/>
      <c r="CY127" s="42"/>
      <c r="CZ127" s="42"/>
      <c r="DA127" s="42"/>
      <c r="DB127" s="30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30"/>
      <c r="CT128" s="42"/>
      <c r="CU128" s="42"/>
      <c r="CV128" s="42"/>
      <c r="CW128" s="30"/>
      <c r="CX128" s="42"/>
      <c r="CY128" s="42"/>
      <c r="CZ128" s="42"/>
      <c r="DA128" s="42"/>
      <c r="DB128" s="30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30"/>
      <c r="CT129" s="42"/>
      <c r="CU129" s="42"/>
      <c r="CV129" s="42"/>
      <c r="CW129" s="30"/>
      <c r="CX129" s="42"/>
      <c r="CY129" s="42"/>
      <c r="CZ129" s="42"/>
      <c r="DA129" s="42"/>
      <c r="DB129" s="30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30"/>
      <c r="CT130" s="42"/>
      <c r="CU130" s="42"/>
      <c r="CV130" s="42"/>
      <c r="CW130" s="30"/>
      <c r="CX130" s="42"/>
      <c r="CY130" s="42"/>
      <c r="CZ130" s="42"/>
      <c r="DA130" s="42"/>
      <c r="DB130" s="30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30"/>
      <c r="CT131" s="42"/>
      <c r="CU131" s="42"/>
      <c r="CV131" s="42"/>
      <c r="CW131" s="30"/>
      <c r="CX131" s="42"/>
      <c r="CY131" s="42"/>
      <c r="CZ131" s="42"/>
      <c r="DA131" s="42"/>
      <c r="DB131" s="30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30"/>
      <c r="CT132" s="42"/>
      <c r="CU132" s="42"/>
      <c r="CV132" s="42"/>
      <c r="CW132" s="30"/>
      <c r="CX132" s="42"/>
      <c r="CY132" s="42"/>
      <c r="CZ132" s="42"/>
      <c r="DA132" s="42"/>
      <c r="DB132" s="30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30"/>
      <c r="CT133" s="42"/>
      <c r="CU133" s="42"/>
      <c r="CV133" s="42"/>
      <c r="CW133" s="30"/>
      <c r="CX133" s="42"/>
      <c r="CY133" s="42"/>
      <c r="CZ133" s="42"/>
      <c r="DA133" s="42"/>
      <c r="DB133" s="30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30"/>
      <c r="CT134" s="42"/>
      <c r="CU134" s="42"/>
      <c r="CV134" s="42"/>
      <c r="CW134" s="30"/>
      <c r="CX134" s="42"/>
      <c r="CY134" s="42"/>
      <c r="CZ134" s="42"/>
      <c r="DA134" s="42"/>
      <c r="DB134" s="30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30"/>
      <c r="CT135" s="42"/>
      <c r="CU135" s="42"/>
      <c r="CV135" s="42"/>
      <c r="CW135" s="30"/>
      <c r="CX135" s="42"/>
      <c r="CY135" s="42"/>
      <c r="CZ135" s="42"/>
      <c r="DA135" s="42"/>
      <c r="DB135" s="30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30"/>
      <c r="CT136" s="42"/>
      <c r="CU136" s="42"/>
      <c r="CV136" s="42"/>
      <c r="CW136" s="30"/>
      <c r="CX136" s="42"/>
      <c r="CY136" s="42"/>
      <c r="CZ136" s="42"/>
      <c r="DA136" s="42"/>
      <c r="DB136" s="30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30"/>
      <c r="CT137" s="42"/>
      <c r="CU137" s="42"/>
      <c r="CV137" s="42"/>
      <c r="CW137" s="30"/>
      <c r="CX137" s="42"/>
      <c r="CY137" s="42"/>
      <c r="CZ137" s="42"/>
      <c r="DA137" s="42"/>
      <c r="DB137" s="30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30"/>
      <c r="CT138" s="42"/>
      <c r="CU138" s="42"/>
      <c r="CV138" s="42"/>
      <c r="CW138" s="30"/>
      <c r="CX138" s="42"/>
      <c r="CY138" s="42"/>
      <c r="CZ138" s="42"/>
      <c r="DA138" s="42"/>
      <c r="DB138" s="30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30"/>
      <c r="CT139" s="42"/>
      <c r="CU139" s="42"/>
      <c r="CV139" s="42"/>
      <c r="CW139" s="30"/>
      <c r="CX139" s="42"/>
      <c r="CY139" s="42"/>
      <c r="CZ139" s="42"/>
      <c r="DA139" s="42"/>
      <c r="DB139" s="30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30"/>
      <c r="CT140" s="42"/>
      <c r="CU140" s="42"/>
      <c r="CV140" s="42"/>
      <c r="CW140" s="30"/>
      <c r="CX140" s="42"/>
      <c r="CY140" s="42"/>
      <c r="CZ140" s="42"/>
      <c r="DA140" s="42"/>
      <c r="DB140" s="30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30"/>
      <c r="CT141" s="42"/>
      <c r="CU141" s="42"/>
      <c r="CV141" s="42"/>
      <c r="CW141" s="30"/>
      <c r="CX141" s="42"/>
      <c r="CY141" s="42"/>
      <c r="CZ141" s="42"/>
      <c r="DA141" s="42"/>
      <c r="DB141" s="30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30"/>
      <c r="CT142" s="42"/>
      <c r="CU142" s="42"/>
      <c r="CV142" s="42"/>
      <c r="CW142" s="30"/>
      <c r="CX142" s="42"/>
      <c r="CY142" s="42"/>
      <c r="CZ142" s="42"/>
      <c r="DA142" s="42"/>
      <c r="DB142" s="30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30"/>
      <c r="CT143" s="42"/>
      <c r="CU143" s="42"/>
      <c r="CV143" s="42"/>
      <c r="CW143" s="30"/>
      <c r="CX143" s="42"/>
      <c r="CY143" s="42"/>
      <c r="CZ143" s="42"/>
      <c r="DA143" s="42"/>
      <c r="DB143" s="30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30"/>
      <c r="CT144" s="42"/>
      <c r="CU144" s="42"/>
      <c r="CV144" s="42"/>
      <c r="CW144" s="30"/>
      <c r="CX144" s="42"/>
      <c r="CY144" s="42"/>
      <c r="CZ144" s="42"/>
      <c r="DA144" s="42"/>
      <c r="DB144" s="30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30"/>
      <c r="CT145" s="42"/>
      <c r="CU145" s="42"/>
      <c r="CV145" s="42"/>
      <c r="CW145" s="30"/>
      <c r="CX145" s="42"/>
      <c r="CY145" s="42"/>
      <c r="CZ145" s="42"/>
      <c r="DA145" s="42"/>
      <c r="DB145" s="30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30"/>
      <c r="CT146" s="42"/>
      <c r="CU146" s="42"/>
      <c r="CV146" s="42"/>
      <c r="CW146" s="30"/>
      <c r="CX146" s="42"/>
      <c r="CY146" s="42"/>
      <c r="CZ146" s="42"/>
      <c r="DA146" s="42"/>
      <c r="DB146" s="30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30"/>
      <c r="CT147" s="42"/>
      <c r="CU147" s="42"/>
      <c r="CV147" s="42"/>
      <c r="CW147" s="30"/>
      <c r="CX147" s="42"/>
      <c r="CY147" s="42"/>
      <c r="CZ147" s="42"/>
      <c r="DA147" s="42"/>
      <c r="DB147" s="30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30"/>
      <c r="CT148" s="42"/>
      <c r="CU148" s="42"/>
      <c r="CV148" s="42"/>
      <c r="CW148" s="30"/>
      <c r="CX148" s="42"/>
      <c r="CY148" s="42"/>
      <c r="CZ148" s="42"/>
      <c r="DA148" s="42"/>
      <c r="DB148" s="30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30"/>
      <c r="CT149" s="42"/>
      <c r="CU149" s="42"/>
      <c r="CV149" s="42"/>
      <c r="CW149" s="30"/>
      <c r="CX149" s="42"/>
      <c r="CY149" s="42"/>
      <c r="CZ149" s="42"/>
      <c r="DA149" s="42"/>
      <c r="DB149" s="30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30"/>
      <c r="CT150" s="42"/>
      <c r="CU150" s="42"/>
      <c r="CV150" s="42"/>
      <c r="CW150" s="30"/>
      <c r="CX150" s="42"/>
      <c r="CY150" s="42"/>
      <c r="CZ150" s="42"/>
      <c r="DA150" s="42"/>
      <c r="DB150" s="30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30"/>
      <c r="CT151" s="42"/>
      <c r="CU151" s="42"/>
      <c r="CV151" s="42"/>
      <c r="CW151" s="30"/>
      <c r="CX151" s="42"/>
      <c r="CY151" s="42"/>
      <c r="CZ151" s="42"/>
      <c r="DA151" s="42"/>
      <c r="DB151" s="30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30"/>
      <c r="CT152" s="42"/>
      <c r="CU152" s="42"/>
      <c r="CV152" s="42"/>
      <c r="CW152" s="30"/>
      <c r="CX152" s="42"/>
      <c r="CY152" s="42"/>
      <c r="CZ152" s="42"/>
      <c r="DA152" s="42"/>
      <c r="DB152" s="30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30"/>
      <c r="CT153" s="42"/>
      <c r="CU153" s="42"/>
      <c r="CV153" s="42"/>
      <c r="CW153" s="30"/>
      <c r="CX153" s="42"/>
      <c r="CY153" s="42"/>
      <c r="CZ153" s="42"/>
      <c r="DA153" s="42"/>
      <c r="DB153" s="30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30"/>
      <c r="CT154" s="42"/>
      <c r="CU154" s="42"/>
      <c r="CV154" s="42"/>
      <c r="CW154" s="30"/>
      <c r="CX154" s="42"/>
      <c r="CY154" s="42"/>
      <c r="CZ154" s="42"/>
      <c r="DA154" s="42"/>
      <c r="DB154" s="30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30"/>
      <c r="CT155" s="42"/>
      <c r="CU155" s="42"/>
      <c r="CV155" s="42"/>
      <c r="CW155" s="30"/>
      <c r="CX155" s="42"/>
      <c r="CY155" s="42"/>
      <c r="CZ155" s="42"/>
      <c r="DA155" s="42"/>
      <c r="DB155" s="30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30"/>
      <c r="CT156" s="42"/>
      <c r="CU156" s="42"/>
      <c r="CV156" s="42"/>
      <c r="CW156" s="30"/>
      <c r="CX156" s="42"/>
      <c r="CY156" s="42"/>
      <c r="CZ156" s="42"/>
      <c r="DA156" s="42"/>
      <c r="DB156" s="30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30"/>
      <c r="CT157" s="42"/>
      <c r="CU157" s="42"/>
      <c r="CV157" s="42"/>
      <c r="CW157" s="30"/>
      <c r="CX157" s="42"/>
      <c r="CY157" s="42"/>
      <c r="CZ157" s="42"/>
      <c r="DA157" s="42"/>
      <c r="DB157" s="30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30"/>
      <c r="CT158" s="42"/>
      <c r="CU158" s="42"/>
      <c r="CV158" s="42"/>
      <c r="CW158" s="30"/>
      <c r="CX158" s="42"/>
      <c r="CY158" s="42"/>
      <c r="CZ158" s="42"/>
      <c r="DA158" s="42"/>
      <c r="DB158" s="30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30"/>
      <c r="CT159" s="42"/>
      <c r="CU159" s="42"/>
      <c r="CV159" s="42"/>
      <c r="CW159" s="30"/>
      <c r="CX159" s="42"/>
      <c r="CY159" s="42"/>
      <c r="CZ159" s="42"/>
      <c r="DA159" s="42"/>
      <c r="DB159" s="30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30"/>
      <c r="CT160" s="42"/>
      <c r="CU160" s="42"/>
      <c r="CV160" s="42"/>
      <c r="CW160" s="30"/>
      <c r="CX160" s="42"/>
      <c r="CY160" s="42"/>
      <c r="CZ160" s="42"/>
      <c r="DA160" s="42"/>
      <c r="DB160" s="30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30"/>
      <c r="CT161" s="42"/>
      <c r="CU161" s="42"/>
      <c r="CV161" s="42"/>
      <c r="CW161" s="30"/>
      <c r="CX161" s="42"/>
      <c r="CY161" s="42"/>
      <c r="CZ161" s="42"/>
      <c r="DA161" s="42"/>
      <c r="DB161" s="30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30"/>
      <c r="CT162" s="42"/>
      <c r="CU162" s="42"/>
      <c r="CV162" s="42"/>
      <c r="CW162" s="30"/>
      <c r="CX162" s="42"/>
      <c r="CY162" s="42"/>
      <c r="CZ162" s="42"/>
      <c r="DA162" s="42"/>
      <c r="DB162" s="30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30"/>
      <c r="CT163" s="42"/>
      <c r="CU163" s="42"/>
      <c r="CV163" s="42"/>
      <c r="CW163" s="30"/>
      <c r="CX163" s="42"/>
      <c r="CY163" s="42"/>
      <c r="CZ163" s="42"/>
      <c r="DA163" s="42"/>
      <c r="DB163" s="30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30"/>
      <c r="CT164" s="42"/>
      <c r="CU164" s="42"/>
      <c r="CV164" s="42"/>
      <c r="CW164" s="30"/>
      <c r="CX164" s="42"/>
      <c r="CY164" s="42"/>
      <c r="CZ164" s="42"/>
      <c r="DA164" s="42"/>
      <c r="DB164" s="30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30"/>
      <c r="CT165" s="42"/>
      <c r="CU165" s="42"/>
      <c r="CV165" s="42"/>
      <c r="CW165" s="30"/>
      <c r="CX165" s="42"/>
      <c r="CY165" s="42"/>
      <c r="CZ165" s="42"/>
      <c r="DA165" s="42"/>
      <c r="DB165" s="30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30"/>
      <c r="CT166" s="42"/>
      <c r="CU166" s="42"/>
      <c r="CV166" s="42"/>
      <c r="CW166" s="30"/>
      <c r="CX166" s="42"/>
      <c r="CY166" s="42"/>
      <c r="CZ166" s="42"/>
      <c r="DA166" s="42"/>
      <c r="DB166" s="30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30"/>
      <c r="CT167" s="42"/>
      <c r="CU167" s="42"/>
      <c r="CV167" s="42"/>
      <c r="CW167" s="30"/>
      <c r="CX167" s="42"/>
      <c r="CY167" s="42"/>
      <c r="CZ167" s="42"/>
      <c r="DA167" s="42"/>
      <c r="DB167" s="30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30"/>
      <c r="CT168" s="42"/>
      <c r="CU168" s="42"/>
      <c r="CV168" s="42"/>
      <c r="CW168" s="30"/>
      <c r="CX168" s="42"/>
      <c r="CY168" s="42"/>
      <c r="CZ168" s="42"/>
      <c r="DA168" s="42"/>
      <c r="DB168" s="30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30"/>
      <c r="CT169" s="42"/>
      <c r="CU169" s="42"/>
      <c r="CV169" s="42"/>
      <c r="CW169" s="30"/>
      <c r="CX169" s="42"/>
      <c r="CY169" s="42"/>
      <c r="CZ169" s="42"/>
      <c r="DA169" s="42"/>
      <c r="DB169" s="30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30"/>
      <c r="CT170" s="42"/>
      <c r="CU170" s="42"/>
      <c r="CV170" s="42"/>
      <c r="CW170" s="30"/>
      <c r="CX170" s="42"/>
      <c r="CY170" s="42"/>
      <c r="CZ170" s="42"/>
      <c r="DA170" s="42"/>
      <c r="DB170" s="30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30"/>
      <c r="CT171" s="42"/>
      <c r="CU171" s="42"/>
      <c r="CV171" s="42"/>
      <c r="CW171" s="30"/>
      <c r="CX171" s="42"/>
      <c r="CY171" s="42"/>
      <c r="CZ171" s="42"/>
      <c r="DA171" s="42"/>
      <c r="DB171" s="30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30"/>
      <c r="CT172" s="42"/>
      <c r="CU172" s="42"/>
      <c r="CV172" s="42"/>
      <c r="CW172" s="30"/>
      <c r="CX172" s="42"/>
      <c r="CY172" s="42"/>
      <c r="CZ172" s="42"/>
      <c r="DA172" s="42"/>
      <c r="DB172" s="30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30"/>
      <c r="CT173" s="42"/>
      <c r="CU173" s="42"/>
      <c r="CV173" s="42"/>
      <c r="CW173" s="30"/>
      <c r="CX173" s="42"/>
      <c r="CY173" s="42"/>
      <c r="CZ173" s="42"/>
      <c r="DA173" s="42"/>
      <c r="DB173" s="30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30"/>
      <c r="CT174" s="42"/>
      <c r="CU174" s="42"/>
      <c r="CV174" s="42"/>
      <c r="CW174" s="30"/>
      <c r="CX174" s="42"/>
      <c r="CY174" s="42"/>
      <c r="CZ174" s="42"/>
      <c r="DA174" s="42"/>
      <c r="DB174" s="30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30"/>
      <c r="CT175" s="42"/>
      <c r="CU175" s="42"/>
      <c r="CV175" s="42"/>
      <c r="CW175" s="30"/>
      <c r="CX175" s="42"/>
      <c r="CY175" s="42"/>
      <c r="CZ175" s="42"/>
      <c r="DA175" s="42"/>
      <c r="DB175" s="30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30"/>
      <c r="CT176" s="42"/>
      <c r="CU176" s="42"/>
      <c r="CV176" s="42"/>
      <c r="CW176" s="30"/>
      <c r="CX176" s="42"/>
      <c r="CY176" s="42"/>
      <c r="CZ176" s="42"/>
      <c r="DA176" s="42"/>
      <c r="DB176" s="30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30"/>
      <c r="CT177" s="42"/>
      <c r="CU177" s="42"/>
      <c r="CV177" s="42"/>
      <c r="CW177" s="30"/>
      <c r="CX177" s="42"/>
      <c r="CY177" s="42"/>
      <c r="CZ177" s="42"/>
      <c r="DA177" s="42"/>
      <c r="DB177" s="30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30"/>
      <c r="CT178" s="42"/>
      <c r="CU178" s="42"/>
      <c r="CV178" s="42"/>
      <c r="CW178" s="30"/>
      <c r="CX178" s="42"/>
      <c r="CY178" s="42"/>
      <c r="CZ178" s="42"/>
      <c r="DA178" s="42"/>
      <c r="DB178" s="30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30"/>
      <c r="CT179" s="42"/>
      <c r="CU179" s="42"/>
      <c r="CV179" s="42"/>
      <c r="CW179" s="30"/>
      <c r="CX179" s="42"/>
      <c r="CY179" s="42"/>
      <c r="CZ179" s="42"/>
      <c r="DA179" s="42"/>
      <c r="DB179" s="30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30"/>
      <c r="CT180" s="42"/>
      <c r="CU180" s="42"/>
      <c r="CV180" s="42"/>
      <c r="CW180" s="30"/>
      <c r="CX180" s="42"/>
      <c r="CY180" s="42"/>
      <c r="CZ180" s="42"/>
      <c r="DA180" s="42"/>
      <c r="DB180" s="30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30"/>
      <c r="CT181" s="42"/>
      <c r="CU181" s="42"/>
      <c r="CV181" s="42"/>
      <c r="CW181" s="30"/>
      <c r="CX181" s="42"/>
      <c r="CY181" s="42"/>
      <c r="CZ181" s="42"/>
      <c r="DA181" s="42"/>
      <c r="DB181" s="30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30"/>
      <c r="CT182" s="42"/>
      <c r="CU182" s="42"/>
      <c r="CV182" s="42"/>
      <c r="CW182" s="30"/>
      <c r="CX182" s="42"/>
      <c r="CY182" s="42"/>
      <c r="CZ182" s="42"/>
      <c r="DA182" s="42"/>
      <c r="DB182" s="30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30"/>
      <c r="CT183" s="42"/>
      <c r="CU183" s="42"/>
      <c r="CV183" s="42"/>
      <c r="CW183" s="30"/>
      <c r="CX183" s="42"/>
      <c r="CY183" s="42"/>
      <c r="CZ183" s="42"/>
      <c r="DA183" s="42"/>
      <c r="DB183" s="30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30"/>
      <c r="CT184" s="42"/>
      <c r="CU184" s="42"/>
      <c r="CV184" s="42"/>
      <c r="CW184" s="30"/>
      <c r="CX184" s="42"/>
      <c r="CY184" s="42"/>
      <c r="CZ184" s="42"/>
      <c r="DA184" s="42"/>
      <c r="DB184" s="30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30"/>
      <c r="CT185" s="42"/>
      <c r="CU185" s="42"/>
      <c r="CV185" s="42"/>
      <c r="CW185" s="30"/>
      <c r="CX185" s="42"/>
      <c r="CY185" s="42"/>
      <c r="CZ185" s="42"/>
      <c r="DA185" s="42"/>
      <c r="DB185" s="30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30"/>
      <c r="CT186" s="42"/>
      <c r="CU186" s="42"/>
      <c r="CV186" s="42"/>
      <c r="CW186" s="30"/>
      <c r="CX186" s="42"/>
      <c r="CY186" s="42"/>
      <c r="CZ186" s="42"/>
      <c r="DA186" s="42"/>
      <c r="DB186" s="30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30"/>
      <c r="CT187" s="42"/>
      <c r="CU187" s="42"/>
      <c r="CV187" s="42"/>
      <c r="CW187" s="30"/>
      <c r="CX187" s="42"/>
      <c r="CY187" s="42"/>
      <c r="CZ187" s="42"/>
      <c r="DA187" s="42"/>
      <c r="DB187" s="30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30"/>
      <c r="CT188" s="42"/>
      <c r="CU188" s="42"/>
      <c r="CV188" s="42"/>
      <c r="CW188" s="30"/>
      <c r="CX188" s="42"/>
      <c r="CY188" s="42"/>
      <c r="CZ188" s="42"/>
      <c r="DA188" s="42"/>
      <c r="DB188" s="30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30"/>
      <c r="CT189" s="42"/>
      <c r="CU189" s="42"/>
      <c r="CV189" s="42"/>
      <c r="CW189" s="30"/>
      <c r="CX189" s="42"/>
      <c r="CY189" s="42"/>
      <c r="CZ189" s="42"/>
      <c r="DA189" s="42"/>
      <c r="DB189" s="30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30"/>
      <c r="CT190" s="42"/>
      <c r="CU190" s="42"/>
      <c r="CV190" s="42"/>
      <c r="CW190" s="30"/>
      <c r="CX190" s="42"/>
      <c r="CY190" s="42"/>
      <c r="CZ190" s="42"/>
      <c r="DA190" s="42"/>
      <c r="DB190" s="30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30"/>
      <c r="CT191" s="42"/>
      <c r="CU191" s="42"/>
      <c r="CV191" s="42"/>
      <c r="CW191" s="30"/>
      <c r="CX191" s="42"/>
      <c r="CY191" s="42"/>
      <c r="CZ191" s="42"/>
      <c r="DA191" s="42"/>
      <c r="DB191" s="30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30"/>
      <c r="CT192" s="42"/>
      <c r="CU192" s="42"/>
      <c r="CV192" s="42"/>
      <c r="CW192" s="30"/>
      <c r="CX192" s="42"/>
      <c r="CY192" s="42"/>
      <c r="CZ192" s="42"/>
      <c r="DA192" s="42"/>
      <c r="DB192" s="30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30"/>
      <c r="CT193" s="42"/>
      <c r="CU193" s="42"/>
      <c r="CV193" s="42"/>
      <c r="CW193" s="30"/>
      <c r="CX193" s="42"/>
      <c r="CY193" s="42"/>
      <c r="CZ193" s="42"/>
      <c r="DA193" s="42"/>
      <c r="DB193" s="30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30"/>
      <c r="CT194" s="42"/>
      <c r="CU194" s="42"/>
      <c r="CV194" s="42"/>
      <c r="CW194" s="30"/>
      <c r="CX194" s="42"/>
      <c r="CY194" s="42"/>
      <c r="CZ194" s="42"/>
      <c r="DA194" s="42"/>
      <c r="DB194" s="30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30"/>
      <c r="CT195" s="42"/>
      <c r="CU195" s="42"/>
      <c r="CV195" s="42"/>
      <c r="CW195" s="30"/>
      <c r="CX195" s="42"/>
      <c r="CY195" s="42"/>
      <c r="CZ195" s="42"/>
      <c r="DA195" s="42"/>
      <c r="DB195" s="30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30"/>
      <c r="CT196" s="42"/>
      <c r="CU196" s="42"/>
      <c r="CV196" s="42"/>
      <c r="CW196" s="30"/>
      <c r="CX196" s="42"/>
      <c r="CY196" s="42"/>
      <c r="CZ196" s="42"/>
      <c r="DA196" s="42"/>
      <c r="DB196" s="30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30"/>
      <c r="CT197" s="42"/>
      <c r="CU197" s="42"/>
      <c r="CV197" s="42"/>
      <c r="CW197" s="30"/>
      <c r="CX197" s="42"/>
      <c r="CY197" s="42"/>
      <c r="CZ197" s="42"/>
      <c r="DA197" s="42"/>
      <c r="DB197" s="30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30"/>
      <c r="CT198" s="42"/>
      <c r="CU198" s="42"/>
      <c r="CV198" s="42"/>
      <c r="CW198" s="30"/>
      <c r="CX198" s="42"/>
      <c r="CY198" s="42"/>
      <c r="CZ198" s="42"/>
      <c r="DA198" s="42"/>
      <c r="DB198" s="30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30"/>
      <c r="CT199" s="42"/>
      <c r="CU199" s="42"/>
      <c r="CV199" s="42"/>
      <c r="CW199" s="30"/>
      <c r="CX199" s="42"/>
      <c r="CY199" s="42"/>
      <c r="CZ199" s="42"/>
      <c r="DA199" s="42"/>
      <c r="DB199" s="30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30"/>
      <c r="CT200" s="42"/>
      <c r="CU200" s="42"/>
      <c r="CV200" s="42"/>
      <c r="CW200" s="30"/>
      <c r="CX200" s="42"/>
      <c r="CY200" s="42"/>
      <c r="CZ200" s="42"/>
      <c r="DA200" s="42"/>
      <c r="DB200" s="30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30"/>
      <c r="CT201" s="42"/>
      <c r="CU201" s="42"/>
      <c r="CV201" s="42"/>
      <c r="CW201" s="30"/>
      <c r="CX201" s="42"/>
      <c r="CY201" s="42"/>
      <c r="CZ201" s="42"/>
      <c r="DA201" s="42"/>
      <c r="DB201" s="30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30"/>
      <c r="CT202" s="42"/>
      <c r="CU202" s="42"/>
      <c r="CV202" s="42"/>
      <c r="CW202" s="30"/>
      <c r="CX202" s="42"/>
      <c r="CY202" s="42"/>
      <c r="CZ202" s="42"/>
      <c r="DA202" s="42"/>
      <c r="DB202" s="30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30"/>
      <c r="CT203" s="42"/>
      <c r="CU203" s="42"/>
      <c r="CV203" s="42"/>
      <c r="CW203" s="30"/>
      <c r="CX203" s="42"/>
      <c r="CY203" s="42"/>
      <c r="CZ203" s="42"/>
      <c r="DA203" s="42"/>
      <c r="DB203" s="30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30"/>
      <c r="CT204" s="42"/>
      <c r="CU204" s="42"/>
      <c r="CV204" s="42"/>
      <c r="CW204" s="30"/>
      <c r="CX204" s="42"/>
      <c r="CY204" s="42"/>
      <c r="CZ204" s="42"/>
      <c r="DA204" s="42"/>
      <c r="DB204" s="30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30"/>
      <c r="CT205" s="42"/>
      <c r="CU205" s="42"/>
      <c r="CV205" s="42"/>
      <c r="CW205" s="30"/>
      <c r="CX205" s="42"/>
      <c r="CY205" s="42"/>
      <c r="CZ205" s="42"/>
      <c r="DA205" s="42"/>
      <c r="DB205" s="30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30"/>
      <c r="CT206" s="42"/>
      <c r="CU206" s="42"/>
      <c r="CV206" s="42"/>
      <c r="CW206" s="30"/>
      <c r="CX206" s="42"/>
      <c r="CY206" s="42"/>
      <c r="CZ206" s="42"/>
      <c r="DA206" s="42"/>
      <c r="DB206" s="30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30"/>
      <c r="CT207" s="42"/>
      <c r="CU207" s="42"/>
      <c r="CV207" s="42"/>
      <c r="CW207" s="30"/>
      <c r="CX207" s="42"/>
      <c r="CY207" s="42"/>
      <c r="CZ207" s="42"/>
      <c r="DA207" s="42"/>
      <c r="DB207" s="30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30"/>
      <c r="CT208" s="42"/>
      <c r="CU208" s="42"/>
      <c r="CV208" s="42"/>
      <c r="CW208" s="30"/>
      <c r="CX208" s="42"/>
      <c r="CY208" s="42"/>
      <c r="CZ208" s="42"/>
      <c r="DA208" s="42"/>
      <c r="DB208" s="30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30"/>
      <c r="CT209" s="42"/>
      <c r="CU209" s="42"/>
      <c r="CV209" s="42"/>
      <c r="CW209" s="30"/>
      <c r="CX209" s="42"/>
      <c r="CY209" s="42"/>
      <c r="CZ209" s="42"/>
      <c r="DA209" s="42"/>
      <c r="DB209" s="30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30"/>
      <c r="CT210" s="42"/>
      <c r="CU210" s="42"/>
      <c r="CV210" s="42"/>
      <c r="CW210" s="30"/>
      <c r="CX210" s="42"/>
      <c r="CY210" s="42"/>
      <c r="CZ210" s="42"/>
      <c r="DA210" s="42"/>
      <c r="DB210" s="30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30"/>
      <c r="CT211" s="42"/>
      <c r="CU211" s="42"/>
      <c r="CV211" s="42"/>
      <c r="CW211" s="30"/>
      <c r="CX211" s="42"/>
      <c r="CY211" s="42"/>
      <c r="CZ211" s="42"/>
      <c r="DA211" s="42"/>
      <c r="DB211" s="30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</row>
  </sheetData>
  <mergeCells count="13">
    <mergeCell ref="BC1:BE1"/>
    <mergeCell ref="BG1:BM1"/>
    <mergeCell ref="BS1:BY1"/>
    <mergeCell ref="CC1:CI1"/>
    <mergeCell ref="CK1:CQ1"/>
    <mergeCell ref="C1:I1"/>
    <mergeCell ref="K1:Q1"/>
    <mergeCell ref="S1:Y1"/>
    <mergeCell ref="AA1:AG1"/>
    <mergeCell ref="AI1:AO1"/>
    <mergeCell ref="AQ1:AW1"/>
    <mergeCell ref="AY1:BB1"/>
    <mergeCell ref="AQ98:AW99"/>
  </mergeCells>
  <conditionalFormatting sqref="CR4:CS94 CW4:CX94 DB52:DB94">
    <cfRule type="cellIs" dxfId="0" priority="1" operator="greaterThanOrEqual">
      <formula>0</formula>
    </cfRule>
  </conditionalFormatting>
  <conditionalFormatting sqref="CR4:CS94 CW4:CX94 DB52:DB94">
    <cfRule type="cellIs" dxfId="1" priority="2" operator="lessThan">
      <formula>0</formula>
    </cfRule>
  </conditionalFormatting>
  <conditionalFormatting sqref="CR97 CS97:CS99 CW97:CW99 CX97 DB97:DB99 CR99 CX99">
    <cfRule type="cellIs" dxfId="2" priority="3" operator="greaterThanOrEqual">
      <formula>0</formula>
    </cfRule>
  </conditionalFormatting>
  <conditionalFormatting sqref="CR97 CS97:CS99 CW97:CW99 CX97 DB97:DB99 CR99 CX99">
    <cfRule type="cellIs" dxfId="3" priority="4" operator="lessThan">
      <formula>0</formula>
    </cfRule>
  </conditionalFormatting>
  <conditionalFormatting sqref="AQ3:AQ94">
    <cfRule type="expression" dxfId="4" priority="5">
      <formula>BG3&gt;0</formula>
    </cfRule>
  </conditionalFormatting>
  <conditionalFormatting sqref="AR3:AR94">
    <cfRule type="expression" dxfId="5" priority="6">
      <formula>BH3&gt;0</formula>
    </cfRule>
  </conditionalFormatting>
  <conditionalFormatting sqref="AS3:AS94">
    <cfRule type="expression" dxfId="6" priority="7">
      <formula>BI3&gt;0</formula>
    </cfRule>
  </conditionalFormatting>
  <conditionalFormatting sqref="AT3:AT94">
    <cfRule type="expression" dxfId="7" priority="8">
      <formula>BJ3&gt;0</formula>
    </cfRule>
  </conditionalFormatting>
  <conditionalFormatting sqref="AU3:AU94">
    <cfRule type="expression" dxfId="8" priority="9">
      <formula>BK3&gt;0</formula>
    </cfRule>
  </conditionalFormatting>
  <conditionalFormatting sqref="AV3:AV94">
    <cfRule type="expression" dxfId="9" priority="10">
      <formula>BL3&gt;0</formula>
    </cfRule>
  </conditionalFormatting>
  <conditionalFormatting sqref="AW3:AW94">
    <cfRule type="expression" dxfId="3" priority="11">
      <formula>BM3&gt;0</formula>
    </cfRule>
  </conditionalFormatting>
  <conditionalFormatting sqref="AQ96">
    <cfRule type="expression" dxfId="4" priority="12">
      <formula>AQ97&gt;0</formula>
    </cfRule>
  </conditionalFormatting>
  <conditionalFormatting sqref="AQ97">
    <cfRule type="cellIs" dxfId="4" priority="13" operator="greaterThan">
      <formula>0</formula>
    </cfRule>
  </conditionalFormatting>
  <conditionalFormatting sqref="AR96">
    <cfRule type="expression" dxfId="5" priority="14">
      <formula>AR97&gt;0</formula>
    </cfRule>
  </conditionalFormatting>
  <conditionalFormatting sqref="AS96">
    <cfRule type="expression" dxfId="6" priority="15">
      <formula>AS97&gt;0</formula>
    </cfRule>
  </conditionalFormatting>
  <conditionalFormatting sqref="AR97">
    <cfRule type="cellIs" dxfId="5" priority="16" operator="greaterThan">
      <formula>0</formula>
    </cfRule>
  </conditionalFormatting>
  <conditionalFormatting sqref="AS97">
    <cfRule type="cellIs" dxfId="10" priority="17" operator="greaterThan">
      <formula>0</formula>
    </cfRule>
  </conditionalFormatting>
  <conditionalFormatting sqref="AT96">
    <cfRule type="expression" dxfId="7" priority="18">
      <formula>AT97&gt;0</formula>
    </cfRule>
  </conditionalFormatting>
  <conditionalFormatting sqref="AT97">
    <cfRule type="cellIs" dxfId="7" priority="19" operator="greaterThan">
      <formula>0</formula>
    </cfRule>
  </conditionalFormatting>
  <conditionalFormatting sqref="AU96">
    <cfRule type="expression" dxfId="8" priority="20">
      <formula>AU97&gt;0</formula>
    </cfRule>
  </conditionalFormatting>
  <conditionalFormatting sqref="AU97">
    <cfRule type="cellIs" dxfId="8" priority="21" operator="greaterThan">
      <formula>0</formula>
    </cfRule>
  </conditionalFormatting>
  <conditionalFormatting sqref="AV96">
    <cfRule type="expression" dxfId="9" priority="22">
      <formula>AV97&gt;0</formula>
    </cfRule>
  </conditionalFormatting>
  <conditionalFormatting sqref="AV97">
    <cfRule type="cellIs" dxfId="9" priority="23" operator="greaterThan">
      <formula>0</formula>
    </cfRule>
  </conditionalFormatting>
  <conditionalFormatting sqref="AW96">
    <cfRule type="expression" dxfId="3" priority="24">
      <formula>AW97&gt;0</formula>
    </cfRule>
  </conditionalFormatting>
  <conditionalFormatting sqref="AW97">
    <cfRule type="cellIs" dxfId="3" priority="25" operator="greaterThan">
      <formula>0</formula>
    </cfRule>
  </conditionalFormatting>
  <conditionalFormatting sqref="DE4:DE94">
    <cfRule type="cellIs" dxfId="11" priority="26" operator="greaterThanOrEqual">
      <formula>0</formula>
    </cfRule>
  </conditionalFormatting>
  <conditionalFormatting sqref="DE4:DE94">
    <cfRule type="cellIs" dxfId="12" priority="27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IFERROR(__xludf.DUMMYFUNCTION("IMPORTDATA(concatenate(""https://api.tiingo.com/tiingo/daily/VOO/prices?startDate=2012-12-31&amp;resampleFreq=monthly&amp;sort=-date&amp;format=csv&amp;token="",TOKEN!B1))"),"date")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IFERROR(__xludf.DUMMYFUNCTION("""COMPUTED_VALUE"""),383.74)</f>
        <v>383.74</v>
      </c>
      <c r="C2">
        <f>IFERROR(__xludf.DUMMYFUNCTION("""COMPUTED_VALUE"""),384.455)</f>
        <v>384.455</v>
      </c>
      <c r="D2" s="88">
        <f>IFERROR(__xludf.DUMMYFUNCTION("""COMPUTED_VALUE"""),366.03)</f>
        <v>366.03</v>
      </c>
      <c r="E2" s="88">
        <f>IFERROR(__xludf.DUMMYFUNCTION("""COMPUTED_VALUE"""),366.2)</f>
        <v>366.2</v>
      </c>
      <c r="F2" s="88">
        <f>IFERROR(__xludf.DUMMYFUNCTION("""COMPUTED_VALUE"""),6.4012464E7)</f>
        <v>64012464</v>
      </c>
      <c r="G2" s="88">
        <f>IFERROR(__xludf.DUMMYFUNCTION("""COMPUTED_VALUE"""),383.74)</f>
        <v>383.74</v>
      </c>
      <c r="H2" s="88">
        <f>IFERROR(__xludf.DUMMYFUNCTION("""COMPUTED_VALUE"""),384.455)</f>
        <v>384.455</v>
      </c>
      <c r="I2" s="88">
        <f>IFERROR(__xludf.DUMMYFUNCTION("""COMPUTED_VALUE"""),366.03)</f>
        <v>366.03</v>
      </c>
      <c r="J2" s="88">
        <f>IFERROR(__xludf.DUMMYFUNCTION("""COMPUTED_VALUE"""),366.2)</f>
        <v>366.2</v>
      </c>
      <c r="K2" s="88">
        <f>IFERROR(__xludf.DUMMYFUNCTION("""COMPUTED_VALUE"""),6.4012464E7)</f>
        <v>64012464</v>
      </c>
      <c r="L2" s="88">
        <f>IFERROR(__xludf.DUMMYFUNCTION("""COMPUTED_VALUE"""),0.0)</f>
        <v>0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IFERROR(__xludf.DUMMYFUNCTION("""COMPUTED_VALUE"""),364.3)</f>
        <v>364.3</v>
      </c>
      <c r="C3">
        <f>IFERROR(__xludf.DUMMYFUNCTION("""COMPUTED_VALUE"""),366.05)</f>
        <v>366.05</v>
      </c>
      <c r="D3" s="88">
        <f>IFERROR(__xludf.DUMMYFUNCTION("""COMPUTED_VALUE"""),341.915)</f>
        <v>341.915</v>
      </c>
      <c r="E3" s="88">
        <f>IFERROR(__xludf.DUMMYFUNCTION("""COMPUTED_VALUE"""),354.55)</f>
        <v>354.55</v>
      </c>
      <c r="F3" s="88">
        <f>IFERROR(__xludf.DUMMYFUNCTION("""COMPUTED_VALUE"""),1.15909237E8)</f>
        <v>115909237</v>
      </c>
      <c r="G3" s="88">
        <f>IFERROR(__xludf.DUMMYFUNCTION("""COMPUTED_VALUE"""),364.3)</f>
        <v>364.3</v>
      </c>
      <c r="H3" s="88">
        <f>IFERROR(__xludf.DUMMYFUNCTION("""COMPUTED_VALUE"""),365.82)</f>
        <v>365.82</v>
      </c>
      <c r="I3" s="88">
        <f>IFERROR(__xludf.DUMMYFUNCTION("""COMPUTED_VALUE"""),340.733231080905)</f>
        <v>340.7332311</v>
      </c>
      <c r="J3" s="88">
        <f>IFERROR(__xludf.DUMMYFUNCTION("""COMPUTED_VALUE"""),353.324560430911)</f>
        <v>353.3245604</v>
      </c>
      <c r="K3" s="88">
        <f>IFERROR(__xludf.DUMMYFUNCTION("""COMPUTED_VALUE"""),1.15909237E8)</f>
        <v>115909237</v>
      </c>
      <c r="L3" s="88">
        <f>IFERROR(__xludf.DUMMYFUNCTION("""COMPUTED_VALUE"""),1.2625)</f>
        <v>1.2625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IFERROR(__xludf.DUMMYFUNCTION("""COMPUTED_VALUE"""),349.59)</f>
        <v>349.59</v>
      </c>
      <c r="C4">
        <f>IFERROR(__xludf.DUMMYFUNCTION("""COMPUTED_VALUE"""),362.37)</f>
        <v>362.37</v>
      </c>
      <c r="D4" s="88">
        <f>IFERROR(__xludf.DUMMYFUNCTION("""COMPUTED_VALUE"""),341.4)</f>
        <v>341.4</v>
      </c>
      <c r="E4" s="88">
        <f>IFERROR(__xludf.DUMMYFUNCTION("""COMPUTED_VALUE"""),343.63)</f>
        <v>343.63</v>
      </c>
      <c r="F4" s="88">
        <f>IFERROR(__xludf.DUMMYFUNCTION("""COMPUTED_VALUE"""),6.5076646E7)</f>
        <v>65076646</v>
      </c>
      <c r="G4" s="88">
        <f>IFERROR(__xludf.DUMMYFUNCTION("""COMPUTED_VALUE"""),348.381703796481)</f>
        <v>348.3817038</v>
      </c>
      <c r="H4" s="88">
        <f>IFERROR(__xludf.DUMMYFUNCTION("""COMPUTED_VALUE"""),361.11753197955)</f>
        <v>361.117532</v>
      </c>
      <c r="I4" s="88">
        <f>IFERROR(__xludf.DUMMYFUNCTION("""COMPUTED_VALUE"""),340.220011087613)</f>
        <v>340.2200111</v>
      </c>
      <c r="J4" s="88">
        <f>IFERROR(__xludf.DUMMYFUNCTION("""COMPUTED_VALUE"""),342.442303485754)</f>
        <v>342.4423035</v>
      </c>
      <c r="K4" s="88">
        <f>IFERROR(__xludf.DUMMYFUNCTION("""COMPUTED_VALUE"""),6.5076646E7)</f>
        <v>65076646</v>
      </c>
      <c r="L4" s="88">
        <f>IFERROR(__xludf.DUMMYFUNCTION("""COMPUTED_VALUE"""),0.0)</f>
        <v>0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IFERROR(__xludf.DUMMYFUNCTION("""COMPUTED_VALUE"""),340.18)</f>
        <v>340.18</v>
      </c>
      <c r="C5">
        <f>IFERROR(__xludf.DUMMYFUNCTION("""COMPUTED_VALUE"""),354.645)</f>
        <v>354.645</v>
      </c>
      <c r="D5" s="88">
        <f>IFERROR(__xludf.DUMMYFUNCTION("""COMPUTED_VALUE"""),335.37)</f>
        <v>335.37</v>
      </c>
      <c r="E5" s="88">
        <f>IFERROR(__xludf.DUMMYFUNCTION("""COMPUTED_VALUE"""),345.02)</f>
        <v>345.02</v>
      </c>
      <c r="F5" s="88">
        <f>IFERROR(__xludf.DUMMYFUNCTION("""COMPUTED_VALUE"""),6.7318058E7)</f>
        <v>67318058</v>
      </c>
      <c r="G5" s="88">
        <f>IFERROR(__xludf.DUMMYFUNCTION("""COMPUTED_VALUE"""),339.004227802531)</f>
        <v>339.0042278</v>
      </c>
      <c r="H5" s="88">
        <f>IFERROR(__xludf.DUMMYFUNCTION("""COMPUTED_VALUE"""),353.419232080159)</f>
        <v>353.4192321</v>
      </c>
      <c r="I5" s="88">
        <f>IFERROR(__xludf.DUMMYFUNCTION("""COMPUTED_VALUE"""),334.210852719545)</f>
        <v>334.2108527</v>
      </c>
      <c r="J5" s="88">
        <f>IFERROR(__xludf.DUMMYFUNCTION("""COMPUTED_VALUE"""),343.827499195806)</f>
        <v>343.8274992</v>
      </c>
      <c r="K5" s="88">
        <f>IFERROR(__xludf.DUMMYFUNCTION("""COMPUTED_VALUE"""),6.7318058E7)</f>
        <v>67318058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IFERROR(__xludf.DUMMYFUNCTION("""COMPUTED_VALUE"""),343.69)</f>
        <v>343.69</v>
      </c>
      <c r="C6">
        <f>IFERROR(__xludf.DUMMYFUNCTION("""COMPUTED_VALUE"""),344.37)</f>
        <v>344.37</v>
      </c>
      <c r="D6" s="88">
        <f>IFERROR(__xludf.DUMMYFUNCTION("""COMPUTED_VALUE"""),333.77)</f>
        <v>333.77</v>
      </c>
      <c r="E6" s="88">
        <f>IFERROR(__xludf.DUMMYFUNCTION("""COMPUTED_VALUE"""),335.92)</f>
        <v>335.92</v>
      </c>
      <c r="F6" s="88">
        <f>IFERROR(__xludf.DUMMYFUNCTION("""COMPUTED_VALUE"""),6.20493E7)</f>
        <v>62049300</v>
      </c>
      <c r="G6" s="88">
        <f>IFERROR(__xludf.DUMMYFUNCTION("""COMPUTED_VALUE"""),342.502096106332)</f>
        <v>342.5020961</v>
      </c>
      <c r="H6" s="88">
        <f>IFERROR(__xludf.DUMMYFUNCTION("""COMPUTED_VALUE"""),343.179745806213)</f>
        <v>343.1797458</v>
      </c>
      <c r="I6" s="88">
        <f>IFERROR(__xludf.DUMMYFUNCTION("""COMPUTED_VALUE"""),331.25921518717)</f>
        <v>331.2592152</v>
      </c>
      <c r="J6" s="88">
        <f>IFERROR(__xludf.DUMMYFUNCTION("""COMPUTED_VALUE"""),333.393041812249)</f>
        <v>333.3930418</v>
      </c>
      <c r="K6" s="88">
        <f>IFERROR(__xludf.DUMMYFUNCTION("""COMPUTED_VALUE"""),6.20493E7)</f>
        <v>62049300</v>
      </c>
      <c r="L6" s="88">
        <f>IFERROR(__xludf.DUMMYFUNCTION("""COMPUTED_VALUE"""),1.3829)</f>
        <v>1.3829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IFERROR(__xludf.DUMMYFUNCTION("""COMPUTED_VALUE"""),332.64)</f>
        <v>332.64</v>
      </c>
      <c r="C7">
        <f>IFERROR(__xludf.DUMMYFUNCTION("""COMPUTED_VALUE"""),335.2)</f>
        <v>335.2</v>
      </c>
      <c r="D7" s="88">
        <f>IFERROR(__xludf.DUMMYFUNCTION("""COMPUTED_VALUE"""),300.63)</f>
        <v>300.63</v>
      </c>
      <c r="E7" s="88">
        <f>IFERROR(__xludf.DUMMYFUNCTION("""COMPUTED_VALUE"""),303.37)</f>
        <v>303.37</v>
      </c>
      <c r="F7" s="88">
        <f>IFERROR(__xludf.DUMMYFUNCTION("""COMPUTED_VALUE"""),6.7765492E7)</f>
        <v>67765492</v>
      </c>
      <c r="G7" s="88">
        <f>IFERROR(__xludf.DUMMYFUNCTION("""COMPUTED_VALUE"""),330.137715612129)</f>
        <v>330.1377156</v>
      </c>
      <c r="H7" s="88">
        <f>IFERROR(__xludf.DUMMYFUNCTION("""COMPUTED_VALUE"""),332.678458012223)</f>
        <v>332.678458</v>
      </c>
      <c r="I7" s="88">
        <f>IFERROR(__xludf.DUMMYFUNCTION("""COMPUTED_VALUE"""),298.368510835962)</f>
        <v>298.3685108</v>
      </c>
      <c r="J7" s="88">
        <f>IFERROR(__xludf.DUMMYFUNCTION("""COMPUTED_VALUE"""),301.087899186062)</f>
        <v>301.0878992</v>
      </c>
      <c r="K7" s="88">
        <f>IFERROR(__xludf.DUMMYFUNCTION("""COMPUTED_VALUE"""),6.7765492E7)</f>
        <v>67765492</v>
      </c>
      <c r="L7" s="88">
        <f>IFERROR(__xludf.DUMMYFUNCTION("""COMPUTED_VALUE"""),0.0)</f>
        <v>0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IFERROR(__xludf.DUMMYFUNCTION("""COMPUTED_VALUE"""),299.82)</f>
        <v>299.82</v>
      </c>
      <c r="C8">
        <f>IFERROR(__xludf.DUMMYFUNCTION("""COMPUTED_VALUE"""),325.222)</f>
        <v>325.222</v>
      </c>
      <c r="D8" s="88">
        <f>IFERROR(__xludf.DUMMYFUNCTION("""COMPUTED_VALUE"""),296.37)</f>
        <v>296.37</v>
      </c>
      <c r="E8" s="88">
        <f>IFERROR(__xludf.DUMMYFUNCTION("""COMPUTED_VALUE"""),310.16)</f>
        <v>310.16</v>
      </c>
      <c r="F8" s="88">
        <f>IFERROR(__xludf.DUMMYFUNCTION("""COMPUTED_VALUE"""),6.2743173E7)</f>
        <v>62743173</v>
      </c>
      <c r="G8" s="88">
        <f>IFERROR(__xludf.DUMMYFUNCTION("""COMPUTED_VALUE"""),297.564604060932)</f>
        <v>297.5646041</v>
      </c>
      <c r="H8" s="88">
        <f>IFERROR(__xludf.DUMMYFUNCTION("""COMPUTED_VALUE"""),322.775517516859)</f>
        <v>322.7755175</v>
      </c>
      <c r="I8" s="88">
        <f>IFERROR(__xludf.DUMMYFUNCTION("""COMPUTED_VALUE"""),294.140556685807)</f>
        <v>294.1405567</v>
      </c>
      <c r="J8" s="88">
        <f>IFERROR(__xludf.DUMMYFUNCTION("""COMPUTED_VALUE"""),307.82682141131)</f>
        <v>307.8268214</v>
      </c>
      <c r="K8" s="88">
        <f>IFERROR(__xludf.DUMMYFUNCTION("""COMPUTED_VALUE"""),6.2743173E7)</f>
        <v>62743173</v>
      </c>
      <c r="L8" s="88">
        <f>IFERROR(__xludf.DUMMYFUNCTION("""COMPUTED_VALUE"""),0.0)</f>
        <v>0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IFERROR(__xludf.DUMMYFUNCTION("""COMPUTED_VALUE"""),307.65)</f>
        <v>307.65</v>
      </c>
      <c r="C9">
        <f>IFERROR(__xludf.DUMMYFUNCTION("""COMPUTED_VALUE"""),329.67)</f>
        <v>329.67</v>
      </c>
      <c r="D9" s="88">
        <f>IFERROR(__xludf.DUMMYFUNCTION("""COMPUTED_VALUE"""),295.04)</f>
        <v>295.04</v>
      </c>
      <c r="E9" s="88">
        <f>IFERROR(__xludf.DUMMYFUNCTION("""COMPUTED_VALUE"""),321.81)</f>
        <v>321.81</v>
      </c>
      <c r="F9" s="88">
        <f>IFERROR(__xludf.DUMMYFUNCTION("""COMPUTED_VALUE"""),7.4318208E7)</f>
        <v>74318208</v>
      </c>
      <c r="G9" s="88">
        <f>IFERROR(__xludf.DUMMYFUNCTION("""COMPUTED_VALUE"""),305.335702886218)</f>
        <v>305.3357029</v>
      </c>
      <c r="H9" s="88">
        <f>IFERROR(__xludf.DUMMYFUNCTION("""COMPUTED_VALUE"""),325.793722403399)</f>
        <v>325.7937224</v>
      </c>
      <c r="I9" s="88">
        <f>IFERROR(__xludf.DUMMYFUNCTION("""COMPUTED_VALUE"""),291.57090380653)</f>
        <v>291.5709038</v>
      </c>
      <c r="J9" s="88">
        <f>IFERROR(__xludf.DUMMYFUNCTION("""COMPUTED_VALUE"""),318.026140706275)</f>
        <v>318.0261407</v>
      </c>
      <c r="K9" s="88">
        <f>IFERROR(__xludf.DUMMYFUNCTION("""COMPUTED_VALUE"""),7.4318208E7)</f>
        <v>74318208</v>
      </c>
      <c r="L9" s="88">
        <f>IFERROR(__xludf.DUMMYFUNCTION("""COMPUTED_VALUE"""),1.3085)</f>
        <v>1.3085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IFERROR(__xludf.DUMMYFUNCTION("""COMPUTED_VALUE"""),321.02)</f>
        <v>321.02</v>
      </c>
      <c r="C10">
        <f>IFERROR(__xludf.DUMMYFUNCTION("""COMPUTED_VALUE"""),322.83)</f>
        <v>322.83</v>
      </c>
      <c r="D10" s="88">
        <f>IFERROR(__xludf.DUMMYFUNCTION("""COMPUTED_VALUE"""),301.13)</f>
        <v>301.13</v>
      </c>
      <c r="E10" s="88">
        <f>IFERROR(__xludf.DUMMYFUNCTION("""COMPUTED_VALUE"""),301.65)</f>
        <v>301.65</v>
      </c>
      <c r="F10" s="88">
        <f>IFERROR(__xludf.DUMMYFUNCTION("""COMPUTED_VALUE"""),6.1288229E7)</f>
        <v>61288229</v>
      </c>
      <c r="G10" s="88">
        <f>IFERROR(__xludf.DUMMYFUNCTION("""COMPUTED_VALUE"""),317.245429568778)</f>
        <v>317.2454296</v>
      </c>
      <c r="H10" s="88">
        <f>IFERROR(__xludf.DUMMYFUNCTION("""COMPUTED_VALUE"""),319.034147491398)</f>
        <v>319.0341475</v>
      </c>
      <c r="I10" s="88">
        <f>IFERROR(__xludf.DUMMYFUNCTION("""COMPUTED_VALUE"""),297.589297258882)</f>
        <v>297.5892973</v>
      </c>
      <c r="J10" s="88">
        <f>IFERROR(__xludf.DUMMYFUNCTION("""COMPUTED_VALUE"""),298.103183070905)</f>
        <v>298.1031831</v>
      </c>
      <c r="K10" s="88">
        <f>IFERROR(__xludf.DUMMYFUNCTION("""COMPUTED_VALUE"""),6.1288229E7)</f>
        <v>61288229</v>
      </c>
      <c r="L10" s="88">
        <f>IFERROR(__xludf.DUMMYFUNCTION("""COMPUTED_VALUE"""),0.0)</f>
        <v>0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IFERROR(__xludf.DUMMYFUNCTION("""COMPUTED_VALUE"""),300.1)</f>
        <v>300.1</v>
      </c>
      <c r="C11">
        <f>IFERROR(__xludf.DUMMYFUNCTION("""COMPUTED_VALUE"""),300.62)</f>
        <v>300.62</v>
      </c>
      <c r="D11" s="88">
        <f>IFERROR(__xludf.DUMMYFUNCTION("""COMPUTED_VALUE"""),283.95)</f>
        <v>283.95</v>
      </c>
      <c r="E11" s="88">
        <f>IFERROR(__xludf.DUMMYFUNCTION("""COMPUTED_VALUE"""),284.37)</f>
        <v>284.37</v>
      </c>
      <c r="F11" s="88">
        <f>IFERROR(__xludf.DUMMYFUNCTION("""COMPUTED_VALUE"""),7.4664917E7)</f>
        <v>74664917</v>
      </c>
      <c r="G11" s="88">
        <f>IFERROR(__xludf.DUMMYFUNCTION("""COMPUTED_VALUE"""),296.571408054297)</f>
        <v>296.5714081</v>
      </c>
      <c r="H11" s="88">
        <f>IFERROR(__xludf.DUMMYFUNCTION("""COMPUTED_VALUE"""),297.08529386632)</f>
        <v>297.0852939</v>
      </c>
      <c r="I11" s="88">
        <f>IFERROR(__xludf.DUMMYFUNCTION("""COMPUTED_VALUE"""),280.611300623184)</f>
        <v>280.6113006</v>
      </c>
      <c r="J11" s="88">
        <f>IFERROR(__xludf.DUMMYFUNCTION("""COMPUTED_VALUE"""),281.026362240588)</f>
        <v>281.0263622</v>
      </c>
      <c r="K11" s="88">
        <f>IFERROR(__xludf.DUMMYFUNCTION("""COMPUTED_VALUE"""),7.4664917E7)</f>
        <v>74664917</v>
      </c>
      <c r="L11" s="88">
        <f>IFERROR(__xludf.DUMMYFUNCTION("""COMPUTED_VALUE"""),0.0)</f>
        <v>0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IFERROR(__xludf.DUMMYFUNCTION("""COMPUTED_VALUE"""),283.43)</f>
        <v>283.43</v>
      </c>
      <c r="C12">
        <f>IFERROR(__xludf.DUMMYFUNCTION("""COMPUTED_VALUE"""),297.32)</f>
        <v>297.32</v>
      </c>
      <c r="D12" s="88">
        <f>IFERROR(__xludf.DUMMYFUNCTION("""COMPUTED_VALUE"""),272.77)</f>
        <v>272.77</v>
      </c>
      <c r="E12" s="88">
        <f>IFERROR(__xludf.DUMMYFUNCTION("""COMPUTED_VALUE"""),279.07)</f>
        <v>279.07</v>
      </c>
      <c r="F12" s="88">
        <f>IFERROR(__xludf.DUMMYFUNCTION("""COMPUTED_VALUE"""),9.8428161E7)</f>
        <v>98428161</v>
      </c>
      <c r="G12" s="88">
        <f>IFERROR(__xludf.DUMMYFUNCTION("""COMPUTED_VALUE"""),280.097414811161)</f>
        <v>280.0974148</v>
      </c>
      <c r="H12" s="88">
        <f>IFERROR(__xludf.DUMMYFUNCTION("""COMPUTED_VALUE"""),292.326094047374)</f>
        <v>292.326094</v>
      </c>
      <c r="I12" s="88">
        <f>IFERROR(__xludf.DUMMYFUNCTION("""COMPUTED_VALUE"""),268.188445692527)</f>
        <v>268.1884457</v>
      </c>
      <c r="J12" s="88">
        <f>IFERROR(__xludf.DUMMYFUNCTION("""COMPUTED_VALUE"""),274.382628366073)</f>
        <v>274.3826284</v>
      </c>
      <c r="K12" s="88">
        <f>IFERROR(__xludf.DUMMYFUNCTION("""COMPUTED_VALUE"""),9.8428161E7)</f>
        <v>98428161</v>
      </c>
      <c r="L12" s="88">
        <f>IFERROR(__xludf.DUMMYFUNCTION("""COMPUTED_VALUE"""),1.4333)</f>
        <v>1.4333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IFERROR(__xludf.DUMMYFUNCTION("""COMPUTED_VALUE"""),279.75)</f>
        <v>279.75</v>
      </c>
      <c r="C13">
        <f>IFERROR(__xludf.DUMMYFUNCTION("""COMPUTED_VALUE"""),282.04)</f>
        <v>282.04</v>
      </c>
      <c r="D13" s="88">
        <f>IFERROR(__xludf.DUMMYFUNCTION("""COMPUTED_VALUE"""),253.97)</f>
        <v>253.97</v>
      </c>
      <c r="E13" s="88">
        <f>IFERROR(__xludf.DUMMYFUNCTION("""COMPUTED_VALUE"""),262.14)</f>
        <v>262.14</v>
      </c>
      <c r="F13" s="88">
        <f>IFERROR(__xludf.DUMMYFUNCTION("""COMPUTED_VALUE"""),9.240367E7)</f>
        <v>92403670</v>
      </c>
      <c r="G13" s="88">
        <f>IFERROR(__xludf.DUMMYFUNCTION("""COMPUTED_VALUE"""),275.051206813376)</f>
        <v>275.0512068</v>
      </c>
      <c r="H13" s="88">
        <f>IFERROR(__xludf.DUMMYFUNCTION("""COMPUTED_VALUE"""),277.30274305503)</f>
        <v>277.3027431</v>
      </c>
      <c r="I13" s="88">
        <f>IFERROR(__xludf.DUMMYFUNCTION("""COMPUTED_VALUE"""),249.704218031789)</f>
        <v>249.704218</v>
      </c>
      <c r="J13" s="88">
        <f>IFERROR(__xludf.DUMMYFUNCTION("""COMPUTED_VALUE"""),257.736991435419)</f>
        <v>257.7369914</v>
      </c>
      <c r="K13" s="88">
        <f>IFERROR(__xludf.DUMMYFUNCTION("""COMPUTED_VALUE"""),9.240367E7)</f>
        <v>92403670</v>
      </c>
      <c r="L13" s="88">
        <f>IFERROR(__xludf.DUMMYFUNCTION("""COMPUTED_VALUE"""),0.0)</f>
        <v>0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IFERROR(__xludf.DUMMYFUNCTION("""COMPUTED_VALUE"""),267.1)</f>
        <v>267.1</v>
      </c>
      <c r="C14">
        <f>IFERROR(__xludf.DUMMYFUNCTION("""COMPUTED_VALUE"""),271.0)</f>
        <v>271</v>
      </c>
      <c r="D14" s="88">
        <f>IFERROR(__xludf.DUMMYFUNCTION("""COMPUTED_VALUE"""),224.13)</f>
        <v>224.13</v>
      </c>
      <c r="E14" s="88">
        <f>IFERROR(__xludf.DUMMYFUNCTION("""COMPUTED_VALUE"""),227.92)</f>
        <v>227.92</v>
      </c>
      <c r="F14" s="88">
        <f>IFERROR(__xludf.DUMMYFUNCTION("""COMPUTED_VALUE"""),1.48503528E8)</f>
        <v>148503528</v>
      </c>
      <c r="G14" s="88">
        <f>IFERROR(__xludf.DUMMYFUNCTION("""COMPUTED_VALUE"""),262.613681286337)</f>
        <v>262.6136813</v>
      </c>
      <c r="H14" s="88">
        <f>IFERROR(__xludf.DUMMYFUNCTION("""COMPUTED_VALUE"""),266.448175322341)</f>
        <v>266.4481753</v>
      </c>
      <c r="I14" s="88">
        <f>IFERROR(__xludf.DUMMYFUNCTION("""COMPUTED_VALUE"""),220.365422638363)</f>
        <v>220.3654226</v>
      </c>
      <c r="J14" s="88">
        <f>IFERROR(__xludf.DUMMYFUNCTION("""COMPUTED_VALUE"""),224.09176427848)</f>
        <v>224.0917643</v>
      </c>
      <c r="K14" s="88">
        <f>IFERROR(__xludf.DUMMYFUNCTION("""COMPUTED_VALUE"""),1.48503528E8)</f>
        <v>148503528</v>
      </c>
      <c r="L14" s="88">
        <f>IFERROR(__xludf.DUMMYFUNCTION("""COMPUTED_VALUE"""),0.0)</f>
        <v>0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IFERROR(__xludf.DUMMYFUNCTION("""COMPUTED_VALUE"""),236.82)</f>
        <v>236.82</v>
      </c>
      <c r="C15">
        <f>IFERROR(__xludf.DUMMYFUNCTION("""COMPUTED_VALUE"""),288.32)</f>
        <v>288.32</v>
      </c>
      <c r="D15" s="88">
        <f>IFERROR(__xludf.DUMMYFUNCTION("""COMPUTED_VALUE"""),200.55)</f>
        <v>200.55</v>
      </c>
      <c r="E15" s="88">
        <f>IFERROR(__xludf.DUMMYFUNCTION("""COMPUTED_VALUE"""),274.0)</f>
        <v>274</v>
      </c>
      <c r="F15" s="88">
        <f>IFERROR(__xludf.DUMMYFUNCTION("""COMPUTED_VALUE"""),2.80853662E8)</f>
        <v>280853662</v>
      </c>
      <c r="G15" s="88">
        <f>IFERROR(__xludf.DUMMYFUNCTION("""COMPUTED_VALUE"""),232.842276309361)</f>
        <v>232.8422763</v>
      </c>
      <c r="H15" s="88">
        <f>IFERROR(__xludf.DUMMYFUNCTION("""COMPUTED_VALUE"""),282.217067933742)</f>
        <v>282.2170679</v>
      </c>
      <c r="I15" s="88">
        <f>IFERROR(__xludf.DUMMYFUNCTION("""COMPUTED_VALUE"""),197.181481774522)</f>
        <v>197.1814818</v>
      </c>
      <c r="J15" s="88">
        <f>IFERROR(__xludf.DUMMYFUNCTION("""COMPUTED_VALUE"""),268.200182484203)</f>
        <v>268.2001825</v>
      </c>
      <c r="K15" s="88">
        <f>IFERROR(__xludf.DUMMYFUNCTION("""COMPUTED_VALUE"""),2.80853662E8)</f>
        <v>280853662</v>
      </c>
      <c r="L15" s="88">
        <f>IFERROR(__xludf.DUMMYFUNCTION("""COMPUTED_VALUE"""),1.178)</f>
        <v>1.178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IFERROR(__xludf.DUMMYFUNCTION("""COMPUTED_VALUE"""),271.74)</f>
        <v>271.74</v>
      </c>
      <c r="C16">
        <f>IFERROR(__xludf.DUMMYFUNCTION("""COMPUTED_VALUE"""),311.59)</f>
        <v>311.59</v>
      </c>
      <c r="D16" s="88">
        <f>IFERROR(__xludf.DUMMYFUNCTION("""COMPUTED_VALUE"""),262.25)</f>
        <v>262.25</v>
      </c>
      <c r="E16" s="88">
        <f>IFERROR(__xludf.DUMMYFUNCTION("""COMPUTED_VALUE"""),297.12)</f>
        <v>297.12</v>
      </c>
      <c r="F16" s="88">
        <f>IFERROR(__xludf.DUMMYFUNCTION("""COMPUTED_VALUE"""),9.9491729E7)</f>
        <v>99491729</v>
      </c>
      <c r="G16" s="88">
        <f>IFERROR(__xludf.DUMMYFUNCTION("""COMPUTED_VALUE"""),265.988020395099)</f>
        <v>265.9880204</v>
      </c>
      <c r="H16" s="88">
        <f>IFERROR(__xludf.DUMMYFUNCTION("""COMPUTED_VALUE"""),304.994506789243)</f>
        <v>304.9945068</v>
      </c>
      <c r="I16" s="88">
        <f>IFERROR(__xludf.DUMMYFUNCTION("""COMPUTED_VALUE"""),256.698897286431)</f>
        <v>256.6988973</v>
      </c>
      <c r="J16" s="88">
        <f>IFERROR(__xludf.DUMMYFUNCTION("""COMPUTED_VALUE"""),290.830796422286)</f>
        <v>290.8307964</v>
      </c>
      <c r="K16" s="88">
        <f>IFERROR(__xludf.DUMMYFUNCTION("""COMPUTED_VALUE"""),9.9491729E7)</f>
        <v>99491729</v>
      </c>
      <c r="L16" s="88">
        <f>IFERROR(__xludf.DUMMYFUNCTION("""COMPUTED_VALUE"""),0.0)</f>
        <v>0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IFERROR(__xludf.DUMMYFUNCTION("""COMPUTED_VALUE"""),295.69)</f>
        <v>295.69</v>
      </c>
      <c r="C17">
        <f>IFERROR(__xludf.DUMMYFUNCTION("""COMPUTED_VALUE"""),305.92)</f>
        <v>305.92</v>
      </c>
      <c r="D17" s="88">
        <f>IFERROR(__xludf.DUMMYFUNCTION("""COMPUTED_VALUE"""),294.35)</f>
        <v>294.35</v>
      </c>
      <c r="E17" s="88">
        <f>IFERROR(__xludf.DUMMYFUNCTION("""COMPUTED_VALUE"""),297.29)</f>
        <v>297.29</v>
      </c>
      <c r="F17" s="88">
        <f>IFERROR(__xludf.DUMMYFUNCTION("""COMPUTED_VALUE"""),6.6578377E7)</f>
        <v>66578377</v>
      </c>
      <c r="G17" s="88">
        <f>IFERROR(__xludf.DUMMYFUNCTION("""COMPUTED_VALUE"""),289.431065542897)</f>
        <v>289.4310655</v>
      </c>
      <c r="H17" s="88">
        <f>IFERROR(__xludf.DUMMYFUNCTION("""COMPUTED_VALUE"""),299.444524910829)</f>
        <v>299.4445249</v>
      </c>
      <c r="I17" s="88">
        <f>IFERROR(__xludf.DUMMYFUNCTION("""COMPUTED_VALUE"""),288.11942961396)</f>
        <v>288.1194296</v>
      </c>
      <c r="J17" s="88">
        <f>IFERROR(__xludf.DUMMYFUNCTION("""COMPUTED_VALUE"""),290.99719799536)</f>
        <v>290.997198</v>
      </c>
      <c r="K17" s="88">
        <f>IFERROR(__xludf.DUMMYFUNCTION("""COMPUTED_VALUE"""),6.6578377E7)</f>
        <v>66578377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IFERROR(__xludf.DUMMYFUNCTION("""COMPUTED_VALUE"""),295.8)</f>
        <v>295.8</v>
      </c>
      <c r="C18">
        <f>IFERROR(__xludf.DUMMYFUNCTION("""COMPUTED_VALUE"""),297.51)</f>
        <v>297.51</v>
      </c>
      <c r="D18" s="88">
        <f>IFERROR(__xludf.DUMMYFUNCTION("""COMPUTED_VALUE"""),282.1)</f>
        <v>282.1</v>
      </c>
      <c r="E18" s="88">
        <f>IFERROR(__xludf.DUMMYFUNCTION("""COMPUTED_VALUE"""),289.03)</f>
        <v>289.03</v>
      </c>
      <c r="F18" s="88">
        <f>IFERROR(__xludf.DUMMYFUNCTION("""COMPUTED_VALUE"""),5.6493484E7)</f>
        <v>56493484</v>
      </c>
      <c r="G18" s="88">
        <f>IFERROR(__xludf.DUMMYFUNCTION("""COMPUTED_VALUE"""),289.538737149004)</f>
        <v>289.5387371</v>
      </c>
      <c r="H18" s="88">
        <f>IFERROR(__xludf.DUMMYFUNCTION("""COMPUTED_VALUE"""),291.212541207573)</f>
        <v>291.2125412</v>
      </c>
      <c r="I18" s="88">
        <f>IFERROR(__xludf.DUMMYFUNCTION("""COMPUTED_VALUE"""),274.798307974329)</f>
        <v>274.798308</v>
      </c>
      <c r="J18" s="88">
        <f>IFERROR(__xludf.DUMMYFUNCTION("""COMPUTED_VALUE"""),281.548936383624)</f>
        <v>281.5489364</v>
      </c>
      <c r="K18" s="88">
        <f>IFERROR(__xludf.DUMMYFUNCTION("""COMPUTED_VALUE"""),5.6493484E7)</f>
        <v>56493484</v>
      </c>
      <c r="L18" s="88">
        <f>IFERROR(__xludf.DUMMYFUNCTION("""COMPUTED_VALUE"""),1.429)</f>
        <v>1.429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IFERROR(__xludf.DUMMYFUNCTION("""COMPUTED_VALUE"""),288.65)</f>
        <v>288.65</v>
      </c>
      <c r="C19">
        <f>IFERROR(__xludf.DUMMYFUNCTION("""COMPUTED_VALUE"""),289.78)</f>
        <v>289.78</v>
      </c>
      <c r="D19" s="88">
        <f>IFERROR(__xludf.DUMMYFUNCTION("""COMPUTED_VALUE"""),279.91)</f>
        <v>279.91</v>
      </c>
      <c r="E19" s="88">
        <f>IFERROR(__xludf.DUMMYFUNCTION("""COMPUTED_VALUE"""),280.05)</f>
        <v>280.05</v>
      </c>
      <c r="F19" s="88">
        <f>IFERROR(__xludf.DUMMYFUNCTION("""COMPUTED_VALUE"""),4.3805096E7)</f>
        <v>43805096</v>
      </c>
      <c r="G19" s="88">
        <f>IFERROR(__xludf.DUMMYFUNCTION("""COMPUTED_VALUE"""),281.178772055264)</f>
        <v>281.1787721</v>
      </c>
      <c r="H19" s="88">
        <f>IFERROR(__xludf.DUMMYFUNCTION("""COMPUTED_VALUE"""),282.279523873807)</f>
        <v>282.2795239</v>
      </c>
      <c r="I19" s="88">
        <f>IFERROR(__xludf.DUMMYFUNCTION("""COMPUTED_VALUE"""),272.664992502993)</f>
        <v>272.6649925</v>
      </c>
      <c r="J19" s="88">
        <f>IFERROR(__xludf.DUMMYFUNCTION("""COMPUTED_VALUE"""),272.801368834494)</f>
        <v>272.8013688</v>
      </c>
      <c r="K19" s="88">
        <f>IFERROR(__xludf.DUMMYFUNCTION("""COMPUTED_VALUE"""),4.3805096E7)</f>
        <v>43805096</v>
      </c>
      <c r="L19" s="88">
        <f>IFERROR(__xludf.DUMMYFUNCTION("""COMPUTED_VALUE"""),0.0)</f>
        <v>0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IFERROR(__xludf.DUMMYFUNCTION("""COMPUTED_VALUE"""),278.55)</f>
        <v>278.55</v>
      </c>
      <c r="C20">
        <f>IFERROR(__xludf.DUMMYFUNCTION("""COMPUTED_VALUE"""),279.69)</f>
        <v>279.69</v>
      </c>
      <c r="D20" s="88">
        <f>IFERROR(__xludf.DUMMYFUNCTION("""COMPUTED_VALUE"""),261.59)</f>
        <v>261.59</v>
      </c>
      <c r="E20" s="88">
        <f>IFERROR(__xludf.DUMMYFUNCTION("""COMPUTED_VALUE"""),273.44)</f>
        <v>273.44</v>
      </c>
      <c r="F20" s="88">
        <f>IFERROR(__xludf.DUMMYFUNCTION("""COMPUTED_VALUE"""),5.2914243E7)</f>
        <v>52914243</v>
      </c>
      <c r="G20" s="88">
        <f>IFERROR(__xludf.DUMMYFUNCTION("""COMPUTED_VALUE"""),271.340193854127)</f>
        <v>271.3401939</v>
      </c>
      <c r="H20" s="88">
        <f>IFERROR(__xludf.DUMMYFUNCTION("""COMPUTED_VALUE"""),272.450686839206)</f>
        <v>272.4506868</v>
      </c>
      <c r="I20" s="88">
        <f>IFERROR(__xludf.DUMMYFUNCTION("""COMPUTED_VALUE"""),254.819175409446)</f>
        <v>254.8191754</v>
      </c>
      <c r="J20" s="88">
        <f>IFERROR(__xludf.DUMMYFUNCTION("""COMPUTED_VALUE"""),266.362457754344)</f>
        <v>266.3624578</v>
      </c>
      <c r="K20" s="88">
        <f>IFERROR(__xludf.DUMMYFUNCTION("""COMPUTED_VALUE"""),5.2914243E7)</f>
        <v>52914243</v>
      </c>
      <c r="L20" s="88">
        <f>IFERROR(__xludf.DUMMYFUNCTION("""COMPUTED_VALUE"""),0.0)</f>
        <v>0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IFERROR(__xludf.DUMMYFUNCTION("""COMPUTED_VALUE"""),272.6)</f>
        <v>272.6</v>
      </c>
      <c r="C21">
        <f>IFERROR(__xludf.DUMMYFUNCTION("""COMPUTED_VALUE"""),277.98)</f>
        <v>277.98</v>
      </c>
      <c r="D21" s="88">
        <f>IFERROR(__xludf.DUMMYFUNCTION("""COMPUTED_VALUE"""),265.68)</f>
        <v>265.68</v>
      </c>
      <c r="E21" s="88">
        <f>IFERROR(__xludf.DUMMYFUNCTION("""COMPUTED_VALUE"""),266.83)</f>
        <v>266.83</v>
      </c>
      <c r="F21" s="88">
        <f>IFERROR(__xludf.DUMMYFUNCTION("""COMPUTED_VALUE"""),4.5908331E7)</f>
        <v>45908331</v>
      </c>
      <c r="G21" s="88">
        <f>IFERROR(__xludf.DUMMYFUNCTION("""COMPUTED_VALUE"""),265.544199765339)</f>
        <v>265.5441998</v>
      </c>
      <c r="H21" s="88">
        <f>IFERROR(__xludf.DUMMYFUNCTION("""COMPUTED_VALUE"""),269.499246567997)</f>
        <v>269.4992466</v>
      </c>
      <c r="I21" s="88">
        <f>IFERROR(__xludf.DUMMYFUNCTION("""COMPUTED_VALUE"""),257.574501144634)</f>
        <v>257.5745011</v>
      </c>
      <c r="J21" s="88">
        <f>IFERROR(__xludf.DUMMYFUNCTION("""COMPUTED_VALUE"""),258.689416367144)</f>
        <v>258.6894164</v>
      </c>
      <c r="K21" s="88">
        <f>IFERROR(__xludf.DUMMYFUNCTION("""COMPUTED_VALUE"""),4.5908331E7)</f>
        <v>45908331</v>
      </c>
      <c r="L21" s="88">
        <f>IFERROR(__xludf.DUMMYFUNCTION("""COMPUTED_VALUE"""),1.3014)</f>
        <v>1.3014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IFERROR(__xludf.DUMMYFUNCTION("""COMPUTED_VALUE"""),268.6)</f>
        <v>268.6</v>
      </c>
      <c r="C22">
        <f>IFERROR(__xludf.DUMMYFUNCTION("""COMPUTED_VALUE"""),276.28)</f>
        <v>276.28</v>
      </c>
      <c r="D22" s="88">
        <f>IFERROR(__xludf.DUMMYFUNCTION("""COMPUTED_VALUE"""),258.7)</f>
        <v>258.7</v>
      </c>
      <c r="E22" s="88">
        <f>IFERROR(__xludf.DUMMYFUNCTION("""COMPUTED_VALUE"""),273.28)</f>
        <v>273.28</v>
      </c>
      <c r="F22" s="88">
        <f>IFERROR(__xludf.DUMMYFUNCTION("""COMPUTED_VALUE"""),7.6712465E7)</f>
        <v>76712465</v>
      </c>
      <c r="G22" s="88">
        <f>IFERROR(__xludf.DUMMYFUNCTION("""COMPUTED_VALUE"""),260.405416318311)</f>
        <v>260.4054163</v>
      </c>
      <c r="H22" s="88">
        <f>IFERROR(__xludf.DUMMYFUNCTION("""COMPUTED_VALUE"""),267.851111021679)</f>
        <v>267.851111</v>
      </c>
      <c r="I22" s="88">
        <f>IFERROR(__xludf.DUMMYFUNCTION("""COMPUTED_VALUE"""),250.807450489751)</f>
        <v>250.8074505</v>
      </c>
      <c r="J22" s="88">
        <f>IFERROR(__xludf.DUMMYFUNCTION("""COMPUTED_VALUE"""),264.942636528176)</f>
        <v>264.9426365</v>
      </c>
      <c r="K22" s="88">
        <f>IFERROR(__xludf.DUMMYFUNCTION("""COMPUTED_VALUE"""),7.6712465E7)</f>
        <v>76712465</v>
      </c>
      <c r="L22" s="88">
        <f>IFERROR(__xludf.DUMMYFUNCTION("""COMPUTED_VALUE"""),0.0)</f>
        <v>0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IFERROR(__xludf.DUMMYFUNCTION("""COMPUTED_VALUE"""),273.08)</f>
        <v>273.08</v>
      </c>
      <c r="C23">
        <f>IFERROR(__xludf.DUMMYFUNCTION("""COMPUTED_VALUE"""),277.55)</f>
        <v>277.55</v>
      </c>
      <c r="D23" s="88">
        <f>IFERROR(__xludf.DUMMYFUNCTION("""COMPUTED_VALUE"""),270.3)</f>
        <v>270.3</v>
      </c>
      <c r="E23" s="88">
        <f>IFERROR(__xludf.DUMMYFUNCTION("""COMPUTED_VALUE"""),272.46)</f>
        <v>272.46</v>
      </c>
      <c r="F23" s="88">
        <f>IFERROR(__xludf.DUMMYFUNCTION("""COMPUTED_VALUE"""),5.5504714E7)</f>
        <v>55504714</v>
      </c>
      <c r="G23" s="88">
        <f>IFERROR(__xludf.DUMMYFUNCTION("""COMPUTED_VALUE"""),264.748738228609)</f>
        <v>264.7487382</v>
      </c>
      <c r="H23" s="88">
        <f>IFERROR(__xludf.DUMMYFUNCTION("""COMPUTED_VALUE"""),269.082365223928)</f>
        <v>269.0823652</v>
      </c>
      <c r="I23" s="88">
        <f>IFERROR(__xludf.DUMMYFUNCTION("""COMPUTED_VALUE"""),262.053551864629)</f>
        <v>262.0535519</v>
      </c>
      <c r="J23" s="88">
        <f>IFERROR(__xludf.DUMMYFUNCTION("""COMPUTED_VALUE"""),264.147653499951)</f>
        <v>264.1476535</v>
      </c>
      <c r="K23" s="88">
        <f>IFERROR(__xludf.DUMMYFUNCTION("""COMPUTED_VALUE"""),5.5504714E7)</f>
        <v>55504714</v>
      </c>
      <c r="L23" s="88">
        <f>IFERROR(__xludf.DUMMYFUNCTION("""COMPUTED_VALUE"""),0.0)</f>
        <v>0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IFERROR(__xludf.DUMMYFUNCTION("""COMPUTED_VALUE"""),269.15)</f>
        <v>269.15</v>
      </c>
      <c r="C24">
        <f>IFERROR(__xludf.DUMMYFUNCTION("""COMPUTED_VALUE"""),272.79)</f>
        <v>272.79</v>
      </c>
      <c r="D24" s="88">
        <f>IFERROR(__xludf.DUMMYFUNCTION("""COMPUTED_VALUE"""),250.77)</f>
        <v>250.77</v>
      </c>
      <c r="E24" s="88">
        <f>IFERROR(__xludf.DUMMYFUNCTION("""COMPUTED_VALUE"""),252.83)</f>
        <v>252.83</v>
      </c>
      <c r="F24" s="88">
        <f>IFERROR(__xludf.DUMMYFUNCTION("""COMPUTED_VALUE"""),4.8687588E7)</f>
        <v>48687588</v>
      </c>
      <c r="G24" s="88">
        <f>IFERROR(__xludf.DUMMYFUNCTION("""COMPUTED_VALUE"""),260.93863664212)</f>
        <v>260.9386366</v>
      </c>
      <c r="H24" s="88">
        <f>IFERROR(__xludf.DUMMYFUNCTION("""COMPUTED_VALUE"""),263.10531998286)</f>
        <v>263.10532</v>
      </c>
      <c r="I24" s="88">
        <f>IFERROR(__xludf.DUMMYFUNCTION("""COMPUTED_VALUE"""),241.867081242354)</f>
        <v>241.8670812</v>
      </c>
      <c r="J24" s="88">
        <f>IFERROR(__xludf.DUMMYFUNCTION("""COMPUTED_VALUE"""),243.853946446961)</f>
        <v>243.8539464</v>
      </c>
      <c r="K24" s="88">
        <f>IFERROR(__xludf.DUMMYFUNCTION("""COMPUTED_VALUE"""),4.8687588E7)</f>
        <v>48687588</v>
      </c>
      <c r="L24" s="88">
        <f>IFERROR(__xludf.DUMMYFUNCTION("""COMPUTED_VALUE"""),1.3859)</f>
        <v>1.3859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IFERROR(__xludf.DUMMYFUNCTION("""COMPUTED_VALUE"""),252.87)</f>
        <v>252.87</v>
      </c>
      <c r="C25">
        <f>IFERROR(__xludf.DUMMYFUNCTION("""COMPUTED_VALUE"""),270.87)</f>
        <v>270.87</v>
      </c>
      <c r="D25" s="88">
        <f>IFERROR(__xludf.DUMMYFUNCTION("""COMPUTED_VALUE"""),252.77)</f>
        <v>252.77</v>
      </c>
      <c r="E25" s="88">
        <f>IFERROR(__xludf.DUMMYFUNCTION("""COMPUTED_VALUE"""),270.68)</f>
        <v>270.68</v>
      </c>
      <c r="F25" s="88">
        <f>IFERROR(__xludf.DUMMYFUNCTION("""COMPUTED_VALUE"""),7.2319825E7)</f>
        <v>72319825</v>
      </c>
      <c r="G25" s="88">
        <f>IFERROR(__xludf.DUMMYFUNCTION("""COMPUTED_VALUE"""),243.892526353847)</f>
        <v>243.8925264</v>
      </c>
      <c r="H25" s="88">
        <f>IFERROR(__xludf.DUMMYFUNCTION("""COMPUTED_VALUE"""),261.253484452353)</f>
        <v>261.2534845</v>
      </c>
      <c r="I25" s="88">
        <f>IFERROR(__xludf.DUMMYFUNCTION("""COMPUTED_VALUE"""),243.796076586633)</f>
        <v>243.7960766</v>
      </c>
      <c r="J25" s="88">
        <f>IFERROR(__xludf.DUMMYFUNCTION("""COMPUTED_VALUE"""),261.070229894646)</f>
        <v>261.0702299</v>
      </c>
      <c r="K25" s="88">
        <f>IFERROR(__xludf.DUMMYFUNCTION("""COMPUTED_VALUE"""),7.2319825E7)</f>
        <v>72319825</v>
      </c>
      <c r="L25" s="88">
        <f>IFERROR(__xludf.DUMMYFUNCTION("""COMPUTED_VALUE"""),0.0)</f>
        <v>0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IFERROR(__xludf.DUMMYFUNCTION("""COMPUTED_VALUE"""),270.01)</f>
        <v>270.01</v>
      </c>
      <c r="C26">
        <f>IFERROR(__xludf.DUMMYFUNCTION("""COMPUTED_VALUE"""),270.41)</f>
        <v>270.41</v>
      </c>
      <c r="D26" s="88">
        <f>IFERROR(__xludf.DUMMYFUNCTION("""COMPUTED_VALUE"""),261.19)</f>
        <v>261.19</v>
      </c>
      <c r="E26" s="88">
        <f>IFERROR(__xludf.DUMMYFUNCTION("""COMPUTED_VALUE"""),261.46)</f>
        <v>261.46</v>
      </c>
      <c r="F26" s="88">
        <f>IFERROR(__xludf.DUMMYFUNCTION("""COMPUTED_VALUE"""),4.1356493E7)</f>
        <v>41356493</v>
      </c>
      <c r="G26" s="88">
        <f>IFERROR(__xludf.DUMMYFUNCTION("""COMPUTED_VALUE"""),260.424016454313)</f>
        <v>260.4240165</v>
      </c>
      <c r="H26" s="88">
        <f>IFERROR(__xludf.DUMMYFUNCTION("""COMPUTED_VALUE"""),260.809815523169)</f>
        <v>260.8098155</v>
      </c>
      <c r="I26" s="88">
        <f>IFERROR(__xludf.DUMMYFUNCTION("""COMPUTED_VALUE"""),251.917146986045)</f>
        <v>251.917147</v>
      </c>
      <c r="J26" s="88">
        <f>IFERROR(__xludf.DUMMYFUNCTION("""COMPUTED_VALUE"""),252.177561357522)</f>
        <v>252.1775614</v>
      </c>
      <c r="K26" s="88">
        <f>IFERROR(__xludf.DUMMYFUNCTION("""COMPUTED_VALUE"""),4.1356493E7)</f>
        <v>41356493</v>
      </c>
      <c r="L26" s="88">
        <f>IFERROR(__xludf.DUMMYFUNCTION("""COMPUTED_VALUE"""),0.0)</f>
        <v>0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IFERROR(__xludf.DUMMYFUNCTION("""COMPUTED_VALUE"""),259.54)</f>
        <v>259.54</v>
      </c>
      <c r="C27">
        <f>IFERROR(__xludf.DUMMYFUNCTION("""COMPUTED_VALUE"""),262.59)</f>
        <v>262.59</v>
      </c>
      <c r="D27" s="88">
        <f>IFERROR(__xludf.DUMMYFUNCTION("""COMPUTED_VALUE"""),250.34)</f>
        <v>250.34</v>
      </c>
      <c r="E27" s="88">
        <f>IFERROR(__xludf.DUMMYFUNCTION("""COMPUTED_VALUE"""),257.81)</f>
        <v>257.81</v>
      </c>
      <c r="F27" s="88">
        <f>IFERROR(__xludf.DUMMYFUNCTION("""COMPUTED_VALUE"""),6.2971771E7)</f>
        <v>62971771</v>
      </c>
      <c r="G27" s="88">
        <f>IFERROR(__xludf.DUMMYFUNCTION("""COMPUTED_VALUE"""),250.325725827015)</f>
        <v>250.3257258</v>
      </c>
      <c r="H27" s="88">
        <f>IFERROR(__xludf.DUMMYFUNCTION("""COMPUTED_VALUE"""),252.563360426378)</f>
        <v>252.5633604</v>
      </c>
      <c r="I27" s="88">
        <f>IFERROR(__xludf.DUMMYFUNCTION("""COMPUTED_VALUE"""),240.115880054917)</f>
        <v>240.1158801</v>
      </c>
      <c r="J27" s="88">
        <f>IFERROR(__xludf.DUMMYFUNCTION("""COMPUTED_VALUE"""),247.280798262196)</f>
        <v>247.2807983</v>
      </c>
      <c r="K27" s="88">
        <f>IFERROR(__xludf.DUMMYFUNCTION("""COMPUTED_VALUE"""),6.2971771E7)</f>
        <v>62971771</v>
      </c>
      <c r="L27" s="88">
        <f>IFERROR(__xludf.DUMMYFUNCTION("""COMPUTED_VALUE"""),1.4551)</f>
        <v>1.4551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IFERROR(__xludf.DUMMYFUNCTION("""COMPUTED_VALUE"""),256.07)</f>
        <v>256.07</v>
      </c>
      <c r="C28">
        <f>IFERROR(__xludf.DUMMYFUNCTION("""COMPUTED_VALUE"""),258.61)</f>
        <v>258.61</v>
      </c>
      <c r="D28" s="88">
        <f>IFERROR(__xludf.DUMMYFUNCTION("""COMPUTED_VALUE"""),246.2)</f>
        <v>246.2</v>
      </c>
      <c r="E28" s="88">
        <f>IFERROR(__xludf.DUMMYFUNCTION("""COMPUTED_VALUE"""),248.31)</f>
        <v>248.31</v>
      </c>
      <c r="F28" s="88">
        <f>IFERROR(__xludf.DUMMYFUNCTION("""COMPUTED_VALUE"""),5.7657355E7)</f>
        <v>57657355</v>
      </c>
      <c r="G28" s="88">
        <f>IFERROR(__xludf.DUMMYFUNCTION("""COMPUTED_VALUE"""),245.611861491023)</f>
        <v>245.6118615</v>
      </c>
      <c r="H28" s="88">
        <f>IFERROR(__xludf.DUMMYFUNCTION("""COMPUTED_VALUE"""),248.04812551331)</f>
        <v>248.0481255</v>
      </c>
      <c r="I28" s="88">
        <f>IFERROR(__xludf.DUMMYFUNCTION("""COMPUTED_VALUE"""),236.144961530401)</f>
        <v>236.1449615</v>
      </c>
      <c r="J28" s="88">
        <f>IFERROR(__xludf.DUMMYFUNCTION("""COMPUTED_VALUE"""),238.168787155215)</f>
        <v>238.1687872</v>
      </c>
      <c r="K28" s="88">
        <f>IFERROR(__xludf.DUMMYFUNCTION("""COMPUTED_VALUE"""),5.7657355E7)</f>
        <v>57657355</v>
      </c>
      <c r="L28" s="88">
        <f>IFERROR(__xludf.DUMMYFUNCTION("""COMPUTED_VALUE"""),0.0)</f>
        <v>0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IFERROR(__xludf.DUMMYFUNCTION("""COMPUTED_VALUE"""),248.01)</f>
        <v>248.01</v>
      </c>
      <c r="C29">
        <f>IFERROR(__xludf.DUMMYFUNCTION("""COMPUTED_VALUE"""),248.53)</f>
        <v>248.53</v>
      </c>
      <c r="D29" s="88">
        <f>IFERROR(__xludf.DUMMYFUNCTION("""COMPUTED_VALUE"""),223.97)</f>
        <v>223.97</v>
      </c>
      <c r="E29" s="88">
        <f>IFERROR(__xludf.DUMMYFUNCTION("""COMPUTED_VALUE"""),226.18)</f>
        <v>226.18</v>
      </c>
      <c r="F29" s="88">
        <f>IFERROR(__xludf.DUMMYFUNCTION("""COMPUTED_VALUE"""),8.1248101E7)</f>
        <v>81248101</v>
      </c>
      <c r="G29" s="88">
        <f>IFERROR(__xludf.DUMMYFUNCTION("""COMPUTED_VALUE"""),237.881039436047)</f>
        <v>237.8810394</v>
      </c>
      <c r="H29" s="88">
        <f>IFERROR(__xludf.DUMMYFUNCTION("""COMPUTED_VALUE"""),238.379802149271)</f>
        <v>238.3798021</v>
      </c>
      <c r="I29" s="88">
        <f>IFERROR(__xludf.DUMMYFUNCTION("""COMPUTED_VALUE"""),214.822855540065)</f>
        <v>214.8228555</v>
      </c>
      <c r="J29" s="88">
        <f>IFERROR(__xludf.DUMMYFUNCTION("""COMPUTED_VALUE"""),216.942597071268)</f>
        <v>216.9425971</v>
      </c>
      <c r="K29" s="88">
        <f>IFERROR(__xludf.DUMMYFUNCTION("""COMPUTED_VALUE"""),8.1248101E7)</f>
        <v>81248101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IFERROR(__xludf.DUMMYFUNCTION("""COMPUTED_VALUE"""),229.81)</f>
        <v>229.81</v>
      </c>
      <c r="C30">
        <f>IFERROR(__xludf.DUMMYFUNCTION("""COMPUTED_VALUE"""),257.74)</f>
        <v>257.74</v>
      </c>
      <c r="D30" s="88">
        <f>IFERROR(__xludf.DUMMYFUNCTION("""COMPUTED_VALUE"""),214.83)</f>
        <v>214.83</v>
      </c>
      <c r="E30" s="88">
        <f>IFERROR(__xludf.DUMMYFUNCTION("""COMPUTED_VALUE"""),257.65)</f>
        <v>257.65</v>
      </c>
      <c r="F30" s="88">
        <f>IFERROR(__xludf.DUMMYFUNCTION("""COMPUTED_VALUE"""),1.28542134E8)</f>
        <v>128542134</v>
      </c>
      <c r="G30" s="88">
        <f>IFERROR(__xludf.DUMMYFUNCTION("""COMPUTED_VALUE"""),220.424344473198)</f>
        <v>220.4243445</v>
      </c>
      <c r="H30" s="88">
        <f>IFERROR(__xludf.DUMMYFUNCTION("""COMPUTED_VALUE"""),245.85488276813)</f>
        <v>245.8548828</v>
      </c>
      <c r="I30" s="88">
        <f>IFERROR(__xludf.DUMMYFUNCTION("""COMPUTED_VALUE"""),206.056141696085)</f>
        <v>206.0561417</v>
      </c>
      <c r="J30" s="88">
        <f>IFERROR(__xludf.DUMMYFUNCTION("""COMPUTED_VALUE"""),245.769032921582)</f>
        <v>245.7690329</v>
      </c>
      <c r="K30" s="88">
        <f>IFERROR(__xludf.DUMMYFUNCTION("""COMPUTED_VALUE"""),1.28542134E8)</f>
        <v>128542134</v>
      </c>
      <c r="L30" s="88">
        <f>IFERROR(__xludf.DUMMYFUNCTION("""COMPUTED_VALUE"""),1.289)</f>
        <v>1.289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IFERROR(__xludf.DUMMYFUNCTION("""COMPUTED_VALUE"""),253.48)</f>
        <v>253.48</v>
      </c>
      <c r="C31">
        <f>IFERROR(__xludf.DUMMYFUNCTION("""COMPUTED_VALUE"""),258.44)</f>
        <v>258.44</v>
      </c>
      <c r="D31" s="88">
        <f>IFERROR(__xludf.DUMMYFUNCTION("""COMPUTED_VALUE"""),241.73)</f>
        <v>241.73</v>
      </c>
      <c r="E31" s="88">
        <f>IFERROR(__xludf.DUMMYFUNCTION("""COMPUTED_VALUE"""),249.63)</f>
        <v>249.63</v>
      </c>
      <c r="F31" s="88">
        <f>IFERROR(__xludf.DUMMYFUNCTION("""COMPUTED_VALUE"""),6.1115981E7)</f>
        <v>61115981</v>
      </c>
      <c r="G31" s="88">
        <f>IFERROR(__xludf.DUMMYFUNCTION("""COMPUTED_VALUE"""),241.791323364885)</f>
        <v>241.7913234</v>
      </c>
      <c r="H31" s="88">
        <f>IFERROR(__xludf.DUMMYFUNCTION("""COMPUTED_VALUE"""),246.522603796832)</f>
        <v>246.5226038</v>
      </c>
      <c r="I31" s="88">
        <f>IFERROR(__xludf.DUMMYFUNCTION("""COMPUTED_VALUE"""),230.583148954528)</f>
        <v>230.583149</v>
      </c>
      <c r="J31" s="88">
        <f>IFERROR(__xludf.DUMMYFUNCTION("""COMPUTED_VALUE"""),238.118857707023)</f>
        <v>238.1188577</v>
      </c>
      <c r="K31" s="88">
        <f>IFERROR(__xludf.DUMMYFUNCTION("""COMPUTED_VALUE"""),6.1115981E7)</f>
        <v>61115981</v>
      </c>
      <c r="L31" s="88">
        <f>IFERROR(__xludf.DUMMYFUNCTION("""COMPUTED_VALUE"""),0.0)</f>
        <v>0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IFERROR(__xludf.DUMMYFUNCTION("""COMPUTED_VALUE"""),248.79)</f>
        <v>248.79</v>
      </c>
      <c r="C32">
        <f>IFERROR(__xludf.DUMMYFUNCTION("""COMPUTED_VALUE"""),269.47)</f>
        <v>269.47</v>
      </c>
      <c r="D32" s="88">
        <f>IFERROR(__xludf.DUMMYFUNCTION("""COMPUTED_VALUE"""),238.79)</f>
        <v>238.79</v>
      </c>
      <c r="E32" s="88">
        <f>IFERROR(__xludf.DUMMYFUNCTION("""COMPUTED_VALUE"""),268.46)</f>
        <v>268.46</v>
      </c>
      <c r="F32" s="88">
        <f>IFERROR(__xludf.DUMMYFUNCTION("""COMPUTED_VALUE"""),9.1440664E7)</f>
        <v>91440664</v>
      </c>
      <c r="G32" s="88">
        <f>IFERROR(__xludf.DUMMYFUNCTION("""COMPUTED_VALUE"""),237.317592472581)</f>
        <v>237.3175925</v>
      </c>
      <c r="H32" s="88">
        <f>IFERROR(__xludf.DUMMYFUNCTION("""COMPUTED_VALUE"""),257.04397943481)</f>
        <v>257.0439794</v>
      </c>
      <c r="I32" s="88">
        <f>IFERROR(__xludf.DUMMYFUNCTION("""COMPUTED_VALUE"""),227.778720633979)</f>
        <v>227.7787206</v>
      </c>
      <c r="J32" s="88">
        <f>IFERROR(__xludf.DUMMYFUNCTION("""COMPUTED_VALUE"""),256.080553379111)</f>
        <v>256.0805534</v>
      </c>
      <c r="K32" s="88">
        <f>IFERROR(__xludf.DUMMYFUNCTION("""COMPUTED_VALUE"""),9.1440664E7)</f>
        <v>91440664</v>
      </c>
      <c r="L32" s="88">
        <f>IFERROR(__xludf.DUMMYFUNCTION("""COMPUTED_VALUE"""),0.0)</f>
        <v>0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IFERROR(__xludf.DUMMYFUNCTION("""COMPUTED_VALUE"""),267.05)</f>
        <v>267.05</v>
      </c>
      <c r="C33">
        <f>IFERROR(__xludf.DUMMYFUNCTION("""COMPUTED_VALUE"""),270.67)</f>
        <v>270.67</v>
      </c>
      <c r="D33" s="88">
        <f>IFERROR(__xludf.DUMMYFUNCTION("""COMPUTED_VALUE"""),263.45)</f>
        <v>263.45</v>
      </c>
      <c r="E33" s="88">
        <f>IFERROR(__xludf.DUMMYFUNCTION("""COMPUTED_VALUE"""),266.35)</f>
        <v>266.35</v>
      </c>
      <c r="F33" s="88">
        <f>IFERROR(__xludf.DUMMYFUNCTION("""COMPUTED_VALUE"""),4.8733249E7)</f>
        <v>48733249</v>
      </c>
      <c r="G33" s="88">
        <f>IFERROR(__xludf.DUMMYFUNCTION("""COMPUTED_VALUE"""),254.735572449868)</f>
        <v>254.7355724</v>
      </c>
      <c r="H33" s="88">
        <f>IFERROR(__xludf.DUMMYFUNCTION("""COMPUTED_VALUE"""),257.024151139694)</f>
        <v>257.0241511</v>
      </c>
      <c r="I33" s="88">
        <f>IFERROR(__xludf.DUMMYFUNCTION("""COMPUTED_VALUE"""),250.1681479948)</f>
        <v>250.168148</v>
      </c>
      <c r="J33" s="88">
        <f>IFERROR(__xludf.DUMMYFUNCTION("""COMPUTED_VALUE"""),252.921944271835)</f>
        <v>252.9219443</v>
      </c>
      <c r="K33" s="88">
        <f>IFERROR(__xludf.DUMMYFUNCTION("""COMPUTED_VALUE"""),4.8733249E7)</f>
        <v>48733249</v>
      </c>
      <c r="L33" s="88">
        <f>IFERROR(__xludf.DUMMYFUNCTION("""COMPUTED_VALUE"""),1.2067)</f>
        <v>1.2067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IFERROR(__xludf.DUMMYFUNCTION("""COMPUTED_VALUE"""),266.72)</f>
        <v>266.72</v>
      </c>
      <c r="C34">
        <f>IFERROR(__xludf.DUMMYFUNCTION("""COMPUTED_VALUE"""),268.05)</f>
        <v>268.05</v>
      </c>
      <c r="D34" s="88">
        <f>IFERROR(__xludf.DUMMYFUNCTION("""COMPUTED_VALUE"""),256.48)</f>
        <v>256.48</v>
      </c>
      <c r="E34" s="88">
        <f>IFERROR(__xludf.DUMMYFUNCTION("""COMPUTED_VALUE"""),258.64)</f>
        <v>258.64</v>
      </c>
      <c r="F34" s="88">
        <f>IFERROR(__xludf.DUMMYFUNCTION("""COMPUTED_VALUE"""),4.9557399E7)</f>
        <v>49557399</v>
      </c>
      <c r="G34" s="88">
        <f>IFERROR(__xludf.DUMMYFUNCTION("""COMPUTED_VALUE"""),253.273290693388)</f>
        <v>253.2732907</v>
      </c>
      <c r="H34" s="88">
        <f>IFERROR(__xludf.DUMMYFUNCTION("""COMPUTED_VALUE"""),254.536238641131)</f>
        <v>254.5362386</v>
      </c>
      <c r="I34" s="88">
        <f>IFERROR(__xludf.DUMMYFUNCTION("""COMPUTED_VALUE"""),243.549541080684)</f>
        <v>243.5495411</v>
      </c>
      <c r="J34" s="88">
        <f>IFERROR(__xludf.DUMMYFUNCTION("""COMPUTED_VALUE"""),245.600644514614)</f>
        <v>245.6006445</v>
      </c>
      <c r="K34" s="88">
        <f>IFERROR(__xludf.DUMMYFUNCTION("""COMPUTED_VALUE"""),4.9557399E7)</f>
        <v>49557399</v>
      </c>
      <c r="L34" s="88">
        <f>IFERROR(__xludf.DUMMYFUNCTION("""COMPUTED_VALUE"""),0.0)</f>
        <v>0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IFERROR(__xludf.DUMMYFUNCTION("""COMPUTED_VALUE"""),258.4)</f>
        <v>258.4</v>
      </c>
      <c r="C35">
        <f>IFERROR(__xludf.DUMMYFUNCTION("""COMPUTED_VALUE"""),261.25)</f>
        <v>261.25</v>
      </c>
      <c r="D35" s="88">
        <f>IFERROR(__xludf.DUMMYFUNCTION("""COMPUTED_VALUE"""),247.32)</f>
        <v>247.32</v>
      </c>
      <c r="E35" s="88">
        <f>IFERROR(__xludf.DUMMYFUNCTION("""COMPUTED_VALUE"""),247.56)</f>
        <v>247.56</v>
      </c>
      <c r="F35" s="88">
        <f>IFERROR(__xludf.DUMMYFUNCTION("""COMPUTED_VALUE"""),4.5590887E7)</f>
        <v>45590887</v>
      </c>
      <c r="G35" s="88">
        <f>IFERROR(__xludf.DUMMYFUNCTION("""COMPUTED_VALUE"""),245.372744133066)</f>
        <v>245.3727441</v>
      </c>
      <c r="H35" s="88">
        <f>IFERROR(__xludf.DUMMYFUNCTION("""COMPUTED_VALUE"""),248.079061163945)</f>
        <v>248.0790612</v>
      </c>
      <c r="I35" s="88">
        <f>IFERROR(__xludf.DUMMYFUNCTION("""COMPUTED_VALUE"""),234.851343184945)</f>
        <v>234.8513432</v>
      </c>
      <c r="J35" s="88">
        <f>IFERROR(__xludf.DUMMYFUNCTION("""COMPUTED_VALUE"""),235.079243566493)</f>
        <v>235.0792436</v>
      </c>
      <c r="K35" s="88">
        <f>IFERROR(__xludf.DUMMYFUNCTION("""COMPUTED_VALUE"""),4.5590887E7)</f>
        <v>45590887</v>
      </c>
      <c r="L35" s="88">
        <f>IFERROR(__xludf.DUMMYFUNCTION("""COMPUTED_VALUE"""),0.0)</f>
        <v>0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IFERROR(__xludf.DUMMYFUNCTION("""COMPUTED_VALUE"""),249.51)</f>
        <v>249.51</v>
      </c>
      <c r="C36">
        <f>IFERROR(__xludf.DUMMYFUNCTION("""COMPUTED_VALUE"""),256.77)</f>
        <v>256.77</v>
      </c>
      <c r="D36" s="88">
        <f>IFERROR(__xludf.DUMMYFUNCTION("""COMPUTED_VALUE"""),246.63)</f>
        <v>246.63</v>
      </c>
      <c r="E36" s="88">
        <f>IFERROR(__xludf.DUMMYFUNCTION("""COMPUTED_VALUE"""),250.23)</f>
        <v>250.23</v>
      </c>
      <c r="F36" s="88">
        <f>IFERROR(__xludf.DUMMYFUNCTION("""COMPUTED_VALUE"""),5.4661028E7)</f>
        <v>54661028</v>
      </c>
      <c r="G36" s="88">
        <f>IFERROR(__xludf.DUMMYFUNCTION("""COMPUTED_VALUE"""),236.930934166569)</f>
        <v>236.9309342</v>
      </c>
      <c r="H36" s="88">
        <f>IFERROR(__xludf.DUMMYFUNCTION("""COMPUTED_VALUE"""),242.696374764499)</f>
        <v>242.6963748</v>
      </c>
      <c r="I36" s="88">
        <f>IFERROR(__xludf.DUMMYFUNCTION("""COMPUTED_VALUE"""),234.196129587996)</f>
        <v>234.1961296</v>
      </c>
      <c r="J36" s="88">
        <f>IFERROR(__xludf.DUMMYFUNCTION("""COMPUTED_VALUE"""),236.514833731825)</f>
        <v>236.5148337</v>
      </c>
      <c r="K36" s="88">
        <f>IFERROR(__xludf.DUMMYFUNCTION("""COMPUTED_VALUE"""),5.4661028E7)</f>
        <v>54661028</v>
      </c>
      <c r="L36" s="88">
        <f>IFERROR(__xludf.DUMMYFUNCTION("""COMPUTED_VALUE"""),1.1573)</f>
        <v>1.1573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IFERROR(__xludf.DUMMYFUNCTION("""COMPUTED_VALUE"""),248.79)</f>
        <v>248.79</v>
      </c>
      <c r="C37">
        <f>IFERROR(__xludf.DUMMYFUNCTION("""COMPUTED_VALUE"""),251.94)</f>
        <v>251.94</v>
      </c>
      <c r="D37" s="88">
        <f>IFERROR(__xludf.DUMMYFUNCTION("""COMPUTED_VALUE"""),237.92)</f>
        <v>237.92</v>
      </c>
      <c r="E37" s="88">
        <f>IFERROR(__xludf.DUMMYFUNCTION("""COMPUTED_VALUE"""),242.45)</f>
        <v>242.45</v>
      </c>
      <c r="F37" s="88">
        <f>IFERROR(__xludf.DUMMYFUNCTION("""COMPUTED_VALUE"""),4.3982726E7)</f>
        <v>43982726</v>
      </c>
      <c r="G37" s="88">
        <f>IFERROR(__xludf.DUMMYFUNCTION("""COMPUTED_VALUE"""),235.153760476924)</f>
        <v>235.1537605</v>
      </c>
      <c r="H37" s="88">
        <f>IFERROR(__xludf.DUMMYFUNCTION("""COMPUTED_VALUE"""),238.131108222019)</f>
        <v>238.1311082</v>
      </c>
      <c r="I37" s="88">
        <f>IFERROR(__xludf.DUMMYFUNCTION("""COMPUTED_VALUE"""),224.879547781944)</f>
        <v>224.8795478</v>
      </c>
      <c r="J37" s="88">
        <f>IFERROR(__xludf.DUMMYFUNCTION("""COMPUTED_VALUE"""),229.161257396319)</f>
        <v>229.1612574</v>
      </c>
      <c r="K37" s="88">
        <f>IFERROR(__xludf.DUMMYFUNCTION("""COMPUTED_VALUE"""),4.3982726E7)</f>
        <v>43982726</v>
      </c>
      <c r="L37" s="88">
        <f>IFERROR(__xludf.DUMMYFUNCTION("""COMPUTED_VALUE"""),0.0)</f>
        <v>0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IFERROR(__xludf.DUMMYFUNCTION("""COMPUTED_VALUE"""),242.92)</f>
        <v>242.92</v>
      </c>
      <c r="C38">
        <f>IFERROR(__xludf.DUMMYFUNCTION("""COMPUTED_VALUE"""),249.22)</f>
        <v>249.22</v>
      </c>
      <c r="D38" s="88">
        <f>IFERROR(__xludf.DUMMYFUNCTION("""COMPUTED_VALUE"""),233.92)</f>
        <v>233.92</v>
      </c>
      <c r="E38" s="88">
        <f>IFERROR(__xludf.DUMMYFUNCTION("""COMPUTED_VALUE"""),241.19)</f>
        <v>241.19</v>
      </c>
      <c r="F38" s="88">
        <f>IFERROR(__xludf.DUMMYFUNCTION("""COMPUTED_VALUE"""),5.7321176E7)</f>
        <v>57321176</v>
      </c>
      <c r="G38" s="88">
        <f>IFERROR(__xludf.DUMMYFUNCTION("""COMPUTED_VALUE"""),229.605496583682)</f>
        <v>229.6054966</v>
      </c>
      <c r="H38" s="88">
        <f>IFERROR(__xludf.DUMMYFUNCTION("""COMPUTED_VALUE"""),235.560192073873)</f>
        <v>235.5601921</v>
      </c>
      <c r="I38" s="88">
        <f>IFERROR(__xludf.DUMMYFUNCTION("""COMPUTED_VALUE"""),221.098788740552)</f>
        <v>221.0987887</v>
      </c>
      <c r="J38" s="88">
        <f>IFERROR(__xludf.DUMMYFUNCTION("""COMPUTED_VALUE"""),227.970318298281)</f>
        <v>227.9703183</v>
      </c>
      <c r="K38" s="88">
        <f>IFERROR(__xludf.DUMMYFUNCTION("""COMPUTED_VALUE"""),5.7321176E7)</f>
        <v>57321176</v>
      </c>
      <c r="L38" s="88">
        <f>IFERROR(__xludf.DUMMYFUNCTION("""COMPUTED_VALUE"""),0.0)</f>
        <v>0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IFERROR(__xludf.DUMMYFUNCTION("""COMPUTED_VALUE"""),242.08)</f>
        <v>242.08</v>
      </c>
      <c r="C39">
        <f>IFERROR(__xludf.DUMMYFUNCTION("""COMPUTED_VALUE"""),257.71)</f>
        <v>257.71</v>
      </c>
      <c r="D39" s="88">
        <f>IFERROR(__xludf.DUMMYFUNCTION("""COMPUTED_VALUE"""),237.53)</f>
        <v>237.53</v>
      </c>
      <c r="E39" s="88">
        <f>IFERROR(__xludf.DUMMYFUNCTION("""COMPUTED_VALUE"""),249.53)</f>
        <v>249.53</v>
      </c>
      <c r="F39" s="88">
        <f>IFERROR(__xludf.DUMMYFUNCTION("""COMPUTED_VALUE"""),6.3874271E7)</f>
        <v>63874271</v>
      </c>
      <c r="G39" s="88">
        <f>IFERROR(__xludf.DUMMYFUNCTION("""COMPUTED_VALUE"""),228.81153718499)</f>
        <v>228.8115372</v>
      </c>
      <c r="H39" s="88">
        <f>IFERROR(__xludf.DUMMYFUNCTION("""COMPUTED_VALUE"""),242.505711188685)</f>
        <v>242.5057112</v>
      </c>
      <c r="I39" s="88">
        <f>IFERROR(__xludf.DUMMYFUNCTION("""COMPUTED_VALUE"""),223.883275022359)</f>
        <v>223.883275</v>
      </c>
      <c r="J39" s="88">
        <f>IFERROR(__xludf.DUMMYFUNCTION("""COMPUTED_VALUE"""),234.808312106293)</f>
        <v>234.8083121</v>
      </c>
      <c r="K39" s="88">
        <f>IFERROR(__xludf.DUMMYFUNCTION("""COMPUTED_VALUE"""),6.3874271E7)</f>
        <v>63874271</v>
      </c>
      <c r="L39" s="88">
        <f>IFERROR(__xludf.DUMMYFUNCTION("""COMPUTED_VALUE"""),1.0837)</f>
        <v>1.0837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IFERROR(__xludf.DUMMYFUNCTION("""COMPUTED_VALUE"""),249.34)</f>
        <v>249.34</v>
      </c>
      <c r="C40">
        <f>IFERROR(__xludf.DUMMYFUNCTION("""COMPUTED_VALUE"""),260.12)</f>
        <v>260.12</v>
      </c>
      <c r="D40" s="88">
        <f>IFERROR(__xludf.DUMMYFUNCTION("""COMPUTED_VALUE"""),232.42)</f>
        <v>232.42</v>
      </c>
      <c r="E40" s="88">
        <f>IFERROR(__xludf.DUMMYFUNCTION("""COMPUTED_VALUE"""),258.29)</f>
        <v>258.29</v>
      </c>
      <c r="F40" s="88">
        <f>IFERROR(__xludf.DUMMYFUNCTION("""COMPUTED_VALUE"""),8.8662613E7)</f>
        <v>88662613</v>
      </c>
      <c r="G40" s="88">
        <f>IFERROR(__xludf.DUMMYFUNCTION("""COMPUTED_VALUE"""),234.629521663059)</f>
        <v>234.6295217</v>
      </c>
      <c r="H40" s="88">
        <f>IFERROR(__xludf.DUMMYFUNCTION("""COMPUTED_VALUE"""),244.77352681076)</f>
        <v>244.7735268</v>
      </c>
      <c r="I40" s="88">
        <f>IFERROR(__xludf.DUMMYFUNCTION("""COMPUTED_VALUE"""),218.707762191899)</f>
        <v>218.7077622</v>
      </c>
      <c r="J40" s="88">
        <f>IFERROR(__xludf.DUMMYFUNCTION("""COMPUTED_VALUE"""),243.051492541716)</f>
        <v>243.0514925</v>
      </c>
      <c r="K40" s="88">
        <f>IFERROR(__xludf.DUMMYFUNCTION("""COMPUTED_VALUE"""),8.8662613E7)</f>
        <v>88662613</v>
      </c>
      <c r="L40" s="88">
        <f>IFERROR(__xludf.DUMMYFUNCTION("""COMPUTED_VALUE"""),0.0)</f>
        <v>0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IFERROR(__xludf.DUMMYFUNCTION("""COMPUTED_VALUE"""),258.99)</f>
        <v>258.99</v>
      </c>
      <c r="C41">
        <f>IFERROR(__xludf.DUMMYFUNCTION("""COMPUTED_VALUE"""),263.37)</f>
        <v>263.37</v>
      </c>
      <c r="D41" s="88">
        <f>IFERROR(__xludf.DUMMYFUNCTION("""COMPUTED_VALUE"""),245.74)</f>
        <v>245.74</v>
      </c>
      <c r="E41" s="88">
        <f>IFERROR(__xludf.DUMMYFUNCTION("""COMPUTED_VALUE"""),246.15)</f>
        <v>246.15</v>
      </c>
      <c r="F41" s="88">
        <f>IFERROR(__xludf.DUMMYFUNCTION("""COMPUTED_VALUE"""),6.3556077E7)</f>
        <v>63556077</v>
      </c>
      <c r="G41" s="88">
        <f>IFERROR(__xludf.DUMMYFUNCTION("""COMPUTED_VALUE"""),243.710194174683)</f>
        <v>243.7101942</v>
      </c>
      <c r="H41" s="88">
        <f>IFERROR(__xludf.DUMMYFUNCTION("""COMPUTED_VALUE"""),247.831784392395)</f>
        <v>247.8317844</v>
      </c>
      <c r="I41" s="88">
        <f>IFERROR(__xludf.DUMMYFUNCTION("""COMPUTED_VALUE"""),231.24191326494)</f>
        <v>231.2419133</v>
      </c>
      <c r="J41" s="88">
        <f>IFERROR(__xludf.DUMMYFUNCTION("""COMPUTED_VALUE"""),231.627724221392)</f>
        <v>231.6277242</v>
      </c>
      <c r="K41" s="88">
        <f>IFERROR(__xludf.DUMMYFUNCTION("""COMPUTED_VALUE"""),6.3556077E7)</f>
        <v>63556077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IFERROR(__xludf.DUMMYFUNCTION("""COMPUTED_VALUE"""),245.29)</f>
        <v>245.29</v>
      </c>
      <c r="C42">
        <f>IFERROR(__xludf.DUMMYFUNCTION("""COMPUTED_VALUE"""),248.01)</f>
        <v>248.01</v>
      </c>
      <c r="D42" s="88">
        <f>IFERROR(__xludf.DUMMYFUNCTION("""COMPUTED_VALUE"""),239.52)</f>
        <v>239.52</v>
      </c>
      <c r="E42" s="88">
        <f>IFERROR(__xludf.DUMMYFUNCTION("""COMPUTED_VALUE"""),243.25)</f>
        <v>243.25</v>
      </c>
      <c r="F42" s="88">
        <f>IFERROR(__xludf.DUMMYFUNCTION("""COMPUTED_VALUE"""),4.4188882E7)</f>
        <v>44188882</v>
      </c>
      <c r="G42" s="88">
        <f>IFERROR(__xludf.DUMMYFUNCTION("""COMPUTED_VALUE"""),230.818462215175)</f>
        <v>230.8184622</v>
      </c>
      <c r="H42" s="88">
        <f>IFERROR(__xludf.DUMMYFUNCTION("""COMPUTED_VALUE"""),232.25812866579)</f>
        <v>232.2581287</v>
      </c>
      <c r="I42" s="88">
        <f>IFERROR(__xludf.DUMMYFUNCTION("""COMPUTED_VALUE"""),224.307354453571)</f>
        <v>224.3073545</v>
      </c>
      <c r="J42" s="88">
        <f>IFERROR(__xludf.DUMMYFUNCTION("""COMPUTED_VALUE"""),227.800450780023)</f>
        <v>227.8004508</v>
      </c>
      <c r="K42" s="88">
        <f>IFERROR(__xludf.DUMMYFUNCTION("""COMPUTED_VALUE"""),4.4188882E7)</f>
        <v>44188882</v>
      </c>
      <c r="L42" s="88">
        <f>IFERROR(__xludf.DUMMYFUNCTION("""COMPUTED_VALUE"""),1.1839)</f>
        <v>1.1839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IFERROR(__xludf.DUMMYFUNCTION("""COMPUTED_VALUE"""),243.35)</f>
        <v>243.35</v>
      </c>
      <c r="C43">
        <f>IFERROR(__xludf.DUMMYFUNCTION("""COMPUTED_VALUE"""),244.4)</f>
        <v>244.4</v>
      </c>
      <c r="D43" s="88">
        <f>IFERROR(__xludf.DUMMYFUNCTION("""COMPUTED_VALUE"""),234.82)</f>
        <v>234.82</v>
      </c>
      <c r="E43" s="88">
        <f>IFERROR(__xludf.DUMMYFUNCTION("""COMPUTED_VALUE"""),237.03)</f>
        <v>237.03</v>
      </c>
      <c r="F43" s="88">
        <f>IFERROR(__xludf.DUMMYFUNCTION("""COMPUTED_VALUE"""),4.329776E7)</f>
        <v>43297760</v>
      </c>
      <c r="G43" s="88">
        <f>IFERROR(__xludf.DUMMYFUNCTION("""COMPUTED_VALUE"""),227.894099475102)</f>
        <v>227.8940995</v>
      </c>
      <c r="H43" s="88">
        <f>IFERROR(__xludf.DUMMYFUNCTION("""COMPUTED_VALUE"""),228.877410773433)</f>
        <v>228.8774108</v>
      </c>
      <c r="I43" s="88">
        <f>IFERROR(__xludf.DUMMYFUNCTION("""COMPUTED_VALUE"""),219.905865784851)</f>
        <v>219.9058658</v>
      </c>
      <c r="J43" s="88">
        <f>IFERROR(__xludf.DUMMYFUNCTION("""COMPUTED_VALUE"""),221.9755019461)</f>
        <v>221.9755019</v>
      </c>
      <c r="K43" s="88">
        <f>IFERROR(__xludf.DUMMYFUNCTION("""COMPUTED_VALUE"""),4.329776E7)</f>
        <v>43297760</v>
      </c>
      <c r="L43" s="88">
        <f>IFERROR(__xludf.DUMMYFUNCTION("""COMPUTED_VALUE"""),0.0)</f>
        <v>0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IFERROR(__xludf.DUMMYFUNCTION("""COMPUTED_VALUE"""),236.13)</f>
        <v>236.13</v>
      </c>
      <c r="C44">
        <f>IFERROR(__xludf.DUMMYFUNCTION("""COMPUTED_VALUE"""),236.88)</f>
        <v>236.88</v>
      </c>
      <c r="D44" s="88">
        <f>IFERROR(__xludf.DUMMYFUNCTION("""COMPUTED_VALUE"""),230.91)</f>
        <v>230.91</v>
      </c>
      <c r="E44" s="88">
        <f>IFERROR(__xludf.DUMMYFUNCTION("""COMPUTED_VALUE"""),231.0)</f>
        <v>231</v>
      </c>
      <c r="F44" s="88">
        <f>IFERROR(__xludf.DUMMYFUNCTION("""COMPUTED_VALUE"""),3.3049401E7)</f>
        <v>33049401</v>
      </c>
      <c r="G44" s="88">
        <f>IFERROR(__xludf.DUMMYFUNCTION("""COMPUTED_VALUE"""),221.132663690388)</f>
        <v>221.1326637</v>
      </c>
      <c r="H44" s="88">
        <f>IFERROR(__xludf.DUMMYFUNCTION("""COMPUTED_VALUE"""),221.835028903481)</f>
        <v>221.8350289</v>
      </c>
      <c r="I44" s="88">
        <f>IFERROR(__xludf.DUMMYFUNCTION("""COMPUTED_VALUE"""),216.244201807256)</f>
        <v>216.2442018</v>
      </c>
      <c r="J44" s="88">
        <f>IFERROR(__xludf.DUMMYFUNCTION("""COMPUTED_VALUE"""),216.328485632827)</f>
        <v>216.3284856</v>
      </c>
      <c r="K44" s="88">
        <f>IFERROR(__xludf.DUMMYFUNCTION("""COMPUTED_VALUE"""),3.3049401E7)</f>
        <v>33049401</v>
      </c>
      <c r="L44" s="88">
        <f>IFERROR(__xludf.DUMMYFUNCTION("""COMPUTED_VALUE"""),0.0)</f>
        <v>0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IFERROR(__xludf.DUMMYFUNCTION("""COMPUTED_VALUE"""),230.76)</f>
        <v>230.76</v>
      </c>
      <c r="C45">
        <f>IFERROR(__xludf.DUMMYFUNCTION("""COMPUTED_VALUE"""),230.9)</f>
        <v>230.9</v>
      </c>
      <c r="D45" s="88">
        <f>IFERROR(__xludf.DUMMYFUNCTION("""COMPUTED_VALUE"""),224.98)</f>
        <v>224.98</v>
      </c>
      <c r="E45" s="88">
        <f>IFERROR(__xludf.DUMMYFUNCTION("""COMPUTED_VALUE"""),227.76)</f>
        <v>227.76</v>
      </c>
      <c r="F45" s="88">
        <f>IFERROR(__xludf.DUMMYFUNCTION("""COMPUTED_VALUE"""),3.3379043E7)</f>
        <v>33379043</v>
      </c>
      <c r="G45" s="88">
        <f>IFERROR(__xludf.DUMMYFUNCTION("""COMPUTED_VALUE"""),216.103728764638)</f>
        <v>216.1037288</v>
      </c>
      <c r="H45" s="88">
        <f>IFERROR(__xludf.DUMMYFUNCTION("""COMPUTED_VALUE"""),216.169282851193)</f>
        <v>216.1692829</v>
      </c>
      <c r="I45" s="88">
        <f>IFERROR(__xludf.DUMMYFUNCTION("""COMPUTED_VALUE"""),209.617743182695)</f>
        <v>209.6177432</v>
      </c>
      <c r="J45" s="88">
        <f>IFERROR(__xludf.DUMMYFUNCTION("""COMPUTED_VALUE"""),212.2079170917)</f>
        <v>212.2079171</v>
      </c>
      <c r="K45" s="88">
        <f>IFERROR(__xludf.DUMMYFUNCTION("""COMPUTED_VALUE"""),3.3379043E7)</f>
        <v>33379043</v>
      </c>
      <c r="L45" s="88">
        <f>IFERROR(__xludf.DUMMYFUNCTION("""COMPUTED_VALUE"""),1.176)</f>
        <v>1.176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IFERROR(__xludf.DUMMYFUNCTION("""COMPUTED_VALUE"""),227.3)</f>
        <v>227.3</v>
      </c>
      <c r="C46">
        <f>IFERROR(__xludf.DUMMYFUNCTION("""COMPUTED_VALUE"""),228.62)</f>
        <v>228.62</v>
      </c>
      <c r="D46" s="88">
        <f>IFERROR(__xludf.DUMMYFUNCTION("""COMPUTED_VALUE"""),222.12)</f>
        <v>222.12</v>
      </c>
      <c r="E46" s="88">
        <f>IFERROR(__xludf.DUMMYFUNCTION("""COMPUTED_VALUE"""),227.3)</f>
        <v>227.3</v>
      </c>
      <c r="F46" s="88">
        <f>IFERROR(__xludf.DUMMYFUNCTION("""COMPUTED_VALUE"""),3.7614775E7)</f>
        <v>37614775</v>
      </c>
      <c r="G46" s="88">
        <f>IFERROR(__xludf.DUMMYFUNCTION("""COMPUTED_VALUE"""),211.77932716431)</f>
        <v>211.7793272</v>
      </c>
      <c r="H46" s="88">
        <f>IFERROR(__xludf.DUMMYFUNCTION("""COMPUTED_VALUE"""),213.009193912471)</f>
        <v>213.0091939</v>
      </c>
      <c r="I46" s="88">
        <f>IFERROR(__xludf.DUMMYFUNCTION("""COMPUTED_VALUE"""),206.953031895014)</f>
        <v>206.9530319</v>
      </c>
      <c r="J46" s="88">
        <f>IFERROR(__xludf.DUMMYFUNCTION("""COMPUTED_VALUE"""),211.77932716431)</f>
        <v>211.7793272</v>
      </c>
      <c r="K46" s="88">
        <f>IFERROR(__xludf.DUMMYFUNCTION("""COMPUTED_VALUE"""),3.7614775E7)</f>
        <v>37614775</v>
      </c>
      <c r="L46" s="88">
        <f>IFERROR(__xludf.DUMMYFUNCTION("""COMPUTED_VALUE"""),0.0)</f>
        <v>0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IFERROR(__xludf.DUMMYFUNCTION("""COMPUTED_VALUE"""),226.64)</f>
        <v>226.64</v>
      </c>
      <c r="C47">
        <f>IFERROR(__xludf.DUMMYFUNCTION("""COMPUTED_VALUE"""),227.78)</f>
        <v>227.78</v>
      </c>
      <c r="D47" s="88">
        <f>IFERROR(__xludf.DUMMYFUNCTION("""COMPUTED_VALUE"""),220.72)</f>
        <v>220.72</v>
      </c>
      <c r="E47" s="88">
        <f>IFERROR(__xludf.DUMMYFUNCTION("""COMPUTED_VALUE"""),223.09)</f>
        <v>223.09</v>
      </c>
      <c r="F47" s="88">
        <f>IFERROR(__xludf.DUMMYFUNCTION("""COMPUTED_VALUE"""),3.7713634E7)</f>
        <v>37713634</v>
      </c>
      <c r="G47" s="88">
        <f>IFERROR(__xludf.DUMMYFUNCTION("""COMPUTED_VALUE"""),211.16439379023)</f>
        <v>211.1643938</v>
      </c>
      <c r="H47" s="88">
        <f>IFERROR(__xludf.DUMMYFUNCTION("""COMPUTED_VALUE"""),212.226551436369)</f>
        <v>212.2265514</v>
      </c>
      <c r="I47" s="88">
        <f>IFERROR(__xludf.DUMMYFUNCTION("""COMPUTED_VALUE"""),205.648627768177)</f>
        <v>205.6486278</v>
      </c>
      <c r="J47" s="88">
        <f>IFERROR(__xludf.DUMMYFUNCTION("""COMPUTED_VALUE"""),207.856797611465)</f>
        <v>207.8567976</v>
      </c>
      <c r="K47" s="88">
        <f>IFERROR(__xludf.DUMMYFUNCTION("""COMPUTED_VALUE"""),3.7713634E7)</f>
        <v>37713634</v>
      </c>
      <c r="L47" s="88">
        <f>IFERROR(__xludf.DUMMYFUNCTION("""COMPUTED_VALUE"""),0.0)</f>
        <v>0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IFERROR(__xludf.DUMMYFUNCTION("""COMPUTED_VALUE"""),222.06)</f>
        <v>222.06</v>
      </c>
      <c r="C48">
        <f>IFERROR(__xludf.DUMMYFUNCTION("""COMPUTED_VALUE"""),225.765)</f>
        <v>225.765</v>
      </c>
      <c r="D48" s="88">
        <f>IFERROR(__xludf.DUMMYFUNCTION("""COMPUTED_VALUE"""),220.4191)</f>
        <v>220.4191</v>
      </c>
      <c r="E48" s="88">
        <f>IFERROR(__xludf.DUMMYFUNCTION("""COMPUTED_VALUE"""),222.14)</f>
        <v>222.14</v>
      </c>
      <c r="F48" s="88">
        <f>IFERROR(__xludf.DUMMYFUNCTION("""COMPUTED_VALUE"""),4.3548871E7)</f>
        <v>43548871</v>
      </c>
      <c r="G48" s="88">
        <f>IFERROR(__xludf.DUMMYFUNCTION("""COMPUTED_VALUE"""),206.897128861006)</f>
        <v>206.8971289</v>
      </c>
      <c r="H48" s="88">
        <f>IFERROR(__xludf.DUMMYFUNCTION("""COMPUTED_VALUE"""),209.402298209695)</f>
        <v>209.4022982</v>
      </c>
      <c r="I48" s="88">
        <f>IFERROR(__xludf.DUMMYFUNCTION("""COMPUTED_VALUE"""),205.36827405263)</f>
        <v>205.3682741</v>
      </c>
      <c r="J48" s="88">
        <f>IFERROR(__xludf.DUMMYFUNCTION("""COMPUTED_VALUE"""),206.040026241011)</f>
        <v>206.0400262</v>
      </c>
      <c r="K48" s="88">
        <f>IFERROR(__xludf.DUMMYFUNCTION("""COMPUTED_VALUE"""),4.3548871E7)</f>
        <v>43548871</v>
      </c>
      <c r="L48" s="88">
        <f>IFERROR(__xludf.DUMMYFUNCTION("""COMPUTED_VALUE"""),1.01)</f>
        <v>1.01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IFERROR(__xludf.DUMMYFUNCTION("""COMPUTED_VALUE"""),221.67)</f>
        <v>221.67</v>
      </c>
      <c r="C49">
        <f>IFERROR(__xludf.DUMMYFUNCTION("""COMPUTED_VALUE"""),222.24)</f>
        <v>222.24</v>
      </c>
      <c r="D49" s="88">
        <f>IFERROR(__xludf.DUMMYFUNCTION("""COMPUTED_VALUE"""),216.1301)</f>
        <v>216.1301</v>
      </c>
      <c r="E49" s="88">
        <f>IFERROR(__xludf.DUMMYFUNCTION("""COMPUTED_VALUE"""),219.16)</f>
        <v>219.16</v>
      </c>
      <c r="F49" s="88">
        <f>IFERROR(__xludf.DUMMYFUNCTION("""COMPUTED_VALUE"""),4.0645231E7)</f>
        <v>40645231</v>
      </c>
      <c r="G49" s="88">
        <f>IFERROR(__xludf.DUMMYFUNCTION("""COMPUTED_VALUE"""),205.604090289209)</f>
        <v>205.6040903</v>
      </c>
      <c r="H49" s="88">
        <f>IFERROR(__xludf.DUMMYFUNCTION("""COMPUTED_VALUE"""),206.132778571181)</f>
        <v>206.1327786</v>
      </c>
      <c r="I49" s="88">
        <f>IFERROR(__xludf.DUMMYFUNCTION("""COMPUTED_VALUE"""),200.465703950087)</f>
        <v>200.465704</v>
      </c>
      <c r="J49" s="88">
        <f>IFERROR(__xludf.DUMMYFUNCTION("""COMPUTED_VALUE"""),203.276006801926)</f>
        <v>203.2760068</v>
      </c>
      <c r="K49" s="88">
        <f>IFERROR(__xludf.DUMMYFUNCTION("""COMPUTED_VALUE"""),4.0645231E7)</f>
        <v>40645231</v>
      </c>
      <c r="L49" s="88">
        <f>IFERROR(__xludf.DUMMYFUNCTION("""COMPUTED_VALUE"""),0.0)</f>
        <v>0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IFERROR(__xludf.DUMMYFUNCTION("""COMPUTED_VALUE"""),218.6)</f>
        <v>218.6</v>
      </c>
      <c r="C50">
        <f>IFERROR(__xludf.DUMMYFUNCTION("""COMPUTED_VALUE"""),219.8979)</f>
        <v>219.8979</v>
      </c>
      <c r="D50" s="88">
        <f>IFERROR(__xludf.DUMMYFUNCTION("""COMPUTED_VALUE"""),213.47)</f>
        <v>213.47</v>
      </c>
      <c r="E50" s="88">
        <f>IFERROR(__xludf.DUMMYFUNCTION("""COMPUTED_VALUE"""),216.51)</f>
        <v>216.51</v>
      </c>
      <c r="F50" s="88">
        <f>IFERROR(__xludf.DUMMYFUNCTION("""COMPUTED_VALUE"""),3.9163153E7)</f>
        <v>39163153</v>
      </c>
      <c r="G50" s="88">
        <f>IFERROR(__xludf.DUMMYFUNCTION("""COMPUTED_VALUE"""),202.756593752971)</f>
        <v>202.7565938</v>
      </c>
      <c r="H50" s="88">
        <f>IFERROR(__xludf.DUMMYFUNCTION("""COMPUTED_VALUE"""),203.960426246255)</f>
        <v>203.9604262</v>
      </c>
      <c r="I50" s="88">
        <f>IFERROR(__xludf.DUMMYFUNCTION("""COMPUTED_VALUE"""),197.998399215218)</f>
        <v>197.9983992</v>
      </c>
      <c r="J50" s="88">
        <f>IFERROR(__xludf.DUMMYFUNCTION("""COMPUTED_VALUE"""),200.818070052405)</f>
        <v>200.8180701</v>
      </c>
      <c r="K50" s="88">
        <f>IFERROR(__xludf.DUMMYFUNCTION("""COMPUTED_VALUE"""),3.9163153E7)</f>
        <v>39163153</v>
      </c>
      <c r="L50" s="88">
        <f>IFERROR(__xludf.DUMMYFUNCTION("""COMPUTED_VALUE"""),0.0)</f>
        <v>0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IFERROR(__xludf.DUMMYFUNCTION("""COMPUTED_VALUE"""),216.35)</f>
        <v>216.35</v>
      </c>
      <c r="C51">
        <f>IFERROR(__xludf.DUMMYFUNCTION("""COMPUTED_VALUE"""),220.66)</f>
        <v>220.66</v>
      </c>
      <c r="D51" s="88">
        <f>IFERROR(__xludf.DUMMYFUNCTION("""COMPUTED_VALUE"""),212.62)</f>
        <v>212.62</v>
      </c>
      <c r="E51" s="88">
        <f>IFERROR(__xludf.DUMMYFUNCTION("""COMPUTED_VALUE"""),218.9)</f>
        <v>218.9</v>
      </c>
      <c r="F51" s="88">
        <f>IFERROR(__xludf.DUMMYFUNCTION("""COMPUTED_VALUE"""),4.763568E7)</f>
        <v>47635680</v>
      </c>
      <c r="G51" s="88">
        <f>IFERROR(__xludf.DUMMYFUNCTION("""COMPUTED_VALUE"""),200.669666324132)</f>
        <v>200.6696663</v>
      </c>
      <c r="H51" s="88">
        <f>IFERROR(__xludf.DUMMYFUNCTION("""COMPUTED_VALUE"""),203.721731860537)</f>
        <v>203.7217319</v>
      </c>
      <c r="I51" s="88">
        <f>IFERROR(__xludf.DUMMYFUNCTION("""COMPUTED_VALUE"""),197.210004408768)</f>
        <v>197.2100044</v>
      </c>
      <c r="J51" s="88">
        <f>IFERROR(__xludf.DUMMYFUNCTION("""COMPUTED_VALUE"""),202.096832703125)</f>
        <v>202.0968327</v>
      </c>
      <c r="K51" s="88">
        <f>IFERROR(__xludf.DUMMYFUNCTION("""COMPUTED_VALUE"""),4.763568E7)</f>
        <v>47635680</v>
      </c>
      <c r="L51" s="88">
        <f>IFERROR(__xludf.DUMMYFUNCTION("""COMPUTED_VALUE"""),0.998)</f>
        <v>0.998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IFERROR(__xludf.DUMMYFUNCTION("""COMPUTED_VALUE"""),217.07)</f>
        <v>217.07</v>
      </c>
      <c r="C52">
        <f>IFERROR(__xludf.DUMMYFUNCTION("""COMPUTED_VALUE"""),217.8956)</f>
        <v>217.8956</v>
      </c>
      <c r="D52" s="88">
        <f>IFERROR(__xludf.DUMMYFUNCTION("""COMPUTED_VALUE"""),208.23)</f>
        <v>208.23</v>
      </c>
      <c r="E52" s="88">
        <f>IFERROR(__xludf.DUMMYFUNCTION("""COMPUTED_VALUE"""),209.62)</f>
        <v>209.62</v>
      </c>
      <c r="F52" s="88">
        <f>IFERROR(__xludf.DUMMYFUNCTION("""COMPUTED_VALUE"""),3.546117E7)</f>
        <v>35461170</v>
      </c>
      <c r="G52" s="88">
        <f>IFERROR(__xludf.DUMMYFUNCTION("""COMPUTED_VALUE"""),200.407306874679)</f>
        <v>200.4073069</v>
      </c>
      <c r="H52" s="88">
        <f>IFERROR(__xludf.DUMMYFUNCTION("""COMPUTED_VALUE"""),201.169532297611)</f>
        <v>201.1695323</v>
      </c>
      <c r="I52" s="88">
        <f>IFERROR(__xludf.DUMMYFUNCTION("""COMPUTED_VALUE"""),192.245881561314)</f>
        <v>192.2458816</v>
      </c>
      <c r="J52" s="88">
        <f>IFERROR(__xludf.DUMMYFUNCTION("""COMPUTED_VALUE"""),193.529182600407)</f>
        <v>193.5291826</v>
      </c>
      <c r="K52" s="88">
        <f>IFERROR(__xludf.DUMMYFUNCTION("""COMPUTED_VALUE"""),3.546117E7)</f>
        <v>35461170</v>
      </c>
      <c r="L52" s="88">
        <f>IFERROR(__xludf.DUMMYFUNCTION("""COMPUTED_VALUE"""),0.0)</f>
        <v>0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IFERROR(__xludf.DUMMYFUNCTION("""COMPUTED_VALUE"""),208.97)</f>
        <v>208.97</v>
      </c>
      <c r="C53">
        <f>IFERROR(__xludf.DUMMYFUNCTION("""COMPUTED_VALUE"""),210.9)</f>
        <v>210.9</v>
      </c>
      <c r="D53" s="88">
        <f>IFERROR(__xludf.DUMMYFUNCTION("""COMPUTED_VALUE"""),205.56)</f>
        <v>205.56</v>
      </c>
      <c r="E53" s="88">
        <f>IFERROR(__xludf.DUMMYFUNCTION("""COMPUTED_VALUE"""),206.68)</f>
        <v>206.68</v>
      </c>
      <c r="F53" s="88">
        <f>IFERROR(__xludf.DUMMYFUNCTION("""COMPUTED_VALUE"""),5.7281277E7)</f>
        <v>57281277</v>
      </c>
      <c r="G53" s="88">
        <f>IFERROR(__xludf.DUMMYFUNCTION("""COMPUTED_VALUE"""),192.929077797953)</f>
        <v>192.9290778</v>
      </c>
      <c r="H53" s="88">
        <f>IFERROR(__xludf.DUMMYFUNCTION("""COMPUTED_VALUE"""),194.710927442161)</f>
        <v>194.7109274</v>
      </c>
      <c r="I53" s="88">
        <f>IFERROR(__xludf.DUMMYFUNCTION("""COMPUTED_VALUE"""),189.780835680468)</f>
        <v>189.7808357</v>
      </c>
      <c r="J53" s="88">
        <f>IFERROR(__xludf.DUMMYFUNCTION("""COMPUTED_VALUE"""),190.814862417002)</f>
        <v>190.8148624</v>
      </c>
      <c r="K53" s="88">
        <f>IFERROR(__xludf.DUMMYFUNCTION("""COMPUTED_VALUE"""),5.7281277E7)</f>
        <v>57281277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IFERROR(__xludf.DUMMYFUNCTION("""COMPUTED_VALUE"""),205.31)</f>
        <v>205.31</v>
      </c>
      <c r="C54">
        <f>IFERROR(__xludf.DUMMYFUNCTION("""COMPUTED_VALUE"""),209.7)</f>
        <v>209.7</v>
      </c>
      <c r="D54" s="88">
        <f>IFERROR(__xludf.DUMMYFUNCTION("""COMPUTED_VALUE"""),201.24)</f>
        <v>201.24</v>
      </c>
      <c r="E54" s="88">
        <f>IFERROR(__xludf.DUMMYFUNCTION("""COMPUTED_VALUE"""),202.68)</f>
        <v>202.68</v>
      </c>
      <c r="F54" s="88">
        <f>IFERROR(__xludf.DUMMYFUNCTION("""COMPUTED_VALUE"""),5.2288794E7)</f>
        <v>52288794</v>
      </c>
      <c r="G54" s="88">
        <f>IFERROR(__xludf.DUMMYFUNCTION("""COMPUTED_VALUE"""),189.550026141062)</f>
        <v>189.5500261</v>
      </c>
      <c r="H54" s="88">
        <f>IFERROR(__xludf.DUMMYFUNCTION("""COMPUTED_VALUE"""),192.398517817974)</f>
        <v>192.3985178</v>
      </c>
      <c r="I54" s="88">
        <f>IFERROR(__xludf.DUMMYFUNCTION("""COMPUTED_VALUE"""),184.636517528322)</f>
        <v>184.6365175</v>
      </c>
      <c r="J54" s="88">
        <f>IFERROR(__xludf.DUMMYFUNCTION("""COMPUTED_VALUE"""),185.957709066986)</f>
        <v>185.9577091</v>
      </c>
      <c r="K54" s="88">
        <f>IFERROR(__xludf.DUMMYFUNCTION("""COMPUTED_VALUE"""),5.2288794E7)</f>
        <v>52288794</v>
      </c>
      <c r="L54" s="88">
        <f>IFERROR(__xludf.DUMMYFUNCTION("""COMPUTED_VALUE"""),1.296)</f>
        <v>1.296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IFERROR(__xludf.DUMMYFUNCTION("""COMPUTED_VALUE"""),202.4)</f>
        <v>202.4</v>
      </c>
      <c r="C55">
        <f>IFERROR(__xludf.DUMMYFUNCTION("""COMPUTED_VALUE"""),203.692)</f>
        <v>203.692</v>
      </c>
      <c r="D55" s="88">
        <f>IFERROR(__xludf.DUMMYFUNCTION("""COMPUTED_VALUE"""),191.32)</f>
        <v>191.32</v>
      </c>
      <c r="E55" s="88">
        <f>IFERROR(__xludf.DUMMYFUNCTION("""COMPUTED_VALUE"""),195.52)</f>
        <v>195.52</v>
      </c>
      <c r="F55" s="88">
        <f>IFERROR(__xludf.DUMMYFUNCTION("""COMPUTED_VALUE"""),5.2717518E7)</f>
        <v>52717518</v>
      </c>
      <c r="G55" s="88">
        <f>IFERROR(__xludf.DUMMYFUNCTION("""COMPUTED_VALUE"""),185.700810712246)</f>
        <v>185.7008107</v>
      </c>
      <c r="H55" s="88">
        <f>IFERROR(__xludf.DUMMYFUNCTION("""COMPUTED_VALUE"""),186.886213120547)</f>
        <v>186.8862131</v>
      </c>
      <c r="I55" s="88">
        <f>IFERROR(__xludf.DUMMYFUNCTION("""COMPUTED_VALUE"""),175.534975817524)</f>
        <v>175.5349758</v>
      </c>
      <c r="J55" s="88">
        <f>IFERROR(__xludf.DUMMYFUNCTION("""COMPUTED_VALUE"""),179.388451138628)</f>
        <v>179.3884511</v>
      </c>
      <c r="K55" s="88">
        <f>IFERROR(__xludf.DUMMYFUNCTION("""COMPUTED_VALUE"""),5.2717518E7)</f>
        <v>52717518</v>
      </c>
      <c r="L55" s="88">
        <f>IFERROR(__xludf.DUMMYFUNCTION("""COMPUTED_VALUE"""),0.0)</f>
        <v>0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IFERROR(__xludf.DUMMYFUNCTION("""COMPUTED_VALUE"""),195.13)</f>
        <v>195.13</v>
      </c>
      <c r="C56">
        <f>IFERROR(__xludf.DUMMYFUNCTION("""COMPUTED_VALUE"""),198.95)</f>
        <v>198.95</v>
      </c>
      <c r="D56" s="88">
        <f>IFERROR(__xludf.DUMMYFUNCTION("""COMPUTED_VALUE"""),193.92)</f>
        <v>193.92</v>
      </c>
      <c r="E56" s="88">
        <f>IFERROR(__xludf.DUMMYFUNCTION("""COMPUTED_VALUE"""),198.18)</f>
        <v>198.18</v>
      </c>
      <c r="F56" s="88">
        <f>IFERROR(__xludf.DUMMYFUNCTION("""COMPUTED_VALUE"""),3.3928914E7)</f>
        <v>33928914</v>
      </c>
      <c r="G56" s="88">
        <f>IFERROR(__xludf.DUMMYFUNCTION("""COMPUTED_VALUE"""),179.03062843024)</f>
        <v>179.0306284</v>
      </c>
      <c r="H56" s="88">
        <f>IFERROR(__xludf.DUMMYFUNCTION("""COMPUTED_VALUE"""),182.535455984196)</f>
        <v>182.535456</v>
      </c>
      <c r="I56" s="88">
        <f>IFERROR(__xludf.DUMMYFUNCTION("""COMPUTED_VALUE"""),177.920460540112)</f>
        <v>177.9204605</v>
      </c>
      <c r="J56" s="88">
        <f>IFERROR(__xludf.DUMMYFUNCTION("""COMPUTED_VALUE"""),181.828985508661)</f>
        <v>181.8289855</v>
      </c>
      <c r="K56" s="88">
        <f>IFERROR(__xludf.DUMMYFUNCTION("""COMPUTED_VALUE"""),3.3928914E7)</f>
        <v>33928914</v>
      </c>
      <c r="L56" s="88">
        <f>IFERROR(__xludf.DUMMYFUNCTION("""COMPUTED_VALUE"""),0.0)</f>
        <v>0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IFERROR(__xludf.DUMMYFUNCTION("""COMPUTED_VALUE"""),198.69)</f>
        <v>198.69</v>
      </c>
      <c r="C57">
        <f>IFERROR(__xludf.DUMMYFUNCTION("""COMPUTED_VALUE"""),201.15)</f>
        <v>201.15</v>
      </c>
      <c r="D57" s="88">
        <f>IFERROR(__xludf.DUMMYFUNCTION("""COMPUTED_VALUE"""),194.12)</f>
        <v>194.12</v>
      </c>
      <c r="E57" s="88">
        <f>IFERROR(__xludf.DUMMYFUNCTION("""COMPUTED_VALUE"""),199.5)</f>
        <v>199.5</v>
      </c>
      <c r="F57" s="88">
        <f>IFERROR(__xludf.DUMMYFUNCTION("""COMPUTED_VALUE"""),4.497218E7)</f>
        <v>44972180</v>
      </c>
      <c r="G57" s="88">
        <f>IFERROR(__xludf.DUMMYFUNCTION("""COMPUTED_VALUE"""),182.296907511937)</f>
        <v>182.2969075</v>
      </c>
      <c r="H57" s="88">
        <f>IFERROR(__xludf.DUMMYFUNCTION("""COMPUTED_VALUE"""),183.721076691417)</f>
        <v>183.7210767</v>
      </c>
      <c r="I57" s="88">
        <f>IFERROR(__xludf.DUMMYFUNCTION("""COMPUTED_VALUE"""),177.921281329794)</f>
        <v>177.9212813</v>
      </c>
      <c r="J57" s="88">
        <f>IFERROR(__xludf.DUMMYFUNCTION("""COMPUTED_VALUE"""),182.214043250995)</f>
        <v>182.2140433</v>
      </c>
      <c r="K57" s="88">
        <f>IFERROR(__xludf.DUMMYFUNCTION("""COMPUTED_VALUE"""),4.497218E7)</f>
        <v>44972180</v>
      </c>
      <c r="L57" s="88">
        <f>IFERROR(__xludf.DUMMYFUNCTION("""COMPUTED_VALUE"""),0.883)</f>
        <v>0.883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IFERROR(__xludf.DUMMYFUNCTION("""COMPUTED_VALUE"""),199.52)</f>
        <v>199.52</v>
      </c>
      <c r="C58">
        <f>IFERROR(__xludf.DUMMYFUNCTION("""COMPUTED_VALUE"""),201.51)</f>
        <v>201.51</v>
      </c>
      <c r="D58" s="88">
        <f>IFERROR(__xludf.DUMMYFUNCTION("""COMPUTED_VALUE"""),196.88)</f>
        <v>196.88</v>
      </c>
      <c r="E58" s="88">
        <f>IFERROR(__xludf.DUMMYFUNCTION("""COMPUTED_VALUE"""),199.33)</f>
        <v>199.33</v>
      </c>
      <c r="F58" s="88">
        <f>IFERROR(__xludf.DUMMYFUNCTION("""COMPUTED_VALUE"""),4.395086E7)</f>
        <v>43950860</v>
      </c>
      <c r="G58" s="88">
        <f>IFERROR(__xludf.DUMMYFUNCTION("""COMPUTED_VALUE"""),182.232310323)</f>
        <v>182.2323103</v>
      </c>
      <c r="H58" s="88">
        <f>IFERROR(__xludf.DUMMYFUNCTION("""COMPUTED_VALUE"""),184.049883987509)</f>
        <v>184.049884</v>
      </c>
      <c r="I58" s="88">
        <f>IFERROR(__xludf.DUMMYFUNCTION("""COMPUTED_VALUE"""),179.821056818326)</f>
        <v>179.8210568</v>
      </c>
      <c r="J58" s="88">
        <f>IFERROR(__xludf.DUMMYFUNCTION("""COMPUTED_VALUE"""),182.058773138952)</f>
        <v>182.0587731</v>
      </c>
      <c r="K58" s="88">
        <f>IFERROR(__xludf.DUMMYFUNCTION("""COMPUTED_VALUE"""),4.395086E7)</f>
        <v>43950860</v>
      </c>
      <c r="L58" s="88">
        <f>IFERROR(__xludf.DUMMYFUNCTION("""COMPUTED_VALUE"""),0.0)</f>
        <v>0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IFERROR(__xludf.DUMMYFUNCTION("""COMPUTED_VALUE"""),199.28)</f>
        <v>199.28</v>
      </c>
      <c r="C59">
        <f>IFERROR(__xludf.DUMMYFUNCTION("""COMPUTED_VALUE"""),199.6)</f>
        <v>199.6</v>
      </c>
      <c r="D59" s="88">
        <f>IFERROR(__xludf.DUMMYFUNCTION("""COMPUTED_VALUE"""),189.97)</f>
        <v>189.97</v>
      </c>
      <c r="E59" s="88">
        <f>IFERROR(__xludf.DUMMYFUNCTION("""COMPUTED_VALUE"""),192.09)</f>
        <v>192.09</v>
      </c>
      <c r="F59" s="88">
        <f>IFERROR(__xludf.DUMMYFUNCTION("""COMPUTED_VALUE"""),4.1943696E7)</f>
        <v>41943696</v>
      </c>
      <c r="G59" s="88">
        <f>IFERROR(__xludf.DUMMYFUNCTION("""COMPUTED_VALUE"""),182.013105458939)</f>
        <v>182.0131055</v>
      </c>
      <c r="H59" s="88">
        <f>IFERROR(__xludf.DUMMYFUNCTION("""COMPUTED_VALUE"""),182.305378611021)</f>
        <v>182.3053786</v>
      </c>
      <c r="I59" s="88">
        <f>IFERROR(__xludf.DUMMYFUNCTION("""COMPUTED_VALUE"""),173.509783440559)</f>
        <v>173.5097834</v>
      </c>
      <c r="J59" s="88">
        <f>IFERROR(__xludf.DUMMYFUNCTION("""COMPUTED_VALUE"""),175.446093073101)</f>
        <v>175.4460931</v>
      </c>
      <c r="K59" s="88">
        <f>IFERROR(__xludf.DUMMYFUNCTION("""COMPUTED_VALUE"""),4.1943696E7)</f>
        <v>41943696</v>
      </c>
      <c r="L59" s="88">
        <f>IFERROR(__xludf.DUMMYFUNCTION("""COMPUTED_VALUE"""),0.0)</f>
        <v>0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IFERROR(__xludf.DUMMYFUNCTION("""COMPUTED_VALUE"""),192.2)</f>
        <v>192.2</v>
      </c>
      <c r="C60">
        <f>IFERROR(__xludf.DUMMYFUNCTION("""COMPUTED_VALUE"""),194.95)</f>
        <v>194.95</v>
      </c>
      <c r="D60" s="88">
        <f>IFERROR(__xludf.DUMMYFUNCTION("""COMPUTED_VALUE"""),182.27)</f>
        <v>182.27</v>
      </c>
      <c r="E60" s="88">
        <f>IFERROR(__xludf.DUMMYFUNCTION("""COMPUTED_VALUE"""),191.88)</f>
        <v>191.88</v>
      </c>
      <c r="F60" s="88">
        <f>IFERROR(__xludf.DUMMYFUNCTION("""COMPUTED_VALUE"""),6.1820387E7)</f>
        <v>61820387</v>
      </c>
      <c r="G60" s="88">
        <f>IFERROR(__xludf.DUMMYFUNCTION("""COMPUTED_VALUE"""),175.546561969129)</f>
        <v>175.546562</v>
      </c>
      <c r="H60" s="88">
        <f>IFERROR(__xludf.DUMMYFUNCTION("""COMPUTED_VALUE"""),177.175372166971)</f>
        <v>177.1753722</v>
      </c>
      <c r="I60" s="88">
        <f>IFERROR(__xludf.DUMMYFUNCTION("""COMPUTED_VALUE"""),166.476960718591)</f>
        <v>166.4769607</v>
      </c>
      <c r="J60" s="88">
        <f>IFERROR(__xludf.DUMMYFUNCTION("""COMPUTED_VALUE"""),174.385280386758)</f>
        <v>174.3852804</v>
      </c>
      <c r="K60" s="88">
        <f>IFERROR(__xludf.DUMMYFUNCTION("""COMPUTED_VALUE"""),6.1820387E7)</f>
        <v>61820387</v>
      </c>
      <c r="L60" s="88">
        <f>IFERROR(__xludf.DUMMYFUNCTION("""COMPUTED_VALUE"""),0.953)</f>
        <v>0.953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IFERROR(__xludf.DUMMYFUNCTION("""COMPUTED_VALUE"""),192.54)</f>
        <v>192.54</v>
      </c>
      <c r="C61">
        <f>IFERROR(__xludf.DUMMYFUNCTION("""COMPUTED_VALUE"""),193.27)</f>
        <v>193.27</v>
      </c>
      <c r="D61" s="88">
        <f>IFERROR(__xludf.DUMMYFUNCTION("""COMPUTED_VALUE"""),185.97)</f>
        <v>185.97</v>
      </c>
      <c r="E61" s="88">
        <f>IFERROR(__xludf.DUMMYFUNCTION("""COMPUTED_VALUE"""),189.81)</f>
        <v>189.81</v>
      </c>
      <c r="F61" s="88">
        <f>IFERROR(__xludf.DUMMYFUNCTION("""COMPUTED_VALUE"""),3.8143184E7)</f>
        <v>38143184</v>
      </c>
      <c r="G61" s="88">
        <f>IFERROR(__xludf.DUMMYFUNCTION("""COMPUTED_VALUE"""),174.98510467827)</f>
        <v>174.9851047</v>
      </c>
      <c r="H61" s="88">
        <f>IFERROR(__xludf.DUMMYFUNCTION("""COMPUTED_VALUE"""),175.648546697669)</f>
        <v>175.6485467</v>
      </c>
      <c r="I61" s="88">
        <f>IFERROR(__xludf.DUMMYFUNCTION("""COMPUTED_VALUE"""),169.014126503676)</f>
        <v>169.0141265</v>
      </c>
      <c r="J61" s="88">
        <f>IFERROR(__xludf.DUMMYFUNCTION("""COMPUTED_VALUE"""),172.504013290653)</f>
        <v>172.5040133</v>
      </c>
      <c r="K61" s="88">
        <f>IFERROR(__xludf.DUMMYFUNCTION("""COMPUTED_VALUE"""),3.8143184E7)</f>
        <v>38143184</v>
      </c>
      <c r="L61" s="88">
        <f>IFERROR(__xludf.DUMMYFUNCTION("""COMPUTED_VALUE"""),0.0)</f>
        <v>0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IFERROR(__xludf.DUMMYFUNCTION("""COMPUTED_VALUE"""),189.22)</f>
        <v>189.22</v>
      </c>
      <c r="C62">
        <f>IFERROR(__xludf.DUMMYFUNCTION("""COMPUTED_VALUE"""),193.43)</f>
        <v>193.43</v>
      </c>
      <c r="D62" s="88">
        <f>IFERROR(__xludf.DUMMYFUNCTION("""COMPUTED_VALUE"""),186.26)</f>
        <v>186.26</v>
      </c>
      <c r="E62" s="88">
        <f>IFERROR(__xludf.DUMMYFUNCTION("""COMPUTED_VALUE"""),187.4)</f>
        <v>187.4</v>
      </c>
      <c r="F62" s="88">
        <f>IFERROR(__xludf.DUMMYFUNCTION("""COMPUTED_VALUE"""),4.2411514E7)</f>
        <v>42411514</v>
      </c>
      <c r="G62" s="88">
        <f>IFERROR(__xludf.DUMMYFUNCTION("""COMPUTED_VALUE"""),171.967806727029)</f>
        <v>171.9678067</v>
      </c>
      <c r="H62" s="88">
        <f>IFERROR(__xludf.DUMMYFUNCTION("""COMPUTED_VALUE"""),175.793958647126)</f>
        <v>175.7939586</v>
      </c>
      <c r="I62" s="88">
        <f>IFERROR(__xludf.DUMMYFUNCTION("""COMPUTED_VALUE"""),169.277685662068)</f>
        <v>169.2776857</v>
      </c>
      <c r="J62" s="88">
        <f>IFERROR(__xludf.DUMMYFUNCTION("""COMPUTED_VALUE"""),170.313745801951)</f>
        <v>170.3137458</v>
      </c>
      <c r="K62" s="88">
        <f>IFERROR(__xludf.DUMMYFUNCTION("""COMPUTED_VALUE"""),4.2411514E7)</f>
        <v>42411514</v>
      </c>
      <c r="L62" s="88">
        <f>IFERROR(__xludf.DUMMYFUNCTION("""COMPUTED_VALUE"""),0.0)</f>
        <v>0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IFERROR(__xludf.DUMMYFUNCTION("""COMPUTED_VALUE"""),188.56)</f>
        <v>188.56</v>
      </c>
      <c r="C63">
        <f>IFERROR(__xludf.DUMMYFUNCTION("""COMPUTED_VALUE"""),189.72)</f>
        <v>189.72</v>
      </c>
      <c r="D63" s="88">
        <f>IFERROR(__xludf.DUMMYFUNCTION("""COMPUTED_VALUE"""),178.33)</f>
        <v>178.33</v>
      </c>
      <c r="E63" s="88">
        <f>IFERROR(__xludf.DUMMYFUNCTION("""COMPUTED_VALUE"""),178.84)</f>
        <v>178.84</v>
      </c>
      <c r="F63" s="88">
        <f>IFERROR(__xludf.DUMMYFUNCTION("""COMPUTED_VALUE"""),5.0006524E7)</f>
        <v>50006524</v>
      </c>
      <c r="G63" s="88">
        <f>IFERROR(__xludf.DUMMYFUNCTION("""COMPUTED_VALUE"""),171.367982435517)</f>
        <v>171.3679824</v>
      </c>
      <c r="H63" s="88">
        <f>IFERROR(__xludf.DUMMYFUNCTION("""COMPUTED_VALUE"""),172.422219069083)</f>
        <v>172.4222191</v>
      </c>
      <c r="I63" s="88">
        <f>IFERROR(__xludf.DUMMYFUNCTION("""COMPUTED_VALUE"""),161.206837178994)</f>
        <v>161.2068372</v>
      </c>
      <c r="J63" s="88">
        <f>IFERROR(__xludf.DUMMYFUNCTION("""COMPUTED_VALUE"""),161.667867218591)</f>
        <v>161.6678672</v>
      </c>
      <c r="K63" s="88">
        <f>IFERROR(__xludf.DUMMYFUNCTION("""COMPUTED_VALUE"""),5.0006524E7)</f>
        <v>50006524</v>
      </c>
      <c r="L63" s="88">
        <f>IFERROR(__xludf.DUMMYFUNCTION("""COMPUTED_VALUE"""),1.006)</f>
        <v>1.006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IFERROR(__xludf.DUMMYFUNCTION("""COMPUTED_VALUE"""),177.38)</f>
        <v>177.38</v>
      </c>
      <c r="C64">
        <f>IFERROR(__xludf.DUMMYFUNCTION("""COMPUTED_VALUE"""),180.36)</f>
        <v>180.36</v>
      </c>
      <c r="D64" s="88">
        <f>IFERROR(__xludf.DUMMYFUNCTION("""COMPUTED_VALUE"""),166.05)</f>
        <v>166.05</v>
      </c>
      <c r="E64" s="88">
        <f>IFERROR(__xludf.DUMMYFUNCTION("""COMPUTED_VALUE"""),176.61)</f>
        <v>176.61</v>
      </c>
      <c r="F64" s="88">
        <f>IFERROR(__xludf.DUMMYFUNCTION("""COMPUTED_VALUE"""),5.4703609E7)</f>
        <v>54703609</v>
      </c>
      <c r="G64" s="88">
        <f>IFERROR(__xludf.DUMMYFUNCTION("""COMPUTED_VALUE"""),160.348055732686)</f>
        <v>160.3480557</v>
      </c>
      <c r="H64" s="88">
        <f>IFERROR(__xludf.DUMMYFUNCTION("""COMPUTED_VALUE"""),163.041917532683)</f>
        <v>163.0419175</v>
      </c>
      <c r="I64" s="88">
        <f>IFERROR(__xludf.DUMMYFUNCTION("""COMPUTED_VALUE"""),150.10595700988)</f>
        <v>150.105957</v>
      </c>
      <c r="J64" s="88">
        <f>IFERROR(__xludf.DUMMYFUNCTION("""COMPUTED_VALUE"""),159.651990770942)</f>
        <v>159.6519908</v>
      </c>
      <c r="K64" s="88">
        <f>IFERROR(__xludf.DUMMYFUNCTION("""COMPUTED_VALUE"""),5.4703609E7)</f>
        <v>54703609</v>
      </c>
      <c r="L64" s="88">
        <f>IFERROR(__xludf.DUMMYFUNCTION("""COMPUTED_VALUE"""),0.0)</f>
        <v>0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IFERROR(__xludf.DUMMYFUNCTION("""COMPUTED_VALUE"""),177.75)</f>
        <v>177.75</v>
      </c>
      <c r="C65">
        <f>IFERROR(__xludf.DUMMYFUNCTION("""COMPUTED_VALUE"""),185.115)</f>
        <v>185.115</v>
      </c>
      <c r="D65" s="88">
        <f>IFERROR(__xludf.DUMMYFUNCTION("""COMPUTED_VALUE"""),165.96)</f>
        <v>165.96</v>
      </c>
      <c r="E65" s="88">
        <f>IFERROR(__xludf.DUMMYFUNCTION("""COMPUTED_VALUE"""),183.77)</f>
        <v>183.77</v>
      </c>
      <c r="F65" s="88">
        <f>IFERROR(__xludf.DUMMYFUNCTION("""COMPUTED_VALUE"""),8.2600328E7)</f>
        <v>82600328</v>
      </c>
      <c r="G65" s="88">
        <f>IFERROR(__xludf.DUMMYFUNCTION("""COMPUTED_VALUE"""),160.682528506512)</f>
        <v>160.6825285</v>
      </c>
      <c r="H65" s="88">
        <f>IFERROR(__xludf.DUMMYFUNCTION("""COMPUTED_VALUE"""),167.34034466657)</f>
        <v>167.3403447</v>
      </c>
      <c r="I65" s="88">
        <f>IFERROR(__xludf.DUMMYFUNCTION("""COMPUTED_VALUE"""),150.024598767599)</f>
        <v>150.0245988</v>
      </c>
      <c r="J65" s="88">
        <f>IFERROR(__xludf.DUMMYFUNCTION("""COMPUTED_VALUE"""),166.124490934693)</f>
        <v>166.1244909</v>
      </c>
      <c r="K65" s="88">
        <f>IFERROR(__xludf.DUMMYFUNCTION("""COMPUTED_VALUE"""),8.2600328E7)</f>
        <v>82600328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IFERROR(__xludf.DUMMYFUNCTION("""COMPUTED_VALUE"""),186.93)</f>
        <v>186.93</v>
      </c>
      <c r="C66">
        <f>IFERROR(__xludf.DUMMYFUNCTION("""COMPUTED_VALUE"""),193.4462)</f>
        <v>193.4462</v>
      </c>
      <c r="D66" s="88">
        <f>IFERROR(__xludf.DUMMYFUNCTION("""COMPUTED_VALUE"""),183.31)</f>
        <v>183.31</v>
      </c>
      <c r="E66" s="88">
        <f>IFERROR(__xludf.DUMMYFUNCTION("""COMPUTED_VALUE"""),192.05)</f>
        <v>192.05</v>
      </c>
      <c r="F66" s="88">
        <f>IFERROR(__xludf.DUMMYFUNCTION("""COMPUTED_VALUE"""),6.2484546E7)</f>
        <v>62484546</v>
      </c>
      <c r="G66" s="88">
        <f>IFERROR(__xludf.DUMMYFUNCTION("""COMPUTED_VALUE"""),168.981069219253)</f>
        <v>168.9810692</v>
      </c>
      <c r="H66" s="88">
        <f>IFERROR(__xludf.DUMMYFUNCTION("""COMPUTED_VALUE"""),173.845042730905)</f>
        <v>173.8450427</v>
      </c>
      <c r="I66" s="88">
        <f>IFERROR(__xludf.DUMMYFUNCTION("""COMPUTED_VALUE"""),164.735904778704)</f>
        <v>164.7359048</v>
      </c>
      <c r="J66" s="88">
        <f>IFERROR(__xludf.DUMMYFUNCTION("""COMPUTED_VALUE"""),172.590314291365)</f>
        <v>172.5903143</v>
      </c>
      <c r="K66" s="88">
        <f>IFERROR(__xludf.DUMMYFUNCTION("""COMPUTED_VALUE"""),6.2484546E7)</f>
        <v>62484546</v>
      </c>
      <c r="L66" s="88">
        <f>IFERROR(__xludf.DUMMYFUNCTION("""COMPUTED_VALUE"""),1.092)</f>
        <v>1.092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IFERROR(__xludf.DUMMYFUNCTION("""COMPUTED_VALUE"""),191.37)</f>
        <v>191.37</v>
      </c>
      <c r="C67">
        <f>IFERROR(__xludf.DUMMYFUNCTION("""COMPUTED_VALUE"""),194.06)</f>
        <v>194.06</v>
      </c>
      <c r="D67" s="88">
        <f>IFERROR(__xludf.DUMMYFUNCTION("""COMPUTED_VALUE"""),185.36)</f>
        <v>185.36</v>
      </c>
      <c r="E67" s="88">
        <f>IFERROR(__xludf.DUMMYFUNCTION("""COMPUTED_VALUE"""),190.98)</f>
        <v>190.98</v>
      </c>
      <c r="F67" s="88">
        <f>IFERROR(__xludf.DUMMYFUNCTION("""COMPUTED_VALUE"""),3.8628911E7)</f>
        <v>38628911</v>
      </c>
      <c r="G67" s="88">
        <f>IFERROR(__xludf.DUMMYFUNCTION("""COMPUTED_VALUE"""),171.979216068412)</f>
        <v>171.9792161</v>
      </c>
      <c r="H67" s="88">
        <f>IFERROR(__xludf.DUMMYFUNCTION("""COMPUTED_VALUE"""),174.396648744505)</f>
        <v>174.3966487</v>
      </c>
      <c r="I67" s="88">
        <f>IFERROR(__xludf.DUMMYFUNCTION("""COMPUTED_VALUE"""),166.578186186136)</f>
        <v>166.5781862</v>
      </c>
      <c r="J67" s="88">
        <f>IFERROR(__xludf.DUMMYFUNCTION("""COMPUTED_VALUE"""),171.628733264071)</f>
        <v>171.6287333</v>
      </c>
      <c r="K67" s="88">
        <f>IFERROR(__xludf.DUMMYFUNCTION("""COMPUTED_VALUE"""),3.8628911E7)</f>
        <v>38628911</v>
      </c>
      <c r="L67" s="88">
        <f>IFERROR(__xludf.DUMMYFUNCTION("""COMPUTED_VALUE"""),0.0)</f>
        <v>0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IFERROR(__xludf.DUMMYFUNCTION("""COMPUTED_VALUE"""),190.56)</f>
        <v>190.56</v>
      </c>
      <c r="C68">
        <f>IFERROR(__xludf.DUMMYFUNCTION("""COMPUTED_VALUE"""),192.0)</f>
        <v>192</v>
      </c>
      <c r="D68" s="88">
        <f>IFERROR(__xludf.DUMMYFUNCTION("""COMPUTED_VALUE"""),173.35)</f>
        <v>173.35</v>
      </c>
      <c r="E68" s="88">
        <f>IFERROR(__xludf.DUMMYFUNCTION("""COMPUTED_VALUE"""),175.97)</f>
        <v>175.97</v>
      </c>
      <c r="F68" s="88">
        <f>IFERROR(__xludf.DUMMYFUNCTION("""COMPUTED_VALUE"""),3.8175215E7)</f>
        <v>38175215</v>
      </c>
      <c r="G68" s="88">
        <f>IFERROR(__xludf.DUMMYFUNCTION("""COMPUTED_VALUE"""),171.251290244012)</f>
        <v>171.2512902</v>
      </c>
      <c r="H68" s="88">
        <f>IFERROR(__xludf.DUMMYFUNCTION("""COMPUTED_VALUE"""),172.545380598501)</f>
        <v>172.5453806</v>
      </c>
      <c r="I68" s="88">
        <f>IFERROR(__xludf.DUMMYFUNCTION("""COMPUTED_VALUE"""),155.785113160157)</f>
        <v>155.7851132</v>
      </c>
      <c r="J68" s="88">
        <f>IFERROR(__xludf.DUMMYFUNCTION("""COMPUTED_VALUE"""),158.13963866624)</f>
        <v>158.1396387</v>
      </c>
      <c r="K68" s="88">
        <f>IFERROR(__xludf.DUMMYFUNCTION("""COMPUTED_VALUE"""),3.8175215E7)</f>
        <v>38175215</v>
      </c>
      <c r="L68" s="88">
        <f>IFERROR(__xludf.DUMMYFUNCTION("""COMPUTED_VALUE"""),0.0)</f>
        <v>0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IFERROR(__xludf.DUMMYFUNCTION("""COMPUTED_VALUE"""),175.71)</f>
        <v>175.71</v>
      </c>
      <c r="C69">
        <f>IFERROR(__xludf.DUMMYFUNCTION("""COMPUTED_VALUE"""),185.99)</f>
        <v>185.99</v>
      </c>
      <c r="D69" s="88">
        <f>IFERROR(__xludf.DUMMYFUNCTION("""COMPUTED_VALUE"""),171.3601)</f>
        <v>171.3601</v>
      </c>
      <c r="E69" s="88">
        <f>IFERROR(__xludf.DUMMYFUNCTION("""COMPUTED_VALUE"""),177.11)</f>
        <v>177.11</v>
      </c>
      <c r="F69" s="88">
        <f>IFERROR(__xludf.DUMMYFUNCTION("""COMPUTED_VALUE"""),5.7336788E7)</f>
        <v>57336788</v>
      </c>
      <c r="G69" s="88">
        <f>IFERROR(__xludf.DUMMYFUNCTION("""COMPUTED_VALUE"""),157.905983463347)</f>
        <v>157.9059835</v>
      </c>
      <c r="H69" s="88">
        <f>IFERROR(__xludf.DUMMYFUNCTION("""COMPUTED_VALUE"""),166.264561006954)</f>
        <v>166.264561</v>
      </c>
      <c r="I69" s="88">
        <f>IFERROR(__xludf.DUMMYFUNCTION("""COMPUTED_VALUE"""),153.996842051548)</f>
        <v>153.9968421</v>
      </c>
      <c r="J69" s="88">
        <f>IFERROR(__xludf.DUMMYFUNCTION("""COMPUTED_VALUE"""),158.326342276153)</f>
        <v>158.3263423</v>
      </c>
      <c r="K69" s="88">
        <f>IFERROR(__xludf.DUMMYFUNCTION("""COMPUTED_VALUE"""),5.7336788E7)</f>
        <v>57336788</v>
      </c>
      <c r="L69" s="88">
        <f>IFERROR(__xludf.DUMMYFUNCTION("""COMPUTED_VALUE"""),0.953)</f>
        <v>0.953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IFERROR(__xludf.DUMMYFUNCTION("""COMPUTED_VALUE"""),181.11)</f>
        <v>181.11</v>
      </c>
      <c r="C70">
        <f>IFERROR(__xludf.DUMMYFUNCTION("""COMPUTED_VALUE"""),193.75)</f>
        <v>193.75</v>
      </c>
      <c r="D70" s="88">
        <f>IFERROR(__xludf.DUMMYFUNCTION("""COMPUTED_VALUE"""),168.08)</f>
        <v>168.08</v>
      </c>
      <c r="E70" s="88">
        <f>IFERROR(__xludf.DUMMYFUNCTION("""COMPUTED_VALUE"""),193.0)</f>
        <v>193</v>
      </c>
      <c r="F70" s="88">
        <f>IFERROR(__xludf.DUMMYFUNCTION("""COMPUTED_VALUE"""),7.5865612E7)</f>
        <v>75865612</v>
      </c>
      <c r="G70" s="88">
        <f>IFERROR(__xludf.DUMMYFUNCTION("""COMPUTED_VALUE"""),161.902116479216)</f>
        <v>161.9021165</v>
      </c>
      <c r="H70" s="88">
        <f>IFERROR(__xludf.DUMMYFUNCTION("""COMPUTED_VALUE"""),173.201562960898)</f>
        <v>173.201563</v>
      </c>
      <c r="I70" s="88">
        <f>IFERROR(__xludf.DUMMYFUNCTION("""COMPUTED_VALUE"""),150.254032012736)</f>
        <v>150.254032</v>
      </c>
      <c r="J70" s="88">
        <f>IFERROR(__xludf.DUMMYFUNCTION("""COMPUTED_VALUE"""),172.531105297823)</f>
        <v>172.5311053</v>
      </c>
      <c r="K70" s="88">
        <f>IFERROR(__xludf.DUMMYFUNCTION("""COMPUTED_VALUE"""),7.5865612E7)</f>
        <v>75865612</v>
      </c>
      <c r="L70" s="88">
        <f>IFERROR(__xludf.DUMMYFUNCTION("""COMPUTED_VALUE"""),0.0)</f>
        <v>0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IFERROR(__xludf.DUMMYFUNCTION("""COMPUTED_VALUE"""),192.95)</f>
        <v>192.95</v>
      </c>
      <c r="C71">
        <f>IFERROR(__xludf.DUMMYFUNCTION("""COMPUTED_VALUE"""),195.46)</f>
        <v>195.46</v>
      </c>
      <c r="D71" s="88">
        <f>IFERROR(__xludf.DUMMYFUNCTION("""COMPUTED_VALUE"""),187.19)</f>
        <v>187.19</v>
      </c>
      <c r="E71" s="88">
        <f>IFERROR(__xludf.DUMMYFUNCTION("""COMPUTED_VALUE"""),190.65)</f>
        <v>190.65</v>
      </c>
      <c r="F71" s="88">
        <f>IFERROR(__xludf.DUMMYFUNCTION("""COMPUTED_VALUE"""),3.5082721E7)</f>
        <v>35082721</v>
      </c>
      <c r="G71" s="88">
        <f>IFERROR(__xludf.DUMMYFUNCTION("""COMPUTED_VALUE"""),172.486408120285)</f>
        <v>172.4864081</v>
      </c>
      <c r="H71" s="88">
        <f>IFERROR(__xludf.DUMMYFUNCTION("""COMPUTED_VALUE"""),174.730206432707)</f>
        <v>174.7302064</v>
      </c>
      <c r="I71" s="88">
        <f>IFERROR(__xludf.DUMMYFUNCTION("""COMPUTED_VALUE"""),167.337293267873)</f>
        <v>167.3372933</v>
      </c>
      <c r="J71" s="88">
        <f>IFERROR(__xludf.DUMMYFUNCTION("""COMPUTED_VALUE"""),170.430337953523)</f>
        <v>170.430338</v>
      </c>
      <c r="K71" s="88">
        <f>IFERROR(__xludf.DUMMYFUNCTION("""COMPUTED_VALUE"""),3.5082721E7)</f>
        <v>35082721</v>
      </c>
      <c r="L71" s="88">
        <f>IFERROR(__xludf.DUMMYFUNCTION("""COMPUTED_VALUE"""),0.0)</f>
        <v>0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IFERROR(__xludf.DUMMYFUNCTION("""COMPUTED_VALUE"""),188.84)</f>
        <v>188.84</v>
      </c>
      <c r="C72">
        <f>IFERROR(__xludf.DUMMYFUNCTION("""COMPUTED_VALUE"""),195.53)</f>
        <v>195.53</v>
      </c>
      <c r="D72" s="88">
        <f>IFERROR(__xludf.DUMMYFUNCTION("""COMPUTED_VALUE"""),188.24)</f>
        <v>188.24</v>
      </c>
      <c r="E72" s="88">
        <f>IFERROR(__xludf.DUMMYFUNCTION("""COMPUTED_VALUE"""),194.23)</f>
        <v>194.23</v>
      </c>
      <c r="F72" s="88">
        <f>IFERROR(__xludf.DUMMYFUNCTION("""COMPUTED_VALUE"""),3.2509149E7)</f>
        <v>32509149</v>
      </c>
      <c r="G72" s="88">
        <f>IFERROR(__xludf.DUMMYFUNCTION("""COMPUTED_VALUE"""),168.812300126637)</f>
        <v>168.8123001</v>
      </c>
      <c r="H72" s="88">
        <f>IFERROR(__xludf.DUMMYFUNCTION("""COMPUTED_VALUE"""),174.247476915294)</f>
        <v>174.2474769</v>
      </c>
      <c r="I72" s="88">
        <f>IFERROR(__xludf.DUMMYFUNCTION("""COMPUTED_VALUE"""),168.275933996177)</f>
        <v>168.275934</v>
      </c>
      <c r="J72" s="88">
        <f>IFERROR(__xludf.DUMMYFUNCTION("""COMPUTED_VALUE"""),172.82821057808)</f>
        <v>172.8282106</v>
      </c>
      <c r="K72" s="88">
        <f>IFERROR(__xludf.DUMMYFUNCTION("""COMPUTED_VALUE"""),3.2509149E7)</f>
        <v>32509149</v>
      </c>
      <c r="L72" s="88">
        <f>IFERROR(__xludf.DUMMYFUNCTION("""COMPUTED_VALUE"""),0.902)</f>
        <v>0.902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IFERROR(__xludf.DUMMYFUNCTION("""COMPUTED_VALUE"""),193.49)</f>
        <v>193.49</v>
      </c>
      <c r="C73">
        <f>IFERROR(__xludf.DUMMYFUNCTION("""COMPUTED_VALUE"""),195.95)</f>
        <v>195.95</v>
      </c>
      <c r="D73" s="88">
        <f>IFERROR(__xludf.DUMMYFUNCTION("""COMPUTED_VALUE"""),189.53)</f>
        <v>189.53</v>
      </c>
      <c r="E73" s="88">
        <f>IFERROR(__xludf.DUMMYFUNCTION("""COMPUTED_VALUE"""),191.96)</f>
        <v>191.96</v>
      </c>
      <c r="F73" s="88">
        <f>IFERROR(__xludf.DUMMYFUNCTION("""COMPUTED_VALUE"""),2.575919E7)</f>
        <v>25759190</v>
      </c>
      <c r="G73" s="88">
        <f>IFERROR(__xludf.DUMMYFUNCTION("""COMPUTED_VALUE"""),172.169749599716)</f>
        <v>172.1697496</v>
      </c>
      <c r="H73" s="88">
        <f>IFERROR(__xludf.DUMMYFUNCTION("""COMPUTED_VALUE"""),174.358687446712)</f>
        <v>174.3586874</v>
      </c>
      <c r="I73" s="88">
        <f>IFERROR(__xludf.DUMMYFUNCTION("""COMPUTED_VALUE"""),168.646093553331)</f>
        <v>168.6460936</v>
      </c>
      <c r="J73" s="88">
        <f>IFERROR(__xludf.DUMMYFUNCTION("""COMPUTED_VALUE"""),170.80833703634)</f>
        <v>170.808337</v>
      </c>
      <c r="K73" s="88">
        <f>IFERROR(__xludf.DUMMYFUNCTION("""COMPUTED_VALUE"""),2.575919E7)</f>
        <v>25759190</v>
      </c>
      <c r="L73" s="88">
        <f>IFERROR(__xludf.DUMMYFUNCTION("""COMPUTED_VALUE"""),0.0)</f>
        <v>0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IFERROR(__xludf.DUMMYFUNCTION("""COMPUTED_VALUE"""),191.1)</f>
        <v>191.1</v>
      </c>
      <c r="C74">
        <f>IFERROR(__xludf.DUMMYFUNCTION("""COMPUTED_VALUE"""),194.74)</f>
        <v>194.74</v>
      </c>
      <c r="D74" s="88">
        <f>IFERROR(__xludf.DUMMYFUNCTION("""COMPUTED_VALUE"""),187.47)</f>
        <v>187.47</v>
      </c>
      <c r="E74" s="88">
        <f>IFERROR(__xludf.DUMMYFUNCTION("""COMPUTED_VALUE"""),189.17)</f>
        <v>189.17</v>
      </c>
      <c r="F74" s="88">
        <f>IFERROR(__xludf.DUMMYFUNCTION("""COMPUTED_VALUE"""),3.0250181E7)</f>
        <v>30250181</v>
      </c>
      <c r="G74" s="88">
        <f>IFERROR(__xludf.DUMMYFUNCTION("""COMPUTED_VALUE"""),170.043098602024)</f>
        <v>170.0430986</v>
      </c>
      <c r="H74" s="88">
        <f>IFERROR(__xludf.DUMMYFUNCTION("""COMPUTED_VALUE"""),173.282014765872)</f>
        <v>173.2820148</v>
      </c>
      <c r="I74" s="88">
        <f>IFERROR(__xludf.DUMMYFUNCTION("""COMPUTED_VALUE"""),166.813080559505)</f>
        <v>166.8130806</v>
      </c>
      <c r="J74" s="88">
        <f>IFERROR(__xludf.DUMMYFUNCTION("""COMPUTED_VALUE"""),168.325761185478)</f>
        <v>168.3257612</v>
      </c>
      <c r="K74" s="88">
        <f>IFERROR(__xludf.DUMMYFUNCTION("""COMPUTED_VALUE"""),3.0250181E7)</f>
        <v>30250181</v>
      </c>
      <c r="L74" s="88">
        <f>IFERROR(__xludf.DUMMYFUNCTION("""COMPUTED_VALUE"""),0.0)</f>
        <v>0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IFERROR(__xludf.DUMMYFUNCTION("""COMPUTED_VALUE"""),189.2)</f>
        <v>189.2</v>
      </c>
      <c r="C75">
        <f>IFERROR(__xludf.DUMMYFUNCTION("""COMPUTED_VALUE"""),194.47)</f>
        <v>194.47</v>
      </c>
      <c r="D75" s="88">
        <f>IFERROR(__xludf.DUMMYFUNCTION("""COMPUTED_VALUE"""),187.15)</f>
        <v>187.15</v>
      </c>
      <c r="E75" s="88">
        <f>IFERROR(__xludf.DUMMYFUNCTION("""COMPUTED_VALUE"""),193.31)</f>
        <v>193.31</v>
      </c>
      <c r="F75" s="88">
        <f>IFERROR(__xludf.DUMMYFUNCTION("""COMPUTED_VALUE"""),3.5630044E7)</f>
        <v>35630044</v>
      </c>
      <c r="G75" s="88">
        <f>IFERROR(__xludf.DUMMYFUNCTION("""COMPUTED_VALUE"""),168.352455549466)</f>
        <v>168.3524555</v>
      </c>
      <c r="H75" s="88">
        <f>IFERROR(__xludf.DUMMYFUNCTION("""COMPUTED_VALUE"""),172.169749599716)</f>
        <v>172.1697496</v>
      </c>
      <c r="I75" s="88">
        <f>IFERROR(__xludf.DUMMYFUNCTION("""COMPUTED_VALUE"""),165.964808320841)</f>
        <v>165.9648083</v>
      </c>
      <c r="J75" s="88">
        <f>IFERROR(__xludf.DUMMYFUNCTION("""COMPUTED_VALUE"""),171.134886096451)</f>
        <v>171.1348861</v>
      </c>
      <c r="K75" s="88">
        <f>IFERROR(__xludf.DUMMYFUNCTION("""COMPUTED_VALUE"""),3.5630044E7)</f>
        <v>35630044</v>
      </c>
      <c r="L75" s="88">
        <f>IFERROR(__xludf.DUMMYFUNCTION("""COMPUTED_VALUE"""),0.984)</f>
        <v>0.984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IFERROR(__xludf.DUMMYFUNCTION("""COMPUTED_VALUE"""),193.2)</f>
        <v>193.2</v>
      </c>
      <c r="C76">
        <f>IFERROR(__xludf.DUMMYFUNCTION("""COMPUTED_VALUE"""),194.65)</f>
        <v>194.65</v>
      </c>
      <c r="D76" s="88">
        <f>IFERROR(__xludf.DUMMYFUNCTION("""COMPUTED_VALUE"""),181.47)</f>
        <v>181.47</v>
      </c>
      <c r="E76" s="88">
        <f>IFERROR(__xludf.DUMMYFUNCTION("""COMPUTED_VALUE"""),183.5)</f>
        <v>183.5</v>
      </c>
      <c r="F76" s="88">
        <f>IFERROR(__xludf.DUMMYFUNCTION("""COMPUTED_VALUE"""),3.0736282E7)</f>
        <v>30736282</v>
      </c>
      <c r="G76" s="88">
        <f>IFERROR(__xludf.DUMMYFUNCTION("""COMPUTED_VALUE"""),171.037504494513)</f>
        <v>171.0375045</v>
      </c>
      <c r="H76" s="88">
        <f>IFERROR(__xludf.DUMMYFUNCTION("""COMPUTED_VALUE"""),172.321171065513)</f>
        <v>172.3211711</v>
      </c>
      <c r="I76" s="88">
        <f>IFERROR(__xludf.DUMMYFUNCTION("""COMPUTED_VALUE"""),160.653084578775)</f>
        <v>160.6530846</v>
      </c>
      <c r="J76" s="88">
        <f>IFERROR(__xludf.DUMMYFUNCTION("""COMPUTED_VALUE"""),162.450217778174)</f>
        <v>162.4502178</v>
      </c>
      <c r="K76" s="88">
        <f>IFERROR(__xludf.DUMMYFUNCTION("""COMPUTED_VALUE"""),3.0736282E7)</f>
        <v>30736282</v>
      </c>
      <c r="L76" s="88">
        <f>IFERROR(__xludf.DUMMYFUNCTION("""COMPUTED_VALUE"""),0.0)</f>
        <v>0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IFERROR(__xludf.DUMMYFUNCTION("""COMPUTED_VALUE"""),182.99)</f>
        <v>182.99</v>
      </c>
      <c r="C77">
        <f>IFERROR(__xludf.DUMMYFUNCTION("""COMPUTED_VALUE"""),189.72)</f>
        <v>189.72</v>
      </c>
      <c r="D77" s="88">
        <f>IFERROR(__xludf.DUMMYFUNCTION("""COMPUTED_VALUE"""),182.0868)</f>
        <v>182.0868</v>
      </c>
      <c r="E77" s="88">
        <f>IFERROR(__xludf.DUMMYFUNCTION("""COMPUTED_VALUE"""),189.29)</f>
        <v>189.29</v>
      </c>
      <c r="F77" s="88">
        <f>IFERROR(__xludf.DUMMYFUNCTION("""COMPUTED_VALUE"""),5.1626988E7)</f>
        <v>51626988</v>
      </c>
      <c r="G77" s="88">
        <f>IFERROR(__xludf.DUMMYFUNCTION("""COMPUTED_VALUE"""),161.998721260098)</f>
        <v>161.9987213</v>
      </c>
      <c r="H77" s="88">
        <f>IFERROR(__xludf.DUMMYFUNCTION("""COMPUTED_VALUE"""),167.956704724115)</f>
        <v>167.9567047</v>
      </c>
      <c r="I77" s="88">
        <f>IFERROR(__xludf.DUMMYFUNCTION("""COMPUTED_VALUE"""),161.199129779459)</f>
        <v>161.1991298</v>
      </c>
      <c r="J77" s="88">
        <f>IFERROR(__xludf.DUMMYFUNCTION("""COMPUTED_VALUE"""),167.576031189267)</f>
        <v>167.5760312</v>
      </c>
      <c r="K77" s="88">
        <f>IFERROR(__xludf.DUMMYFUNCTION("""COMPUTED_VALUE"""),5.1626988E7)</f>
        <v>51626988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IFERROR(__xludf.DUMMYFUNCTION("""COMPUTED_VALUE"""),188.4)</f>
        <v>188.4</v>
      </c>
      <c r="C78">
        <f>IFERROR(__xludf.DUMMYFUNCTION("""COMPUTED_VALUE"""),191.634)</f>
        <v>191.634</v>
      </c>
      <c r="D78" s="88">
        <f>IFERROR(__xludf.DUMMYFUNCTION("""COMPUTED_VALUE"""),181.44)</f>
        <v>181.44</v>
      </c>
      <c r="E78" s="88">
        <f>IFERROR(__xludf.DUMMYFUNCTION("""COMPUTED_VALUE"""),189.29)</f>
        <v>189.29</v>
      </c>
      <c r="F78" s="88">
        <f>IFERROR(__xludf.DUMMYFUNCTION("""COMPUTED_VALUE"""),4.9040173E7)</f>
        <v>49040173</v>
      </c>
      <c r="G78" s="88">
        <f>IFERROR(__xludf.DUMMYFUNCTION("""COMPUTED_VALUE"""),166.788125500861)</f>
        <v>166.7881255</v>
      </c>
      <c r="H78" s="88">
        <f>IFERROR(__xludf.DUMMYFUNCTION("""COMPUTED_VALUE"""),169.651144597834)</f>
        <v>169.6511446</v>
      </c>
      <c r="I78" s="88">
        <f>IFERROR(__xludf.DUMMYFUNCTION("""COMPUTED_VALUE"""),159.757202756521)</f>
        <v>159.7572028</v>
      </c>
      <c r="J78" s="88">
        <f>IFERROR(__xludf.DUMMYFUNCTION("""COMPUTED_VALUE"""),166.669096724988)</f>
        <v>166.6690967</v>
      </c>
      <c r="K78" s="88">
        <f>IFERROR(__xludf.DUMMYFUNCTION("""COMPUTED_VALUE"""),4.9040173E7)</f>
        <v>49040173</v>
      </c>
      <c r="L78" s="88">
        <f>IFERROR(__xludf.DUMMYFUNCTION("""COMPUTED_VALUE"""),1.026)</f>
        <v>1.026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IFERROR(__xludf.DUMMYFUNCTION("""COMPUTED_VALUE"""),190.03)</f>
        <v>190.03</v>
      </c>
      <c r="C79">
        <f>IFERROR(__xludf.DUMMYFUNCTION("""COMPUTED_VALUE"""),190.63)</f>
        <v>190.63</v>
      </c>
      <c r="D79" s="88">
        <f>IFERROR(__xludf.DUMMYFUNCTION("""COMPUTED_VALUE"""),183.45)</f>
        <v>183.45</v>
      </c>
      <c r="E79" s="88">
        <f>IFERROR(__xludf.DUMMYFUNCTION("""COMPUTED_VALUE"""),185.2)</f>
        <v>185.2</v>
      </c>
      <c r="F79" s="88">
        <f>IFERROR(__xludf.DUMMYFUNCTION("""COMPUTED_VALUE"""),2.7698042E7)</f>
        <v>27698042</v>
      </c>
      <c r="G79" s="88">
        <f>IFERROR(__xludf.DUMMYFUNCTION("""COMPUTED_VALUE"""),167.320663799723)</f>
        <v>167.3206638</v>
      </c>
      <c r="H79" s="88">
        <f>IFERROR(__xludf.DUMMYFUNCTION("""COMPUTED_VALUE"""),167.848961427886)</f>
        <v>167.8489614</v>
      </c>
      <c r="I79" s="88">
        <f>IFERROR(__xludf.DUMMYFUNCTION("""COMPUTED_VALUE"""),161.526999810867)</f>
        <v>161.5269998</v>
      </c>
      <c r="J79" s="88">
        <f>IFERROR(__xludf.DUMMYFUNCTION("""COMPUTED_VALUE"""),163.06786789301)</f>
        <v>163.0678679</v>
      </c>
      <c r="K79" s="88">
        <f>IFERROR(__xludf.DUMMYFUNCTION("""COMPUTED_VALUE"""),2.7698042E7)</f>
        <v>27698042</v>
      </c>
      <c r="L79" s="88">
        <f>IFERROR(__xludf.DUMMYFUNCTION("""COMPUTED_VALUE"""),0.0)</f>
        <v>0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IFERROR(__xludf.DUMMYFUNCTION("""COMPUTED_VALUE"""),184.93)</f>
        <v>184.93</v>
      </c>
      <c r="C80">
        <f>IFERROR(__xludf.DUMMYFUNCTION("""COMPUTED_VALUE"""),185.05)</f>
        <v>185.05</v>
      </c>
      <c r="D80" s="88">
        <f>IFERROR(__xludf.DUMMYFUNCTION("""COMPUTED_VALUE"""),166.85)</f>
        <v>166.85</v>
      </c>
      <c r="E80" s="88">
        <f>IFERROR(__xludf.DUMMYFUNCTION("""COMPUTED_VALUE"""),180.34)</f>
        <v>180.34</v>
      </c>
      <c r="F80" s="88">
        <f>IFERROR(__xludf.DUMMYFUNCTION("""COMPUTED_VALUE"""),4.7155466E7)</f>
        <v>47155466</v>
      </c>
      <c r="G80" s="88">
        <f>IFERROR(__xludf.DUMMYFUNCTION("""COMPUTED_VALUE"""),162.830133960336)</f>
        <v>162.830134</v>
      </c>
      <c r="H80" s="88">
        <f>IFERROR(__xludf.DUMMYFUNCTION("""COMPUTED_VALUE"""),162.935793485969)</f>
        <v>162.9357935</v>
      </c>
      <c r="I80" s="88">
        <f>IFERROR(__xludf.DUMMYFUNCTION("""COMPUTED_VALUE"""),146.910765431688)</f>
        <v>146.9107654</v>
      </c>
      <c r="J80" s="88">
        <f>IFERROR(__xludf.DUMMYFUNCTION("""COMPUTED_VALUE"""),158.788657104889)</f>
        <v>158.7886571</v>
      </c>
      <c r="K80" s="88">
        <f>IFERROR(__xludf.DUMMYFUNCTION("""COMPUTED_VALUE"""),4.7155466E7)</f>
        <v>47155466</v>
      </c>
      <c r="L80" s="88">
        <f>IFERROR(__xludf.DUMMYFUNCTION("""COMPUTED_VALUE"""),0.0)</f>
        <v>0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IFERROR(__xludf.DUMMYFUNCTION("""COMPUTED_VALUE"""),180.59)</f>
        <v>180.59</v>
      </c>
      <c r="C81">
        <f>IFERROR(__xludf.DUMMYFUNCTION("""COMPUTED_VALUE"""),185.84)</f>
        <v>185.84</v>
      </c>
      <c r="D81" s="88">
        <f>IFERROR(__xludf.DUMMYFUNCTION("""COMPUTED_VALUE"""),179.77)</f>
        <v>179.77</v>
      </c>
      <c r="E81" s="88">
        <f>IFERROR(__xludf.DUMMYFUNCTION("""COMPUTED_VALUE"""),184.3)</f>
        <v>184.3</v>
      </c>
      <c r="F81" s="88">
        <f>IFERROR(__xludf.DUMMYFUNCTION("""COMPUTED_VALUE"""),1.7064009E7)</f>
        <v>17064009</v>
      </c>
      <c r="G81" s="88">
        <f>IFERROR(__xludf.DUMMYFUNCTION("""COMPUTED_VALUE"""),159.008781116623)</f>
        <v>159.0087811</v>
      </c>
      <c r="H81" s="88">
        <f>IFERROR(__xludf.DUMMYFUNCTION("""COMPUTED_VALUE"""),162.849962449456)</f>
        <v>162.8499624</v>
      </c>
      <c r="I81" s="88">
        <f>IFERROR(__xludf.DUMMYFUNCTION("""COMPUTED_VALUE"""),158.286774358134)</f>
        <v>158.2867744</v>
      </c>
      <c r="J81" s="88">
        <f>IFERROR(__xludf.DUMMYFUNCTION("""COMPUTED_VALUE"""),161.50047395305)</f>
        <v>161.500474</v>
      </c>
      <c r="K81" s="88">
        <f>IFERROR(__xludf.DUMMYFUNCTION("""COMPUTED_VALUE"""),1.7064009E7)</f>
        <v>17064009</v>
      </c>
      <c r="L81" s="88">
        <f>IFERROR(__xludf.DUMMYFUNCTION("""COMPUTED_VALUE"""),0.876)</f>
        <v>0.876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IFERROR(__xludf.DUMMYFUNCTION("""COMPUTED_VALUE"""),183.99)</f>
        <v>183.99</v>
      </c>
      <c r="C82">
        <f>IFERROR(__xludf.DUMMYFUNCTION("""COMPUTED_VALUE"""),184.17)</f>
        <v>184.17</v>
      </c>
      <c r="D82" s="88">
        <f>IFERROR(__xludf.DUMMYFUNCTION("""COMPUTED_VALUE"""),174.7)</f>
        <v>174.7</v>
      </c>
      <c r="E82" s="88">
        <f>IFERROR(__xludf.DUMMYFUNCTION("""COMPUTED_VALUE"""),176.52)</f>
        <v>176.52</v>
      </c>
      <c r="F82" s="88">
        <f>IFERROR(__xludf.DUMMYFUNCTION("""COMPUTED_VALUE"""),2.38643E7)</f>
        <v>23864300</v>
      </c>
      <c r="G82" s="88">
        <f>IFERROR(__xludf.DUMMYFUNCTION("""COMPUTED_VALUE"""),161.228823671306)</f>
        <v>161.2288237</v>
      </c>
      <c r="H82" s="88">
        <f>IFERROR(__xludf.DUMMYFUNCTION("""COMPUTED_VALUE"""),161.386556092964)</f>
        <v>161.3865561</v>
      </c>
      <c r="I82" s="88">
        <f>IFERROR(__xludf.DUMMYFUNCTION("""COMPUTED_VALUE"""),153.088078131296)</f>
        <v>153.0880781</v>
      </c>
      <c r="J82" s="88">
        <f>IFERROR(__xludf.DUMMYFUNCTION("""COMPUTED_VALUE"""),154.682928172503)</f>
        <v>154.6829282</v>
      </c>
      <c r="K82" s="88">
        <f>IFERROR(__xludf.DUMMYFUNCTION("""COMPUTED_VALUE"""),2.38643E7)</f>
        <v>23864300</v>
      </c>
      <c r="L82" s="88">
        <f>IFERROR(__xludf.DUMMYFUNCTION("""COMPUTED_VALUE"""),0.0)</f>
        <v>0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IFERROR(__xludf.DUMMYFUNCTION("""COMPUTED_VALUE"""),176.96)</f>
        <v>176.96</v>
      </c>
      <c r="C83">
        <f>IFERROR(__xludf.DUMMYFUNCTION("""COMPUTED_VALUE"""),182.5)</f>
        <v>182.5</v>
      </c>
      <c r="D83" s="88">
        <f>IFERROR(__xludf.DUMMYFUNCTION("""COMPUTED_VALUE"""),176.96)</f>
        <v>176.96</v>
      </c>
      <c r="E83" s="88">
        <f>IFERROR(__xludf.DUMMYFUNCTION("""COMPUTED_VALUE"""),179.88)</f>
        <v>179.88</v>
      </c>
      <c r="F83" s="88">
        <f>IFERROR(__xludf.DUMMYFUNCTION("""COMPUTED_VALUE"""),1.89014E7)</f>
        <v>18901400</v>
      </c>
      <c r="G83" s="88">
        <f>IFERROR(__xludf.DUMMYFUNCTION("""COMPUTED_VALUE"""),155.068496314334)</f>
        <v>155.0684963</v>
      </c>
      <c r="H83" s="88">
        <f>IFERROR(__xludf.DUMMYFUNCTION("""COMPUTED_VALUE"""),159.923149736471)</f>
        <v>159.9231497</v>
      </c>
      <c r="I83" s="88">
        <f>IFERROR(__xludf.DUMMYFUNCTION("""COMPUTED_VALUE"""),155.068496314334)</f>
        <v>155.0684963</v>
      </c>
      <c r="J83" s="88">
        <f>IFERROR(__xludf.DUMMYFUNCTION("""COMPUTED_VALUE"""),157.627266710117)</f>
        <v>157.6272667</v>
      </c>
      <c r="K83" s="88">
        <f>IFERROR(__xludf.DUMMYFUNCTION("""COMPUTED_VALUE"""),1.89014E7)</f>
        <v>18901400</v>
      </c>
      <c r="L83" s="88">
        <f>IFERROR(__xludf.DUMMYFUNCTION("""COMPUTED_VALUE"""),0.0)</f>
        <v>0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IFERROR(__xludf.DUMMYFUNCTION("""COMPUTED_VALUE"""),179.43)</f>
        <v>179.43</v>
      </c>
      <c r="C84">
        <f>IFERROR(__xludf.DUMMYFUNCTION("""COMPUTED_VALUE"""),180.57)</f>
        <v>180.57</v>
      </c>
      <c r="D84" s="88">
        <f>IFERROR(__xludf.DUMMYFUNCTION("""COMPUTED_VALUE"""),175.944)</f>
        <v>175.944</v>
      </c>
      <c r="E84" s="88">
        <f>IFERROR(__xludf.DUMMYFUNCTION("""COMPUTED_VALUE"""),176.83)</f>
        <v>176.83</v>
      </c>
      <c r="F84" s="88">
        <f>IFERROR(__xludf.DUMMYFUNCTION("""COMPUTED_VALUE"""),1.93567E7)</f>
        <v>19356700</v>
      </c>
      <c r="G84" s="88">
        <f>IFERROR(__xludf.DUMMYFUNCTION("""COMPUTED_VALUE"""),157.232935655973)</f>
        <v>157.2329357</v>
      </c>
      <c r="H84" s="88">
        <f>IFERROR(__xludf.DUMMYFUNCTION("""COMPUTED_VALUE"""),157.85510243029)</f>
        <v>157.8551024</v>
      </c>
      <c r="I84" s="88">
        <f>IFERROR(__xludf.DUMMYFUNCTION("""COMPUTED_VALUE"""),153.486656770451)</f>
        <v>153.4866568</v>
      </c>
      <c r="J84" s="88">
        <f>IFERROR(__xludf.DUMMYFUNCTION("""COMPUTED_VALUE"""),154.259568480419)</f>
        <v>154.2595685</v>
      </c>
      <c r="K84" s="88">
        <f>IFERROR(__xludf.DUMMYFUNCTION("""COMPUTED_VALUE"""),1.93567E7)</f>
        <v>19356700</v>
      </c>
      <c r="L84" s="88">
        <f>IFERROR(__xludf.DUMMYFUNCTION("""COMPUTED_VALUE"""),0.809)</f>
        <v>0.809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IFERROR(__xludf.DUMMYFUNCTION("""COMPUTED_VALUE"""),176.55)</f>
        <v>176.55</v>
      </c>
      <c r="C85">
        <f>IFERROR(__xludf.DUMMYFUNCTION("""COMPUTED_VALUE"""),176.69)</f>
        <v>176.69</v>
      </c>
      <c r="D85" s="88">
        <f>IFERROR(__xludf.DUMMYFUNCTION("""COMPUTED_VALUE"""),170.44)</f>
        <v>170.44</v>
      </c>
      <c r="E85" s="88">
        <f>IFERROR(__xludf.DUMMYFUNCTION("""COMPUTED_VALUE"""),172.5)</f>
        <v>172.5</v>
      </c>
      <c r="F85" s="88">
        <f>IFERROR(__xludf.DUMMYFUNCTION("""COMPUTED_VALUE"""),2.06041E7)</f>
        <v>20604100</v>
      </c>
      <c r="G85" s="88">
        <f>IFERROR(__xludf.DUMMYFUNCTION("""COMPUTED_VALUE"""),154.015307443409)</f>
        <v>154.0153074</v>
      </c>
      <c r="H85" s="88">
        <f>IFERROR(__xludf.DUMMYFUNCTION("""COMPUTED_VALUE"""),154.137437961914)</f>
        <v>154.137438</v>
      </c>
      <c r="I85" s="88">
        <f>IFERROR(__xludf.DUMMYFUNCTION("""COMPUTED_VALUE"""),148.685182671507)</f>
        <v>148.6851827</v>
      </c>
      <c r="J85" s="88">
        <f>IFERROR(__xludf.DUMMYFUNCTION("""COMPUTED_VALUE"""),150.482246015225)</f>
        <v>150.482246</v>
      </c>
      <c r="K85" s="88">
        <f>IFERROR(__xludf.DUMMYFUNCTION("""COMPUTED_VALUE"""),2.06041E7)</f>
        <v>20604100</v>
      </c>
      <c r="L85" s="88">
        <f>IFERROR(__xludf.DUMMYFUNCTION("""COMPUTED_VALUE"""),0.0)</f>
        <v>0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IFERROR(__xludf.DUMMYFUNCTION("""COMPUTED_VALUE"""),172.59)</f>
        <v>172.59</v>
      </c>
      <c r="C86">
        <f>IFERROR(__xludf.DUMMYFUNCTION("""COMPUTED_VALUE"""),173.82)</f>
        <v>173.82</v>
      </c>
      <c r="D86" s="88">
        <f>IFERROR(__xludf.DUMMYFUNCTION("""COMPUTED_VALUE"""),166.1121)</f>
        <v>166.1121</v>
      </c>
      <c r="E86" s="88">
        <f>IFERROR(__xludf.DUMMYFUNCTION("""COMPUTED_VALUE"""),171.87)</f>
        <v>171.87</v>
      </c>
      <c r="F86" s="88">
        <f>IFERROR(__xludf.DUMMYFUNCTION("""COMPUTED_VALUE"""),2.74917E7)</f>
        <v>27491700</v>
      </c>
      <c r="G86" s="88">
        <f>IFERROR(__xludf.DUMMYFUNCTION("""COMPUTED_VALUE"""),150.560758491407)</f>
        <v>150.5607585</v>
      </c>
      <c r="H86" s="88">
        <f>IFERROR(__xludf.DUMMYFUNCTION("""COMPUTED_VALUE"""),151.633762332559)</f>
        <v>151.6337623</v>
      </c>
      <c r="I86" s="88">
        <f>IFERROR(__xludf.DUMMYFUNCTION("""COMPUTED_VALUE"""),144.909692164091)</f>
        <v>144.9096922</v>
      </c>
      <c r="J86" s="88">
        <f>IFERROR(__xludf.DUMMYFUNCTION("""COMPUTED_VALUE"""),149.932658681952)</f>
        <v>149.9326587</v>
      </c>
      <c r="K86" s="88">
        <f>IFERROR(__xludf.DUMMYFUNCTION("""COMPUTED_VALUE"""),2.74917E7)</f>
        <v>27491700</v>
      </c>
      <c r="L86" s="88">
        <f>IFERROR(__xludf.DUMMYFUNCTION("""COMPUTED_VALUE"""),0.0)</f>
        <v>0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IFERROR(__xludf.DUMMYFUNCTION("""COMPUTED_VALUE"""),171.35)</f>
        <v>171.35</v>
      </c>
      <c r="C87">
        <f>IFERROR(__xludf.DUMMYFUNCTION("""COMPUTED_VALUE"""),173.189)</f>
        <v>173.189</v>
      </c>
      <c r="D87" s="88">
        <f>IFERROR(__xludf.DUMMYFUNCTION("""COMPUTED_VALUE"""),168.38)</f>
        <v>168.38</v>
      </c>
      <c r="E87" s="88">
        <f>IFERROR(__xludf.DUMMYFUNCTION("""COMPUTED_VALUE"""),169.19)</f>
        <v>169.19</v>
      </c>
      <c r="F87" s="88">
        <f>IFERROR(__xludf.DUMMYFUNCTION("""COMPUTED_VALUE"""),2.4621E7)</f>
        <v>24621000</v>
      </c>
      <c r="G87" s="88">
        <f>IFERROR(__xludf.DUMMYFUNCTION("""COMPUTED_VALUE"""),149.47903104179)</f>
        <v>149.479031</v>
      </c>
      <c r="H87" s="88">
        <f>IFERROR(__xludf.DUMMYFUNCTION("""COMPUTED_VALUE"""),150.393820610101)</f>
        <v>150.3938206</v>
      </c>
      <c r="I87" s="88">
        <f>IFERROR(__xludf.DUMMYFUNCTION("""COMPUTED_VALUE"""),146.217782389926)</f>
        <v>146.2177824</v>
      </c>
      <c r="J87" s="88">
        <f>IFERROR(__xludf.DUMMYFUNCTION("""COMPUTED_VALUE"""),146.921169987834)</f>
        <v>146.92117</v>
      </c>
      <c r="K87" s="88">
        <f>IFERROR(__xludf.DUMMYFUNCTION("""COMPUTED_VALUE"""),2.4621E7)</f>
        <v>24621000</v>
      </c>
      <c r="L87" s="88">
        <f>IFERROR(__xludf.DUMMYFUNCTION("""COMPUTED_VALUE"""),0.779)</f>
        <v>0.779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IFERROR(__xludf.DUMMYFUNCTION("""COMPUTED_VALUE"""),170.63)</f>
        <v>170.63</v>
      </c>
      <c r="C88">
        <f>IFERROR(__xludf.DUMMYFUNCTION("""COMPUTED_VALUE"""),171.469)</f>
        <v>171.469</v>
      </c>
      <c r="D88" s="88">
        <f>IFERROR(__xludf.DUMMYFUNCTION("""COMPUTED_VALUE"""),159.18)</f>
        <v>159.18</v>
      </c>
      <c r="E88" s="88">
        <f>IFERROR(__xludf.DUMMYFUNCTION("""COMPUTED_VALUE"""),163.02)</f>
        <v>163.02</v>
      </c>
      <c r="F88" s="88">
        <f>IFERROR(__xludf.DUMMYFUNCTION("""COMPUTED_VALUE"""),2.41642E7)</f>
        <v>24164200</v>
      </c>
      <c r="G88" s="88">
        <f>IFERROR(__xludf.DUMMYFUNCTION("""COMPUTED_VALUE"""),148.171636828561)</f>
        <v>148.1716368</v>
      </c>
      <c r="H88" s="88">
        <f>IFERROR(__xludf.DUMMYFUNCTION("""COMPUTED_VALUE"""),148.900207439234)</f>
        <v>148.9002074</v>
      </c>
      <c r="I88" s="88">
        <f>IFERROR(__xludf.DUMMYFUNCTION("""COMPUTED_VALUE"""),138.228688685286)</f>
        <v>138.2286887</v>
      </c>
      <c r="J88" s="88">
        <f>IFERROR(__xludf.DUMMYFUNCTION("""COMPUTED_VALUE"""),141.563266927222)</f>
        <v>141.5632669</v>
      </c>
      <c r="K88" s="88">
        <f>IFERROR(__xludf.DUMMYFUNCTION("""COMPUTED_VALUE"""),2.41642E7)</f>
        <v>24164200</v>
      </c>
      <c r="L88" s="88">
        <f>IFERROR(__xludf.DUMMYFUNCTION("""COMPUTED_VALUE"""),0.0)</f>
        <v>0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IFERROR(__xludf.DUMMYFUNCTION("""COMPUTED_VALUE"""),163.18)</f>
        <v>163.18</v>
      </c>
      <c r="C89">
        <f>IFERROR(__xludf.DUMMYFUNCTION("""COMPUTED_VALUE"""),169.43)</f>
        <v>169.43</v>
      </c>
      <c r="D89" s="88">
        <f>IFERROR(__xludf.DUMMYFUNCTION("""COMPUTED_VALUE"""),162.07)</f>
        <v>162.07</v>
      </c>
      <c r="E89" s="88">
        <f>IFERROR(__xludf.DUMMYFUNCTION("""COMPUTED_VALUE"""),168.53)</f>
        <v>168.53</v>
      </c>
      <c r="F89" s="88">
        <f>IFERROR(__xludf.DUMMYFUNCTION("""COMPUTED_VALUE"""),2.9636E7)</f>
        <v>29636000</v>
      </c>
      <c r="G89" s="88">
        <f>IFERROR(__xludf.DUMMYFUNCTION("""COMPUTED_VALUE"""),141.702207687303)</f>
        <v>141.7022077</v>
      </c>
      <c r="H89" s="88">
        <f>IFERROR(__xludf.DUMMYFUNCTION("""COMPUTED_VALUE"""),147.129581127955)</f>
        <v>147.1295811</v>
      </c>
      <c r="I89" s="88">
        <f>IFERROR(__xludf.DUMMYFUNCTION("""COMPUTED_VALUE"""),140.738306164243)</f>
        <v>140.7383062</v>
      </c>
      <c r="J89" s="88">
        <f>IFERROR(__xludf.DUMMYFUNCTION("""COMPUTED_VALUE"""),146.348039352501)</f>
        <v>146.3480394</v>
      </c>
      <c r="K89" s="88">
        <f>IFERROR(__xludf.DUMMYFUNCTION("""COMPUTED_VALUE"""),2.9636E7)</f>
        <v>29636000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IFERROR(__xludf.DUMMYFUNCTION("""COMPUTED_VALUE"""),169.15)</f>
        <v>169.15</v>
      </c>
      <c r="C90">
        <f>IFERROR(__xludf.DUMMYFUNCTION("""COMPUTED_VALUE"""),169.23)</f>
        <v>169.23</v>
      </c>
      <c r="D90" s="88">
        <f>IFERROR(__xludf.DUMMYFUNCTION("""COMPUTED_VALUE"""),162.01)</f>
        <v>162.01</v>
      </c>
      <c r="E90" s="88">
        <f>IFERROR(__xludf.DUMMYFUNCTION("""COMPUTED_VALUE"""),165.95)</f>
        <v>165.95</v>
      </c>
      <c r="F90" s="88">
        <f>IFERROR(__xludf.DUMMYFUNCTION("""COMPUTED_VALUE"""),3.10827E7)</f>
        <v>31082700</v>
      </c>
      <c r="G90" s="88">
        <f>IFERROR(__xludf.DUMMYFUNCTION("""COMPUTED_VALUE"""),146.886434797814)</f>
        <v>146.8864348</v>
      </c>
      <c r="H90" s="88">
        <f>IFERROR(__xludf.DUMMYFUNCTION("""COMPUTED_VALUE"""),146.955905177854)</f>
        <v>146.9559052</v>
      </c>
      <c r="I90" s="88">
        <f>IFERROR(__xludf.DUMMYFUNCTION("""COMPUTED_VALUE"""),139.923364398834)</f>
        <v>139.9233644</v>
      </c>
      <c r="J90" s="88">
        <f>IFERROR(__xludf.DUMMYFUNCTION("""COMPUTED_VALUE"""),143.326228763573)</f>
        <v>143.3262288</v>
      </c>
      <c r="K90" s="88">
        <f>IFERROR(__xludf.DUMMYFUNCTION("""COMPUTED_VALUE"""),3.10827E7)</f>
        <v>31082700</v>
      </c>
      <c r="L90" s="88">
        <f>IFERROR(__xludf.DUMMYFUNCTION("""COMPUTED_VALUE"""),0.914)</f>
        <v>0.914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IFERROR(__xludf.DUMMYFUNCTION("""COMPUTED_VALUE"""),165.7)</f>
        <v>165.7</v>
      </c>
      <c r="C91">
        <f>IFERROR(__xludf.DUMMYFUNCTION("""COMPUTED_VALUE"""),166.51)</f>
        <v>166.51</v>
      </c>
      <c r="D91" s="88">
        <f>IFERROR(__xludf.DUMMYFUNCTION("""COMPUTED_VALUE"""),160.1)</f>
        <v>160.1</v>
      </c>
      <c r="E91" s="88">
        <f>IFERROR(__xludf.DUMMYFUNCTION("""COMPUTED_VALUE"""),161.28)</f>
        <v>161.28</v>
      </c>
      <c r="F91" s="88">
        <f>IFERROR(__xludf.DUMMYFUNCTION("""COMPUTED_VALUE"""),2.6113E7)</f>
        <v>26113000</v>
      </c>
      <c r="G91" s="88">
        <f>IFERROR(__xludf.DUMMYFUNCTION("""COMPUTED_VALUE"""),143.110310973932)</f>
        <v>143.110311</v>
      </c>
      <c r="H91" s="88">
        <f>IFERROR(__xludf.DUMMYFUNCTION("""COMPUTED_VALUE"""),143.809884612369)</f>
        <v>143.8098846</v>
      </c>
      <c r="I91" s="88">
        <f>IFERROR(__xludf.DUMMYFUNCTION("""COMPUTED_VALUE"""),138.273752485978)</f>
        <v>138.2737525</v>
      </c>
      <c r="J91" s="88">
        <f>IFERROR(__xludf.DUMMYFUNCTION("""COMPUTED_VALUE"""),139.292884453083)</f>
        <v>139.2928845</v>
      </c>
      <c r="K91" s="88">
        <f>IFERROR(__xludf.DUMMYFUNCTION("""COMPUTED_VALUE"""),2.6113E7)</f>
        <v>26113000</v>
      </c>
      <c r="L91" s="88">
        <f>IFERROR(__xludf.DUMMYFUNCTION("""COMPUTED_VALUE"""),0.0)</f>
        <v>0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IFERROR(__xludf.DUMMYFUNCTION("""COMPUTED_VALUE"""),160.88)</f>
        <v>160.88</v>
      </c>
      <c r="C92">
        <f>IFERROR(__xludf.DUMMYFUNCTION("""COMPUTED_VALUE"""),162.62)</f>
        <v>162.62</v>
      </c>
      <c r="D92" s="88">
        <f>IFERROR(__xludf.DUMMYFUNCTION("""COMPUTED_VALUE"""),75.36)</f>
        <v>75.36</v>
      </c>
      <c r="E92" s="88">
        <f>IFERROR(__xludf.DUMMYFUNCTION("""COMPUTED_VALUE"""),77.02)</f>
        <v>77.02</v>
      </c>
      <c r="F92" s="88">
        <f>IFERROR(__xludf.DUMMYFUNCTION("""COMPUTED_VALUE"""),5.90892E7)</f>
        <v>59089200</v>
      </c>
      <c r="G92" s="88">
        <f>IFERROR(__xludf.DUMMYFUNCTION("""COMPUTED_VALUE"""),138.947415989657)</f>
        <v>138.947416</v>
      </c>
      <c r="H92" s="88">
        <f>IFERROR(__xludf.DUMMYFUNCTION("""COMPUTED_VALUE"""),140.450203805557)</f>
        <v>140.4502038</v>
      </c>
      <c r="I92" s="88">
        <f>IFERROR(__xludf.DUMMYFUNCTION("""COMPUTED_VALUE"""),130.172517018655)</f>
        <v>130.172517</v>
      </c>
      <c r="J92" s="88">
        <f>IFERROR(__xludf.DUMMYFUNCTION("""COMPUTED_VALUE"""),133.039905265085)</f>
        <v>133.0399053</v>
      </c>
      <c r="K92" s="88">
        <f>IFERROR(__xludf.DUMMYFUNCTION("""COMPUTED_VALUE"""),3.42496E7)</f>
        <v>34249600</v>
      </c>
      <c r="L92" s="88">
        <f>IFERROR(__xludf.DUMMYFUNCTION("""COMPUTED_VALUE"""),0.0)</f>
        <v>0</v>
      </c>
      <c r="M92" s="88">
        <f>IFERROR(__xludf.DUMMYFUNCTION("""COMPUTED_VALUE"""),0.5)</f>
        <v>0.5</v>
      </c>
    </row>
    <row r="93">
      <c r="A93" s="86">
        <f>IFERROR(__xludf.DUMMYFUNCTION("""COMPUTED_VALUE"""),41547.0)</f>
        <v>41547</v>
      </c>
      <c r="B93" s="87">
        <f>IFERROR(__xludf.DUMMYFUNCTION("""COMPUTED_VALUE"""),77.0)</f>
        <v>77</v>
      </c>
      <c r="C93">
        <f>IFERROR(__xludf.DUMMYFUNCTION("""COMPUTED_VALUE"""),79.52)</f>
        <v>79.52</v>
      </c>
      <c r="D93" s="88">
        <f>IFERROR(__xludf.DUMMYFUNCTION("""COMPUTED_VALUE"""),74.97)</f>
        <v>74.97</v>
      </c>
      <c r="E93" s="88">
        <f>IFERROR(__xludf.DUMMYFUNCTION("""COMPUTED_VALUE"""),75.66)</f>
        <v>75.66</v>
      </c>
      <c r="F93" s="88">
        <f>IFERROR(__xludf.DUMMYFUNCTION("""COMPUTED_VALUE"""),4.69646E7)</f>
        <v>46964600</v>
      </c>
      <c r="G93" s="88">
        <f>IFERROR(__xludf.DUMMYFUNCTION("""COMPUTED_VALUE"""),133.005358418742)</f>
        <v>133.0053584</v>
      </c>
      <c r="H93" s="88">
        <f>IFERROR(__xludf.DUMMYFUNCTION("""COMPUTED_VALUE"""),136.668512433446)</f>
        <v>136.6685124</v>
      </c>
      <c r="I93" s="88">
        <f>IFERROR(__xludf.DUMMYFUNCTION("""COMPUTED_VALUE"""),128.848571141039)</f>
        <v>128.8485711</v>
      </c>
      <c r="J93" s="88">
        <f>IFERROR(__xludf.DUMMYFUNCTION("""COMPUTED_VALUE"""),130.034452348019)</f>
        <v>130.0344523</v>
      </c>
      <c r="K93" s="88">
        <f>IFERROR(__xludf.DUMMYFUNCTION("""COMPUTED_VALUE"""),2.34823E7)</f>
        <v>23482300</v>
      </c>
      <c r="L93" s="88">
        <f>IFERROR(__xludf.DUMMYFUNCTION("""COMPUTED_VALUE"""),0.393)</f>
        <v>0.393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IFERROR(__xludf.DUMMYFUNCTION("""COMPUTED_VALUE"""),74.85)</f>
        <v>74.85</v>
      </c>
      <c r="C94">
        <f>IFERROR(__xludf.DUMMYFUNCTION("""COMPUTED_VALUE"""),78.309)</f>
        <v>78.309</v>
      </c>
      <c r="D94" s="88">
        <f>IFERROR(__xludf.DUMMYFUNCTION("""COMPUTED_VALUE"""),74.67)</f>
        <v>74.67</v>
      </c>
      <c r="E94" s="88">
        <f>IFERROR(__xludf.DUMMYFUNCTION("""COMPUTED_VALUE"""),77.84)</f>
        <v>77.84</v>
      </c>
      <c r="F94" s="88">
        <f>IFERROR(__xludf.DUMMYFUNCTION("""COMPUTED_VALUE"""),2.9719E7)</f>
        <v>29719000</v>
      </c>
      <c r="G94" s="88">
        <f>IFERROR(__xludf.DUMMYFUNCTION("""COMPUTED_VALUE"""),128.642330931129)</f>
        <v>128.6423309</v>
      </c>
      <c r="H94" s="88">
        <f>IFERROR(__xludf.DUMMYFUNCTION("""COMPUTED_VALUE"""),134.587204981774)</f>
        <v>134.587205</v>
      </c>
      <c r="I94" s="88">
        <f>IFERROR(__xludf.DUMMYFUNCTION("""COMPUTED_VALUE"""),128.332970616265)</f>
        <v>128.3329706</v>
      </c>
      <c r="J94" s="88">
        <f>IFERROR(__xludf.DUMMYFUNCTION("""COMPUTED_VALUE"""),133.781149494711)</f>
        <v>133.7811495</v>
      </c>
      <c r="K94" s="88">
        <f>IFERROR(__xludf.DUMMYFUNCTION("""COMPUTED_VALUE"""),1.48595E7)</f>
        <v>14859500</v>
      </c>
      <c r="L94" s="88">
        <f>IFERROR(__xludf.DUMMYFUNCTION("""COMPUTED_VALUE"""),0.0)</f>
        <v>0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IFERROR(__xludf.DUMMYFUNCTION("""COMPUTED_VALUE"""),77.23)</f>
        <v>77.23</v>
      </c>
      <c r="C95">
        <f>IFERROR(__xludf.DUMMYFUNCTION("""COMPUTED_VALUE"""),77.8068)</f>
        <v>77.8068</v>
      </c>
      <c r="D95" s="88">
        <f>IFERROR(__xludf.DUMMYFUNCTION("""COMPUTED_VALUE"""),73.38)</f>
        <v>73.38</v>
      </c>
      <c r="E95" s="88">
        <f>IFERROR(__xludf.DUMMYFUNCTION("""COMPUTED_VALUE"""),73.8699)</f>
        <v>73.8699</v>
      </c>
      <c r="F95" s="88">
        <f>IFERROR(__xludf.DUMMYFUNCTION("""COMPUTED_VALUE"""),3.33826E7)</f>
        <v>33382600</v>
      </c>
      <c r="G95" s="88">
        <f>IFERROR(__xludf.DUMMYFUNCTION("""COMPUTED_VALUE"""),132.732761761004)</f>
        <v>132.7327618</v>
      </c>
      <c r="H95" s="88">
        <f>IFERROR(__xludf.DUMMYFUNCTION("""COMPUTED_VALUE"""),133.724089703302)</f>
        <v>133.7240897</v>
      </c>
      <c r="I95" s="88">
        <f>IFERROR(__xludf.DUMMYFUNCTION("""COMPUTED_VALUE"""),126.115888359736)</f>
        <v>126.1158884</v>
      </c>
      <c r="J95" s="88">
        <f>IFERROR(__xludf.DUMMYFUNCTION("""COMPUTED_VALUE"""),126.957864016692)</f>
        <v>126.957864</v>
      </c>
      <c r="K95" s="88">
        <f>IFERROR(__xludf.DUMMYFUNCTION("""COMPUTED_VALUE"""),1.66913E7)</f>
        <v>16691300</v>
      </c>
      <c r="L95" s="88">
        <f>IFERROR(__xludf.DUMMYFUNCTION("""COMPUTED_VALUE"""),0.0)</f>
        <v>0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IFERROR(__xludf.DUMMYFUNCTION("""COMPUTED_VALUE"""),73.34)</f>
        <v>73.34</v>
      </c>
      <c r="C96">
        <f>IFERROR(__xludf.DUMMYFUNCTION("""COMPUTED_VALUE"""),76.0)</f>
        <v>76</v>
      </c>
      <c r="D96" s="88">
        <f>IFERROR(__xludf.DUMMYFUNCTION("""COMPUTED_VALUE"""),71.33)</f>
        <v>71.33</v>
      </c>
      <c r="E96" s="88">
        <f>IFERROR(__xludf.DUMMYFUNCTION("""COMPUTED_VALUE"""),75.03)</f>
        <v>75.03</v>
      </c>
      <c r="F96" s="88">
        <f>IFERROR(__xludf.DUMMYFUNCTION("""COMPUTED_VALUE"""),5.20176E7)</f>
        <v>52017600</v>
      </c>
      <c r="G96" s="88">
        <f>IFERROR(__xludf.DUMMYFUNCTION("""COMPUTED_VALUE"""),126.0471416231)</f>
        <v>126.0471416</v>
      </c>
      <c r="H96" s="88">
        <f>IFERROR(__xludf.DUMMYFUNCTION("""COMPUTED_VALUE"""),129.951962256175)</f>
        <v>129.9519623</v>
      </c>
      <c r="I96" s="88">
        <f>IFERROR(__xludf.DUMMYFUNCTION("""COMPUTED_VALUE"""),122.592618107114)</f>
        <v>122.5926181</v>
      </c>
      <c r="J96" s="88">
        <f>IFERROR(__xludf.DUMMYFUNCTION("""COMPUTED_VALUE"""),128.293364843169)</f>
        <v>128.2933648</v>
      </c>
      <c r="K96" s="88">
        <f>IFERROR(__xludf.DUMMYFUNCTION("""COMPUTED_VALUE"""),2.60088E7)</f>
        <v>26008800</v>
      </c>
      <c r="L96" s="88">
        <f>IFERROR(__xludf.DUMMYFUNCTION("""COMPUTED_VALUE"""),0.369)</f>
        <v>0.369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IFERROR(__xludf.DUMMYFUNCTION("""COMPUTED_VALUE"""),74.84)</f>
        <v>74.84</v>
      </c>
      <c r="C97">
        <f>IFERROR(__xludf.DUMMYFUNCTION("""COMPUTED_VALUE"""),77.426)</f>
        <v>77.426</v>
      </c>
      <c r="D97" s="88">
        <f>IFERROR(__xludf.DUMMYFUNCTION("""COMPUTED_VALUE"""),72.39)</f>
        <v>72.39</v>
      </c>
      <c r="E97" s="88">
        <f>IFERROR(__xludf.DUMMYFUNCTION("""COMPUTED_VALUE"""),72.96)</f>
        <v>72.96</v>
      </c>
      <c r="F97" s="88">
        <f>IFERROR(__xludf.DUMMYFUNCTION("""COMPUTED_VALUE"""),2.81312E7)</f>
        <v>28131200</v>
      </c>
      <c r="G97" s="88">
        <f>IFERROR(__xludf.DUMMYFUNCTION("""COMPUTED_VALUE"""),127.968484937529)</f>
        <v>127.9684849</v>
      </c>
      <c r="H97" s="88">
        <f>IFERROR(__xludf.DUMMYFUNCTION("""COMPUTED_VALUE"""),132.390271442719)</f>
        <v>132.3902714</v>
      </c>
      <c r="I97" s="88">
        <f>IFERROR(__xludf.DUMMYFUNCTION("""COMPUTED_VALUE"""),123.779244049007)</f>
        <v>123.779244</v>
      </c>
      <c r="J97" s="88">
        <f>IFERROR(__xludf.DUMMYFUNCTION("""COMPUTED_VALUE"""),124.753883765928)</f>
        <v>124.7538838</v>
      </c>
      <c r="K97" s="88">
        <f>IFERROR(__xludf.DUMMYFUNCTION("""COMPUTED_VALUE"""),1.40656E7)</f>
        <v>14065600</v>
      </c>
      <c r="L97" s="88">
        <f>IFERROR(__xludf.DUMMYFUNCTION("""COMPUTED_VALUE"""),0.0)</f>
        <v>0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IFERROR(__xludf.DUMMYFUNCTION("""COMPUTED_VALUE"""),73.14)</f>
        <v>73.14</v>
      </c>
      <c r="C98">
        <f>IFERROR(__xludf.DUMMYFUNCTION("""COMPUTED_VALUE"""),73.14)</f>
        <v>73.14</v>
      </c>
      <c r="D98" s="88">
        <f>IFERROR(__xludf.DUMMYFUNCTION("""COMPUTED_VALUE"""),70.29)</f>
        <v>70.29</v>
      </c>
      <c r="E98" s="88">
        <f>IFERROR(__xludf.DUMMYFUNCTION("""COMPUTED_VALUE"""),71.7)</f>
        <v>71.7</v>
      </c>
      <c r="F98" s="88">
        <f>IFERROR(__xludf.DUMMYFUNCTION("""COMPUTED_VALUE"""),3.76968E7)</f>
        <v>37696800</v>
      </c>
      <c r="G98" s="88">
        <f>IFERROR(__xludf.DUMMYFUNCTION("""COMPUTED_VALUE"""),125.061664729167)</f>
        <v>125.0616647</v>
      </c>
      <c r="H98" s="88">
        <f>IFERROR(__xludf.DUMMYFUNCTION("""COMPUTED_VALUE"""),125.061664729167)</f>
        <v>125.0616647</v>
      </c>
      <c r="I98" s="88">
        <f>IFERROR(__xludf.DUMMYFUNCTION("""COMPUTED_VALUE"""),120.18846614456)</f>
        <v>120.1884661</v>
      </c>
      <c r="J98" s="88">
        <f>IFERROR(__xludf.DUMMYFUNCTION("""COMPUTED_VALUE"""),122.59941702326)</f>
        <v>122.599417</v>
      </c>
      <c r="K98" s="88">
        <f>IFERROR(__xludf.DUMMYFUNCTION("""COMPUTED_VALUE"""),1.88484E7)</f>
        <v>18848400</v>
      </c>
      <c r="L98" s="88">
        <f>IFERROR(__xludf.DUMMYFUNCTION("""COMPUTED_VALUE"""),0.0)</f>
        <v>0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IFERROR(__xludf.DUMMYFUNCTION("""COMPUTED_VALUE"""),71.64)</f>
        <v>71.64</v>
      </c>
      <c r="C99">
        <f>IFERROR(__xludf.DUMMYFUNCTION("""COMPUTED_VALUE"""),71.81)</f>
        <v>71.81</v>
      </c>
      <c r="D99" s="88">
        <f>IFERROR(__xludf.DUMMYFUNCTION("""COMPUTED_VALUE"""),68.87)</f>
        <v>68.87</v>
      </c>
      <c r="E99" s="88">
        <f>IFERROR(__xludf.DUMMYFUNCTION("""COMPUTED_VALUE"""),69.16)</f>
        <v>69.16</v>
      </c>
      <c r="F99" s="88">
        <f>IFERROR(__xludf.DUMMYFUNCTION("""COMPUTED_VALUE"""),2.9218E7)</f>
        <v>29218000</v>
      </c>
      <c r="G99" s="88">
        <f>IFERROR(__xludf.DUMMYFUNCTION("""COMPUTED_VALUE"""),122.496823368847)</f>
        <v>122.4968234</v>
      </c>
      <c r="H99" s="88">
        <f>IFERROR(__xludf.DUMMYFUNCTION("""COMPUTED_VALUE"""),122.787505389684)</f>
        <v>122.7875054</v>
      </c>
      <c r="I99" s="88">
        <f>IFERROR(__xludf.DUMMYFUNCTION("""COMPUTED_VALUE"""),117.208864565774)</f>
        <v>117.2088646</v>
      </c>
      <c r="J99" s="88">
        <f>IFERROR(__xludf.DUMMYFUNCTION("""COMPUTED_VALUE"""),117.702411403643)</f>
        <v>117.7024114</v>
      </c>
      <c r="K99" s="88">
        <f>IFERROR(__xludf.DUMMYFUNCTION("""COMPUTED_VALUE"""),1.4609E7)</f>
        <v>14609000</v>
      </c>
      <c r="L99" s="88">
        <f>IFERROR(__xludf.DUMMYFUNCTION("""COMPUTED_VALUE"""),0.335)</f>
        <v>0.335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IFERROR(__xludf.DUMMYFUNCTION("""COMPUTED_VALUE"""),69.47)</f>
        <v>69.47</v>
      </c>
      <c r="C100">
        <f>IFERROR(__xludf.DUMMYFUNCTION("""COMPUTED_VALUE"""),70.18)</f>
        <v>70.18</v>
      </c>
      <c r="D100" s="88">
        <f>IFERROR(__xludf.DUMMYFUNCTION("""COMPUTED_VALUE"""),68.11)</f>
        <v>68.11</v>
      </c>
      <c r="E100" s="88">
        <f>IFERROR(__xludf.DUMMYFUNCTION("""COMPUTED_VALUE"""),68.99)</f>
        <v>68.99</v>
      </c>
      <c r="F100" s="88">
        <f>IFERROR(__xludf.DUMMYFUNCTION("""COMPUTED_VALUE"""),3.38376E7)</f>
        <v>33837600</v>
      </c>
      <c r="G100" s="88">
        <f>IFERROR(__xludf.DUMMYFUNCTION("""COMPUTED_VALUE"""),118.229995954469)</f>
        <v>118.229996</v>
      </c>
      <c r="H100" s="88">
        <f>IFERROR(__xludf.DUMMYFUNCTION("""COMPUTED_VALUE"""),119.438334764426)</f>
        <v>119.4383348</v>
      </c>
      <c r="I100" s="88">
        <f>IFERROR(__xludf.DUMMYFUNCTION("""COMPUTED_VALUE"""),115.915431473426)</f>
        <v>115.9154315</v>
      </c>
      <c r="J100" s="88">
        <f>IFERROR(__xludf.DUMMYFUNCTION("""COMPUTED_VALUE"""),117.413090843513)</f>
        <v>117.4130908</v>
      </c>
      <c r="K100" s="88">
        <f>IFERROR(__xludf.DUMMYFUNCTION("""COMPUTED_VALUE"""),1.69188E7)</f>
        <v>16918800</v>
      </c>
      <c r="L100" s="88">
        <f>IFERROR(__xludf.DUMMYFUNCTION("""COMPUTED_VALUE"""),0.0)</f>
        <v>0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IFERROR(__xludf.DUMMYFUNCTION("""COMPUTED_VALUE"""),68.56)</f>
        <v>68.56</v>
      </c>
      <c r="C101">
        <f>IFERROR(__xludf.DUMMYFUNCTION("""COMPUTED_VALUE"""),69.1)</f>
        <v>69.1</v>
      </c>
      <c r="D101" s="88">
        <f>IFERROR(__xludf.DUMMYFUNCTION("""COMPUTED_VALUE"""),66.28)</f>
        <v>66.28</v>
      </c>
      <c r="E101" s="88">
        <f>IFERROR(__xludf.DUMMYFUNCTION("""COMPUTED_VALUE"""),66.47)</f>
        <v>66.47</v>
      </c>
      <c r="F101" s="88">
        <f>IFERROR(__xludf.DUMMYFUNCTION("""COMPUTED_VALUE"""),3.78572E7)</f>
        <v>37857200</v>
      </c>
      <c r="G101" s="88">
        <f>IFERROR(__xludf.DUMMYFUNCTION("""COMPUTED_VALUE"""),116.681280014948)</f>
        <v>116.68128</v>
      </c>
      <c r="H101" s="88">
        <f>IFERROR(__xludf.DUMMYFUNCTION("""COMPUTED_VALUE"""),117.600298264774)</f>
        <v>117.6002983</v>
      </c>
      <c r="I101" s="88">
        <f>IFERROR(__xludf.DUMMYFUNCTION("""COMPUTED_VALUE"""),112.800980737905)</f>
        <v>112.8009807</v>
      </c>
      <c r="J101" s="88">
        <f>IFERROR(__xludf.DUMMYFUNCTION("""COMPUTED_VALUE"""),113.124339010991)</f>
        <v>113.124339</v>
      </c>
      <c r="K101" s="88">
        <f>IFERROR(__xludf.DUMMYFUNCTION("""COMPUTED_VALUE"""),1.89286E7)</f>
        <v>18928600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IFERROR(__xludf.DUMMYFUNCTION("""COMPUTED_VALUE"""),65.19)</f>
        <v>65.19</v>
      </c>
      <c r="C102">
        <f>IFERROR(__xludf.DUMMYFUNCTION("""COMPUTED_VALUE"""),66.66)</f>
        <v>66.66</v>
      </c>
      <c r="D102" s="88">
        <f>IFERROR(__xludf.DUMMYFUNCTION("""COMPUTED_VALUE"""),63.9)</f>
        <v>63.9</v>
      </c>
      <c r="E102" s="88">
        <f>IFERROR(__xludf.DUMMYFUNCTION("""COMPUTED_VALUE"""),65.37)</f>
        <v>65.37</v>
      </c>
      <c r="F102" s="88">
        <f>IFERROR(__xludf.DUMMYFUNCTION("""COMPUTED_VALUE"""),2.3459E7)</f>
        <v>23459000</v>
      </c>
      <c r="G102" s="88">
        <f>IFERROR(__xludf.DUMMYFUNCTION("""COMPUTED_VALUE"""),110.945925381774)</f>
        <v>110.9459254</v>
      </c>
      <c r="H102" s="88">
        <f>IFERROR(__xludf.DUMMYFUNCTION("""COMPUTED_VALUE"""),112.635505087224)</f>
        <v>112.6355051</v>
      </c>
      <c r="I102" s="88">
        <f>IFERROR(__xludf.DUMMYFUNCTION("""COMPUTED_VALUE"""),108.614015406642)</f>
        <v>108.6140154</v>
      </c>
      <c r="J102" s="88">
        <f>IFERROR(__xludf.DUMMYFUNCTION("""COMPUTED_VALUE"""),110.455790092286)</f>
        <v>110.4557901</v>
      </c>
      <c r="K102" s="88">
        <f>IFERROR(__xludf.DUMMYFUNCTION("""COMPUTED_VALUE"""),1.17295E7)</f>
        <v>11729500</v>
      </c>
      <c r="L102" s="88">
        <f>IFERROR(__xludf.DUMMYFUNCTION("""COMPUTED_VALUE"""),0.47)</f>
        <v>0.47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IFERROR(__xludf.DUMMYFUNCTION("IMPORTDATA(concatenate(""https://api.tiingo.com/tiingo/daily/VEA/prices?startDate=2012-12-31&amp;resampleFreq=monthly&amp;sort=-date&amp;format=csv&amp;token="",TOKEN!B1))"),"date")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IFERROR(__xludf.DUMMYFUNCTION("""COMPUTED_VALUE"""),51.12)</f>
        <v>51.12</v>
      </c>
      <c r="C2">
        <f>IFERROR(__xludf.DUMMYFUNCTION("""COMPUTED_VALUE"""),51.456)</f>
        <v>51.456</v>
      </c>
      <c r="D2" s="88">
        <f>IFERROR(__xludf.DUMMYFUNCTION("""COMPUTED_VALUE"""),49.37)</f>
        <v>49.37</v>
      </c>
      <c r="E2" s="88">
        <f>IFERROR(__xludf.DUMMYFUNCTION("""COMPUTED_VALUE"""),49.43)</f>
        <v>49.43</v>
      </c>
      <c r="F2" s="88">
        <f>IFERROR(__xludf.DUMMYFUNCTION("""COMPUTED_VALUE"""),1.71080066E8)</f>
        <v>171080066</v>
      </c>
      <c r="G2" s="88">
        <f>IFERROR(__xludf.DUMMYFUNCTION("""COMPUTED_VALUE"""),51.12)</f>
        <v>51.12</v>
      </c>
      <c r="H2" s="88">
        <f>IFERROR(__xludf.DUMMYFUNCTION("""COMPUTED_VALUE"""),51.456)</f>
        <v>51.456</v>
      </c>
      <c r="I2" s="88">
        <f>IFERROR(__xludf.DUMMYFUNCTION("""COMPUTED_VALUE"""),49.37)</f>
        <v>49.37</v>
      </c>
      <c r="J2" s="88">
        <f>IFERROR(__xludf.DUMMYFUNCTION("""COMPUTED_VALUE"""),49.43)</f>
        <v>49.43</v>
      </c>
      <c r="K2" s="88">
        <f>IFERROR(__xludf.DUMMYFUNCTION("""COMPUTED_VALUE"""),1.71080066E8)</f>
        <v>171080066</v>
      </c>
      <c r="L2" s="88">
        <f>IFERROR(__xludf.DUMMYFUNCTION("""COMPUTED_VALUE"""),0.0)</f>
        <v>0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IFERROR(__xludf.DUMMYFUNCTION("""COMPUTED_VALUE"""),49.11)</f>
        <v>49.11</v>
      </c>
      <c r="C3">
        <f>IFERROR(__xludf.DUMMYFUNCTION("""COMPUTED_VALUE"""),50.14)</f>
        <v>50.14</v>
      </c>
      <c r="D3" s="88">
        <f>IFERROR(__xludf.DUMMYFUNCTION("""COMPUTED_VALUE"""),47.75)</f>
        <v>47.75</v>
      </c>
      <c r="E3" s="88">
        <f>IFERROR(__xludf.DUMMYFUNCTION("""COMPUTED_VALUE"""),48.63)</f>
        <v>48.63</v>
      </c>
      <c r="F3" s="88">
        <f>IFERROR(__xludf.DUMMYFUNCTION("""COMPUTED_VALUE"""),2.23781679E8)</f>
        <v>223781679</v>
      </c>
      <c r="G3" s="88">
        <f>IFERROR(__xludf.DUMMYFUNCTION("""COMPUTED_VALUE"""),49.11)</f>
        <v>49.11</v>
      </c>
      <c r="H3" s="88">
        <f>IFERROR(__xludf.DUMMYFUNCTION("""COMPUTED_VALUE"""),49.9070400231506)</f>
        <v>49.90704002</v>
      </c>
      <c r="I3" s="88">
        <f>IFERROR(__xludf.DUMMYFUNCTION("""COMPUTED_VALUE"""),47.5281444177391)</f>
        <v>47.52814442</v>
      </c>
      <c r="J3" s="88">
        <f>IFERROR(__xludf.DUMMYFUNCTION("""COMPUTED_VALUE"""),48.4040557703592)</f>
        <v>48.40405577</v>
      </c>
      <c r="K3" s="88">
        <f>IFERROR(__xludf.DUMMYFUNCTION("""COMPUTED_VALUE"""),2.23781679E8)</f>
        <v>223781679</v>
      </c>
      <c r="L3" s="88">
        <f>IFERROR(__xludf.DUMMYFUNCTION("""COMPUTED_VALUE"""),0.2312)</f>
        <v>0.2312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IFERROR(__xludf.DUMMYFUNCTION("""COMPUTED_VALUE"""),48.01)</f>
        <v>48.01</v>
      </c>
      <c r="C4">
        <f>IFERROR(__xludf.DUMMYFUNCTION("""COMPUTED_VALUE"""),50.1)</f>
        <v>50.1</v>
      </c>
      <c r="D4" s="88">
        <f>IFERROR(__xludf.DUMMYFUNCTION("""COMPUTED_VALUE"""),47.28)</f>
        <v>47.28</v>
      </c>
      <c r="E4" s="88">
        <f>IFERROR(__xludf.DUMMYFUNCTION("""COMPUTED_VALUE"""),47.51)</f>
        <v>47.51</v>
      </c>
      <c r="F4" s="88">
        <f>IFERROR(__xludf.DUMMYFUNCTION("""COMPUTED_VALUE"""),1.72115984E8)</f>
        <v>172115984</v>
      </c>
      <c r="G4" s="88">
        <f>IFERROR(__xludf.DUMMYFUNCTION("""COMPUTED_VALUE"""),47.786936408286)</f>
        <v>47.78693641</v>
      </c>
      <c r="H4" s="88">
        <f>IFERROR(__xludf.DUMMYFUNCTION("""COMPUTED_VALUE"""),49.8672258707587)</f>
        <v>49.86722587</v>
      </c>
      <c r="I4" s="88">
        <f>IFERROR(__xludf.DUMMYFUNCTION("""COMPUTED_VALUE"""),47.0603281271352)</f>
        <v>47.06032813</v>
      </c>
      <c r="J4" s="88">
        <f>IFERROR(__xludf.DUMMYFUNCTION("""COMPUTED_VALUE"""),47.2892595033882)</f>
        <v>47.2892595</v>
      </c>
      <c r="K4" s="88">
        <f>IFERROR(__xludf.DUMMYFUNCTION("""COMPUTED_VALUE"""),1.72115984E8)</f>
        <v>172115984</v>
      </c>
      <c r="L4" s="88">
        <f>IFERROR(__xludf.DUMMYFUNCTION("""COMPUTED_VALUE"""),0.0)</f>
        <v>0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IFERROR(__xludf.DUMMYFUNCTION("""COMPUTED_VALUE"""),46.87)</f>
        <v>46.87</v>
      </c>
      <c r="C5">
        <f>IFERROR(__xludf.DUMMYFUNCTION("""COMPUTED_VALUE"""),49.18)</f>
        <v>49.18</v>
      </c>
      <c r="D5" s="88">
        <f>IFERROR(__xludf.DUMMYFUNCTION("""COMPUTED_VALUE"""),46.655)</f>
        <v>46.655</v>
      </c>
      <c r="E5" s="88">
        <f>IFERROR(__xludf.DUMMYFUNCTION("""COMPUTED_VALUE"""),48.12)</f>
        <v>48.12</v>
      </c>
      <c r="F5" s="88">
        <f>IFERROR(__xludf.DUMMYFUNCTION("""COMPUTED_VALUE"""),2.13104429E8)</f>
        <v>213104429</v>
      </c>
      <c r="G5" s="88">
        <f>IFERROR(__xludf.DUMMYFUNCTION("""COMPUTED_VALUE"""),46.652233065119)</f>
        <v>46.65223307</v>
      </c>
      <c r="H5" s="88">
        <f>IFERROR(__xludf.DUMMYFUNCTION("""COMPUTED_VALUE"""),48.9515003657468)</f>
        <v>48.95150037</v>
      </c>
      <c r="I5" s="88">
        <f>IFERROR(__xludf.DUMMYFUNCTION("""COMPUTED_VALUE"""),46.438231996013)</f>
        <v>46.438232</v>
      </c>
      <c r="J5" s="88">
        <f>IFERROR(__xludf.DUMMYFUNCTION("""COMPUTED_VALUE"""),47.8964253273635)</f>
        <v>47.89642533</v>
      </c>
      <c r="K5" s="88">
        <f>IFERROR(__xludf.DUMMYFUNCTION("""COMPUTED_VALUE"""),2.13104429E8)</f>
        <v>213104429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IFERROR(__xludf.DUMMYFUNCTION("""COMPUTED_VALUE"""),47.21)</f>
        <v>47.21</v>
      </c>
      <c r="C6">
        <f>IFERROR(__xludf.DUMMYFUNCTION("""COMPUTED_VALUE"""),47.82)</f>
        <v>47.82</v>
      </c>
      <c r="D6" s="88">
        <f>IFERROR(__xludf.DUMMYFUNCTION("""COMPUTED_VALUE"""),45.6)</f>
        <v>45.6</v>
      </c>
      <c r="E6" s="88">
        <f>IFERROR(__xludf.DUMMYFUNCTION("""COMPUTED_VALUE"""),45.84)</f>
        <v>45.84</v>
      </c>
      <c r="F6" s="88">
        <f>IFERROR(__xludf.DUMMYFUNCTION("""COMPUTED_VALUE"""),1.69019454E8)</f>
        <v>169019454</v>
      </c>
      <c r="G6" s="88">
        <f>IFERROR(__xludf.DUMMYFUNCTION("""COMPUTED_VALUE"""),46.9906533604495)</f>
        <v>46.99065336</v>
      </c>
      <c r="H6" s="88">
        <f>IFERROR(__xludf.DUMMYFUNCTION("""COMPUTED_VALUE"""),47.5978191844248)</f>
        <v>47.59781918</v>
      </c>
      <c r="I6" s="88">
        <f>IFERROR(__xludf.DUMMYFUNCTION("""COMPUTED_VALUE"""),45.1823402599043)</f>
        <v>45.18234026</v>
      </c>
      <c r="J6" s="88">
        <f>IFERROR(__xludf.DUMMYFUNCTION("""COMPUTED_VALUE"""),45.2218008190833)</f>
        <v>45.22180082</v>
      </c>
      <c r="K6" s="88">
        <f>IFERROR(__xludf.DUMMYFUNCTION("""COMPUTED_VALUE"""),1.69019454E8)</f>
        <v>169019454</v>
      </c>
      <c r="L6" s="88">
        <f>IFERROR(__xludf.DUMMYFUNCTION("""COMPUTED_VALUE"""),0.4147)</f>
        <v>0.4147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IFERROR(__xludf.DUMMYFUNCTION("""COMPUTED_VALUE"""),45.09)</f>
        <v>45.09</v>
      </c>
      <c r="C7">
        <f>IFERROR(__xludf.DUMMYFUNCTION("""COMPUTED_VALUE"""),46.02)</f>
        <v>46.02</v>
      </c>
      <c r="D7" s="88">
        <f>IFERROR(__xludf.DUMMYFUNCTION("""COMPUTED_VALUE"""),39.66)</f>
        <v>39.66</v>
      </c>
      <c r="E7" s="88">
        <f>IFERROR(__xludf.DUMMYFUNCTION("""COMPUTED_VALUE"""),39.89)</f>
        <v>39.89</v>
      </c>
      <c r="F7" s="88">
        <f>IFERROR(__xludf.DUMMYFUNCTION("""COMPUTED_VALUE"""),1.62541818E8)</f>
        <v>162541818</v>
      </c>
      <c r="G7" s="88">
        <f>IFERROR(__xludf.DUMMYFUNCTION("""COMPUTED_VALUE"""),44.4819153344779)</f>
        <v>44.48191533</v>
      </c>
      <c r="H7" s="88">
        <f>IFERROR(__xludf.DUMMYFUNCTION("""COMPUTED_VALUE"""),45.3993733353886)</f>
        <v>45.39937334</v>
      </c>
      <c r="I7" s="88">
        <f>IFERROR(__xludf.DUMMYFUNCTION("""COMPUTED_VALUE"""),39.1251444259346)</f>
        <v>39.12514443</v>
      </c>
      <c r="J7" s="88">
        <f>IFERROR(__xludf.DUMMYFUNCTION("""COMPUTED_VALUE"""),39.3520426412136)</f>
        <v>39.35204264</v>
      </c>
      <c r="K7" s="88">
        <f>IFERROR(__xludf.DUMMYFUNCTION("""COMPUTED_VALUE"""),1.62541818E8)</f>
        <v>162541818</v>
      </c>
      <c r="L7" s="88">
        <f>IFERROR(__xludf.DUMMYFUNCTION("""COMPUTED_VALUE"""),0.0)</f>
        <v>0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IFERROR(__xludf.DUMMYFUNCTION("""COMPUTED_VALUE"""),39.45)</f>
        <v>39.45</v>
      </c>
      <c r="C8">
        <f>IFERROR(__xludf.DUMMYFUNCTION("""COMPUTED_VALUE"""),42.5)</f>
        <v>42.5</v>
      </c>
      <c r="D8" s="88">
        <f>IFERROR(__xludf.DUMMYFUNCTION("""COMPUTED_VALUE"""),39.13)</f>
        <v>39.13</v>
      </c>
      <c r="E8" s="88">
        <f>IFERROR(__xludf.DUMMYFUNCTION("""COMPUTED_VALUE"""),41.1)</f>
        <v>41.1</v>
      </c>
      <c r="F8" s="88">
        <f>IFERROR(__xludf.DUMMYFUNCTION("""COMPUTED_VALUE"""),1.76528739E8)</f>
        <v>176528739</v>
      </c>
      <c r="G8" s="88">
        <f>IFERROR(__xludf.DUMMYFUNCTION("""COMPUTED_VALUE"""),38.9179764902451)</f>
        <v>38.91797649</v>
      </c>
      <c r="H8" s="88">
        <f>IFERROR(__xludf.DUMMYFUNCTION("""COMPUTED_VALUE"""),41.9268441276405)</f>
        <v>41.92684413</v>
      </c>
      <c r="I8" s="88">
        <f>IFERROR(__xludf.DUMMYFUNCTION("""COMPUTED_VALUE"""),38.6022920168135)</f>
        <v>38.60229202</v>
      </c>
      <c r="J8" s="88">
        <f>IFERROR(__xludf.DUMMYFUNCTION("""COMPUTED_VALUE"""),40.545724556377)</f>
        <v>40.54572456</v>
      </c>
      <c r="K8" s="88">
        <f>IFERROR(__xludf.DUMMYFUNCTION("""COMPUTED_VALUE"""),1.76528739E8)</f>
        <v>176528739</v>
      </c>
      <c r="L8" s="88">
        <f>IFERROR(__xludf.DUMMYFUNCTION("""COMPUTED_VALUE"""),0.0)</f>
        <v>0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IFERROR(__xludf.DUMMYFUNCTION("""COMPUTED_VALUE"""),40.9)</f>
        <v>40.9</v>
      </c>
      <c r="C9">
        <f>IFERROR(__xludf.DUMMYFUNCTION("""COMPUTED_VALUE"""),42.54)</f>
        <v>42.54</v>
      </c>
      <c r="D9" s="88">
        <f>IFERROR(__xludf.DUMMYFUNCTION("""COMPUTED_VALUE"""),39.81)</f>
        <v>39.81</v>
      </c>
      <c r="E9" s="88">
        <f>IFERROR(__xludf.DUMMYFUNCTION("""COMPUTED_VALUE"""),41.9)</f>
        <v>41.9</v>
      </c>
      <c r="F9" s="88">
        <f>IFERROR(__xludf.DUMMYFUNCTION("""COMPUTED_VALUE"""),2.04261753E8)</f>
        <v>204261753</v>
      </c>
      <c r="G9" s="88">
        <f>IFERROR(__xludf.DUMMYFUNCTION("""COMPUTED_VALUE"""),40.3484217604822)</f>
        <v>40.34842176</v>
      </c>
      <c r="H9" s="88">
        <f>IFERROR(__xludf.DUMMYFUNCTION("""COMPUTED_VALUE"""),41.7400844939802)</f>
        <v>41.74008449</v>
      </c>
      <c r="I9" s="88">
        <f>IFERROR(__xludf.DUMMYFUNCTION("""COMPUTED_VALUE"""),39.2731215228557)</f>
        <v>39.27312152</v>
      </c>
      <c r="J9" s="88">
        <f>IFERROR(__xludf.DUMMYFUNCTION("""COMPUTED_VALUE"""),41.1121189538733)</f>
        <v>41.11211895</v>
      </c>
      <c r="K9" s="88">
        <f>IFERROR(__xludf.DUMMYFUNCTION("""COMPUTED_VALUE"""),2.04261753E8)</f>
        <v>204261753</v>
      </c>
      <c r="L9" s="88">
        <f>IFERROR(__xludf.DUMMYFUNCTION("""COMPUTED_VALUE"""),0.2208)</f>
        <v>0.2208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IFERROR(__xludf.DUMMYFUNCTION("""COMPUTED_VALUE"""),41.87)</f>
        <v>41.87</v>
      </c>
      <c r="C10">
        <f>IFERROR(__xludf.DUMMYFUNCTION("""COMPUTED_VALUE"""),42.33)</f>
        <v>42.33</v>
      </c>
      <c r="D10" s="88">
        <f>IFERROR(__xludf.DUMMYFUNCTION("""COMPUTED_VALUE"""),40.08)</f>
        <v>40.08</v>
      </c>
      <c r="E10" s="88">
        <f>IFERROR(__xludf.DUMMYFUNCTION("""COMPUTED_VALUE"""),40.17)</f>
        <v>40.17</v>
      </c>
      <c r="F10" s="88">
        <f>IFERROR(__xludf.DUMMYFUNCTION("""COMPUTED_VALUE"""),1.83581343E8)</f>
        <v>183581343</v>
      </c>
      <c r="G10" s="88">
        <f>IFERROR(__xludf.DUMMYFUNCTION("""COMPUTED_VALUE"""),41.0826830691808)</f>
        <v>41.08268307</v>
      </c>
      <c r="H10" s="88">
        <f>IFERROR(__xludf.DUMMYFUNCTION("""COMPUTED_VALUE"""),41.5340333011326)</f>
        <v>41.5340333</v>
      </c>
      <c r="I10" s="88">
        <f>IFERROR(__xludf.DUMMYFUNCTION("""COMPUTED_VALUE"""),39.3263419491943)</f>
        <v>39.32634195</v>
      </c>
      <c r="J10" s="88">
        <f>IFERROR(__xludf.DUMMYFUNCTION("""COMPUTED_VALUE"""),39.4146496032718)</f>
        <v>39.4146496</v>
      </c>
      <c r="K10" s="88">
        <f>IFERROR(__xludf.DUMMYFUNCTION("""COMPUTED_VALUE"""),1.83581343E8)</f>
        <v>183581343</v>
      </c>
      <c r="L10" s="88">
        <f>IFERROR(__xludf.DUMMYFUNCTION("""COMPUTED_VALUE"""),0.0)</f>
        <v>0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IFERROR(__xludf.DUMMYFUNCTION("""COMPUTED_VALUE"""),39.81)</f>
        <v>39.81</v>
      </c>
      <c r="C11">
        <f>IFERROR(__xludf.DUMMYFUNCTION("""COMPUTED_VALUE"""),41.22)</f>
        <v>41.22</v>
      </c>
      <c r="D11" s="88">
        <f>IFERROR(__xludf.DUMMYFUNCTION("""COMPUTED_VALUE"""),38.72)</f>
        <v>38.72</v>
      </c>
      <c r="E11" s="88">
        <f>IFERROR(__xludf.DUMMYFUNCTION("""COMPUTED_VALUE"""),38.73)</f>
        <v>38.73</v>
      </c>
      <c r="F11" s="88">
        <f>IFERROR(__xludf.DUMMYFUNCTION("""COMPUTED_VALUE"""),1.84240056E8)</f>
        <v>184240056</v>
      </c>
      <c r="G11" s="88">
        <f>IFERROR(__xludf.DUMMYFUNCTION("""COMPUTED_VALUE"""),39.0614189869617)</f>
        <v>39.06141899</v>
      </c>
      <c r="H11" s="88">
        <f>IFERROR(__xludf.DUMMYFUNCTION("""COMPUTED_VALUE"""),40.4449055675097)</f>
        <v>40.44490557</v>
      </c>
      <c r="I11" s="88">
        <f>IFERROR(__xludf.DUMMYFUNCTION("""COMPUTED_VALUE"""),37.9919151764672)</f>
        <v>37.99191518</v>
      </c>
      <c r="J11" s="88">
        <f>IFERROR(__xludf.DUMMYFUNCTION("""COMPUTED_VALUE"""),38.0017271380313)</f>
        <v>38.00172714</v>
      </c>
      <c r="K11" s="88">
        <f>IFERROR(__xludf.DUMMYFUNCTION("""COMPUTED_VALUE"""),1.84240056E8)</f>
        <v>184240056</v>
      </c>
      <c r="L11" s="88">
        <f>IFERROR(__xludf.DUMMYFUNCTION("""COMPUTED_VALUE"""),0.0)</f>
        <v>0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IFERROR(__xludf.DUMMYFUNCTION("""COMPUTED_VALUE"""),38.79)</f>
        <v>38.79</v>
      </c>
      <c r="C12">
        <f>IFERROR(__xludf.DUMMYFUNCTION("""COMPUTED_VALUE"""),40.87)</f>
        <v>40.87</v>
      </c>
      <c r="D12" s="88">
        <f>IFERROR(__xludf.DUMMYFUNCTION("""COMPUTED_VALUE"""),37.79)</f>
        <v>37.79</v>
      </c>
      <c r="E12" s="88">
        <f>IFERROR(__xludf.DUMMYFUNCTION("""COMPUTED_VALUE"""),37.96)</f>
        <v>37.96</v>
      </c>
      <c r="F12" s="88">
        <f>IFERROR(__xludf.DUMMYFUNCTION("""COMPUTED_VALUE"""),3.08890515E8)</f>
        <v>308890515</v>
      </c>
      <c r="G12" s="88">
        <f>IFERROR(__xludf.DUMMYFUNCTION("""COMPUTED_VALUE"""),38.0605989074163)</f>
        <v>38.06059891</v>
      </c>
      <c r="H12" s="88">
        <f>IFERROR(__xludf.DUMMYFUNCTION("""COMPUTED_VALUE"""),39.9004115748604)</f>
        <v>39.90041157</v>
      </c>
      <c r="I12" s="88">
        <f>IFERROR(__xludf.DUMMYFUNCTION("""COMPUTED_VALUE"""),36.8934806316118)</f>
        <v>36.89348063</v>
      </c>
      <c r="J12" s="88">
        <f>IFERROR(__xludf.DUMMYFUNCTION("""COMPUTED_VALUE"""),37.0594475992587)</f>
        <v>37.0594476</v>
      </c>
      <c r="K12" s="88">
        <f>IFERROR(__xludf.DUMMYFUNCTION("""COMPUTED_VALUE"""),3.08890515E8)</f>
        <v>308890515</v>
      </c>
      <c r="L12" s="88">
        <f>IFERROR(__xludf.DUMMYFUNCTION("""COMPUTED_VALUE"""),0.1981)</f>
        <v>0.1981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IFERROR(__xludf.DUMMYFUNCTION("""COMPUTED_VALUE"""),37.67)</f>
        <v>37.67</v>
      </c>
      <c r="C13">
        <f>IFERROR(__xludf.DUMMYFUNCTION("""COMPUTED_VALUE"""),38.13)</f>
        <v>38.13</v>
      </c>
      <c r="D13" s="88">
        <f>IFERROR(__xludf.DUMMYFUNCTION("""COMPUTED_VALUE"""),34.12)</f>
        <v>34.12</v>
      </c>
      <c r="E13" s="88">
        <f>IFERROR(__xludf.DUMMYFUNCTION("""COMPUTED_VALUE"""),35.05)</f>
        <v>35.05</v>
      </c>
      <c r="F13" s="88">
        <f>IFERROR(__xludf.DUMMYFUNCTION("""COMPUTED_VALUE"""),3.26378264E8)</f>
        <v>326378264</v>
      </c>
      <c r="G13" s="88">
        <f>IFERROR(__xludf.DUMMYFUNCTION("""COMPUTED_VALUE"""),36.7763274779788)</f>
        <v>36.77632748</v>
      </c>
      <c r="H13" s="88">
        <f>IFERROR(__xludf.DUMMYFUNCTION("""COMPUTED_VALUE"""),37.2254145669055)</f>
        <v>37.22541457</v>
      </c>
      <c r="I13" s="88">
        <f>IFERROR(__xludf.DUMMYFUNCTION("""COMPUTED_VALUE"""),33.3105466830007)</f>
        <v>33.31054668</v>
      </c>
      <c r="J13" s="88">
        <f>IFERROR(__xludf.DUMMYFUNCTION("""COMPUTED_VALUE"""),34.2184836236569)</f>
        <v>34.21848362</v>
      </c>
      <c r="K13" s="88">
        <f>IFERROR(__xludf.DUMMYFUNCTION("""COMPUTED_VALUE"""),3.26378264E8)</f>
        <v>326378264</v>
      </c>
      <c r="L13" s="88">
        <f>IFERROR(__xludf.DUMMYFUNCTION("""COMPUTED_VALUE"""),0.0)</f>
        <v>0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IFERROR(__xludf.DUMMYFUNCTION("""COMPUTED_VALUE"""),35.68)</f>
        <v>35.68</v>
      </c>
      <c r="C14">
        <f>IFERROR(__xludf.DUMMYFUNCTION("""COMPUTED_VALUE"""),36.53)</f>
        <v>36.53</v>
      </c>
      <c r="D14" s="88">
        <f>IFERROR(__xludf.DUMMYFUNCTION("""COMPUTED_VALUE"""),31.6)</f>
        <v>31.6</v>
      </c>
      <c r="E14" s="88">
        <f>IFERROR(__xludf.DUMMYFUNCTION("""COMPUTED_VALUE"""),32.24)</f>
        <v>32.24</v>
      </c>
      <c r="F14" s="88">
        <f>IFERROR(__xludf.DUMMYFUNCTION("""COMPUTED_VALUE"""),5.49281022E8)</f>
        <v>549281022</v>
      </c>
      <c r="G14" s="88">
        <f>IFERROR(__xludf.DUMMYFUNCTION("""COMPUTED_VALUE"""),34.8335376802305)</f>
        <v>34.83353768</v>
      </c>
      <c r="H14" s="88">
        <f>IFERROR(__xludf.DUMMYFUNCTION("""COMPUTED_VALUE"""),35.6633725184647)</f>
        <v>35.66337252</v>
      </c>
      <c r="I14" s="88">
        <f>IFERROR(__xludf.DUMMYFUNCTION("""COMPUTED_VALUE"""),30.8503304567064)</f>
        <v>30.85033046</v>
      </c>
      <c r="J14" s="88">
        <f>IFERROR(__xludf.DUMMYFUNCTION("""COMPUTED_VALUE"""),31.4751472760827)</f>
        <v>31.47514728</v>
      </c>
      <c r="K14" s="88">
        <f>IFERROR(__xludf.DUMMYFUNCTION("""COMPUTED_VALUE"""),5.49281022E8)</f>
        <v>549281022</v>
      </c>
      <c r="L14" s="88">
        <f>IFERROR(__xludf.DUMMYFUNCTION("""COMPUTED_VALUE"""),0.0)</f>
        <v>0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IFERROR(__xludf.DUMMYFUNCTION("""COMPUTED_VALUE"""),33.34)</f>
        <v>33.34</v>
      </c>
      <c r="C15">
        <f>IFERROR(__xludf.DUMMYFUNCTION("""COMPUTED_VALUE"""),40.81)</f>
        <v>40.81</v>
      </c>
      <c r="D15" s="88">
        <f>IFERROR(__xludf.DUMMYFUNCTION("""COMPUTED_VALUE"""),28.46)</f>
        <v>28.46</v>
      </c>
      <c r="E15" s="88">
        <f>IFERROR(__xludf.DUMMYFUNCTION("""COMPUTED_VALUE"""),39.37)</f>
        <v>39.37</v>
      </c>
      <c r="F15" s="88">
        <f>IFERROR(__xludf.DUMMYFUNCTION("""COMPUTED_VALUE"""),1.043115852E9)</f>
        <v>1043115852</v>
      </c>
      <c r="G15" s="88">
        <f>IFERROR(__xludf.DUMMYFUNCTION("""COMPUTED_VALUE"""),32.5490511843858)</f>
        <v>32.54905118</v>
      </c>
      <c r="H15" s="88">
        <f>IFERROR(__xludf.DUMMYFUNCTION("""COMPUTED_VALUE"""),39.6610314080254)</f>
        <v>39.66103141</v>
      </c>
      <c r="I15" s="88">
        <f>IFERROR(__xludf.DUMMYFUNCTION("""COMPUTED_VALUE"""),27.6587344737173)</f>
        <v>27.65873447</v>
      </c>
      <c r="J15" s="88">
        <f>IFERROR(__xludf.DUMMYFUNCTION("""COMPUTED_VALUE"""),38.2615733039441)</f>
        <v>38.2615733</v>
      </c>
      <c r="K15" s="88">
        <f>IFERROR(__xludf.DUMMYFUNCTION("""COMPUTED_VALUE"""),1.043115852E9)</f>
        <v>1043115852</v>
      </c>
      <c r="L15" s="88">
        <f>IFERROR(__xludf.DUMMYFUNCTION("""COMPUTED_VALUE"""),0.1312)</f>
        <v>0.1312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IFERROR(__xludf.DUMMYFUNCTION("""COMPUTED_VALUE"""),39.47)</f>
        <v>39.47</v>
      </c>
      <c r="C16">
        <f>IFERROR(__xludf.DUMMYFUNCTION("""COMPUTED_VALUE"""),44.32)</f>
        <v>44.32</v>
      </c>
      <c r="D16" s="88">
        <f>IFERROR(__xludf.DUMMYFUNCTION("""COMPUTED_VALUE"""),38.45)</f>
        <v>38.45</v>
      </c>
      <c r="E16" s="88">
        <f>IFERROR(__xludf.DUMMYFUNCTION("""COMPUTED_VALUE"""),42.86)</f>
        <v>42.86</v>
      </c>
      <c r="F16" s="88">
        <f>IFERROR(__xludf.DUMMYFUNCTION("""COMPUTED_VALUE"""),2.85101681E8)</f>
        <v>285101681</v>
      </c>
      <c r="G16" s="88">
        <f>IFERROR(__xludf.DUMMYFUNCTION("""COMPUTED_VALUE"""),38.3587578945053)</f>
        <v>38.35875789</v>
      </c>
      <c r="H16" s="88">
        <f>IFERROR(__xludf.DUMMYFUNCTION("""COMPUTED_VALUE"""),43.0722105367235)</f>
        <v>43.07221054</v>
      </c>
      <c r="I16" s="88">
        <f>IFERROR(__xludf.DUMMYFUNCTION("""COMPUTED_VALUE"""),37.3674750707811)</f>
        <v>37.36747507</v>
      </c>
      <c r="J16" s="88">
        <f>IFERROR(__xludf.DUMMYFUNCTION("""COMPUTED_VALUE"""),41.65331551453)</f>
        <v>41.65331551</v>
      </c>
      <c r="K16" s="88">
        <f>IFERROR(__xludf.DUMMYFUNCTION("""COMPUTED_VALUE"""),2.85101681E8)</f>
        <v>285101681</v>
      </c>
      <c r="L16" s="88">
        <f>IFERROR(__xludf.DUMMYFUNCTION("""COMPUTED_VALUE"""),0.0)</f>
        <v>0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IFERROR(__xludf.DUMMYFUNCTION("""COMPUTED_VALUE"""),42.74)</f>
        <v>42.74</v>
      </c>
      <c r="C17">
        <f>IFERROR(__xludf.DUMMYFUNCTION("""COMPUTED_VALUE"""),44.67)</f>
        <v>44.67</v>
      </c>
      <c r="D17" s="88">
        <f>IFERROR(__xludf.DUMMYFUNCTION("""COMPUTED_VALUE"""),42.61)</f>
        <v>42.61</v>
      </c>
      <c r="E17" s="88">
        <f>IFERROR(__xludf.DUMMYFUNCTION("""COMPUTED_VALUE"""),44.35)</f>
        <v>44.35</v>
      </c>
      <c r="F17" s="88">
        <f>IFERROR(__xludf.DUMMYFUNCTION("""COMPUTED_VALUE"""),1.89142355E8)</f>
        <v>189142355</v>
      </c>
      <c r="G17" s="88">
        <f>IFERROR(__xludf.DUMMYFUNCTION("""COMPUTED_VALUE"""),41.5366940058565)</f>
        <v>41.53669401</v>
      </c>
      <c r="H17" s="88">
        <f>IFERROR(__xludf.DUMMYFUNCTION("""COMPUTED_VALUE"""),43.4123566036877)</f>
        <v>43.4123566</v>
      </c>
      <c r="I17" s="88">
        <f>IFERROR(__xludf.DUMMYFUNCTION("""COMPUTED_VALUE"""),41.410354038127)</f>
        <v>41.41035404</v>
      </c>
      <c r="J17" s="88">
        <f>IFERROR(__xludf.DUMMYFUNCTION("""COMPUTED_VALUE"""),43.1013659138918)</f>
        <v>43.10136591</v>
      </c>
      <c r="K17" s="88">
        <f>IFERROR(__xludf.DUMMYFUNCTION("""COMPUTED_VALUE"""),1.89142355E8)</f>
        <v>189142355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IFERROR(__xludf.DUMMYFUNCTION("""COMPUTED_VALUE"""),44.06)</f>
        <v>44.06</v>
      </c>
      <c r="C18">
        <f>IFERROR(__xludf.DUMMYFUNCTION("""COMPUTED_VALUE"""),44.47)</f>
        <v>44.47</v>
      </c>
      <c r="D18" s="88">
        <f>IFERROR(__xludf.DUMMYFUNCTION("""COMPUTED_VALUE"""),42.27)</f>
        <v>42.27</v>
      </c>
      <c r="E18" s="88">
        <f>IFERROR(__xludf.DUMMYFUNCTION("""COMPUTED_VALUE"""),42.96)</f>
        <v>42.96</v>
      </c>
      <c r="F18" s="88">
        <f>IFERROR(__xludf.DUMMYFUNCTION("""COMPUTED_VALUE"""),1.62971391E8)</f>
        <v>162971391</v>
      </c>
      <c r="G18" s="88">
        <f>IFERROR(__xludf.DUMMYFUNCTION("""COMPUTED_VALUE"""),42.8195306012644)</f>
        <v>42.8195306</v>
      </c>
      <c r="H18" s="88">
        <f>IFERROR(__xludf.DUMMYFUNCTION("""COMPUTED_VALUE"""),43.0041813233306)</f>
        <v>43.00418132</v>
      </c>
      <c r="I18" s="88">
        <f>IFERROR(__xludf.DUMMYFUNCTION("""COMPUTED_VALUE"""),40.6719091022438)</f>
        <v>40.6719091</v>
      </c>
      <c r="J18" s="88">
        <f>IFERROR(__xludf.DUMMYFUNCTION("""COMPUTED_VALUE"""),41.3358224516772)</f>
        <v>41.33582245</v>
      </c>
      <c r="K18" s="88">
        <f>IFERROR(__xludf.DUMMYFUNCTION("""COMPUTED_VALUE"""),1.62971391E8)</f>
        <v>162971391</v>
      </c>
      <c r="L18" s="88">
        <f>IFERROR(__xludf.DUMMYFUNCTION("""COMPUTED_VALUE"""),0.44)</f>
        <v>0.44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IFERROR(__xludf.DUMMYFUNCTION("""COMPUTED_VALUE"""),42.97)</f>
        <v>42.97</v>
      </c>
      <c r="C19">
        <f>IFERROR(__xludf.DUMMYFUNCTION("""COMPUTED_VALUE"""),43.31)</f>
        <v>43.31</v>
      </c>
      <c r="D19" s="88">
        <f>IFERROR(__xludf.DUMMYFUNCTION("""COMPUTED_VALUE"""),42.63)</f>
        <v>42.63</v>
      </c>
      <c r="E19" s="88">
        <f>IFERROR(__xludf.DUMMYFUNCTION("""COMPUTED_VALUE"""),42.67)</f>
        <v>42.67</v>
      </c>
      <c r="F19" s="88">
        <f>IFERROR(__xludf.DUMMYFUNCTION("""COMPUTED_VALUE"""),1.25817301E8)</f>
        <v>125817301</v>
      </c>
      <c r="G19" s="88">
        <f>IFERROR(__xludf.DUMMYFUNCTION("""COMPUTED_VALUE"""),41.3454443842777)</f>
        <v>41.34544438</v>
      </c>
      <c r="H19" s="88">
        <f>IFERROR(__xludf.DUMMYFUNCTION("""COMPUTED_VALUE"""),41.6725900926941)</f>
        <v>41.67259009</v>
      </c>
      <c r="I19" s="88">
        <f>IFERROR(__xludf.DUMMYFUNCTION("""COMPUTED_VALUE"""),41.0182986758612)</f>
        <v>41.01829868</v>
      </c>
      <c r="J19" s="88">
        <f>IFERROR(__xludf.DUMMYFUNCTION("""COMPUTED_VALUE"""),41.0567864062632)</f>
        <v>41.05678641</v>
      </c>
      <c r="K19" s="88">
        <f>IFERROR(__xludf.DUMMYFUNCTION("""COMPUTED_VALUE"""),1.25817301E8)</f>
        <v>125817301</v>
      </c>
      <c r="L19" s="88">
        <f>IFERROR(__xludf.DUMMYFUNCTION("""COMPUTED_VALUE"""),0.0)</f>
        <v>0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IFERROR(__xludf.DUMMYFUNCTION("""COMPUTED_VALUE"""),42.4)</f>
        <v>42.4</v>
      </c>
      <c r="C20">
        <f>IFERROR(__xludf.DUMMYFUNCTION("""COMPUTED_VALUE"""),42.5)</f>
        <v>42.5</v>
      </c>
      <c r="D20" s="88">
        <f>IFERROR(__xludf.DUMMYFUNCTION("""COMPUTED_VALUE"""),39.74)</f>
        <v>39.74</v>
      </c>
      <c r="E20" s="88">
        <f>IFERROR(__xludf.DUMMYFUNCTION("""COMPUTED_VALUE"""),40.99)</f>
        <v>40.99</v>
      </c>
      <c r="F20" s="88">
        <f>IFERROR(__xludf.DUMMYFUNCTION("""COMPUTED_VALUE"""),1.99937883E8)</f>
        <v>199937883</v>
      </c>
      <c r="G20" s="88">
        <f>IFERROR(__xludf.DUMMYFUNCTION("""COMPUTED_VALUE"""),40.7969942260501)</f>
        <v>40.79699423</v>
      </c>
      <c r="H20" s="88">
        <f>IFERROR(__xludf.DUMMYFUNCTION("""COMPUTED_VALUE"""),40.8932135520549)</f>
        <v>40.89321355</v>
      </c>
      <c r="I20" s="88">
        <f>IFERROR(__xludf.DUMMYFUNCTION("""COMPUTED_VALUE"""),38.2375601543215)</f>
        <v>38.23756015</v>
      </c>
      <c r="J20" s="88">
        <f>IFERROR(__xludf.DUMMYFUNCTION("""COMPUTED_VALUE"""),39.4403017293819)</f>
        <v>39.44030173</v>
      </c>
      <c r="K20" s="88">
        <f>IFERROR(__xludf.DUMMYFUNCTION("""COMPUTED_VALUE"""),1.99937883E8)</f>
        <v>199937883</v>
      </c>
      <c r="L20" s="88">
        <f>IFERROR(__xludf.DUMMYFUNCTION("""COMPUTED_VALUE"""),0.0)</f>
        <v>0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IFERROR(__xludf.DUMMYFUNCTION("""COMPUTED_VALUE"""),41.08)</f>
        <v>41.08</v>
      </c>
      <c r="C21">
        <f>IFERROR(__xludf.DUMMYFUNCTION("""COMPUTED_VALUE"""),41.91)</f>
        <v>41.91</v>
      </c>
      <c r="D21" s="88">
        <f>IFERROR(__xludf.DUMMYFUNCTION("""COMPUTED_VALUE"""),39.77)</f>
        <v>39.77</v>
      </c>
      <c r="E21" s="88">
        <f>IFERROR(__xludf.DUMMYFUNCTION("""COMPUTED_VALUE"""),39.82)</f>
        <v>39.82</v>
      </c>
      <c r="F21" s="88">
        <f>IFERROR(__xludf.DUMMYFUNCTION("""COMPUTED_VALUE"""),1.74007703E8)</f>
        <v>174007703</v>
      </c>
      <c r="G21" s="88">
        <f>IFERROR(__xludf.DUMMYFUNCTION("""COMPUTED_VALUE"""),39.5268991227863)</f>
        <v>39.52689912</v>
      </c>
      <c r="H21" s="88">
        <f>IFERROR(__xludf.DUMMYFUNCTION("""COMPUTED_VALUE"""),40.0570427804701)</f>
        <v>40.05704278</v>
      </c>
      <c r="I21" s="88">
        <f>IFERROR(__xludf.DUMMYFUNCTION("""COMPUTED_VALUE"""),38.0116581097422)</f>
        <v>38.01165811</v>
      </c>
      <c r="J21" s="88">
        <f>IFERROR(__xludf.DUMMYFUNCTION("""COMPUTED_VALUE"""),38.0594474712078)</f>
        <v>38.05944747</v>
      </c>
      <c r="K21" s="88">
        <f>IFERROR(__xludf.DUMMYFUNCTION("""COMPUTED_VALUE"""),1.74007703E8)</f>
        <v>174007703</v>
      </c>
      <c r="L21" s="88">
        <f>IFERROR(__xludf.DUMMYFUNCTION("""COMPUTED_VALUE"""),0.2754)</f>
        <v>0.2754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IFERROR(__xludf.DUMMYFUNCTION("""COMPUTED_VALUE"""),40.09)</f>
        <v>40.09</v>
      </c>
      <c r="C22">
        <f>IFERROR(__xludf.DUMMYFUNCTION("""COMPUTED_VALUE"""),41.22)</f>
        <v>41.22</v>
      </c>
      <c r="D22" s="88">
        <f>IFERROR(__xludf.DUMMYFUNCTION("""COMPUTED_VALUE"""),38.79)</f>
        <v>38.79</v>
      </c>
      <c r="E22" s="88">
        <f>IFERROR(__xludf.DUMMYFUNCTION("""COMPUTED_VALUE"""),40.86)</f>
        <v>40.86</v>
      </c>
      <c r="F22" s="88">
        <f>IFERROR(__xludf.DUMMYFUNCTION("""COMPUTED_VALUE"""),2.33008658E8)</f>
        <v>233008658</v>
      </c>
      <c r="G22" s="88">
        <f>IFERROR(__xludf.DUMMYFUNCTION("""COMPUTED_VALUE"""),38.3175100231221)</f>
        <v>38.31751002</v>
      </c>
      <c r="H22" s="88">
        <f>IFERROR(__xludf.DUMMYFUNCTION("""COMPUTED_VALUE"""),39.3975495922448)</f>
        <v>39.39754959</v>
      </c>
      <c r="I22" s="88">
        <f>IFERROR(__xludf.DUMMYFUNCTION("""COMPUTED_VALUE"""),37.0749866250164)</f>
        <v>37.07498663</v>
      </c>
      <c r="J22" s="88">
        <f>IFERROR(__xludf.DUMMYFUNCTION("""COMPUTED_VALUE"""),39.0534661896924)</f>
        <v>39.05346619</v>
      </c>
      <c r="K22" s="88">
        <f>IFERROR(__xludf.DUMMYFUNCTION("""COMPUTED_VALUE"""),2.33008658E8)</f>
        <v>233008658</v>
      </c>
      <c r="L22" s="88">
        <f>IFERROR(__xludf.DUMMYFUNCTION("""COMPUTED_VALUE"""),0.0)</f>
        <v>0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IFERROR(__xludf.DUMMYFUNCTION("""COMPUTED_VALUE"""),40.86)</f>
        <v>40.86</v>
      </c>
      <c r="C23">
        <f>IFERROR(__xludf.DUMMYFUNCTION("""COMPUTED_VALUE"""),42.28)</f>
        <v>42.28</v>
      </c>
      <c r="D23" s="88">
        <f>IFERROR(__xludf.DUMMYFUNCTION("""COMPUTED_VALUE"""),40.56)</f>
        <v>40.56</v>
      </c>
      <c r="E23" s="88">
        <f>IFERROR(__xludf.DUMMYFUNCTION("""COMPUTED_VALUE"""),42.11)</f>
        <v>42.11</v>
      </c>
      <c r="F23" s="88">
        <f>IFERROR(__xludf.DUMMYFUNCTION("""COMPUTED_VALUE"""),1.37761541E8)</f>
        <v>137761541</v>
      </c>
      <c r="G23" s="88">
        <f>IFERROR(__xludf.DUMMYFUNCTION("""COMPUTED_VALUE"""),39.0534661896924)</f>
        <v>39.05346619</v>
      </c>
      <c r="H23" s="88">
        <f>IFERROR(__xludf.DUMMYFUNCTION("""COMPUTED_VALUE"""),40.4106840553156)</f>
        <v>40.41068406</v>
      </c>
      <c r="I23" s="88">
        <f>IFERROR(__xludf.DUMMYFUNCTION("""COMPUTED_VALUE"""),38.7667300208988)</f>
        <v>38.76673002</v>
      </c>
      <c r="J23" s="88">
        <f>IFERROR(__xludf.DUMMYFUNCTION("""COMPUTED_VALUE"""),40.2482002263325)</f>
        <v>40.24820023</v>
      </c>
      <c r="K23" s="88">
        <f>IFERROR(__xludf.DUMMYFUNCTION("""COMPUTED_VALUE"""),1.37761541E8)</f>
        <v>137761541</v>
      </c>
      <c r="L23" s="88">
        <f>IFERROR(__xludf.DUMMYFUNCTION("""COMPUTED_VALUE"""),0.0)</f>
        <v>0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IFERROR(__xludf.DUMMYFUNCTION("""COMPUTED_VALUE"""),41.71)</f>
        <v>41.71</v>
      </c>
      <c r="C24">
        <f>IFERROR(__xludf.DUMMYFUNCTION("""COMPUTED_VALUE"""),41.78)</f>
        <v>41.78</v>
      </c>
      <c r="D24" s="88">
        <f>IFERROR(__xludf.DUMMYFUNCTION("""COMPUTED_VALUE"""),39.83)</f>
        <v>39.83</v>
      </c>
      <c r="E24" s="88">
        <f>IFERROR(__xludf.DUMMYFUNCTION("""COMPUTED_VALUE"""),39.92)</f>
        <v>39.92</v>
      </c>
      <c r="F24" s="88">
        <f>IFERROR(__xludf.DUMMYFUNCTION("""COMPUTED_VALUE"""),1.57634264E8)</f>
        <v>157634264</v>
      </c>
      <c r="G24" s="88">
        <f>IFERROR(__xludf.DUMMYFUNCTION("""COMPUTED_VALUE"""),39.8658853346077)</f>
        <v>39.86588533</v>
      </c>
      <c r="H24" s="88">
        <f>IFERROR(__xludf.DUMMYFUNCTION("""COMPUTED_VALUE"""),39.9327904406596)</f>
        <v>39.93279044</v>
      </c>
      <c r="I24" s="88">
        <f>IFERROR(__xludf.DUMMYFUNCTION("""COMPUTED_VALUE"""),37.6501532064698)</f>
        <v>37.65015321</v>
      </c>
      <c r="J24" s="88">
        <f>IFERROR(__xludf.DUMMYFUNCTION("""COMPUTED_VALUE"""),37.7352276174309)</f>
        <v>37.73522762</v>
      </c>
      <c r="K24" s="88">
        <f>IFERROR(__xludf.DUMMYFUNCTION("""COMPUTED_VALUE"""),1.57634264E8)</f>
        <v>157634264</v>
      </c>
      <c r="L24" s="88">
        <f>IFERROR(__xludf.DUMMYFUNCTION("""COMPUTED_VALUE"""),0.45)</f>
        <v>0.45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IFERROR(__xludf.DUMMYFUNCTION("""COMPUTED_VALUE"""),39.84)</f>
        <v>39.84</v>
      </c>
      <c r="C25">
        <f>IFERROR(__xludf.DUMMYFUNCTION("""COMPUTED_VALUE"""),42.14)</f>
        <v>42.14</v>
      </c>
      <c r="D25" s="88">
        <f>IFERROR(__xludf.DUMMYFUNCTION("""COMPUTED_VALUE"""),39.61)</f>
        <v>39.61</v>
      </c>
      <c r="E25" s="88">
        <f>IFERROR(__xludf.DUMMYFUNCTION("""COMPUTED_VALUE"""),42.09)</f>
        <v>42.09</v>
      </c>
      <c r="F25" s="88">
        <f>IFERROR(__xludf.DUMMYFUNCTION("""COMPUTED_VALUE"""),2.01203042E8)</f>
        <v>201203042</v>
      </c>
      <c r="G25" s="88">
        <f>IFERROR(__xludf.DUMMYFUNCTION("""COMPUTED_VALUE"""),37.6596059187988)</f>
        <v>37.65960592</v>
      </c>
      <c r="H25" s="88">
        <f>IFERROR(__xludf.DUMMYFUNCTION("""COMPUTED_VALUE"""),39.8337297544724)</f>
        <v>39.83372975</v>
      </c>
      <c r="I25" s="88">
        <f>IFERROR(__xludf.DUMMYFUNCTION("""COMPUTED_VALUE"""),37.4421935352314)</f>
        <v>37.44219354</v>
      </c>
      <c r="J25" s="88">
        <f>IFERROR(__xludf.DUMMYFUNCTION("""COMPUTED_VALUE"""),39.7864661928273)</f>
        <v>39.78646619</v>
      </c>
      <c r="K25" s="88">
        <f>IFERROR(__xludf.DUMMYFUNCTION("""COMPUTED_VALUE"""),2.01203042E8)</f>
        <v>201203042</v>
      </c>
      <c r="L25" s="88">
        <f>IFERROR(__xludf.DUMMYFUNCTION("""COMPUTED_VALUE"""),0.0)</f>
        <v>0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IFERROR(__xludf.DUMMYFUNCTION("""COMPUTED_VALUE"""),42.03)</f>
        <v>42.03</v>
      </c>
      <c r="C26">
        <f>IFERROR(__xludf.DUMMYFUNCTION("""COMPUTED_VALUE"""),42.21)</f>
        <v>42.21</v>
      </c>
      <c r="D26" s="88">
        <f>IFERROR(__xludf.DUMMYFUNCTION("""COMPUTED_VALUE"""),41.2)</f>
        <v>41.2</v>
      </c>
      <c r="E26" s="88">
        <f>IFERROR(__xludf.DUMMYFUNCTION("""COMPUTED_VALUE"""),41.25)</f>
        <v>41.25</v>
      </c>
      <c r="F26" s="88">
        <f>IFERROR(__xludf.DUMMYFUNCTION("""COMPUTED_VALUE"""),1.52265659E8)</f>
        <v>152265659</v>
      </c>
      <c r="G26" s="88">
        <f>IFERROR(__xludf.DUMMYFUNCTION("""COMPUTED_VALUE"""),39.7297499188532)</f>
        <v>39.72974992</v>
      </c>
      <c r="H26" s="88">
        <f>IFERROR(__xludf.DUMMYFUNCTION("""COMPUTED_VALUE"""),39.8998987407755)</f>
        <v>39.89989874</v>
      </c>
      <c r="I26" s="88">
        <f>IFERROR(__xludf.DUMMYFUNCTION("""COMPUTED_VALUE"""),38.9451747955449)</f>
        <v>38.9451748</v>
      </c>
      <c r="J26" s="88">
        <f>IFERROR(__xludf.DUMMYFUNCTION("""COMPUTED_VALUE"""),38.99243835719)</f>
        <v>38.99243836</v>
      </c>
      <c r="K26" s="88">
        <f>IFERROR(__xludf.DUMMYFUNCTION("""COMPUTED_VALUE"""),1.52265659E8)</f>
        <v>152265659</v>
      </c>
      <c r="L26" s="88">
        <f>IFERROR(__xludf.DUMMYFUNCTION("""COMPUTED_VALUE"""),0.0)</f>
        <v>0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IFERROR(__xludf.DUMMYFUNCTION("""COMPUTED_VALUE"""),40.87)</f>
        <v>40.87</v>
      </c>
      <c r="C27">
        <f>IFERROR(__xludf.DUMMYFUNCTION("""COMPUTED_VALUE"""),41.73)</f>
        <v>41.73</v>
      </c>
      <c r="D27" s="88">
        <f>IFERROR(__xludf.DUMMYFUNCTION("""COMPUTED_VALUE"""),39.99)</f>
        <v>39.99</v>
      </c>
      <c r="E27" s="88">
        <f>IFERROR(__xludf.DUMMYFUNCTION("""COMPUTED_VALUE"""),41.07)</f>
        <v>41.07</v>
      </c>
      <c r="F27" s="88">
        <f>IFERROR(__xludf.DUMMYFUNCTION("""COMPUTED_VALUE"""),1.87435427E8)</f>
        <v>187435427</v>
      </c>
      <c r="G27" s="88">
        <f>IFERROR(__xludf.DUMMYFUNCTION("""COMPUTED_VALUE"""),38.6332352886874)</f>
        <v>38.63323529</v>
      </c>
      <c r="H27" s="88">
        <f>IFERROR(__xludf.DUMMYFUNCTION("""COMPUTED_VALUE"""),39.2774097298635)</f>
        <v>39.27740973</v>
      </c>
      <c r="I27" s="88">
        <f>IFERROR(__xludf.DUMMYFUNCTION("""COMPUTED_VALUE"""),37.639674457159)</f>
        <v>37.63967446</v>
      </c>
      <c r="J27" s="88">
        <f>IFERROR(__xludf.DUMMYFUNCTION("""COMPUTED_VALUE"""),38.6561997988377)</f>
        <v>38.6561998</v>
      </c>
      <c r="K27" s="88">
        <f>IFERROR(__xludf.DUMMYFUNCTION("""COMPUTED_VALUE"""),1.87435427E8)</f>
        <v>187435427</v>
      </c>
      <c r="L27" s="88">
        <f>IFERROR(__xludf.DUMMYFUNCTION("""COMPUTED_VALUE"""),0.175)</f>
        <v>0.175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IFERROR(__xludf.DUMMYFUNCTION("""COMPUTED_VALUE"""),40.8)</f>
        <v>40.8</v>
      </c>
      <c r="C28">
        <f>IFERROR(__xludf.DUMMYFUNCTION("""COMPUTED_VALUE"""),41.21)</f>
        <v>41.21</v>
      </c>
      <c r="D28" s="88">
        <f>IFERROR(__xludf.DUMMYFUNCTION("""COMPUTED_VALUE"""),39.14)</f>
        <v>39.14</v>
      </c>
      <c r="E28" s="88">
        <f>IFERROR(__xludf.DUMMYFUNCTION("""COMPUTED_VALUE"""),39.83)</f>
        <v>39.83</v>
      </c>
      <c r="F28" s="88">
        <f>IFERROR(__xludf.DUMMYFUNCTION("""COMPUTED_VALUE"""),1.92656982E8)</f>
        <v>192656982</v>
      </c>
      <c r="G28" s="88">
        <f>IFERROR(__xludf.DUMMYFUNCTION("""COMPUTED_VALUE"""),38.402068463418)</f>
        <v>38.40206846</v>
      </c>
      <c r="H28" s="88">
        <f>IFERROR(__xludf.DUMMYFUNCTION("""COMPUTED_VALUE"""),38.7879716023886)</f>
        <v>38.7879716</v>
      </c>
      <c r="I28" s="88">
        <f>IFERROR(__xludf.DUMMYFUNCTION("""COMPUTED_VALUE"""),36.8396313641711)</f>
        <v>36.83963136</v>
      </c>
      <c r="J28" s="88">
        <f>IFERROR(__xludf.DUMMYFUNCTION("""COMPUTED_VALUE"""),37.4890781102436)</f>
        <v>37.48907811</v>
      </c>
      <c r="K28" s="88">
        <f>IFERROR(__xludf.DUMMYFUNCTION("""COMPUTED_VALUE"""),1.92656982E8)</f>
        <v>192656982</v>
      </c>
      <c r="L28" s="88">
        <f>IFERROR(__xludf.DUMMYFUNCTION("""COMPUTED_VALUE"""),0.0)</f>
        <v>0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IFERROR(__xludf.DUMMYFUNCTION("""COMPUTED_VALUE"""),39.87)</f>
        <v>39.87</v>
      </c>
      <c r="C29">
        <f>IFERROR(__xludf.DUMMYFUNCTION("""COMPUTED_VALUE"""),40.03)</f>
        <v>40.03</v>
      </c>
      <c r="D29" s="88">
        <f>IFERROR(__xludf.DUMMYFUNCTION("""COMPUTED_VALUE"""),36.6)</f>
        <v>36.6</v>
      </c>
      <c r="E29" s="88">
        <f>IFERROR(__xludf.DUMMYFUNCTION("""COMPUTED_VALUE"""),36.64)</f>
        <v>36.64</v>
      </c>
      <c r="F29" s="88">
        <f>IFERROR(__xludf.DUMMYFUNCTION("""COMPUTED_VALUE"""),3.85497633E8)</f>
        <v>385497633</v>
      </c>
      <c r="G29" s="88">
        <f>IFERROR(__xludf.DUMMYFUNCTION("""COMPUTED_VALUE"""),37.5267271969724)</f>
        <v>37.5267272</v>
      </c>
      <c r="H29" s="88">
        <f>IFERROR(__xludf.DUMMYFUNCTION("""COMPUTED_VALUE"""),37.6773235438878)</f>
        <v>37.67732354</v>
      </c>
      <c r="I29" s="88">
        <f>IFERROR(__xludf.DUMMYFUNCTION("""COMPUTED_VALUE"""),34.4489143568897)</f>
        <v>34.44891436</v>
      </c>
      <c r="J29" s="88">
        <f>IFERROR(__xludf.DUMMYFUNCTION("""COMPUTED_VALUE"""),34.4865634436185)</f>
        <v>34.48656344</v>
      </c>
      <c r="K29" s="88">
        <f>IFERROR(__xludf.DUMMYFUNCTION("""COMPUTED_VALUE"""),3.85497633E8)</f>
        <v>385497633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IFERROR(__xludf.DUMMYFUNCTION("""COMPUTED_VALUE"""),37.1)</f>
        <v>37.1</v>
      </c>
      <c r="C30">
        <f>IFERROR(__xludf.DUMMYFUNCTION("""COMPUTED_VALUE"""),40.39)</f>
        <v>40.39</v>
      </c>
      <c r="D30" s="88">
        <f>IFERROR(__xludf.DUMMYFUNCTION("""COMPUTED_VALUE"""),35.74)</f>
        <v>35.74</v>
      </c>
      <c r="E30" s="88">
        <f>IFERROR(__xludf.DUMMYFUNCTION("""COMPUTED_VALUE"""),40.36)</f>
        <v>40.36</v>
      </c>
      <c r="F30" s="88">
        <f>IFERROR(__xludf.DUMMYFUNCTION("""COMPUTED_VALUE"""),7.50760102E8)</f>
        <v>750760102</v>
      </c>
      <c r="G30" s="88">
        <f>IFERROR(__xludf.DUMMYFUNCTION("""COMPUTED_VALUE"""),34.9195279410002)</f>
        <v>34.91952794</v>
      </c>
      <c r="H30" s="88">
        <f>IFERROR(__xludf.DUMMYFUNCTION("""COMPUTED_VALUE"""),37.6134786128472)</f>
        <v>37.61347861</v>
      </c>
      <c r="I30" s="88">
        <f>IFERROR(__xludf.DUMMYFUNCTION("""COMPUTED_VALUE"""),33.6394589922196)</f>
        <v>33.63945899</v>
      </c>
      <c r="J30" s="88">
        <f>IFERROR(__xludf.DUMMYFUNCTION("""COMPUTED_VALUE"""),37.5855408966208)</f>
        <v>37.5855409</v>
      </c>
      <c r="K30" s="88">
        <f>IFERROR(__xludf.DUMMYFUNCTION("""COMPUTED_VALUE"""),7.50760102E8)</f>
        <v>750760102</v>
      </c>
      <c r="L30" s="88">
        <f>IFERROR(__xludf.DUMMYFUNCTION("""COMPUTED_VALUE"""),0.3837)</f>
        <v>0.3837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IFERROR(__xludf.DUMMYFUNCTION("""COMPUTED_VALUE"""),39.75)</f>
        <v>39.75</v>
      </c>
      <c r="C31">
        <f>IFERROR(__xludf.DUMMYFUNCTION("""COMPUTED_VALUE"""),40.89)</f>
        <v>40.89</v>
      </c>
      <c r="D31" s="88">
        <f>IFERROR(__xludf.DUMMYFUNCTION("""COMPUTED_VALUE"""),38.69)</f>
        <v>38.69</v>
      </c>
      <c r="E31" s="88">
        <f>IFERROR(__xludf.DUMMYFUNCTION("""COMPUTED_VALUE"""),39.89)</f>
        <v>39.89</v>
      </c>
      <c r="F31" s="88">
        <f>IFERROR(__xludf.DUMMYFUNCTION("""COMPUTED_VALUE"""),3.14984594E8)</f>
        <v>314984594</v>
      </c>
      <c r="G31" s="88">
        <f>IFERROR(__xludf.DUMMYFUNCTION("""COMPUTED_VALUE"""),37.0174740000168)</f>
        <v>37.017474</v>
      </c>
      <c r="H31" s="88">
        <f>IFERROR(__xludf.DUMMYFUNCTION("""COMPUTED_VALUE"""),38.079107216621)</f>
        <v>38.07910722</v>
      </c>
      <c r="I31" s="88">
        <f>IFERROR(__xludf.DUMMYFUNCTION("""COMPUTED_VALUE"""),36.0303413600163)</f>
        <v>36.03034136</v>
      </c>
      <c r="J31" s="88">
        <f>IFERROR(__xludf.DUMMYFUNCTION("""COMPUTED_VALUE"""),37.1478500090734)</f>
        <v>37.14785001</v>
      </c>
      <c r="K31" s="88">
        <f>IFERROR(__xludf.DUMMYFUNCTION("""COMPUTED_VALUE"""),3.14984594E8)</f>
        <v>314984594</v>
      </c>
      <c r="L31" s="88">
        <f>IFERROR(__xludf.DUMMYFUNCTION("""COMPUTED_VALUE"""),0.0)</f>
        <v>0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IFERROR(__xludf.DUMMYFUNCTION("""COMPUTED_VALUE"""),39.55)</f>
        <v>39.55</v>
      </c>
      <c r="C32">
        <f>IFERROR(__xludf.DUMMYFUNCTION("""COMPUTED_VALUE"""),43.52)</f>
        <v>43.52</v>
      </c>
      <c r="D32" s="88">
        <f>IFERROR(__xludf.DUMMYFUNCTION("""COMPUTED_VALUE"""),38.38)</f>
        <v>38.38</v>
      </c>
      <c r="E32" s="88">
        <f>IFERROR(__xludf.DUMMYFUNCTION("""COMPUTED_VALUE"""),43.45)</f>
        <v>43.45</v>
      </c>
      <c r="F32" s="88">
        <f>IFERROR(__xludf.DUMMYFUNCTION("""COMPUTED_VALUE"""),3.56422631E8)</f>
        <v>356422631</v>
      </c>
      <c r="G32" s="88">
        <f>IFERROR(__xludf.DUMMYFUNCTION("""COMPUTED_VALUE"""),36.8312225585072)</f>
        <v>36.83122256</v>
      </c>
      <c r="H32" s="88">
        <f>IFERROR(__xludf.DUMMYFUNCTION("""COMPUTED_VALUE"""),40.5283136724712)</f>
        <v>40.52831367</v>
      </c>
      <c r="I32" s="88">
        <f>IFERROR(__xludf.DUMMYFUNCTION("""COMPUTED_VALUE"""),35.7416516256766)</f>
        <v>35.74165163</v>
      </c>
      <c r="J32" s="88">
        <f>IFERROR(__xludf.DUMMYFUNCTION("""COMPUTED_VALUE"""),40.4631256679428)</f>
        <v>40.46312567</v>
      </c>
      <c r="K32" s="88">
        <f>IFERROR(__xludf.DUMMYFUNCTION("""COMPUTED_VALUE"""),3.56422631E8)</f>
        <v>356422631</v>
      </c>
      <c r="L32" s="88">
        <f>IFERROR(__xludf.DUMMYFUNCTION("""COMPUTED_VALUE"""),0.0)</f>
        <v>0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IFERROR(__xludf.DUMMYFUNCTION("""COMPUTED_VALUE"""),43.27)</f>
        <v>43.27</v>
      </c>
      <c r="C33">
        <f>IFERROR(__xludf.DUMMYFUNCTION("""COMPUTED_VALUE"""),43.99)</f>
        <v>43.99</v>
      </c>
      <c r="D33" s="88">
        <f>IFERROR(__xludf.DUMMYFUNCTION("""COMPUTED_VALUE"""),41.77)</f>
        <v>41.77</v>
      </c>
      <c r="E33" s="88">
        <f>IFERROR(__xludf.DUMMYFUNCTION("""COMPUTED_VALUE"""),42.59)</f>
        <v>42.59</v>
      </c>
      <c r="F33" s="88">
        <f>IFERROR(__xludf.DUMMYFUNCTION("""COMPUTED_VALUE"""),1.46146071E8)</f>
        <v>146146071</v>
      </c>
      <c r="G33" s="88">
        <f>IFERROR(__xludf.DUMMYFUNCTION("""COMPUTED_VALUE"""),40.2954993705843)</f>
        <v>40.29549937</v>
      </c>
      <c r="H33" s="88">
        <f>IFERROR(__xludf.DUMMYFUNCTION("""COMPUTED_VALUE"""),40.9566919879431)</f>
        <v>40.95669199</v>
      </c>
      <c r="I33" s="88">
        <f>IFERROR(__xludf.DUMMYFUNCTION("""COMPUTED_VALUE"""),38.7581264373481)</f>
        <v>38.75812644</v>
      </c>
      <c r="J33" s="88">
        <f>IFERROR(__xludf.DUMMYFUNCTION("""COMPUTED_VALUE"""),39.518999400686)</f>
        <v>39.5189994</v>
      </c>
      <c r="K33" s="88">
        <f>IFERROR(__xludf.DUMMYFUNCTION("""COMPUTED_VALUE"""),1.46146071E8)</f>
        <v>146146071</v>
      </c>
      <c r="L33" s="88">
        <f>IFERROR(__xludf.DUMMYFUNCTION("""COMPUTED_VALUE"""),0.1584)</f>
        <v>0.1584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IFERROR(__xludf.DUMMYFUNCTION("""COMPUTED_VALUE"""),43.12)</f>
        <v>43.12</v>
      </c>
      <c r="C34">
        <f>IFERROR(__xludf.DUMMYFUNCTION("""COMPUTED_VALUE"""),43.94)</f>
        <v>43.94</v>
      </c>
      <c r="D34" s="88">
        <f>IFERROR(__xludf.DUMMYFUNCTION("""COMPUTED_VALUE"""),41.57)</f>
        <v>41.57</v>
      </c>
      <c r="E34" s="88">
        <f>IFERROR(__xludf.DUMMYFUNCTION("""COMPUTED_VALUE"""),43.85)</f>
        <v>43.85</v>
      </c>
      <c r="F34" s="88">
        <f>IFERROR(__xludf.DUMMYFUNCTION("""COMPUTED_VALUE"""),1.77439429E8)</f>
        <v>177439429</v>
      </c>
      <c r="G34" s="88">
        <f>IFERROR(__xludf.DUMMYFUNCTION("""COMPUTED_VALUE"""),40.0107831452825)</f>
        <v>40.01078315</v>
      </c>
      <c r="H34" s="88">
        <f>IFERROR(__xludf.DUMMYFUNCTION("""COMPUTED_VALUE"""),40.7716561086204)</f>
        <v>40.77165611</v>
      </c>
      <c r="I34" s="88">
        <f>IFERROR(__xludf.DUMMYFUNCTION("""COMPUTED_VALUE"""),38.5725476658023)</f>
        <v>38.57254767</v>
      </c>
      <c r="J34" s="88">
        <f>IFERROR(__xludf.DUMMYFUNCTION("""COMPUTED_VALUE"""),40.6881456614248)</f>
        <v>40.68814566</v>
      </c>
      <c r="K34" s="88">
        <f>IFERROR(__xludf.DUMMYFUNCTION("""COMPUTED_VALUE"""),1.77439429E8)</f>
        <v>177439429</v>
      </c>
      <c r="L34" s="88">
        <f>IFERROR(__xludf.DUMMYFUNCTION("""COMPUTED_VALUE"""),0.0)</f>
        <v>0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IFERROR(__xludf.DUMMYFUNCTION("""COMPUTED_VALUE"""),43.88)</f>
        <v>43.88</v>
      </c>
      <c r="C35">
        <f>IFERROR(__xludf.DUMMYFUNCTION("""COMPUTED_VALUE"""),44.05)</f>
        <v>44.05</v>
      </c>
      <c r="D35" s="88">
        <f>IFERROR(__xludf.DUMMYFUNCTION("""COMPUTED_VALUE"""),42.21)</f>
        <v>42.21</v>
      </c>
      <c r="E35" s="88">
        <f>IFERROR(__xludf.DUMMYFUNCTION("""COMPUTED_VALUE"""),42.24)</f>
        <v>42.24</v>
      </c>
      <c r="F35" s="88">
        <f>IFERROR(__xludf.DUMMYFUNCTION("""COMPUTED_VALUE"""),1.64153446E8)</f>
        <v>164153446</v>
      </c>
      <c r="G35" s="88">
        <f>IFERROR(__xludf.DUMMYFUNCTION("""COMPUTED_VALUE"""),40.7159824771567)</f>
        <v>40.71598248</v>
      </c>
      <c r="H35" s="88">
        <f>IFERROR(__xludf.DUMMYFUNCTION("""COMPUTED_VALUE"""),40.8737244329706)</f>
        <v>40.87372443</v>
      </c>
      <c r="I35" s="88">
        <f>IFERROR(__xludf.DUMMYFUNCTION("""COMPUTED_VALUE"""),39.1663997347489)</f>
        <v>39.16639973</v>
      </c>
      <c r="J35" s="88">
        <f>IFERROR(__xludf.DUMMYFUNCTION("""COMPUTED_VALUE"""),39.1942365504808)</f>
        <v>39.19423655</v>
      </c>
      <c r="K35" s="88">
        <f>IFERROR(__xludf.DUMMYFUNCTION("""COMPUTED_VALUE"""),1.64153446E8)</f>
        <v>164153446</v>
      </c>
      <c r="L35" s="88">
        <f>IFERROR(__xludf.DUMMYFUNCTION("""COMPUTED_VALUE"""),0.0)</f>
        <v>0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IFERROR(__xludf.DUMMYFUNCTION("""COMPUTED_VALUE"""),42.9)</f>
        <v>42.9</v>
      </c>
      <c r="C36">
        <f>IFERROR(__xludf.DUMMYFUNCTION("""COMPUTED_VALUE"""),45.22)</f>
        <v>45.22</v>
      </c>
      <c r="D36" s="88">
        <f>IFERROR(__xludf.DUMMYFUNCTION("""COMPUTED_VALUE"""),42.31)</f>
        <v>42.31</v>
      </c>
      <c r="E36" s="88">
        <f>IFERROR(__xludf.DUMMYFUNCTION("""COMPUTED_VALUE"""),44.51)</f>
        <v>44.51</v>
      </c>
      <c r="F36" s="88">
        <f>IFERROR(__xludf.DUMMYFUNCTION("""COMPUTED_VALUE"""),1.92675622E8)</f>
        <v>192675622</v>
      </c>
      <c r="G36" s="88">
        <f>IFERROR(__xludf.DUMMYFUNCTION("""COMPUTED_VALUE"""),39.8066464965821)</f>
        <v>39.8066465</v>
      </c>
      <c r="H36" s="88">
        <f>IFERROR(__xludf.DUMMYFUNCTION("""COMPUTED_VALUE"""),41.4432777513256)</f>
        <v>41.44327775</v>
      </c>
      <c r="I36" s="88">
        <f>IFERROR(__xludf.DUMMYFUNCTION("""COMPUTED_VALUE"""),39.2591891205219)</f>
        <v>39.25918912</v>
      </c>
      <c r="J36" s="88">
        <f>IFERROR(__xludf.DUMMYFUNCTION("""COMPUTED_VALUE"""),40.7925761324967)</f>
        <v>40.79257613</v>
      </c>
      <c r="K36" s="88">
        <f>IFERROR(__xludf.DUMMYFUNCTION("""COMPUTED_VALUE"""),1.92675622E8)</f>
        <v>192675622</v>
      </c>
      <c r="L36" s="88">
        <f>IFERROR(__xludf.DUMMYFUNCTION("""COMPUTED_VALUE"""),0.5402)</f>
        <v>0.5402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IFERROR(__xludf.DUMMYFUNCTION("""COMPUTED_VALUE"""),44.17)</f>
        <v>44.17</v>
      </c>
      <c r="C37">
        <f>IFERROR(__xludf.DUMMYFUNCTION("""COMPUTED_VALUE"""),45.74)</f>
        <v>45.74</v>
      </c>
      <c r="D37" s="88">
        <f>IFERROR(__xludf.DUMMYFUNCTION("""COMPUTED_VALUE"""),43.61)</f>
        <v>43.61</v>
      </c>
      <c r="E37" s="88">
        <f>IFERROR(__xludf.DUMMYFUNCTION("""COMPUTED_VALUE"""),44.86)</f>
        <v>44.86</v>
      </c>
      <c r="F37" s="88">
        <f>IFERROR(__xludf.DUMMYFUNCTION("""COMPUTED_VALUE"""),1.54352456E8)</f>
        <v>154352456</v>
      </c>
      <c r="G37" s="88">
        <f>IFERROR(__xludf.DUMMYFUNCTION("""COMPUTED_VALUE"""),40.4809725403815)</f>
        <v>40.48097254</v>
      </c>
      <c r="H37" s="88">
        <f>IFERROR(__xludf.DUMMYFUNCTION("""COMPUTED_VALUE"""),41.9198479510312)</f>
        <v>41.91984795</v>
      </c>
      <c r="I37" s="88">
        <f>IFERROR(__xludf.DUMMYFUNCTION("""COMPUTED_VALUE"""),39.9677430945446)</f>
        <v>39.96774309</v>
      </c>
      <c r="J37" s="88">
        <f>IFERROR(__xludf.DUMMYFUNCTION("""COMPUTED_VALUE"""),41.1133445361447)</f>
        <v>41.11334454</v>
      </c>
      <c r="K37" s="88">
        <f>IFERROR(__xludf.DUMMYFUNCTION("""COMPUTED_VALUE"""),1.54352456E8)</f>
        <v>154352456</v>
      </c>
      <c r="L37" s="88">
        <f>IFERROR(__xludf.DUMMYFUNCTION("""COMPUTED_VALUE"""),0.0)</f>
        <v>0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IFERROR(__xludf.DUMMYFUNCTION("""COMPUTED_VALUE"""),44.81)</f>
        <v>44.81</v>
      </c>
      <c r="C38">
        <f>IFERROR(__xludf.DUMMYFUNCTION("""COMPUTED_VALUE"""),45.49)</f>
        <v>45.49</v>
      </c>
      <c r="D38" s="88">
        <f>IFERROR(__xludf.DUMMYFUNCTION("""COMPUTED_VALUE"""),43.31)</f>
        <v>43.31</v>
      </c>
      <c r="E38" s="88">
        <f>IFERROR(__xludf.DUMMYFUNCTION("""COMPUTED_VALUE"""),44.07)</f>
        <v>44.07</v>
      </c>
      <c r="F38" s="88">
        <f>IFERROR(__xludf.DUMMYFUNCTION("""COMPUTED_VALUE"""),1.80172051E8)</f>
        <v>180172051</v>
      </c>
      <c r="G38" s="88">
        <f>IFERROR(__xludf.DUMMYFUNCTION("""COMPUTED_VALUE"""),41.0675204784807)</f>
        <v>41.06752048</v>
      </c>
      <c r="H38" s="88">
        <f>IFERROR(__xludf.DUMMYFUNCTION("""COMPUTED_VALUE"""),41.6907276627112)</f>
        <v>41.69072766</v>
      </c>
      <c r="I38" s="88">
        <f>IFERROR(__xludf.DUMMYFUNCTION("""COMPUTED_VALUE"""),39.6927987485606)</f>
        <v>39.69279875</v>
      </c>
      <c r="J38" s="88">
        <f>IFERROR(__xludf.DUMMYFUNCTION("""COMPUTED_VALUE"""),40.3893244250535)</f>
        <v>40.38932443</v>
      </c>
      <c r="K38" s="88">
        <f>IFERROR(__xludf.DUMMYFUNCTION("""COMPUTED_VALUE"""),1.80172051E8)</f>
        <v>180172051</v>
      </c>
      <c r="L38" s="88">
        <f>IFERROR(__xludf.DUMMYFUNCTION("""COMPUTED_VALUE"""),0.0)</f>
        <v>0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IFERROR(__xludf.DUMMYFUNCTION("""COMPUTED_VALUE"""),44.25)</f>
        <v>44.25</v>
      </c>
      <c r="C39">
        <f>IFERROR(__xludf.DUMMYFUNCTION("""COMPUTED_VALUE"""),45.35)</f>
        <v>45.35</v>
      </c>
      <c r="D39" s="88">
        <f>IFERROR(__xludf.DUMMYFUNCTION("""COMPUTED_VALUE"""),43.29)</f>
        <v>43.29</v>
      </c>
      <c r="E39" s="88">
        <f>IFERROR(__xludf.DUMMYFUNCTION("""COMPUTED_VALUE"""),44.35)</f>
        <v>44.35</v>
      </c>
      <c r="F39" s="88">
        <f>IFERROR(__xludf.DUMMYFUNCTION("""COMPUTED_VALUE"""),2.13977717E8)</f>
        <v>213977717</v>
      </c>
      <c r="G39" s="88">
        <f>IFERROR(__xludf.DUMMYFUNCTION("""COMPUTED_VALUE"""),40.5542910326439)</f>
        <v>40.55429103</v>
      </c>
      <c r="H39" s="88">
        <f>IFERROR(__xludf.DUMMYFUNCTION("""COMPUTED_VALUE"""),41.4101493740228)</f>
        <v>41.41014937</v>
      </c>
      <c r="I39" s="88">
        <f>IFERROR(__xludf.DUMMYFUNCTION("""COMPUTED_VALUE"""),39.5291150253902)</f>
        <v>39.52911503</v>
      </c>
      <c r="J39" s="88">
        <f>IFERROR(__xludf.DUMMYFUNCTION("""COMPUTED_VALUE"""),40.4970259038128)</f>
        <v>40.4970259</v>
      </c>
      <c r="K39" s="88">
        <f>IFERROR(__xludf.DUMMYFUNCTION("""COMPUTED_VALUE"""),2.13977717E8)</f>
        <v>213977717</v>
      </c>
      <c r="L39" s="88">
        <f>IFERROR(__xludf.DUMMYFUNCTION("""COMPUTED_VALUE"""),0.1615)</f>
        <v>0.1615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IFERROR(__xludf.DUMMYFUNCTION("""COMPUTED_VALUE"""),44.59)</f>
        <v>44.59</v>
      </c>
      <c r="C40">
        <f>IFERROR(__xludf.DUMMYFUNCTION("""COMPUTED_VALUE"""),47.16)</f>
        <v>47.16</v>
      </c>
      <c r="D40" s="88">
        <f>IFERROR(__xludf.DUMMYFUNCTION("""COMPUTED_VALUE"""),42.53)</f>
        <v>42.53</v>
      </c>
      <c r="E40" s="88">
        <f>IFERROR(__xludf.DUMMYFUNCTION("""COMPUTED_VALUE"""),46.92)</f>
        <v>46.92</v>
      </c>
      <c r="F40" s="88">
        <f>IFERROR(__xludf.DUMMYFUNCTION("""COMPUTED_VALUE"""),2.88345869E8)</f>
        <v>288345869</v>
      </c>
      <c r="G40" s="88">
        <f>IFERROR(__xludf.DUMMYFUNCTION("""COMPUTED_VALUE"""),40.7161755366632)</f>
        <v>40.71617554</v>
      </c>
      <c r="H40" s="88">
        <f>IFERROR(__xludf.DUMMYFUNCTION("""COMPUTED_VALUE"""),43.0629028551029)</f>
        <v>43.06290286</v>
      </c>
      <c r="I40" s="88">
        <f>IFERROR(__xludf.DUMMYFUNCTION("""COMPUTED_VALUE"""),38.8351411880306)</f>
        <v>38.83514119</v>
      </c>
      <c r="J40" s="88">
        <f>IFERROR(__xludf.DUMMYFUNCTION("""COMPUTED_VALUE"""),42.8437532222525)</f>
        <v>42.84375322</v>
      </c>
      <c r="K40" s="88">
        <f>IFERROR(__xludf.DUMMYFUNCTION("""COMPUTED_VALUE"""),2.88345869E8)</f>
        <v>288345869</v>
      </c>
      <c r="L40" s="88">
        <f>IFERROR(__xludf.DUMMYFUNCTION("""COMPUTED_VALUE"""),0.0)</f>
        <v>0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IFERROR(__xludf.DUMMYFUNCTION("""COMPUTED_VALUE"""),46.99)</f>
        <v>46.99</v>
      </c>
      <c r="C41">
        <f>IFERROR(__xludf.DUMMYFUNCTION("""COMPUTED_VALUE"""),47.89)</f>
        <v>47.89</v>
      </c>
      <c r="D41" s="88">
        <f>IFERROR(__xludf.DUMMYFUNCTION("""COMPUTED_VALUE"""),44.99)</f>
        <v>44.99</v>
      </c>
      <c r="E41" s="88">
        <f>IFERROR(__xludf.DUMMYFUNCTION("""COMPUTED_VALUE"""),45.04)</f>
        <v>45.04</v>
      </c>
      <c r="F41" s="88">
        <f>IFERROR(__xludf.DUMMYFUNCTION("""COMPUTED_VALUE"""),2.05516147E8)</f>
        <v>205516147</v>
      </c>
      <c r="G41" s="88">
        <f>IFERROR(__xludf.DUMMYFUNCTION("""COMPUTED_VALUE"""),42.9076718651672)</f>
        <v>42.90767187</v>
      </c>
      <c r="H41" s="88">
        <f>IFERROR(__xludf.DUMMYFUNCTION("""COMPUTED_VALUE"""),43.7294829883562)</f>
        <v>43.72948299</v>
      </c>
      <c r="I41" s="88">
        <f>IFERROR(__xludf.DUMMYFUNCTION("""COMPUTED_VALUE"""),41.0814249247472)</f>
        <v>41.08142492</v>
      </c>
      <c r="J41" s="88">
        <f>IFERROR(__xludf.DUMMYFUNCTION("""COMPUTED_VALUE"""),41.1270810982577)</f>
        <v>41.1270811</v>
      </c>
      <c r="K41" s="88">
        <f>IFERROR(__xludf.DUMMYFUNCTION("""COMPUTED_VALUE"""),2.05516147E8)</f>
        <v>205516147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IFERROR(__xludf.DUMMYFUNCTION("""COMPUTED_VALUE"""),44.86)</f>
        <v>44.86</v>
      </c>
      <c r="C42">
        <f>IFERROR(__xludf.DUMMYFUNCTION("""COMPUTED_VALUE"""),45.06)</f>
        <v>45.06</v>
      </c>
      <c r="D42" s="88">
        <f>IFERROR(__xludf.DUMMYFUNCTION("""COMPUTED_VALUE"""),43.98)</f>
        <v>43.98</v>
      </c>
      <c r="E42" s="88">
        <f>IFERROR(__xludf.DUMMYFUNCTION("""COMPUTED_VALUE"""),44.42)</f>
        <v>44.42</v>
      </c>
      <c r="F42" s="88">
        <f>IFERROR(__xludf.DUMMYFUNCTION("""COMPUTED_VALUE"""),1.55550407E8)</f>
        <v>155550407</v>
      </c>
      <c r="G42" s="88">
        <f>IFERROR(__xludf.DUMMYFUNCTION("""COMPUTED_VALUE"""),40.9627188736199)</f>
        <v>40.96271887</v>
      </c>
      <c r="H42" s="88">
        <f>IFERROR(__xludf.DUMMYFUNCTION("""COMPUTED_VALUE"""),41.1362123329598)</f>
        <v>41.13621233</v>
      </c>
      <c r="I42" s="88">
        <f>IFERROR(__xludf.DUMMYFUNCTION("""COMPUTED_VALUE"""),39.7733295787998)</f>
        <v>39.77332958</v>
      </c>
      <c r="J42" s="88">
        <f>IFERROR(__xludf.DUMMYFUNCTION("""COMPUTED_VALUE"""),40.1712437446632)</f>
        <v>40.17124374</v>
      </c>
      <c r="K42" s="88">
        <f>IFERROR(__xludf.DUMMYFUNCTION("""COMPUTED_VALUE"""),1.55550407E8)</f>
        <v>155550407</v>
      </c>
      <c r="L42" s="88">
        <f>IFERROR(__xludf.DUMMYFUNCTION("""COMPUTED_VALUE"""),0.4315)</f>
        <v>0.4315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IFERROR(__xludf.DUMMYFUNCTION("""COMPUTED_VALUE"""),44.56)</f>
        <v>44.56</v>
      </c>
      <c r="C43">
        <f>IFERROR(__xludf.DUMMYFUNCTION("""COMPUTED_VALUE"""),44.79)</f>
        <v>44.79</v>
      </c>
      <c r="D43" s="88">
        <f>IFERROR(__xludf.DUMMYFUNCTION("""COMPUTED_VALUE"""),43.41)</f>
        <v>43.41</v>
      </c>
      <c r="E43" s="88">
        <f>IFERROR(__xludf.DUMMYFUNCTION("""COMPUTED_VALUE"""),44.4)</f>
        <v>44.4</v>
      </c>
      <c r="F43" s="88">
        <f>IFERROR(__xludf.DUMMYFUNCTION("""COMPUTED_VALUE"""),1.73044831E8)</f>
        <v>173044831</v>
      </c>
      <c r="G43" s="88">
        <f>IFERROR(__xludf.DUMMYFUNCTION("""COMPUTED_VALUE"""),40.2978527974379)</f>
        <v>40.2978528</v>
      </c>
      <c r="H43" s="88">
        <f>IFERROR(__xludf.DUMMYFUNCTION("""COMPUTED_VALUE"""),40.5058533841392)</f>
        <v>40.50585338</v>
      </c>
      <c r="I43" s="88">
        <f>IFERROR(__xludf.DUMMYFUNCTION("""COMPUTED_VALUE"""),39.2578498639313)</f>
        <v>39.25784986</v>
      </c>
      <c r="J43" s="88">
        <f>IFERROR(__xludf.DUMMYFUNCTION("""COMPUTED_VALUE"""),40.1531567371239)</f>
        <v>40.15315674</v>
      </c>
      <c r="K43" s="88">
        <f>IFERROR(__xludf.DUMMYFUNCTION("""COMPUTED_VALUE"""),1.73044831E8)</f>
        <v>173044831</v>
      </c>
      <c r="L43" s="88">
        <f>IFERROR(__xludf.DUMMYFUNCTION("""COMPUTED_VALUE"""),0.0)</f>
        <v>0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IFERROR(__xludf.DUMMYFUNCTION("""COMPUTED_VALUE"""),44.18)</f>
        <v>44.18</v>
      </c>
      <c r="C44">
        <f>IFERROR(__xludf.DUMMYFUNCTION("""COMPUTED_VALUE"""),44.2199)</f>
        <v>44.2199</v>
      </c>
      <c r="D44" s="88">
        <f>IFERROR(__xludf.DUMMYFUNCTION("""COMPUTED_VALUE"""),43.1901)</f>
        <v>43.1901</v>
      </c>
      <c r="E44" s="88">
        <f>IFERROR(__xludf.DUMMYFUNCTION("""COMPUTED_VALUE"""),43.28)</f>
        <v>43.28</v>
      </c>
      <c r="F44" s="88">
        <f>IFERROR(__xludf.DUMMYFUNCTION("""COMPUTED_VALUE"""),1.32901965E8)</f>
        <v>132901965</v>
      </c>
      <c r="G44" s="88">
        <f>IFERROR(__xludf.DUMMYFUNCTION("""COMPUTED_VALUE"""),39.9541996541922)</f>
        <v>39.95419965</v>
      </c>
      <c r="H44" s="88">
        <f>IFERROR(__xludf.DUMMYFUNCTION("""COMPUTED_VALUE"""),39.990283234233)</f>
        <v>39.99028323</v>
      </c>
      <c r="I44" s="88">
        <f>IFERROR(__xludf.DUMMYFUNCTION("""COMPUTED_VALUE"""),39.0589832160373)</f>
        <v>39.05898322</v>
      </c>
      <c r="J44" s="88">
        <f>IFERROR(__xludf.DUMMYFUNCTION("""COMPUTED_VALUE"""),39.1402843149262)</f>
        <v>39.14028431</v>
      </c>
      <c r="K44" s="88">
        <f>IFERROR(__xludf.DUMMYFUNCTION("""COMPUTED_VALUE"""),1.32901965E8)</f>
        <v>132901965</v>
      </c>
      <c r="L44" s="88">
        <f>IFERROR(__xludf.DUMMYFUNCTION("""COMPUTED_VALUE"""),0.0)</f>
        <v>0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IFERROR(__xludf.DUMMYFUNCTION("""COMPUTED_VALUE"""),43.41)</f>
        <v>43.41</v>
      </c>
      <c r="C45">
        <f>IFERROR(__xludf.DUMMYFUNCTION("""COMPUTED_VALUE"""),43.58)</f>
        <v>43.58</v>
      </c>
      <c r="D45" s="88">
        <f>IFERROR(__xludf.DUMMYFUNCTION("""COMPUTED_VALUE"""),42.16)</f>
        <v>42.16</v>
      </c>
      <c r="E45" s="88">
        <f>IFERROR(__xludf.DUMMYFUNCTION("""COMPUTED_VALUE"""),42.72)</f>
        <v>42.72</v>
      </c>
      <c r="F45" s="88">
        <f>IFERROR(__xludf.DUMMYFUNCTION("""COMPUTED_VALUE"""),1.38174704E8)</f>
        <v>138174704</v>
      </c>
      <c r="G45" s="88">
        <f>IFERROR(__xludf.DUMMYFUNCTION("""COMPUTED_VALUE"""),39.2578498639313)</f>
        <v>39.25784986</v>
      </c>
      <c r="H45" s="88">
        <f>IFERROR(__xludf.DUMMYFUNCTION("""COMPUTED_VALUE"""),39.384458916706)</f>
        <v>39.38445892</v>
      </c>
      <c r="I45" s="88">
        <f>IFERROR(__xludf.DUMMYFUNCTION("""COMPUTED_VALUE"""),37.9703717691914)</f>
        <v>37.97037177</v>
      </c>
      <c r="J45" s="88">
        <f>IFERROR(__xludf.DUMMYFUNCTION("""COMPUTED_VALUE"""),38.4747220583457)</f>
        <v>38.47472206</v>
      </c>
      <c r="K45" s="88">
        <f>IFERROR(__xludf.DUMMYFUNCTION("""COMPUTED_VALUE"""),1.38174704E8)</f>
        <v>138174704</v>
      </c>
      <c r="L45" s="88">
        <f>IFERROR(__xludf.DUMMYFUNCTION("""COMPUTED_VALUE"""),0.179)</f>
        <v>0.179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IFERROR(__xludf.DUMMYFUNCTION("""COMPUTED_VALUE"""),42.52)</f>
        <v>42.52</v>
      </c>
      <c r="C46">
        <f>IFERROR(__xludf.DUMMYFUNCTION("""COMPUTED_VALUE"""),42.86)</f>
        <v>42.86</v>
      </c>
      <c r="D46" s="88">
        <f>IFERROR(__xludf.DUMMYFUNCTION("""COMPUTED_VALUE"""),41.73)</f>
        <v>41.73</v>
      </c>
      <c r="E46" s="88">
        <f>IFERROR(__xludf.DUMMYFUNCTION("""COMPUTED_VALUE"""),42.82)</f>
        <v>42.82</v>
      </c>
      <c r="F46" s="88">
        <f>IFERROR(__xludf.DUMMYFUNCTION("""COMPUTED_VALUE"""),1.5360804E8)</f>
        <v>153608040</v>
      </c>
      <c r="G46" s="88">
        <f>IFERROR(__xludf.DUMMYFUNCTION("""COMPUTED_VALUE"""),38.2945969550763)</f>
        <v>38.29459696</v>
      </c>
      <c r="H46" s="88">
        <f>IFERROR(__xludf.DUMMYFUNCTION("""COMPUTED_VALUE"""),38.6008096306343)</f>
        <v>38.60080963</v>
      </c>
      <c r="I46" s="88">
        <f>IFERROR(__xludf.DUMMYFUNCTION("""COMPUTED_VALUE"""),37.5831027971622)</f>
        <v>37.5831028</v>
      </c>
      <c r="J46" s="88">
        <f>IFERROR(__xludf.DUMMYFUNCTION("""COMPUTED_VALUE"""),38.5647846099804)</f>
        <v>38.56478461</v>
      </c>
      <c r="K46" s="88">
        <f>IFERROR(__xludf.DUMMYFUNCTION("""COMPUTED_VALUE"""),1.5360804E8)</f>
        <v>153608040</v>
      </c>
      <c r="L46" s="88">
        <f>IFERROR(__xludf.DUMMYFUNCTION("""COMPUTED_VALUE"""),0.0)</f>
        <v>0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IFERROR(__xludf.DUMMYFUNCTION("""COMPUTED_VALUE"""),42.51)</f>
        <v>42.51</v>
      </c>
      <c r="C47">
        <f>IFERROR(__xludf.DUMMYFUNCTION("""COMPUTED_VALUE"""),42.62)</f>
        <v>42.62</v>
      </c>
      <c r="D47" s="88">
        <f>IFERROR(__xludf.DUMMYFUNCTION("""COMPUTED_VALUE"""),40.875)</f>
        <v>40.875</v>
      </c>
      <c r="E47" s="88">
        <f>IFERROR(__xludf.DUMMYFUNCTION("""COMPUTED_VALUE"""),41.29)</f>
        <v>41.29</v>
      </c>
      <c r="F47" s="88">
        <f>IFERROR(__xludf.DUMMYFUNCTION("""COMPUTED_VALUE"""),1.33978991E8)</f>
        <v>133978991</v>
      </c>
      <c r="G47" s="88">
        <f>IFERROR(__xludf.DUMMYFUNCTION("""COMPUTED_VALUE"""),38.2855906999129)</f>
        <v>38.2855907</v>
      </c>
      <c r="H47" s="88">
        <f>IFERROR(__xludf.DUMMYFUNCTION("""COMPUTED_VALUE"""),38.384659506711)</f>
        <v>38.38465951</v>
      </c>
      <c r="I47" s="88">
        <f>IFERROR(__xludf.DUMMYFUNCTION("""COMPUTED_VALUE"""),36.8130679806854)</f>
        <v>36.81306798</v>
      </c>
      <c r="J47" s="88">
        <f>IFERROR(__xludf.DUMMYFUNCTION("""COMPUTED_VALUE"""),37.1868275699695)</f>
        <v>37.18682757</v>
      </c>
      <c r="K47" s="88">
        <f>IFERROR(__xludf.DUMMYFUNCTION("""COMPUTED_VALUE"""),1.33978991E8)</f>
        <v>133978991</v>
      </c>
      <c r="L47" s="88">
        <f>IFERROR(__xludf.DUMMYFUNCTION("""COMPUTED_VALUE"""),0.0)</f>
        <v>0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IFERROR(__xludf.DUMMYFUNCTION("""COMPUTED_VALUE"""),41.32)</f>
        <v>41.32</v>
      </c>
      <c r="C48">
        <f>IFERROR(__xludf.DUMMYFUNCTION("""COMPUTED_VALUE"""),42.2499)</f>
        <v>42.2499</v>
      </c>
      <c r="D48" s="88">
        <f>IFERROR(__xludf.DUMMYFUNCTION("""COMPUTED_VALUE"""),40.9629)</f>
        <v>40.9629</v>
      </c>
      <c r="E48" s="88">
        <f>IFERROR(__xludf.DUMMYFUNCTION("""COMPUTED_VALUE"""),41.69)</f>
        <v>41.69</v>
      </c>
      <c r="F48" s="88">
        <f>IFERROR(__xludf.DUMMYFUNCTION("""COMPUTED_VALUE"""),1.90163435E8)</f>
        <v>190163435</v>
      </c>
      <c r="G48" s="88">
        <f>IFERROR(__xludf.DUMMYFUNCTION("""COMPUTED_VALUE"""),37.2138463354599)</f>
        <v>37.21384634</v>
      </c>
      <c r="H48" s="88">
        <f>IFERROR(__xludf.DUMMYFUNCTION("""COMPUTED_VALUE"""),37.6097328572596)</f>
        <v>37.60973286</v>
      </c>
      <c r="I48" s="88">
        <f>IFERROR(__xludf.DUMMYFUNCTION("""COMPUTED_VALUE"""),36.6973942433125)</f>
        <v>36.69739424</v>
      </c>
      <c r="J48" s="88">
        <f>IFERROR(__xludf.DUMMYFUNCTION("""COMPUTED_VALUE"""),37.1113248272577)</f>
        <v>37.11132483</v>
      </c>
      <c r="K48" s="88">
        <f>IFERROR(__xludf.DUMMYFUNCTION("""COMPUTED_VALUE"""),1.90163435E8)</f>
        <v>190163435</v>
      </c>
      <c r="L48" s="88">
        <f>IFERROR(__xludf.DUMMYFUNCTION("""COMPUTED_VALUE"""),0.482)</f>
        <v>0.482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IFERROR(__xludf.DUMMYFUNCTION("""COMPUTED_VALUE"""),41.54)</f>
        <v>41.54</v>
      </c>
      <c r="C49">
        <f>IFERROR(__xludf.DUMMYFUNCTION("""COMPUTED_VALUE"""),41.72)</f>
        <v>41.72</v>
      </c>
      <c r="D49" s="88">
        <f>IFERROR(__xludf.DUMMYFUNCTION("""COMPUTED_VALUE"""),40.25)</f>
        <v>40.25</v>
      </c>
      <c r="E49" s="88">
        <f>IFERROR(__xludf.DUMMYFUNCTION("""COMPUTED_VALUE"""),40.25)</f>
        <v>40.25</v>
      </c>
      <c r="F49" s="88">
        <f>IFERROR(__xludf.DUMMYFUNCTION("""COMPUTED_VALUE"""),1.8231518E8)</f>
        <v>182315180</v>
      </c>
      <c r="G49" s="88">
        <f>IFERROR(__xludf.DUMMYFUNCTION("""COMPUTED_VALUE"""),36.9777988324366)</f>
        <v>36.97779883</v>
      </c>
      <c r="H49" s="88">
        <f>IFERROR(__xludf.DUMMYFUNCTION("""COMPUTED_VALUE"""),37.1380300262219)</f>
        <v>37.13803003</v>
      </c>
      <c r="I49" s="88">
        <f>IFERROR(__xludf.DUMMYFUNCTION("""COMPUTED_VALUE"""),35.8294752769758)</f>
        <v>35.82947528</v>
      </c>
      <c r="J49" s="88">
        <f>IFERROR(__xludf.DUMMYFUNCTION("""COMPUTED_VALUE"""),35.8294752769758)</f>
        <v>35.82947528</v>
      </c>
      <c r="K49" s="88">
        <f>IFERROR(__xludf.DUMMYFUNCTION("""COMPUTED_VALUE"""),1.8231518E8)</f>
        <v>182315180</v>
      </c>
      <c r="L49" s="88">
        <f>IFERROR(__xludf.DUMMYFUNCTION("""COMPUTED_VALUE"""),0.0)</f>
        <v>0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IFERROR(__xludf.DUMMYFUNCTION("""COMPUTED_VALUE"""),40.17)</f>
        <v>40.17</v>
      </c>
      <c r="C50">
        <f>IFERROR(__xludf.DUMMYFUNCTION("""COMPUTED_VALUE"""),40.3251)</f>
        <v>40.3251</v>
      </c>
      <c r="D50" s="88">
        <f>IFERROR(__xludf.DUMMYFUNCTION("""COMPUTED_VALUE"""),38.78)</f>
        <v>38.78</v>
      </c>
      <c r="E50" s="88">
        <f>IFERROR(__xludf.DUMMYFUNCTION("""COMPUTED_VALUE"""),39.24)</f>
        <v>39.24</v>
      </c>
      <c r="F50" s="88">
        <f>IFERROR(__xludf.DUMMYFUNCTION("""COMPUTED_VALUE"""),1.58891784E8)</f>
        <v>158891784</v>
      </c>
      <c r="G50" s="88">
        <f>IFERROR(__xludf.DUMMYFUNCTION("""COMPUTED_VALUE"""),35.7582614130713)</f>
        <v>35.75826141</v>
      </c>
      <c r="H50" s="88">
        <f>IFERROR(__xludf.DUMMYFUNCTION("""COMPUTED_VALUE"""),35.8963272917162)</f>
        <v>35.89632729</v>
      </c>
      <c r="I50" s="88">
        <f>IFERROR(__xludf.DUMMYFUNCTION("""COMPUTED_VALUE"""),34.5209205277297)</f>
        <v>34.52092053</v>
      </c>
      <c r="J50" s="88">
        <f>IFERROR(__xludf.DUMMYFUNCTION("""COMPUTED_VALUE"""),34.9304002451809)</f>
        <v>34.93040025</v>
      </c>
      <c r="K50" s="88">
        <f>IFERROR(__xludf.DUMMYFUNCTION("""COMPUTED_VALUE"""),1.58891784E8)</f>
        <v>158891784</v>
      </c>
      <c r="L50" s="88">
        <f>IFERROR(__xludf.DUMMYFUNCTION("""COMPUTED_VALUE"""),0.0)</f>
        <v>0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IFERROR(__xludf.DUMMYFUNCTION("""COMPUTED_VALUE"""),39.3)</f>
        <v>39.3</v>
      </c>
      <c r="C51">
        <f>IFERROR(__xludf.DUMMYFUNCTION("""COMPUTED_VALUE"""),39.64)</f>
        <v>39.64</v>
      </c>
      <c r="D51" s="88">
        <f>IFERROR(__xludf.DUMMYFUNCTION("""COMPUTED_VALUE"""),38.1621)</f>
        <v>38.1621</v>
      </c>
      <c r="E51" s="88">
        <f>IFERROR(__xludf.DUMMYFUNCTION("""COMPUTED_VALUE"""),38.52)</f>
        <v>38.52</v>
      </c>
      <c r="F51" s="88">
        <f>IFERROR(__xludf.DUMMYFUNCTION("""COMPUTED_VALUE"""),1.99053919E8)</f>
        <v>199053919</v>
      </c>
      <c r="G51" s="88">
        <f>IFERROR(__xludf.DUMMYFUNCTION("""COMPUTED_VALUE"""),34.9838106431093)</f>
        <v>34.98381064</v>
      </c>
      <c r="H51" s="88">
        <f>IFERROR(__xludf.DUMMYFUNCTION("""COMPUTED_VALUE"""),35.1796487688468)</f>
        <v>35.17964877</v>
      </c>
      <c r="I51" s="88">
        <f>IFERROR(__xludf.DUMMYFUNCTION("""COMPUTED_VALUE"""),33.8413873417728)</f>
        <v>33.84138734</v>
      </c>
      <c r="J51" s="88">
        <f>IFERROR(__xludf.DUMMYFUNCTION("""COMPUTED_VALUE"""),34.1587659066218)</f>
        <v>34.15876591</v>
      </c>
      <c r="K51" s="88">
        <f>IFERROR(__xludf.DUMMYFUNCTION("""COMPUTED_VALUE"""),1.99053919E8)</f>
        <v>199053919</v>
      </c>
      <c r="L51" s="88">
        <f>IFERROR(__xludf.DUMMYFUNCTION("""COMPUTED_VALUE"""),0.15)</f>
        <v>0.15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IFERROR(__xludf.DUMMYFUNCTION("""COMPUTED_VALUE"""),38.28)</f>
        <v>38.28</v>
      </c>
      <c r="C52">
        <f>IFERROR(__xludf.DUMMYFUNCTION("""COMPUTED_VALUE"""),38.79)</f>
        <v>38.79</v>
      </c>
      <c r="D52" s="88">
        <f>IFERROR(__xludf.DUMMYFUNCTION("""COMPUTED_VALUE"""),37.82)</f>
        <v>37.82</v>
      </c>
      <c r="E52" s="88">
        <f>IFERROR(__xludf.DUMMYFUNCTION("""COMPUTED_VALUE"""),38.1)</f>
        <v>38.1</v>
      </c>
      <c r="F52" s="88">
        <f>IFERROR(__xludf.DUMMYFUNCTION("""COMPUTED_VALUE"""),1.33113325E8)</f>
        <v>133113325</v>
      </c>
      <c r="G52" s="88">
        <f>IFERROR(__xludf.DUMMYFUNCTION("""COMPUTED_VALUE"""),33.9459387047113)</f>
        <v>33.9459387</v>
      </c>
      <c r="H52" s="88">
        <f>IFERROR(__xludf.DUMMYFUNCTION("""COMPUTED_VALUE"""),34.398196508771)</f>
        <v>34.39819651</v>
      </c>
      <c r="I52" s="88">
        <f>IFERROR(__xludf.DUMMYFUNCTION("""COMPUTED_VALUE"""),33.5380199010497)</f>
        <v>33.5380199</v>
      </c>
      <c r="J52" s="88">
        <f>IFERROR(__xludf.DUMMYFUNCTION("""COMPUTED_VALUE"""),33.7863183032785)</f>
        <v>33.7863183</v>
      </c>
      <c r="K52" s="88">
        <f>IFERROR(__xludf.DUMMYFUNCTION("""COMPUTED_VALUE"""),1.33113325E8)</f>
        <v>133113325</v>
      </c>
      <c r="L52" s="88">
        <f>IFERROR(__xludf.DUMMYFUNCTION("""COMPUTED_VALUE"""),0.0)</f>
        <v>0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IFERROR(__xludf.DUMMYFUNCTION("""COMPUTED_VALUE"""),37.88)</f>
        <v>37.88</v>
      </c>
      <c r="C53">
        <f>IFERROR(__xludf.DUMMYFUNCTION("""COMPUTED_VALUE"""),38.255)</f>
        <v>38.255</v>
      </c>
      <c r="D53" s="88">
        <f>IFERROR(__xludf.DUMMYFUNCTION("""COMPUTED_VALUE"""),36.6528)</f>
        <v>36.6528</v>
      </c>
      <c r="E53" s="88">
        <f>IFERROR(__xludf.DUMMYFUNCTION("""COMPUTED_VALUE"""),36.72)</f>
        <v>36.72</v>
      </c>
      <c r="F53" s="88">
        <f>IFERROR(__xludf.DUMMYFUNCTION("""COMPUTED_VALUE"""),1.79913284E8)</f>
        <v>179913284</v>
      </c>
      <c r="G53" s="88">
        <f>IFERROR(__xludf.DUMMYFUNCTION("""COMPUTED_VALUE"""),33.5912267015273)</f>
        <v>33.5912267</v>
      </c>
      <c r="H53" s="88">
        <f>IFERROR(__xludf.DUMMYFUNCTION("""COMPUTED_VALUE"""),33.9237692045123)</f>
        <v>33.9237692</v>
      </c>
      <c r="I53" s="88">
        <f>IFERROR(__xludf.DUMMYFUNCTION("""COMPUTED_VALUE"""),32.5029702757587)</f>
        <v>32.50297028</v>
      </c>
      <c r="J53" s="88">
        <f>IFERROR(__xludf.DUMMYFUNCTION("""COMPUTED_VALUE"""),32.5625618922936)</f>
        <v>32.56256189</v>
      </c>
      <c r="K53" s="88">
        <f>IFERROR(__xludf.DUMMYFUNCTION("""COMPUTED_VALUE"""),1.79913284E8)</f>
        <v>179913284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IFERROR(__xludf.DUMMYFUNCTION("""COMPUTED_VALUE"""),36.54)</f>
        <v>36.54</v>
      </c>
      <c r="C54">
        <f>IFERROR(__xludf.DUMMYFUNCTION("""COMPUTED_VALUE"""),37.46)</f>
        <v>37.46</v>
      </c>
      <c r="D54" s="88">
        <f>IFERROR(__xludf.DUMMYFUNCTION("""COMPUTED_VALUE"""),35.795)</f>
        <v>35.795</v>
      </c>
      <c r="E54" s="88">
        <f>IFERROR(__xludf.DUMMYFUNCTION("""COMPUTED_VALUE"""),35.97)</f>
        <v>35.97</v>
      </c>
      <c r="F54" s="88">
        <f>IFERROR(__xludf.DUMMYFUNCTION("""COMPUTED_VALUE"""),2.01801136E8)</f>
        <v>201801136</v>
      </c>
      <c r="G54" s="88">
        <f>IFERROR(__xludf.DUMMYFUNCTION("""COMPUTED_VALUE"""),32.4029414908608)</f>
        <v>32.40294149</v>
      </c>
      <c r="H54" s="88">
        <f>IFERROR(__xludf.DUMMYFUNCTION("""COMPUTED_VALUE"""),32.9470878841858)</f>
        <v>32.94708788</v>
      </c>
      <c r="I54" s="88">
        <f>IFERROR(__xludf.DUMMYFUNCTION("""COMPUTED_VALUE"""),31.4826751418695)</f>
        <v>31.48267514</v>
      </c>
      <c r="J54" s="88">
        <f>IFERROR(__xludf.DUMMYFUNCTION("""COMPUTED_VALUE"""),31.6365923970679)</f>
        <v>31.6365924</v>
      </c>
      <c r="K54" s="88">
        <f>IFERROR(__xludf.DUMMYFUNCTION("""COMPUTED_VALUE"""),2.01801136E8)</f>
        <v>201801136</v>
      </c>
      <c r="L54" s="88">
        <f>IFERROR(__xludf.DUMMYFUNCTION("""COMPUTED_VALUE"""),0.3)</f>
        <v>0.3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IFERROR(__xludf.DUMMYFUNCTION("""COMPUTED_VALUE"""),35.96)</f>
        <v>35.96</v>
      </c>
      <c r="C55">
        <f>IFERROR(__xludf.DUMMYFUNCTION("""COMPUTED_VALUE"""),36.67)</f>
        <v>36.67</v>
      </c>
      <c r="D55" s="88">
        <f>IFERROR(__xludf.DUMMYFUNCTION("""COMPUTED_VALUE"""),35.52)</f>
        <v>35.52</v>
      </c>
      <c r="E55" s="88">
        <f>IFERROR(__xludf.DUMMYFUNCTION("""COMPUTED_VALUE"""),36.67)</f>
        <v>36.67</v>
      </c>
      <c r="F55" s="88">
        <f>IFERROR(__xludf.DUMMYFUNCTION("""COMPUTED_VALUE"""),1.5790562E8)</f>
        <v>157905620</v>
      </c>
      <c r="G55" s="88">
        <f>IFERROR(__xludf.DUMMYFUNCTION("""COMPUTED_VALUE"""),31.6277971253423)</f>
        <v>31.62779713</v>
      </c>
      <c r="H55" s="88">
        <f>IFERROR(__xludf.DUMMYFUNCTION("""COMPUTED_VALUE"""),32.2522614178616)</f>
        <v>32.25226142</v>
      </c>
      <c r="I55" s="88">
        <f>IFERROR(__xludf.DUMMYFUNCTION("""COMPUTED_VALUE"""),31.2408051694149)</f>
        <v>31.24080517</v>
      </c>
      <c r="J55" s="88">
        <f>IFERROR(__xludf.DUMMYFUNCTION("""COMPUTED_VALUE"""),32.2522614178616)</f>
        <v>32.25226142</v>
      </c>
      <c r="K55" s="88">
        <f>IFERROR(__xludf.DUMMYFUNCTION("""COMPUTED_VALUE"""),1.5790562E8)</f>
        <v>157905620</v>
      </c>
      <c r="L55" s="88">
        <f>IFERROR(__xludf.DUMMYFUNCTION("""COMPUTED_VALUE"""),0.0)</f>
        <v>0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IFERROR(__xludf.DUMMYFUNCTION("""COMPUTED_VALUE"""),36.51)</f>
        <v>36.51</v>
      </c>
      <c r="C56">
        <f>IFERROR(__xludf.DUMMYFUNCTION("""COMPUTED_VALUE"""),37.53)</f>
        <v>37.53</v>
      </c>
      <c r="D56" s="88">
        <f>IFERROR(__xludf.DUMMYFUNCTION("""COMPUTED_VALUE"""),36.0653)</f>
        <v>36.0653</v>
      </c>
      <c r="E56" s="88">
        <f>IFERROR(__xludf.DUMMYFUNCTION("""COMPUTED_VALUE"""),37.35)</f>
        <v>37.35</v>
      </c>
      <c r="F56" s="88">
        <f>IFERROR(__xludf.DUMMYFUNCTION("""COMPUTED_VALUE"""),1.43374272E8)</f>
        <v>143374272</v>
      </c>
      <c r="G56" s="88">
        <f>IFERROR(__xludf.DUMMYFUNCTION("""COMPUTED_VALUE"""),32.1115370702516)</f>
        <v>32.11153707</v>
      </c>
      <c r="H56" s="88">
        <f>IFERROR(__xludf.DUMMYFUNCTION("""COMPUTED_VALUE"""),33.0086547862652)</f>
        <v>33.00865479</v>
      </c>
      <c r="I56" s="88">
        <f>IFERROR(__xludf.DUMMYFUNCTION("""COMPUTED_VALUE"""),31.7204113366131)</f>
        <v>31.72041134</v>
      </c>
      <c r="J56" s="88">
        <f>IFERROR(__xludf.DUMMYFUNCTION("""COMPUTED_VALUE"""),32.850339895204)</f>
        <v>32.8503399</v>
      </c>
      <c r="K56" s="88">
        <f>IFERROR(__xludf.DUMMYFUNCTION("""COMPUTED_VALUE"""),1.43374272E8)</f>
        <v>143374272</v>
      </c>
      <c r="L56" s="88">
        <f>IFERROR(__xludf.DUMMYFUNCTION("""COMPUTED_VALUE"""),0.0)</f>
        <v>0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IFERROR(__xludf.DUMMYFUNCTION("""COMPUTED_VALUE"""),37.41)</f>
        <v>37.41</v>
      </c>
      <c r="C57">
        <f>IFERROR(__xludf.DUMMYFUNCTION("""COMPUTED_VALUE"""),38.18)</f>
        <v>38.18</v>
      </c>
      <c r="D57" s="88">
        <f>IFERROR(__xludf.DUMMYFUNCTION("""COMPUTED_VALUE"""),36.26)</f>
        <v>36.26</v>
      </c>
      <c r="E57" s="88">
        <f>IFERROR(__xludf.DUMMYFUNCTION("""COMPUTED_VALUE"""),37.18)</f>
        <v>37.18</v>
      </c>
      <c r="F57" s="88">
        <f>IFERROR(__xludf.DUMMYFUNCTION("""COMPUTED_VALUE"""),1.47799621E8)</f>
        <v>147799621</v>
      </c>
      <c r="G57" s="88">
        <f>IFERROR(__xludf.DUMMYFUNCTION("""COMPUTED_VALUE"""),32.9031115255577)</f>
        <v>32.90311153</v>
      </c>
      <c r="H57" s="88">
        <f>IFERROR(__xludf.DUMMYFUNCTION("""COMPUTED_VALUE"""),33.457213644272)</f>
        <v>33.45721364</v>
      </c>
      <c r="I57" s="88">
        <f>IFERROR(__xludf.DUMMYFUNCTION("""COMPUTED_VALUE"""),31.891655277111)</f>
        <v>31.89165528</v>
      </c>
      <c r="J57" s="88">
        <f>IFERROR(__xludf.DUMMYFUNCTION("""COMPUTED_VALUE"""),32.544698503988)</f>
        <v>32.5446985</v>
      </c>
      <c r="K57" s="88">
        <f>IFERROR(__xludf.DUMMYFUNCTION("""COMPUTED_VALUE"""),1.47799621E8)</f>
        <v>147799621</v>
      </c>
      <c r="L57" s="88">
        <f>IFERROR(__xludf.DUMMYFUNCTION("""COMPUTED_VALUE"""),0.175)</f>
        <v>0.175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IFERROR(__xludf.DUMMYFUNCTION("""COMPUTED_VALUE"""),36.98)</f>
        <v>36.98</v>
      </c>
      <c r="C58">
        <f>IFERROR(__xludf.DUMMYFUNCTION("""COMPUTED_VALUE"""),37.7)</f>
        <v>37.7</v>
      </c>
      <c r="D58" s="88">
        <f>IFERROR(__xludf.DUMMYFUNCTION("""COMPUTED_VALUE"""),36.1)</f>
        <v>36.1</v>
      </c>
      <c r="E58" s="88">
        <f>IFERROR(__xludf.DUMMYFUNCTION("""COMPUTED_VALUE"""),36.77)</f>
        <v>36.77</v>
      </c>
      <c r="F58" s="88">
        <f>IFERROR(__xludf.DUMMYFUNCTION("""COMPUTED_VALUE"""),1.40754691E8)</f>
        <v>140754691</v>
      </c>
      <c r="G58" s="88">
        <f>IFERROR(__xludf.DUMMYFUNCTION("""COMPUTED_VALUE"""),32.3696328853544)</f>
        <v>32.36963289</v>
      </c>
      <c r="H58" s="88">
        <f>IFERROR(__xludf.DUMMYFUNCTION("""COMPUTED_VALUE"""),32.9998691124354)</f>
        <v>32.99986911</v>
      </c>
      <c r="I58" s="88">
        <f>IFERROR(__xludf.DUMMYFUNCTION("""COMPUTED_VALUE"""),31.5993441633665)</f>
        <v>31.59934416</v>
      </c>
      <c r="J58" s="88">
        <f>IFERROR(__xludf.DUMMYFUNCTION("""COMPUTED_VALUE"""),32.1858139857891)</f>
        <v>32.18581399</v>
      </c>
      <c r="K58" s="88">
        <f>IFERROR(__xludf.DUMMYFUNCTION("""COMPUTED_VALUE"""),1.40754691E8)</f>
        <v>140754691</v>
      </c>
      <c r="L58" s="88">
        <f>IFERROR(__xludf.DUMMYFUNCTION("""COMPUTED_VALUE"""),0.0)</f>
        <v>0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IFERROR(__xludf.DUMMYFUNCTION("""COMPUTED_VALUE"""),36.83)</f>
        <v>36.83</v>
      </c>
      <c r="C59">
        <f>IFERROR(__xludf.DUMMYFUNCTION("""COMPUTED_VALUE"""),36.91)</f>
        <v>36.91</v>
      </c>
      <c r="D59" s="88">
        <f>IFERROR(__xludf.DUMMYFUNCTION("""COMPUTED_VALUE"""),34.17)</f>
        <v>34.17</v>
      </c>
      <c r="E59" s="88">
        <f>IFERROR(__xludf.DUMMYFUNCTION("""COMPUTED_VALUE"""),35.39)</f>
        <v>35.39</v>
      </c>
      <c r="F59" s="88">
        <f>IFERROR(__xludf.DUMMYFUNCTION("""COMPUTED_VALUE"""),1.38761257E8)</f>
        <v>138761257</v>
      </c>
      <c r="G59" s="88">
        <f>IFERROR(__xludf.DUMMYFUNCTION("""COMPUTED_VALUE"""),32.2383336713791)</f>
        <v>32.23833367</v>
      </c>
      <c r="H59" s="88">
        <f>IFERROR(__xludf.DUMMYFUNCTION("""COMPUTED_VALUE"""),32.3083599188326)</f>
        <v>32.30835992</v>
      </c>
      <c r="I59" s="88">
        <f>IFERROR(__xludf.DUMMYFUNCTION("""COMPUTED_VALUE"""),29.9099609435521)</f>
        <v>29.90996094</v>
      </c>
      <c r="J59" s="88">
        <f>IFERROR(__xludf.DUMMYFUNCTION("""COMPUTED_VALUE"""),30.9778612172172)</f>
        <v>30.97786122</v>
      </c>
      <c r="K59" s="88">
        <f>IFERROR(__xludf.DUMMYFUNCTION("""COMPUTED_VALUE"""),1.38761257E8)</f>
        <v>138761257</v>
      </c>
      <c r="L59" s="88">
        <f>IFERROR(__xludf.DUMMYFUNCTION("""COMPUTED_VALUE"""),0.0)</f>
        <v>0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IFERROR(__xludf.DUMMYFUNCTION("""COMPUTED_VALUE"""),35.36)</f>
        <v>35.36</v>
      </c>
      <c r="C60">
        <f>IFERROR(__xludf.DUMMYFUNCTION("""COMPUTED_VALUE"""),37.635)</f>
        <v>37.635</v>
      </c>
      <c r="D60" s="88">
        <f>IFERROR(__xludf.DUMMYFUNCTION("""COMPUTED_VALUE"""),33.01)</f>
        <v>33.01</v>
      </c>
      <c r="E60" s="88">
        <f>IFERROR(__xludf.DUMMYFUNCTION("""COMPUTED_VALUE"""),36.46)</f>
        <v>36.46</v>
      </c>
      <c r="F60" s="88">
        <f>IFERROR(__xludf.DUMMYFUNCTION("""COMPUTED_VALUE"""),2.46616445E8)</f>
        <v>246616445</v>
      </c>
      <c r="G60" s="88">
        <f>IFERROR(__xludf.DUMMYFUNCTION("""COMPUTED_VALUE"""),30.9516013744221)</f>
        <v>30.95160137</v>
      </c>
      <c r="H60" s="88">
        <f>IFERROR(__xludf.DUMMYFUNCTION("""COMPUTED_VALUE"""),32.544698503988)</f>
        <v>32.5446985</v>
      </c>
      <c r="I60" s="88">
        <f>IFERROR(__xludf.DUMMYFUNCTION("""COMPUTED_VALUE"""),28.8945803554772)</f>
        <v>28.89458036</v>
      </c>
      <c r="J60" s="88">
        <f>IFERROR(__xludf.DUMMYFUNCTION("""COMPUTED_VALUE"""),31.4754813164176)</f>
        <v>31.47548132</v>
      </c>
      <c r="K60" s="88">
        <f>IFERROR(__xludf.DUMMYFUNCTION("""COMPUTED_VALUE"""),2.46616445E8)</f>
        <v>246616445</v>
      </c>
      <c r="L60" s="88">
        <f>IFERROR(__xludf.DUMMYFUNCTION("""COMPUTED_VALUE"""),0.482)</f>
        <v>0.482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IFERROR(__xludf.DUMMYFUNCTION("""COMPUTED_VALUE"""),36.6)</f>
        <v>36.6</v>
      </c>
      <c r="C61">
        <f>IFERROR(__xludf.DUMMYFUNCTION("""COMPUTED_VALUE"""),37.06)</f>
        <v>37.06</v>
      </c>
      <c r="D61" s="88">
        <f>IFERROR(__xludf.DUMMYFUNCTION("""COMPUTED_VALUE"""),35.5501)</f>
        <v>35.5501</v>
      </c>
      <c r="E61" s="88">
        <f>IFERROR(__xludf.DUMMYFUNCTION("""COMPUTED_VALUE"""),37.01)</f>
        <v>37.01</v>
      </c>
      <c r="F61" s="88">
        <f>IFERROR(__xludf.DUMMYFUNCTION("""COMPUTED_VALUE"""),1.84028892E8)</f>
        <v>184028892</v>
      </c>
      <c r="G61" s="88">
        <f>IFERROR(__xludf.DUMMYFUNCTION("""COMPUTED_VALUE"""),31.5963416396293)</f>
        <v>31.59634164</v>
      </c>
      <c r="H61" s="88">
        <f>IFERROR(__xludf.DUMMYFUNCTION("""COMPUTED_VALUE"""),31.993454130182)</f>
        <v>31.99345413</v>
      </c>
      <c r="I61" s="88">
        <f>IFERROR(__xludf.DUMMYFUNCTION("""COMPUTED_VALUE"""),30.6899755443438)</f>
        <v>30.68997554</v>
      </c>
      <c r="J61" s="88">
        <f>IFERROR(__xludf.DUMMYFUNCTION("""COMPUTED_VALUE"""),31.950289729035)</f>
        <v>31.95028973</v>
      </c>
      <c r="K61" s="88">
        <f>IFERROR(__xludf.DUMMYFUNCTION("""COMPUTED_VALUE"""),1.84028892E8)</f>
        <v>184028892</v>
      </c>
      <c r="L61" s="88">
        <f>IFERROR(__xludf.DUMMYFUNCTION("""COMPUTED_VALUE"""),0.0)</f>
        <v>0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IFERROR(__xludf.DUMMYFUNCTION("""COMPUTED_VALUE"""),36.71)</f>
        <v>36.71</v>
      </c>
      <c r="C62">
        <f>IFERROR(__xludf.DUMMYFUNCTION("""COMPUTED_VALUE"""),37.6995)</f>
        <v>37.6995</v>
      </c>
      <c r="D62" s="88">
        <f>IFERROR(__xludf.DUMMYFUNCTION("""COMPUTED_VALUE"""),34.67)</f>
        <v>34.67</v>
      </c>
      <c r="E62" s="88">
        <f>IFERROR(__xludf.DUMMYFUNCTION("""COMPUTED_VALUE"""),35.15)</f>
        <v>35.15</v>
      </c>
      <c r="F62" s="88">
        <f>IFERROR(__xludf.DUMMYFUNCTION("""COMPUTED_VALUE"""),1.28146928E8)</f>
        <v>128146928</v>
      </c>
      <c r="G62" s="88">
        <f>IFERROR(__xludf.DUMMYFUNCTION("""COMPUTED_VALUE"""),31.6913033221528)</f>
        <v>31.69130332</v>
      </c>
      <c r="H62" s="88">
        <f>IFERROR(__xludf.DUMMYFUNCTION("""COMPUTED_VALUE"""),32.5455268208526)</f>
        <v>32.54552682</v>
      </c>
      <c r="I62" s="88">
        <f>IFERROR(__xludf.DUMMYFUNCTION("""COMPUTED_VALUE"""),29.9301957553537)</f>
        <v>29.93019576</v>
      </c>
      <c r="J62" s="88">
        <f>IFERROR(__xludf.DUMMYFUNCTION("""COMPUTED_VALUE"""),30.3445740063653)</f>
        <v>30.34457401</v>
      </c>
      <c r="K62" s="88">
        <f>IFERROR(__xludf.DUMMYFUNCTION("""COMPUTED_VALUE"""),1.28146928E8)</f>
        <v>128146928</v>
      </c>
      <c r="L62" s="88">
        <f>IFERROR(__xludf.DUMMYFUNCTION("""COMPUTED_VALUE"""),0.0)</f>
        <v>0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IFERROR(__xludf.DUMMYFUNCTION("""COMPUTED_VALUE"""),35.88)</f>
        <v>35.88</v>
      </c>
      <c r="C63">
        <f>IFERROR(__xludf.DUMMYFUNCTION("""COMPUTED_VALUE"""),36.4011)</f>
        <v>36.4011</v>
      </c>
      <c r="D63" s="88">
        <f>IFERROR(__xludf.DUMMYFUNCTION("""COMPUTED_VALUE"""),34.025)</f>
        <v>34.025</v>
      </c>
      <c r="E63" s="88">
        <f>IFERROR(__xludf.DUMMYFUNCTION("""COMPUTED_VALUE"""),34.09)</f>
        <v>34.09</v>
      </c>
      <c r="F63" s="88">
        <f>IFERROR(__xludf.DUMMYFUNCTION("""COMPUTED_VALUE"""),1.67520443E8)</f>
        <v>167520443</v>
      </c>
      <c r="G63" s="88">
        <f>IFERROR(__xludf.DUMMYFUNCTION("""COMPUTED_VALUE"""),30.974774263112)</f>
        <v>30.97477426</v>
      </c>
      <c r="H63" s="88">
        <f>IFERROR(__xludf.DUMMYFUNCTION("""COMPUTED_VALUE"""),31.4246336518664)</f>
        <v>31.42463365</v>
      </c>
      <c r="I63" s="88">
        <f>IFERROR(__xludf.DUMMYFUNCTION("""COMPUTED_VALUE"""),29.2436054481838)</f>
        <v>29.24360545</v>
      </c>
      <c r="J63" s="88">
        <f>IFERROR(__xludf.DUMMYFUNCTION("""COMPUTED_VALUE"""),29.2994712631472)</f>
        <v>29.29947126</v>
      </c>
      <c r="K63" s="88">
        <f>IFERROR(__xludf.DUMMYFUNCTION("""COMPUTED_VALUE"""),1.67520443E8)</f>
        <v>167520443</v>
      </c>
      <c r="L63" s="88">
        <f>IFERROR(__xludf.DUMMYFUNCTION("""COMPUTED_VALUE"""),0.157)</f>
        <v>0.157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IFERROR(__xludf.DUMMYFUNCTION("""COMPUTED_VALUE"""),33.62)</f>
        <v>33.62</v>
      </c>
      <c r="C64">
        <f>IFERROR(__xludf.DUMMYFUNCTION("""COMPUTED_VALUE"""),34.75)</f>
        <v>34.75</v>
      </c>
      <c r="D64" s="88">
        <f>IFERROR(__xludf.DUMMYFUNCTION("""COMPUTED_VALUE"""),31.95)</f>
        <v>31.95</v>
      </c>
      <c r="E64" s="88">
        <f>IFERROR(__xludf.DUMMYFUNCTION("""COMPUTED_VALUE"""),34.4)</f>
        <v>34.4</v>
      </c>
      <c r="F64" s="88">
        <f>IFERROR(__xludf.DUMMYFUNCTION("""COMPUTED_VALUE"""),2.19906193E8)</f>
        <v>219906193</v>
      </c>
      <c r="G64" s="88">
        <f>IFERROR(__xludf.DUMMYFUNCTION("""COMPUTED_VALUE"""),28.8955184472576)</f>
        <v>28.89551845</v>
      </c>
      <c r="H64" s="88">
        <f>IFERROR(__xludf.DUMMYFUNCTION("""COMPUTED_VALUE"""),29.8667241535455)</f>
        <v>29.86672415</v>
      </c>
      <c r="I64" s="88">
        <f>IFERROR(__xludf.DUMMYFUNCTION("""COMPUTED_VALUE"""),27.4601967397347)</f>
        <v>27.46019674</v>
      </c>
      <c r="J64" s="88">
        <f>IFERROR(__xludf.DUMMYFUNCTION("""COMPUTED_VALUE"""),29.5659082268192)</f>
        <v>29.56590823</v>
      </c>
      <c r="K64" s="88">
        <f>IFERROR(__xludf.DUMMYFUNCTION("""COMPUTED_VALUE"""),2.19906193E8)</f>
        <v>219906193</v>
      </c>
      <c r="L64" s="88">
        <f>IFERROR(__xludf.DUMMYFUNCTION("""COMPUTED_VALUE"""),0.0)</f>
        <v>0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IFERROR(__xludf.DUMMYFUNCTION("""COMPUTED_VALUE"""),34.69)</f>
        <v>34.69</v>
      </c>
      <c r="C65">
        <f>IFERROR(__xludf.DUMMYFUNCTION("""COMPUTED_VALUE"""),36.17)</f>
        <v>36.17</v>
      </c>
      <c r="D65" s="88">
        <f>IFERROR(__xludf.DUMMYFUNCTION("""COMPUTED_VALUE"""),32.2201)</f>
        <v>32.2201</v>
      </c>
      <c r="E65" s="88">
        <f>IFERROR(__xludf.DUMMYFUNCTION("""COMPUTED_VALUE"""),36.11)</f>
        <v>36.11</v>
      </c>
      <c r="F65" s="88">
        <f>IFERROR(__xludf.DUMMYFUNCTION("""COMPUTED_VALUE"""),2.67419496E8)</f>
        <v>267419496</v>
      </c>
      <c r="G65" s="88">
        <f>IFERROR(__xludf.DUMMYFUNCTION("""COMPUTED_VALUE"""),29.8151557089639)</f>
        <v>29.81515571</v>
      </c>
      <c r="H65" s="88">
        <f>IFERROR(__xludf.DUMMYFUNCTION("""COMPUTED_VALUE"""),31.0871773419782)</f>
        <v>31.08717734</v>
      </c>
      <c r="I65" s="88">
        <f>IFERROR(__xludf.DUMMYFUNCTION("""COMPUTED_VALUE"""),27.6923406877598)</f>
        <v>27.69234069</v>
      </c>
      <c r="J65" s="88">
        <f>IFERROR(__xludf.DUMMYFUNCTION("""COMPUTED_VALUE"""),31.0356088973965)</f>
        <v>31.0356089</v>
      </c>
      <c r="K65" s="88">
        <f>IFERROR(__xludf.DUMMYFUNCTION("""COMPUTED_VALUE"""),2.67419496E8)</f>
        <v>267419496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IFERROR(__xludf.DUMMYFUNCTION("""COMPUTED_VALUE"""),36.72)</f>
        <v>36.72</v>
      </c>
      <c r="C66">
        <f>IFERROR(__xludf.DUMMYFUNCTION("""COMPUTED_VALUE"""),38.17)</f>
        <v>38.17</v>
      </c>
      <c r="D66" s="88">
        <f>IFERROR(__xludf.DUMMYFUNCTION("""COMPUTED_VALUE"""),35.925)</f>
        <v>35.925</v>
      </c>
      <c r="E66" s="88">
        <f>IFERROR(__xludf.DUMMYFUNCTION("""COMPUTED_VALUE"""),38.04)</f>
        <v>38.04</v>
      </c>
      <c r="F66" s="88">
        <f>IFERROR(__xludf.DUMMYFUNCTION("""COMPUTED_VALUE"""),2.57178558E8)</f>
        <v>257178558</v>
      </c>
      <c r="G66" s="88">
        <f>IFERROR(__xludf.DUMMYFUNCTION("""COMPUTED_VALUE"""),31.5598880839767)</f>
        <v>31.55988808</v>
      </c>
      <c r="H66" s="88">
        <f>IFERROR(__xludf.DUMMYFUNCTION("""COMPUTED_VALUE"""),32.6079851395766)</f>
        <v>32.60798514</v>
      </c>
      <c r="I66" s="88">
        <f>IFERROR(__xludf.DUMMYFUNCTION("""COMPUTED_VALUE"""),30.6901196263895)</f>
        <v>30.69011963</v>
      </c>
      <c r="J66" s="88">
        <f>IFERROR(__xludf.DUMMYFUNCTION("""COMPUTED_VALUE"""),32.4969283392584)</f>
        <v>32.49692834</v>
      </c>
      <c r="K66" s="88">
        <f>IFERROR(__xludf.DUMMYFUNCTION("""COMPUTED_VALUE"""),2.57178558E8)</f>
        <v>257178558</v>
      </c>
      <c r="L66" s="88">
        <f>IFERROR(__xludf.DUMMYFUNCTION("""COMPUTED_VALUE"""),0.221)</f>
        <v>0.221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IFERROR(__xludf.DUMMYFUNCTION("""COMPUTED_VALUE"""),37.75)</f>
        <v>37.75</v>
      </c>
      <c r="C67">
        <f>IFERROR(__xludf.DUMMYFUNCTION("""COMPUTED_VALUE"""),38.5)</f>
        <v>38.5</v>
      </c>
      <c r="D67" s="88">
        <f>IFERROR(__xludf.DUMMYFUNCTION("""COMPUTED_VALUE"""),36.87)</f>
        <v>36.87</v>
      </c>
      <c r="E67" s="88">
        <f>IFERROR(__xludf.DUMMYFUNCTION("""COMPUTED_VALUE"""),38.23)</f>
        <v>38.23</v>
      </c>
      <c r="F67" s="88">
        <f>IFERROR(__xludf.DUMMYFUNCTION("""COMPUTED_VALUE"""),1.07589778E8)</f>
        <v>107589778</v>
      </c>
      <c r="G67" s="88">
        <f>IFERROR(__xludf.DUMMYFUNCTION("""COMPUTED_VALUE"""),32.2491862462409)</f>
        <v>32.24918625</v>
      </c>
      <c r="H67" s="88">
        <f>IFERROR(__xludf.DUMMYFUNCTION("""COMPUTED_VALUE"""),32.8898985557689)</f>
        <v>32.88989856</v>
      </c>
      <c r="I67" s="88">
        <f>IFERROR(__xludf.DUMMYFUNCTION("""COMPUTED_VALUE"""),31.4974171363948)</f>
        <v>31.49741714</v>
      </c>
      <c r="J67" s="88">
        <f>IFERROR(__xludf.DUMMYFUNCTION("""COMPUTED_VALUE"""),32.6592421243388)</f>
        <v>32.65924212</v>
      </c>
      <c r="K67" s="88">
        <f>IFERROR(__xludf.DUMMYFUNCTION("""COMPUTED_VALUE"""),1.07589778E8)</f>
        <v>107589778</v>
      </c>
      <c r="L67" s="88">
        <f>IFERROR(__xludf.DUMMYFUNCTION("""COMPUTED_VALUE"""),0.0)</f>
        <v>0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IFERROR(__xludf.DUMMYFUNCTION("""COMPUTED_VALUE"""),38.04)</f>
        <v>38.04</v>
      </c>
      <c r="C68">
        <f>IFERROR(__xludf.DUMMYFUNCTION("""COMPUTED_VALUE"""),38.695)</f>
        <v>38.695</v>
      </c>
      <c r="D68" s="88">
        <f>IFERROR(__xludf.DUMMYFUNCTION("""COMPUTED_VALUE"""),35.44)</f>
        <v>35.44</v>
      </c>
      <c r="E68" s="88">
        <f>IFERROR(__xludf.DUMMYFUNCTION("""COMPUTED_VALUE"""),35.84)</f>
        <v>35.84</v>
      </c>
      <c r="F68" s="88">
        <f>IFERROR(__xludf.DUMMYFUNCTION("""COMPUTED_VALUE"""),1.17211369E8)</f>
        <v>117211369</v>
      </c>
      <c r="G68" s="88">
        <f>IFERROR(__xludf.DUMMYFUNCTION("""COMPUTED_VALUE"""),32.4969283392584)</f>
        <v>32.49692834</v>
      </c>
      <c r="H68" s="88">
        <f>IFERROR(__xludf.DUMMYFUNCTION("""COMPUTED_VALUE"""),33.0564837562462)</f>
        <v>33.05648376</v>
      </c>
      <c r="I68" s="88">
        <f>IFERROR(__xludf.DUMMYFUNCTION("""COMPUTED_VALUE"""),30.2757923328948)</f>
        <v>30.27579233</v>
      </c>
      <c r="J68" s="88">
        <f>IFERROR(__xludf.DUMMYFUNCTION("""COMPUTED_VALUE"""),30.617505564643)</f>
        <v>30.61750556</v>
      </c>
      <c r="K68" s="88">
        <f>IFERROR(__xludf.DUMMYFUNCTION("""COMPUTED_VALUE"""),1.17211369E8)</f>
        <v>117211369</v>
      </c>
      <c r="L68" s="88">
        <f>IFERROR(__xludf.DUMMYFUNCTION("""COMPUTED_VALUE"""),0.0)</f>
        <v>0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IFERROR(__xludf.DUMMYFUNCTION("""COMPUTED_VALUE"""),35.64)</f>
        <v>35.64</v>
      </c>
      <c r="C69">
        <f>IFERROR(__xludf.DUMMYFUNCTION("""COMPUTED_VALUE"""),38.01)</f>
        <v>38.01</v>
      </c>
      <c r="D69" s="88">
        <f>IFERROR(__xludf.DUMMYFUNCTION("""COMPUTED_VALUE"""),34.71)</f>
        <v>34.71</v>
      </c>
      <c r="E69" s="88">
        <f>IFERROR(__xludf.DUMMYFUNCTION("""COMPUTED_VALUE"""),36.32)</f>
        <v>36.32</v>
      </c>
      <c r="F69" s="88">
        <f>IFERROR(__xludf.DUMMYFUNCTION("""COMPUTED_VALUE"""),1.667417E8)</f>
        <v>166741700</v>
      </c>
      <c r="G69" s="88">
        <f>IFERROR(__xludf.DUMMYFUNCTION("""COMPUTED_VALUE"""),30.4466489487689)</f>
        <v>30.44664895</v>
      </c>
      <c r="H69" s="88">
        <f>IFERROR(__xludf.DUMMYFUNCTION("""COMPUTED_VALUE"""),32.3299863732369)</f>
        <v>32.32998637</v>
      </c>
      <c r="I69" s="88">
        <f>IFERROR(__xludf.DUMMYFUNCTION("""COMPUTED_VALUE"""),29.6521656849542)</f>
        <v>29.65216568</v>
      </c>
      <c r="J69" s="88">
        <f>IFERROR(__xludf.DUMMYFUNCTION("""COMPUTED_VALUE"""),30.8925310464605)</f>
        <v>30.89253105</v>
      </c>
      <c r="K69" s="88">
        <f>IFERROR(__xludf.DUMMYFUNCTION("""COMPUTED_VALUE"""),1.667417E8)</f>
        <v>166741700</v>
      </c>
      <c r="L69" s="88">
        <f>IFERROR(__xludf.DUMMYFUNCTION("""COMPUTED_VALUE"""),0.156)</f>
        <v>0.156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IFERROR(__xludf.DUMMYFUNCTION("""COMPUTED_VALUE"""),37.32)</f>
        <v>37.32</v>
      </c>
      <c r="C70">
        <f>IFERROR(__xludf.DUMMYFUNCTION("""COMPUTED_VALUE"""),40.64)</f>
        <v>40.64</v>
      </c>
      <c r="D70" s="88">
        <f>IFERROR(__xludf.DUMMYFUNCTION("""COMPUTED_VALUE"""),35.11)</f>
        <v>35.11</v>
      </c>
      <c r="E70" s="88">
        <f>IFERROR(__xludf.DUMMYFUNCTION("""COMPUTED_VALUE"""),40.25)</f>
        <v>40.25</v>
      </c>
      <c r="F70" s="88">
        <f>IFERROR(__xludf.DUMMYFUNCTION("""COMPUTED_VALUE"""),1.7366014E8)</f>
        <v>173660140</v>
      </c>
      <c r="G70" s="88">
        <f>IFERROR(__xludf.DUMMYFUNCTION("""COMPUTED_VALUE"""),31.7430963285767)</f>
        <v>31.74309633</v>
      </c>
      <c r="H70" s="88">
        <f>IFERROR(__xludf.DUMMYFUNCTION("""COMPUTED_VALUE"""),34.5669730652025)</f>
        <v>34.56697307</v>
      </c>
      <c r="I70" s="88">
        <f>IFERROR(__xludf.DUMMYFUNCTION("""COMPUTED_VALUE"""),29.8633470550999)</f>
        <v>29.86334706</v>
      </c>
      <c r="J70" s="88">
        <f>IFERROR(__xludf.DUMMYFUNCTION("""COMPUTED_VALUE"""),34.2352526051772)</f>
        <v>34.23525261</v>
      </c>
      <c r="K70" s="88">
        <f>IFERROR(__xludf.DUMMYFUNCTION("""COMPUTED_VALUE"""),1.7366014E8)</f>
        <v>173660140</v>
      </c>
      <c r="L70" s="88">
        <f>IFERROR(__xludf.DUMMYFUNCTION("""COMPUTED_VALUE"""),0.0)</f>
        <v>0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IFERROR(__xludf.DUMMYFUNCTION("""COMPUTED_VALUE"""),40.23)</f>
        <v>40.23</v>
      </c>
      <c r="C71">
        <f>IFERROR(__xludf.DUMMYFUNCTION("""COMPUTED_VALUE"""),40.77)</f>
        <v>40.77</v>
      </c>
      <c r="D71" s="88">
        <f>IFERROR(__xludf.DUMMYFUNCTION("""COMPUTED_VALUE"""),38.17)</f>
        <v>38.17</v>
      </c>
      <c r="E71" s="88">
        <f>IFERROR(__xludf.DUMMYFUNCTION("""COMPUTED_VALUE"""),40.12)</f>
        <v>40.12</v>
      </c>
      <c r="F71" s="88">
        <f>IFERROR(__xludf.DUMMYFUNCTION("""COMPUTED_VALUE"""),1.17230438E8)</f>
        <v>117230438</v>
      </c>
      <c r="G71" s="88">
        <f>IFERROR(__xludf.DUMMYFUNCTION("""COMPUTED_VALUE"""),34.2182412995349)</f>
        <v>34.2182413</v>
      </c>
      <c r="H71" s="88">
        <f>IFERROR(__xludf.DUMMYFUNCTION("""COMPUTED_VALUE"""),34.6775465518776)</f>
        <v>34.67754655</v>
      </c>
      <c r="I71" s="88">
        <f>IFERROR(__xludf.DUMMYFUNCTION("""COMPUTED_VALUE"""),32.4660768183755)</f>
        <v>32.46607682</v>
      </c>
      <c r="J71" s="88">
        <f>IFERROR(__xludf.DUMMYFUNCTION("""COMPUTED_VALUE"""),34.1246791185021)</f>
        <v>34.12467912</v>
      </c>
      <c r="K71" s="88">
        <f>IFERROR(__xludf.DUMMYFUNCTION("""COMPUTED_VALUE"""),1.17230438E8)</f>
        <v>117230438</v>
      </c>
      <c r="L71" s="88">
        <f>IFERROR(__xludf.DUMMYFUNCTION("""COMPUTED_VALUE"""),0.0)</f>
        <v>0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IFERROR(__xludf.DUMMYFUNCTION("""COMPUTED_VALUE"""),39.65)</f>
        <v>39.65</v>
      </c>
      <c r="C72">
        <f>IFERROR(__xludf.DUMMYFUNCTION("""COMPUTED_VALUE"""),41.96)</f>
        <v>41.96</v>
      </c>
      <c r="D72" s="88">
        <f>IFERROR(__xludf.DUMMYFUNCTION("""COMPUTED_VALUE"""),39.51)</f>
        <v>39.51</v>
      </c>
      <c r="E72" s="88">
        <f>IFERROR(__xludf.DUMMYFUNCTION("""COMPUTED_VALUE"""),41.46)</f>
        <v>41.46</v>
      </c>
      <c r="F72" s="88">
        <f>IFERROR(__xludf.DUMMYFUNCTION("""COMPUTED_VALUE"""),9.875728E7)</f>
        <v>98757280</v>
      </c>
      <c r="G72" s="88">
        <f>IFERROR(__xludf.DUMMYFUNCTION("""COMPUTED_VALUE"""),33.7249134359075)</f>
        <v>33.72491344</v>
      </c>
      <c r="H72" s="88">
        <f>IFERROR(__xludf.DUMMYFUNCTION("""COMPUTED_VALUE"""),35.2480424960118)</f>
        <v>35.2480425</v>
      </c>
      <c r="I72" s="88">
        <f>IFERROR(__xludf.DUMMYFUNCTION("""COMPUTED_VALUE"""),33.6058342964112)</f>
        <v>33.6058343</v>
      </c>
      <c r="J72" s="88">
        <f>IFERROR(__xludf.DUMMYFUNCTION("""COMPUTED_VALUE"""),34.8280229238477)</f>
        <v>34.82802292</v>
      </c>
      <c r="K72" s="88">
        <f>IFERROR(__xludf.DUMMYFUNCTION("""COMPUTED_VALUE"""),9.875728E7)</f>
        <v>98757280</v>
      </c>
      <c r="L72" s="88">
        <f>IFERROR(__xludf.DUMMYFUNCTION("""COMPUTED_VALUE"""),0.513)</f>
        <v>0.513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IFERROR(__xludf.DUMMYFUNCTION("""COMPUTED_VALUE"""),41.35)</f>
        <v>41.35</v>
      </c>
      <c r="C73">
        <f>IFERROR(__xludf.DUMMYFUNCTION("""COMPUTED_VALUE"""),42.51)</f>
        <v>42.51</v>
      </c>
      <c r="D73" s="88">
        <f>IFERROR(__xludf.DUMMYFUNCTION("""COMPUTED_VALUE"""),40.89)</f>
        <v>40.89</v>
      </c>
      <c r="E73" s="88">
        <f>IFERROR(__xludf.DUMMYFUNCTION("""COMPUTED_VALUE"""),41.59)</f>
        <v>41.59</v>
      </c>
      <c r="F73" s="88">
        <f>IFERROR(__xludf.DUMMYFUNCTION("""COMPUTED_VALUE"""),7.0154298E7)</f>
        <v>70154298</v>
      </c>
      <c r="G73" s="88">
        <f>IFERROR(__xludf.DUMMYFUNCTION("""COMPUTED_VALUE"""),34.7356186179716)</f>
        <v>34.73561862</v>
      </c>
      <c r="H73" s="88">
        <f>IFERROR(__xludf.DUMMYFUNCTION("""COMPUTED_VALUE"""),35.7100640253923)</f>
        <v>35.71006403</v>
      </c>
      <c r="I73" s="88">
        <f>IFERROR(__xludf.DUMMYFUNCTION("""COMPUTED_VALUE"""),34.3492006115806)</f>
        <v>34.34920061</v>
      </c>
      <c r="J73" s="88">
        <f>IFERROR(__xludf.DUMMYFUNCTION("""COMPUTED_VALUE"""),34.9372280126104)</f>
        <v>34.93722801</v>
      </c>
      <c r="K73" s="88">
        <f>IFERROR(__xludf.DUMMYFUNCTION("""COMPUTED_VALUE"""),7.0154298E7)</f>
        <v>70154298</v>
      </c>
      <c r="L73" s="88">
        <f>IFERROR(__xludf.DUMMYFUNCTION("""COMPUTED_VALUE"""),0.0)</f>
        <v>0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IFERROR(__xludf.DUMMYFUNCTION("""COMPUTED_VALUE"""),41.37)</f>
        <v>41.37</v>
      </c>
      <c r="C74">
        <f>IFERROR(__xludf.DUMMYFUNCTION("""COMPUTED_VALUE"""),42.29)</f>
        <v>42.29</v>
      </c>
      <c r="D74" s="88">
        <f>IFERROR(__xludf.DUMMYFUNCTION("""COMPUTED_VALUE"""),39.83)</f>
        <v>39.83</v>
      </c>
      <c r="E74" s="88">
        <f>IFERROR(__xludf.DUMMYFUNCTION("""COMPUTED_VALUE"""),40.05)</f>
        <v>40.05</v>
      </c>
      <c r="F74" s="88">
        <f>IFERROR(__xludf.DUMMYFUNCTION("""COMPUTED_VALUE"""),1.10143088E8)</f>
        <v>110143088</v>
      </c>
      <c r="G74" s="88">
        <f>IFERROR(__xludf.DUMMYFUNCTION("""COMPUTED_VALUE"""),34.7524194008581)</f>
        <v>34.7524194</v>
      </c>
      <c r="H74" s="88">
        <f>IFERROR(__xludf.DUMMYFUNCTION("""COMPUTED_VALUE"""),35.5252554136401)</f>
        <v>35.52525541</v>
      </c>
      <c r="I74" s="88">
        <f>IFERROR(__xludf.DUMMYFUNCTION("""COMPUTED_VALUE"""),33.4587591185927)</f>
        <v>33.45875912</v>
      </c>
      <c r="J74" s="88">
        <f>IFERROR(__xludf.DUMMYFUNCTION("""COMPUTED_VALUE"""),33.6435677303449)</f>
        <v>33.64356773</v>
      </c>
      <c r="K74" s="88">
        <f>IFERROR(__xludf.DUMMYFUNCTION("""COMPUTED_VALUE"""),1.10143088E8)</f>
        <v>110143088</v>
      </c>
      <c r="L74" s="88">
        <f>IFERROR(__xludf.DUMMYFUNCTION("""COMPUTED_VALUE"""),0.0)</f>
        <v>0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IFERROR(__xludf.DUMMYFUNCTION("""COMPUTED_VALUE"""),39.83)</f>
        <v>39.83</v>
      </c>
      <c r="C75">
        <f>IFERROR(__xludf.DUMMYFUNCTION("""COMPUTED_VALUE"""),41.21)</f>
        <v>41.21</v>
      </c>
      <c r="D75" s="88">
        <f>IFERROR(__xludf.DUMMYFUNCTION("""COMPUTED_VALUE"""),38.86)</f>
        <v>38.86</v>
      </c>
      <c r="E75" s="88">
        <f>IFERROR(__xludf.DUMMYFUNCTION("""COMPUTED_VALUE"""),40.52)</f>
        <v>40.52</v>
      </c>
      <c r="F75" s="88">
        <f>IFERROR(__xludf.DUMMYFUNCTION("""COMPUTED_VALUE"""),1.08856862E8)</f>
        <v>108856862</v>
      </c>
      <c r="G75" s="88">
        <f>IFERROR(__xludf.DUMMYFUNCTION("""COMPUTED_VALUE"""),33.4587591185927)</f>
        <v>33.45875912</v>
      </c>
      <c r="H75" s="88">
        <f>IFERROR(__xludf.DUMMYFUNCTION("""COMPUTED_VALUE"""),34.4668060917866)</f>
        <v>34.46680609</v>
      </c>
      <c r="I75" s="88">
        <f>IFERROR(__xludf.DUMMYFUNCTION("""COMPUTED_VALUE"""),32.4990718012409)</f>
        <v>32.4990718</v>
      </c>
      <c r="J75" s="88">
        <f>IFERROR(__xludf.DUMMYFUNCTION("""COMPUTED_VALUE"""),33.8873491864714)</f>
        <v>33.88734919</v>
      </c>
      <c r="K75" s="88">
        <f>IFERROR(__xludf.DUMMYFUNCTION("""COMPUTED_VALUE"""),1.08856862E8)</f>
        <v>108856862</v>
      </c>
      <c r="L75" s="88">
        <f>IFERROR(__xludf.DUMMYFUNCTION("""COMPUTED_VALUE"""),0.181)</f>
        <v>0.181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IFERROR(__xludf.DUMMYFUNCTION("""COMPUTED_VALUE"""),40.5)</f>
        <v>40.5</v>
      </c>
      <c r="C76">
        <f>IFERROR(__xludf.DUMMYFUNCTION("""COMPUTED_VALUE"""),40.6499)</f>
        <v>40.6499</v>
      </c>
      <c r="D76" s="88">
        <f>IFERROR(__xludf.DUMMYFUNCTION("""COMPUTED_VALUE"""),38.3001)</f>
        <v>38.3001</v>
      </c>
      <c r="E76" s="88">
        <f>IFERROR(__xludf.DUMMYFUNCTION("""COMPUTED_VALUE"""),38.44)</f>
        <v>38.44</v>
      </c>
      <c r="F76" s="88">
        <f>IFERROR(__xludf.DUMMYFUNCTION("""COMPUTED_VALUE"""),1.29283269E8)</f>
        <v>129283269</v>
      </c>
      <c r="G76" s="88">
        <f>IFERROR(__xludf.DUMMYFUNCTION("""COMPUTED_VALUE"""),33.8706229529144)</f>
        <v>33.87062295</v>
      </c>
      <c r="H76" s="88">
        <f>IFERROR(__xludf.DUMMYFUNCTION("""COMPUTED_VALUE"""),33.9959860734241)</f>
        <v>33.99598607</v>
      </c>
      <c r="I76" s="88">
        <f>IFERROR(__xludf.DUMMYFUNCTION("""COMPUTED_VALUE"""),32.0308208928128)</f>
        <v>32.03082089</v>
      </c>
      <c r="J76" s="88">
        <f>IFERROR(__xludf.DUMMYFUNCTION("""COMPUTED_VALUE"""),32.147820896544)</f>
        <v>32.1478209</v>
      </c>
      <c r="K76" s="88">
        <f>IFERROR(__xludf.DUMMYFUNCTION("""COMPUTED_VALUE"""),1.29283269E8)</f>
        <v>129283269</v>
      </c>
      <c r="L76" s="88">
        <f>IFERROR(__xludf.DUMMYFUNCTION("""COMPUTED_VALUE"""),0.0)</f>
        <v>0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IFERROR(__xludf.DUMMYFUNCTION("""COMPUTED_VALUE"""),38.15)</f>
        <v>38.15</v>
      </c>
      <c r="C77">
        <f>IFERROR(__xludf.DUMMYFUNCTION("""COMPUTED_VALUE"""),38.89)</f>
        <v>38.89</v>
      </c>
      <c r="D77" s="88">
        <f>IFERROR(__xludf.DUMMYFUNCTION("""COMPUTED_VALUE"""),36.3149)</f>
        <v>36.3149</v>
      </c>
      <c r="E77" s="88">
        <f>IFERROR(__xludf.DUMMYFUNCTION("""COMPUTED_VALUE"""),37.95)</f>
        <v>37.95</v>
      </c>
      <c r="F77" s="88">
        <f>IFERROR(__xludf.DUMMYFUNCTION("""COMPUTED_VALUE"""),1.23768233E8)</f>
        <v>123768233</v>
      </c>
      <c r="G77" s="88">
        <f>IFERROR(__xludf.DUMMYFUNCTION("""COMPUTED_VALUE"""),31.9052905099675)</f>
        <v>31.90529051</v>
      </c>
      <c r="H77" s="88">
        <f>IFERROR(__xludf.DUMMYFUNCTION("""COMPUTED_VALUE"""),32.5241611515764)</f>
        <v>32.52416115</v>
      </c>
      <c r="I77" s="88">
        <f>IFERROR(__xludf.DUMMYFUNCTION("""COMPUTED_VALUE"""),30.3705749499455)</f>
        <v>30.37057495</v>
      </c>
      <c r="J77" s="88">
        <f>IFERROR(__xludf.DUMMYFUNCTION("""COMPUTED_VALUE"""),31.7380281743976)</f>
        <v>31.73802817</v>
      </c>
      <c r="K77" s="88">
        <f>IFERROR(__xludf.DUMMYFUNCTION("""COMPUTED_VALUE"""),1.23768233E8)</f>
        <v>123768233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IFERROR(__xludf.DUMMYFUNCTION("""COMPUTED_VALUE"""),37.88)</f>
        <v>37.88</v>
      </c>
      <c r="C78">
        <f>IFERROR(__xludf.DUMMYFUNCTION("""COMPUTED_VALUE"""),39.71)</f>
        <v>39.71</v>
      </c>
      <c r="D78" s="88">
        <f>IFERROR(__xludf.DUMMYFUNCTION("""COMPUTED_VALUE"""),37.09)</f>
        <v>37.09</v>
      </c>
      <c r="E78" s="88">
        <f>IFERROR(__xludf.DUMMYFUNCTION("""COMPUTED_VALUE"""),39.64)</f>
        <v>39.64</v>
      </c>
      <c r="F78" s="88">
        <f>IFERROR(__xludf.DUMMYFUNCTION("""COMPUTED_VALUE"""),1.60807606E8)</f>
        <v>160807606</v>
      </c>
      <c r="G78" s="88">
        <f>IFERROR(__xludf.DUMMYFUNCTION("""COMPUTED_VALUE"""),31.6794863569481)</f>
        <v>31.67948636</v>
      </c>
      <c r="H78" s="88">
        <f>IFERROR(__xludf.DUMMYFUNCTION("""COMPUTED_VALUE"""),33.0046731473313)</f>
        <v>33.00467315</v>
      </c>
      <c r="I78" s="88">
        <f>IFERROR(__xludf.DUMMYFUNCTION("""COMPUTED_VALUE"""),30.8270795022543)</f>
        <v>30.8270795</v>
      </c>
      <c r="J78" s="88">
        <f>IFERROR(__xludf.DUMMYFUNCTION("""COMPUTED_VALUE"""),32.9464931644475)</f>
        <v>32.94649316</v>
      </c>
      <c r="K78" s="88">
        <f>IFERROR(__xludf.DUMMYFUNCTION("""COMPUTED_VALUE"""),1.60807606E8)</f>
        <v>160807606</v>
      </c>
      <c r="L78" s="88">
        <f>IFERROR(__xludf.DUMMYFUNCTION("""COMPUTED_VALUE"""),0.24)</f>
        <v>0.24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IFERROR(__xludf.DUMMYFUNCTION("""COMPUTED_VALUE"""),39.61)</f>
        <v>39.61</v>
      </c>
      <c r="C79">
        <f>IFERROR(__xludf.DUMMYFUNCTION("""COMPUTED_VALUE"""),39.94)</f>
        <v>39.94</v>
      </c>
      <c r="D79" s="88">
        <f>IFERROR(__xludf.DUMMYFUNCTION("""COMPUTED_VALUE"""),38.6642)</f>
        <v>38.6642</v>
      </c>
      <c r="E79" s="88">
        <f>IFERROR(__xludf.DUMMYFUNCTION("""COMPUTED_VALUE"""),39.38)</f>
        <v>39.38</v>
      </c>
      <c r="F79" s="88">
        <f>IFERROR(__xludf.DUMMYFUNCTION("""COMPUTED_VALUE"""),6.2672169E7)</f>
        <v>62672169</v>
      </c>
      <c r="G79" s="88">
        <f>IFERROR(__xludf.DUMMYFUNCTION("""COMPUTED_VALUE"""),32.9215588860688)</f>
        <v>32.92155889</v>
      </c>
      <c r="H79" s="88">
        <f>IFERROR(__xludf.DUMMYFUNCTION("""COMPUTED_VALUE"""),33.195835948235)</f>
        <v>33.19583595</v>
      </c>
      <c r="I79" s="88">
        <f>IFERROR(__xludf.DUMMYFUNCTION("""COMPUTED_VALUE"""),32.1354642030482)</f>
        <v>32.1354642</v>
      </c>
      <c r="J79" s="88">
        <f>IFERROR(__xludf.DUMMYFUNCTION("""COMPUTED_VALUE"""),32.7303960851651)</f>
        <v>32.73039609</v>
      </c>
      <c r="K79" s="88">
        <f>IFERROR(__xludf.DUMMYFUNCTION("""COMPUTED_VALUE"""),6.2672169E7)</f>
        <v>62672169</v>
      </c>
      <c r="L79" s="88">
        <f>IFERROR(__xludf.DUMMYFUNCTION("""COMPUTED_VALUE"""),0.0)</f>
        <v>0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IFERROR(__xludf.DUMMYFUNCTION("""COMPUTED_VALUE"""),39.61)</f>
        <v>39.61</v>
      </c>
      <c r="C80">
        <f>IFERROR(__xludf.DUMMYFUNCTION("""COMPUTED_VALUE"""),39.64)</f>
        <v>39.64</v>
      </c>
      <c r="D80" s="88">
        <f>IFERROR(__xludf.DUMMYFUNCTION("""COMPUTED_VALUE"""),36.36)</f>
        <v>36.36</v>
      </c>
      <c r="E80" s="88">
        <f>IFERROR(__xludf.DUMMYFUNCTION("""COMPUTED_VALUE"""),39.52)</f>
        <v>39.52</v>
      </c>
      <c r="F80" s="88">
        <f>IFERROR(__xludf.DUMMYFUNCTION("""COMPUTED_VALUE"""),1.20639901E8)</f>
        <v>120639901</v>
      </c>
      <c r="G80" s="88">
        <f>IFERROR(__xludf.DUMMYFUNCTION("""COMPUTED_VALUE"""),32.9215588860688)</f>
        <v>32.92155889</v>
      </c>
      <c r="H80" s="88">
        <f>IFERROR(__xludf.DUMMYFUNCTION("""COMPUTED_VALUE"""),32.9464931644475)</f>
        <v>32.94649316</v>
      </c>
      <c r="I80" s="88">
        <f>IFERROR(__xludf.DUMMYFUNCTION("""COMPUTED_VALUE"""),30.2203453950381)</f>
        <v>30.2203454</v>
      </c>
      <c r="J80" s="88">
        <f>IFERROR(__xludf.DUMMYFUNCTION("""COMPUTED_VALUE"""),32.8467560509325)</f>
        <v>32.84675605</v>
      </c>
      <c r="K80" s="88">
        <f>IFERROR(__xludf.DUMMYFUNCTION("""COMPUTED_VALUE"""),1.20639901E8)</f>
        <v>120639901</v>
      </c>
      <c r="L80" s="88">
        <f>IFERROR(__xludf.DUMMYFUNCTION("""COMPUTED_VALUE"""),0.0)</f>
        <v>0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IFERROR(__xludf.DUMMYFUNCTION("""COMPUTED_VALUE"""),39.75)</f>
        <v>39.75</v>
      </c>
      <c r="C81">
        <f>IFERROR(__xludf.DUMMYFUNCTION("""COMPUTED_VALUE"""),42.11)</f>
        <v>42.11</v>
      </c>
      <c r="D81" s="88">
        <f>IFERROR(__xludf.DUMMYFUNCTION("""COMPUTED_VALUE"""),39.615)</f>
        <v>39.615</v>
      </c>
      <c r="E81" s="88">
        <f>IFERROR(__xludf.DUMMYFUNCTION("""COMPUTED_VALUE"""),41.76)</f>
        <v>41.76</v>
      </c>
      <c r="F81" s="88">
        <f>IFERROR(__xludf.DUMMYFUNCTION("""COMPUTED_VALUE"""),5.9492714E7)</f>
        <v>59492714</v>
      </c>
      <c r="G81" s="88">
        <f>IFERROR(__xludf.DUMMYFUNCTION("""COMPUTED_VALUE"""),33.0379188518363)</f>
        <v>33.03791885</v>
      </c>
      <c r="H81" s="88">
        <f>IFERROR(__xludf.DUMMYFUNCTION("""COMPUTED_VALUE"""),34.8176091824907)</f>
        <v>34.81760918</v>
      </c>
      <c r="I81" s="88">
        <f>IFERROR(__xludf.DUMMYFUNCTION("""COMPUTED_VALUE"""),32.9257145991319)</f>
        <v>32.9257146</v>
      </c>
      <c r="J81" s="88">
        <f>IFERROR(__xludf.DUMMYFUNCTION("""COMPUTED_VALUE"""),34.5282203624035)</f>
        <v>34.52822036</v>
      </c>
      <c r="K81" s="88">
        <f>IFERROR(__xludf.DUMMYFUNCTION("""COMPUTED_VALUE"""),5.9492714E7)</f>
        <v>59492714</v>
      </c>
      <c r="L81" s="88">
        <f>IFERROR(__xludf.DUMMYFUNCTION("""COMPUTED_VALUE"""),0.212)</f>
        <v>0.212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IFERROR(__xludf.DUMMYFUNCTION("""COMPUTED_VALUE"""),41.69)</f>
        <v>41.69</v>
      </c>
      <c r="C82">
        <f>IFERROR(__xludf.DUMMYFUNCTION("""COMPUTED_VALUE"""),42.11)</f>
        <v>42.11</v>
      </c>
      <c r="D82" s="88">
        <f>IFERROR(__xludf.DUMMYFUNCTION("""COMPUTED_VALUE"""),40.43)</f>
        <v>40.43</v>
      </c>
      <c r="E82" s="88">
        <f>IFERROR(__xludf.DUMMYFUNCTION("""COMPUTED_VALUE"""),41.43)</f>
        <v>41.43</v>
      </c>
      <c r="F82" s="88">
        <f>IFERROR(__xludf.DUMMYFUNCTION("""COMPUTED_VALUE"""),6.0564E7)</f>
        <v>60564000</v>
      </c>
      <c r="G82" s="88">
        <f>IFERROR(__xludf.DUMMYFUNCTION("""COMPUTED_VALUE"""),34.4703425983861)</f>
        <v>34.4703426</v>
      </c>
      <c r="H82" s="88">
        <f>IFERROR(__xludf.DUMMYFUNCTION("""COMPUTED_VALUE"""),34.8176091824907)</f>
        <v>34.81760918</v>
      </c>
      <c r="I82" s="88">
        <f>IFERROR(__xludf.DUMMYFUNCTION("""COMPUTED_VALUE"""),33.4285428460722)</f>
        <v>33.42854285</v>
      </c>
      <c r="J82" s="88">
        <f>IFERROR(__xludf.DUMMYFUNCTION("""COMPUTED_VALUE"""),34.2553680463213)</f>
        <v>34.25536805</v>
      </c>
      <c r="K82" s="88">
        <f>IFERROR(__xludf.DUMMYFUNCTION("""COMPUTED_VALUE"""),6.0564E7)</f>
        <v>60564000</v>
      </c>
      <c r="L82" s="88">
        <f>IFERROR(__xludf.DUMMYFUNCTION("""COMPUTED_VALUE"""),0.0)</f>
        <v>0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IFERROR(__xludf.DUMMYFUNCTION("""COMPUTED_VALUE"""),41.58)</f>
        <v>41.58</v>
      </c>
      <c r="C83">
        <f>IFERROR(__xludf.DUMMYFUNCTION("""COMPUTED_VALUE"""),43.15)</f>
        <v>43.15</v>
      </c>
      <c r="D83" s="88">
        <f>IFERROR(__xludf.DUMMYFUNCTION("""COMPUTED_VALUE"""),41.55)</f>
        <v>41.55</v>
      </c>
      <c r="E83" s="88">
        <f>IFERROR(__xludf.DUMMYFUNCTION("""COMPUTED_VALUE"""),42.82)</f>
        <v>42.82</v>
      </c>
      <c r="F83" s="88">
        <f>IFERROR(__xludf.DUMMYFUNCTION("""COMPUTED_VALUE"""),6.36987E7)</f>
        <v>63698700</v>
      </c>
      <c r="G83" s="88">
        <f>IFERROR(__xludf.DUMMYFUNCTION("""COMPUTED_VALUE"""),34.3793918263587)</f>
        <v>34.37939183</v>
      </c>
      <c r="H83" s="88">
        <f>IFERROR(__xludf.DUMMYFUNCTION("""COMPUTED_VALUE"""),35.6775073907498)</f>
        <v>35.67750739</v>
      </c>
      <c r="I83" s="88">
        <f>IFERROR(__xludf.DUMMYFUNCTION("""COMPUTED_VALUE"""),34.3545870703512)</f>
        <v>34.35458707</v>
      </c>
      <c r="J83" s="88">
        <f>IFERROR(__xludf.DUMMYFUNCTION("""COMPUTED_VALUE"""),35.4046550746676)</f>
        <v>35.40465507</v>
      </c>
      <c r="K83" s="88">
        <f>IFERROR(__xludf.DUMMYFUNCTION("""COMPUTED_VALUE"""),6.36987E7)</f>
        <v>63698700</v>
      </c>
      <c r="L83" s="88">
        <f>IFERROR(__xludf.DUMMYFUNCTION("""COMPUTED_VALUE"""),0.0)</f>
        <v>0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IFERROR(__xludf.DUMMYFUNCTION("""COMPUTED_VALUE"""),42.59)</f>
        <v>42.59</v>
      </c>
      <c r="C84">
        <f>IFERROR(__xludf.DUMMYFUNCTION("""COMPUTED_VALUE"""),43.48)</f>
        <v>43.48</v>
      </c>
      <c r="D84" s="88">
        <f>IFERROR(__xludf.DUMMYFUNCTION("""COMPUTED_VALUE"""),42.1407)</f>
        <v>42.1407</v>
      </c>
      <c r="E84" s="88">
        <f>IFERROR(__xludf.DUMMYFUNCTION("""COMPUTED_VALUE"""),42.77)</f>
        <v>42.77</v>
      </c>
      <c r="F84" s="88">
        <f>IFERROR(__xludf.DUMMYFUNCTION("""COMPUTED_VALUE"""),6.50062E7)</f>
        <v>65006200</v>
      </c>
      <c r="G84" s="88">
        <f>IFERROR(__xludf.DUMMYFUNCTION("""COMPUTED_VALUE"""),35.2144852786103)</f>
        <v>35.21448528</v>
      </c>
      <c r="H84" s="88">
        <f>IFERROR(__xludf.DUMMYFUNCTION("""COMPUTED_VALUE"""),35.5209942485496)</f>
        <v>35.52099425</v>
      </c>
      <c r="I84" s="88">
        <f>IFERROR(__xludf.DUMMYFUNCTION("""COMPUTED_VALUE"""),34.7203830626347)</f>
        <v>34.72038306</v>
      </c>
      <c r="J84" s="88">
        <f>IFERROR(__xludf.DUMMYFUNCTION("""COMPUTED_VALUE"""),34.9409596138562)</f>
        <v>34.94095961</v>
      </c>
      <c r="K84" s="88">
        <f>IFERROR(__xludf.DUMMYFUNCTION("""COMPUTED_VALUE"""),6.50062E7)</f>
        <v>65006200</v>
      </c>
      <c r="L84" s="88">
        <f>IFERROR(__xludf.DUMMYFUNCTION("""COMPUTED_VALUE"""),0.513)</f>
        <v>0.513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IFERROR(__xludf.DUMMYFUNCTION("""COMPUTED_VALUE"""),42.66)</f>
        <v>42.66</v>
      </c>
      <c r="C85">
        <f>IFERROR(__xludf.DUMMYFUNCTION("""COMPUTED_VALUE"""),42.67)</f>
        <v>42.67</v>
      </c>
      <c r="D85" s="88">
        <f>IFERROR(__xludf.DUMMYFUNCTION("""COMPUTED_VALUE"""),41.61)</f>
        <v>41.61</v>
      </c>
      <c r="E85" s="88">
        <f>IFERROR(__xludf.DUMMYFUNCTION("""COMPUTED_VALUE"""),42.18)</f>
        <v>42.18</v>
      </c>
      <c r="F85" s="88">
        <f>IFERROR(__xludf.DUMMYFUNCTION("""COMPUTED_VALUE"""),5.79714E7)</f>
        <v>57971400</v>
      </c>
      <c r="G85" s="88">
        <f>IFERROR(__xludf.DUMMYFUNCTION("""COMPUTED_VALUE"""),34.8510950929882)</f>
        <v>34.85109509</v>
      </c>
      <c r="H85" s="88">
        <f>IFERROR(__xludf.DUMMYFUNCTION("""COMPUTED_VALUE"""),34.8592645948853)</f>
        <v>34.85926459</v>
      </c>
      <c r="I85" s="88">
        <f>IFERROR(__xludf.DUMMYFUNCTION("""COMPUTED_VALUE"""),33.9932973937937)</f>
        <v>33.99329739</v>
      </c>
      <c r="J85" s="88">
        <f>IFERROR(__xludf.DUMMYFUNCTION("""COMPUTED_VALUE"""),34.4589590019278)</f>
        <v>34.458959</v>
      </c>
      <c r="K85" s="88">
        <f>IFERROR(__xludf.DUMMYFUNCTION("""COMPUTED_VALUE"""),5.79714E7)</f>
        <v>57971400</v>
      </c>
      <c r="L85" s="88">
        <f>IFERROR(__xludf.DUMMYFUNCTION("""COMPUTED_VALUE"""),0.0)</f>
        <v>0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IFERROR(__xludf.DUMMYFUNCTION("""COMPUTED_VALUE"""),41.92)</f>
        <v>41.92</v>
      </c>
      <c r="C86">
        <f>IFERROR(__xludf.DUMMYFUNCTION("""COMPUTED_VALUE"""),41.96)</f>
        <v>41.96</v>
      </c>
      <c r="D86" s="88">
        <f>IFERROR(__xludf.DUMMYFUNCTION("""COMPUTED_VALUE"""),40.3799)</f>
        <v>40.3799</v>
      </c>
      <c r="E86" s="88">
        <f>IFERROR(__xludf.DUMMYFUNCTION("""COMPUTED_VALUE"""),41.48)</f>
        <v>41.48</v>
      </c>
      <c r="F86" s="88">
        <f>IFERROR(__xludf.DUMMYFUNCTION("""COMPUTED_VALUE"""),8.64035E7)</f>
        <v>86403500</v>
      </c>
      <c r="G86" s="88">
        <f>IFERROR(__xludf.DUMMYFUNCTION("""COMPUTED_VALUE"""),34.2465519526035)</f>
        <v>34.24655195</v>
      </c>
      <c r="H86" s="88">
        <f>IFERROR(__xludf.DUMMYFUNCTION("""COMPUTED_VALUE"""),34.2792299601918)</f>
        <v>34.27922996</v>
      </c>
      <c r="I86" s="88">
        <f>IFERROR(__xludf.DUMMYFUNCTION("""COMPUTED_VALUE"""),32.9883669654326)</f>
        <v>32.98836697</v>
      </c>
      <c r="J86" s="88">
        <f>IFERROR(__xludf.DUMMYFUNCTION("""COMPUTED_VALUE"""),33.8870938691315)</f>
        <v>33.88709387</v>
      </c>
      <c r="K86" s="88">
        <f>IFERROR(__xludf.DUMMYFUNCTION("""COMPUTED_VALUE"""),8.64035E7)</f>
        <v>86403500</v>
      </c>
      <c r="L86" s="88">
        <f>IFERROR(__xludf.DUMMYFUNCTION("""COMPUTED_VALUE"""),0.0)</f>
        <v>0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IFERROR(__xludf.DUMMYFUNCTION("""COMPUTED_VALUE"""),41.27)</f>
        <v>41.27</v>
      </c>
      <c r="C87">
        <f>IFERROR(__xludf.DUMMYFUNCTION("""COMPUTED_VALUE"""),42.3)</f>
        <v>42.3</v>
      </c>
      <c r="D87" s="88">
        <f>IFERROR(__xludf.DUMMYFUNCTION("""COMPUTED_VALUE"""),40.17)</f>
        <v>40.17</v>
      </c>
      <c r="E87" s="88">
        <f>IFERROR(__xludf.DUMMYFUNCTION("""COMPUTED_VALUE"""),41.18)</f>
        <v>41.18</v>
      </c>
      <c r="F87" s="88">
        <f>IFERROR(__xludf.DUMMYFUNCTION("""COMPUTED_VALUE"""),7.1154E7)</f>
        <v>71154000</v>
      </c>
      <c r="G87" s="88">
        <f>IFERROR(__xludf.DUMMYFUNCTION("""COMPUTED_VALUE"""),33.7155343292926)</f>
        <v>33.71553433</v>
      </c>
      <c r="H87" s="88">
        <f>IFERROR(__xludf.DUMMYFUNCTION("""COMPUTED_VALUE"""),34.1948701099272)</f>
        <v>34.19487011</v>
      </c>
      <c r="I87" s="88">
        <f>IFERROR(__xludf.DUMMYFUNCTION("""COMPUTED_VALUE"""),32.4730007639663)</f>
        <v>32.47300076</v>
      </c>
      <c r="J87" s="88">
        <f>IFERROR(__xludf.DUMMYFUNCTION("""COMPUTED_VALUE"""),33.2894740219102)</f>
        <v>33.28947402</v>
      </c>
      <c r="K87" s="88">
        <f>IFERROR(__xludf.DUMMYFUNCTION("""COMPUTED_VALUE"""),7.1154E7)</f>
        <v>71154000</v>
      </c>
      <c r="L87" s="88">
        <f>IFERROR(__xludf.DUMMYFUNCTION("""COMPUTED_VALUE"""),0.429)</f>
        <v>0.429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IFERROR(__xludf.DUMMYFUNCTION("""COMPUTED_VALUE"""),41.86)</f>
        <v>41.86</v>
      </c>
      <c r="C88">
        <f>IFERROR(__xludf.DUMMYFUNCTION("""COMPUTED_VALUE"""),42.07)</f>
        <v>42.07</v>
      </c>
      <c r="D88" s="88">
        <f>IFERROR(__xludf.DUMMYFUNCTION("""COMPUTED_VALUE"""),38.72)</f>
        <v>38.72</v>
      </c>
      <c r="E88" s="88">
        <f>IFERROR(__xludf.DUMMYFUNCTION("""COMPUTED_VALUE"""),39.47)</f>
        <v>39.47</v>
      </c>
      <c r="F88" s="88">
        <f>IFERROR(__xludf.DUMMYFUNCTION("""COMPUTED_VALUE"""),6.90422E7)</f>
        <v>69042200</v>
      </c>
      <c r="G88" s="88">
        <f>IFERROR(__xludf.DUMMYFUNCTION("""COMPUTED_VALUE"""),33.8391787896348)</f>
        <v>33.83917879</v>
      </c>
      <c r="H88" s="88">
        <f>IFERROR(__xludf.DUMMYFUNCTION("""COMPUTED_VALUE"""),34.008940556138)</f>
        <v>34.00894056</v>
      </c>
      <c r="I88" s="88">
        <f>IFERROR(__xludf.DUMMYFUNCTION("""COMPUTED_VALUE"""),31.30083618573)</f>
        <v>31.30083619</v>
      </c>
      <c r="J88" s="88">
        <f>IFERROR(__xludf.DUMMYFUNCTION("""COMPUTED_VALUE"""),31.9071282089557)</f>
        <v>31.90712821</v>
      </c>
      <c r="K88" s="88">
        <f>IFERROR(__xludf.DUMMYFUNCTION("""COMPUTED_VALUE"""),6.90422E7)</f>
        <v>69042200</v>
      </c>
      <c r="L88" s="88">
        <f>IFERROR(__xludf.DUMMYFUNCTION("""COMPUTED_VALUE"""),0.0)</f>
        <v>0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IFERROR(__xludf.DUMMYFUNCTION("""COMPUTED_VALUE"""),39.51)</f>
        <v>39.51</v>
      </c>
      <c r="C89">
        <f>IFERROR(__xludf.DUMMYFUNCTION("""COMPUTED_VALUE"""),41.7)</f>
        <v>41.7</v>
      </c>
      <c r="D89" s="88">
        <f>IFERROR(__xludf.DUMMYFUNCTION("""COMPUTED_VALUE"""),39.31)</f>
        <v>39.31</v>
      </c>
      <c r="E89" s="88">
        <f>IFERROR(__xludf.DUMMYFUNCTION("""COMPUTED_VALUE"""),41.22)</f>
        <v>41.22</v>
      </c>
      <c r="F89" s="88">
        <f>IFERROR(__xludf.DUMMYFUNCTION("""COMPUTED_VALUE"""),6.94419E7)</f>
        <v>69441900</v>
      </c>
      <c r="G89" s="88">
        <f>IFERROR(__xludf.DUMMYFUNCTION("""COMPUTED_VALUE"""),31.9394637835277)</f>
        <v>31.93946378</v>
      </c>
      <c r="H89" s="88">
        <f>IFERROR(__xludf.DUMMYFUNCTION("""COMPUTED_VALUE"""),33.7098364913467)</f>
        <v>33.70983649</v>
      </c>
      <c r="I89" s="88">
        <f>IFERROR(__xludf.DUMMYFUNCTION("""COMPUTED_VALUE"""),31.7777859106676)</f>
        <v>31.77778591</v>
      </c>
      <c r="J89" s="88">
        <f>IFERROR(__xludf.DUMMYFUNCTION("""COMPUTED_VALUE"""),33.3218095964822)</f>
        <v>33.3218096</v>
      </c>
      <c r="K89" s="88">
        <f>IFERROR(__xludf.DUMMYFUNCTION("""COMPUTED_VALUE"""),6.94419E7)</f>
        <v>69441900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IFERROR(__xludf.DUMMYFUNCTION("""COMPUTED_VALUE"""),41.68)</f>
        <v>41.68</v>
      </c>
      <c r="C90">
        <f>IFERROR(__xludf.DUMMYFUNCTION("""COMPUTED_VALUE"""),41.88)</f>
        <v>41.88</v>
      </c>
      <c r="D90" s="88">
        <f>IFERROR(__xludf.DUMMYFUNCTION("""COMPUTED_VALUE"""),39.63)</f>
        <v>39.63</v>
      </c>
      <c r="E90" s="88">
        <f>IFERROR(__xludf.DUMMYFUNCTION("""COMPUTED_VALUE"""),40.99)</f>
        <v>40.99</v>
      </c>
      <c r="F90" s="88">
        <f>IFERROR(__xludf.DUMMYFUNCTION("""COMPUTED_VALUE"""),6.80633E7)</f>
        <v>68063300</v>
      </c>
      <c r="G90" s="88">
        <f>IFERROR(__xludf.DUMMYFUNCTION("""COMPUTED_VALUE"""),33.6936687040607)</f>
        <v>33.6936687</v>
      </c>
      <c r="H90" s="88">
        <f>IFERROR(__xludf.DUMMYFUNCTION("""COMPUTED_VALUE"""),33.8553465769208)</f>
        <v>33.85534658</v>
      </c>
      <c r="I90" s="88">
        <f>IFERROR(__xludf.DUMMYFUNCTION("""COMPUTED_VALUE"""),31.868740295164)</f>
        <v>31.8687403</v>
      </c>
      <c r="J90" s="88">
        <f>IFERROR(__xludf.DUMMYFUNCTION("""COMPUTED_VALUE"""),32.962393759747)</f>
        <v>32.96239376</v>
      </c>
      <c r="K90" s="88">
        <f>IFERROR(__xludf.DUMMYFUNCTION("""COMPUTED_VALUE"""),6.80633E7)</f>
        <v>68063300</v>
      </c>
      <c r="L90" s="88">
        <f>IFERROR(__xludf.DUMMYFUNCTION("""COMPUTED_VALUE"""),0.213)</f>
        <v>0.213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IFERROR(__xludf.DUMMYFUNCTION("""COMPUTED_VALUE"""),41.12)</f>
        <v>41.12</v>
      </c>
      <c r="C91">
        <f>IFERROR(__xludf.DUMMYFUNCTION("""COMPUTED_VALUE"""),41.32)</f>
        <v>41.32</v>
      </c>
      <c r="D91" s="88">
        <f>IFERROR(__xludf.DUMMYFUNCTION("""COMPUTED_VALUE"""),40.04)</f>
        <v>40.04</v>
      </c>
      <c r="E91" s="88">
        <f>IFERROR(__xludf.DUMMYFUNCTION("""COMPUTED_VALUE"""),40.65)</f>
        <v>40.65</v>
      </c>
      <c r="F91" s="88">
        <f>IFERROR(__xludf.DUMMYFUNCTION("""COMPUTED_VALUE"""),6.4108E7)</f>
        <v>64108000</v>
      </c>
      <c r="G91" s="88">
        <f>IFERROR(__xludf.DUMMYFUNCTION("""COMPUTED_VALUE"""),33.0669341644498)</f>
        <v>33.06693416</v>
      </c>
      <c r="H91" s="88">
        <f>IFERROR(__xludf.DUMMYFUNCTION("""COMPUTED_VALUE"""),33.2277655563002)</f>
        <v>33.22776556</v>
      </c>
      <c r="I91" s="88">
        <f>IFERROR(__xludf.DUMMYFUNCTION("""COMPUTED_VALUE"""),32.1984446484574)</f>
        <v>32.19844465</v>
      </c>
      <c r="J91" s="88">
        <f>IFERROR(__xludf.DUMMYFUNCTION("""COMPUTED_VALUE"""),32.6889803936013)</f>
        <v>32.68898039</v>
      </c>
      <c r="K91" s="88">
        <f>IFERROR(__xludf.DUMMYFUNCTION("""COMPUTED_VALUE"""),6.4108E7)</f>
        <v>64108000</v>
      </c>
      <c r="L91" s="88">
        <f>IFERROR(__xludf.DUMMYFUNCTION("""COMPUTED_VALUE"""),0.0)</f>
        <v>0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IFERROR(__xludf.DUMMYFUNCTION("""COMPUTED_VALUE"""),40.85)</f>
        <v>40.85</v>
      </c>
      <c r="C92">
        <f>IFERROR(__xludf.DUMMYFUNCTION("""COMPUTED_VALUE"""),41.5599)</f>
        <v>41.5599</v>
      </c>
      <c r="D92" s="88">
        <f>IFERROR(__xludf.DUMMYFUNCTION("""COMPUTED_VALUE"""),38.84)</f>
        <v>38.84</v>
      </c>
      <c r="E92" s="88">
        <f>IFERROR(__xludf.DUMMYFUNCTION("""COMPUTED_VALUE"""),39.62)</f>
        <v>39.62</v>
      </c>
      <c r="F92" s="88">
        <f>IFERROR(__xludf.DUMMYFUNCTION("""COMPUTED_VALUE"""),8.01661E7)</f>
        <v>80166100</v>
      </c>
      <c r="G92" s="88">
        <f>IFERROR(__xludf.DUMMYFUNCTION("""COMPUTED_VALUE"""),32.8498117854517)</f>
        <v>32.84981179</v>
      </c>
      <c r="H92" s="88">
        <f>IFERROR(__xludf.DUMMYFUNCTION("""COMPUTED_VALUE"""),33.4206828108248)</f>
        <v>33.42068281</v>
      </c>
      <c r="I92" s="88">
        <f>IFERROR(__xludf.DUMMYFUNCTION("""COMPUTED_VALUE"""),31.2334562973548)</f>
        <v>31.2334563</v>
      </c>
      <c r="J92" s="88">
        <f>IFERROR(__xludf.DUMMYFUNCTION("""COMPUTED_VALUE"""),31.8606987255715)</f>
        <v>31.86069873</v>
      </c>
      <c r="K92" s="88">
        <f>IFERROR(__xludf.DUMMYFUNCTION("""COMPUTED_VALUE"""),8.01661E7)</f>
        <v>80166100</v>
      </c>
      <c r="L92" s="88">
        <f>IFERROR(__xludf.DUMMYFUNCTION("""COMPUTED_VALUE"""),0.0)</f>
        <v>0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IFERROR(__xludf.DUMMYFUNCTION("""COMPUTED_VALUE"""),39.58)</f>
        <v>39.58</v>
      </c>
      <c r="C93">
        <f>IFERROR(__xludf.DUMMYFUNCTION("""COMPUTED_VALUE"""),40.59)</f>
        <v>40.59</v>
      </c>
      <c r="D93" s="88">
        <f>IFERROR(__xludf.DUMMYFUNCTION("""COMPUTED_VALUE"""),37.39)</f>
        <v>37.39</v>
      </c>
      <c r="E93" s="88">
        <f>IFERROR(__xludf.DUMMYFUNCTION("""COMPUTED_VALUE"""),37.71)</f>
        <v>37.71</v>
      </c>
      <c r="F93" s="88">
        <f>IFERROR(__xludf.DUMMYFUNCTION("""COMPUTED_VALUE"""),7.26972E7)</f>
        <v>72697200</v>
      </c>
      <c r="G93" s="88">
        <f>IFERROR(__xludf.DUMMYFUNCTION("""COMPUTED_VALUE"""),31.8285324472014)</f>
        <v>31.82853245</v>
      </c>
      <c r="H93" s="88">
        <f>IFERROR(__xludf.DUMMYFUNCTION("""COMPUTED_VALUE"""),32.5070176353839)</f>
        <v>32.50701764</v>
      </c>
      <c r="I93" s="88">
        <f>IFERROR(__xludf.DUMMYFUNCTION("""COMPUTED_VALUE"""),29.9442569447402)</f>
        <v>29.94425694</v>
      </c>
      <c r="J93" s="88">
        <f>IFERROR(__xludf.DUMMYFUNCTION("""COMPUTED_VALUE"""),30.2005330138046)</f>
        <v>30.20053301</v>
      </c>
      <c r="K93" s="88">
        <f>IFERROR(__xludf.DUMMYFUNCTION("""COMPUTED_VALUE"""),7.26972E7)</f>
        <v>72697200</v>
      </c>
      <c r="L93" s="88">
        <f>IFERROR(__xludf.DUMMYFUNCTION("""COMPUTED_VALUE"""),0.164)</f>
        <v>0.164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IFERROR(__xludf.DUMMYFUNCTION("""COMPUTED_VALUE"""),36.85)</f>
        <v>36.85</v>
      </c>
      <c r="C94">
        <f>IFERROR(__xludf.DUMMYFUNCTION("""COMPUTED_VALUE"""),38.585)</f>
        <v>38.585</v>
      </c>
      <c r="D94" s="88">
        <f>IFERROR(__xludf.DUMMYFUNCTION("""COMPUTED_VALUE"""),36.82)</f>
        <v>36.82</v>
      </c>
      <c r="E94" s="88">
        <f>IFERROR(__xludf.DUMMYFUNCTION("""COMPUTED_VALUE"""),37.93)</f>
        <v>37.93</v>
      </c>
      <c r="F94" s="88">
        <f>IFERROR(__xludf.DUMMYFUNCTION("""COMPUTED_VALUE"""),7.09162E7)</f>
        <v>70916200</v>
      </c>
      <c r="G94" s="88">
        <f>IFERROR(__xludf.DUMMYFUNCTION("""COMPUTED_VALUE"""),29.5117910781941)</f>
        <v>29.51179108</v>
      </c>
      <c r="H94" s="88">
        <f>IFERROR(__xludf.DUMMYFUNCTION("""COMPUTED_VALUE"""),30.9012878901525)</f>
        <v>30.90128789</v>
      </c>
      <c r="I94" s="88">
        <f>IFERROR(__xludf.DUMMYFUNCTION("""COMPUTED_VALUE"""),29.4877651967193)</f>
        <v>29.4877652</v>
      </c>
      <c r="J94" s="88">
        <f>IFERROR(__xludf.DUMMYFUNCTION("""COMPUTED_VALUE"""),30.3767228112863)</f>
        <v>30.37672281</v>
      </c>
      <c r="K94" s="88">
        <f>IFERROR(__xludf.DUMMYFUNCTION("""COMPUTED_VALUE"""),7.09162E7)</f>
        <v>70916200</v>
      </c>
      <c r="L94" s="88">
        <f>IFERROR(__xludf.DUMMYFUNCTION("""COMPUTED_VALUE"""),0.0)</f>
        <v>0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IFERROR(__xludf.DUMMYFUNCTION("""COMPUTED_VALUE"""),37.45)</f>
        <v>37.45</v>
      </c>
      <c r="C95">
        <f>IFERROR(__xludf.DUMMYFUNCTION("""COMPUTED_VALUE"""),38.1)</f>
        <v>38.1</v>
      </c>
      <c r="D95" s="88">
        <f>IFERROR(__xludf.DUMMYFUNCTION("""COMPUTED_VALUE"""),35.42)</f>
        <v>35.42</v>
      </c>
      <c r="E95" s="88">
        <f>IFERROR(__xludf.DUMMYFUNCTION("""COMPUTED_VALUE"""),35.98)</f>
        <v>35.98</v>
      </c>
      <c r="F95" s="88">
        <f>IFERROR(__xludf.DUMMYFUNCTION("""COMPUTED_VALUE"""),6.85277E7)</f>
        <v>68527700</v>
      </c>
      <c r="G95" s="88">
        <f>IFERROR(__xludf.DUMMYFUNCTION("""COMPUTED_VALUE"""),29.9923087076898)</f>
        <v>29.99230871</v>
      </c>
      <c r="H95" s="88">
        <f>IFERROR(__xludf.DUMMYFUNCTION("""COMPUTED_VALUE"""),30.5128694729768)</f>
        <v>30.51286947</v>
      </c>
      <c r="I95" s="88">
        <f>IFERROR(__xludf.DUMMYFUNCTION("""COMPUTED_VALUE"""),28.3665573945627)</f>
        <v>28.36655739</v>
      </c>
      <c r="J95" s="88">
        <f>IFERROR(__xludf.DUMMYFUNCTION("""COMPUTED_VALUE"""),28.8150405154253)</f>
        <v>28.81504052</v>
      </c>
      <c r="K95" s="88">
        <f>IFERROR(__xludf.DUMMYFUNCTION("""COMPUTED_VALUE"""),6.85277E7)</f>
        <v>68527700</v>
      </c>
      <c r="L95" s="88">
        <f>IFERROR(__xludf.DUMMYFUNCTION("""COMPUTED_VALUE"""),0.0)</f>
        <v>0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IFERROR(__xludf.DUMMYFUNCTION("""COMPUTED_VALUE"""),35.6)</f>
        <v>35.6</v>
      </c>
      <c r="C96">
        <f>IFERROR(__xludf.DUMMYFUNCTION("""COMPUTED_VALUE"""),37.825)</f>
        <v>37.825</v>
      </c>
      <c r="D96" s="88">
        <f>IFERROR(__xludf.DUMMYFUNCTION("""COMPUTED_VALUE"""),34.33)</f>
        <v>34.33</v>
      </c>
      <c r="E96" s="88">
        <f>IFERROR(__xludf.DUMMYFUNCTION("""COMPUTED_VALUE"""),37.19)</f>
        <v>37.19</v>
      </c>
      <c r="F96" s="88">
        <f>IFERROR(__xludf.DUMMYFUNCTION("""COMPUTED_VALUE"""),6.40429E7)</f>
        <v>64042900</v>
      </c>
      <c r="G96" s="88">
        <f>IFERROR(__xludf.DUMMYFUNCTION("""COMPUTED_VALUE"""),28.5107126834114)</f>
        <v>28.51071268</v>
      </c>
      <c r="H96" s="88">
        <f>IFERROR(__xludf.DUMMYFUNCTION("""COMPUTED_VALUE"""),29.8234128268568)</f>
        <v>29.82341283</v>
      </c>
      <c r="I96" s="88">
        <f>IFERROR(__xludf.DUMMYFUNCTION("""COMPUTED_VALUE"""),27.4936170343121)</f>
        <v>27.49361703</v>
      </c>
      <c r="J96" s="88">
        <f>IFERROR(__xludf.DUMMYFUNCTION("""COMPUTED_VALUE"""),29.3227421819115)</f>
        <v>29.32274218</v>
      </c>
      <c r="K96" s="88">
        <f>IFERROR(__xludf.DUMMYFUNCTION("""COMPUTED_VALUE"""),6.40429E7)</f>
        <v>64042900</v>
      </c>
      <c r="L96" s="88">
        <f>IFERROR(__xludf.DUMMYFUNCTION("""COMPUTED_VALUE"""),0.545)</f>
        <v>0.545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IFERROR(__xludf.DUMMYFUNCTION("""COMPUTED_VALUE"""),37.19)</f>
        <v>37.19</v>
      </c>
      <c r="C97">
        <f>IFERROR(__xludf.DUMMYFUNCTION("""COMPUTED_VALUE"""),39.67)</f>
        <v>39.67</v>
      </c>
      <c r="D97" s="88">
        <f>IFERROR(__xludf.DUMMYFUNCTION("""COMPUTED_VALUE"""),37.18)</f>
        <v>37.18</v>
      </c>
      <c r="E97" s="88">
        <f>IFERROR(__xludf.DUMMYFUNCTION("""COMPUTED_VALUE"""),38.32)</f>
        <v>38.32</v>
      </c>
      <c r="F97" s="88">
        <f>IFERROR(__xludf.DUMMYFUNCTION("""COMPUTED_VALUE"""),5.75714E7)</f>
        <v>57571400</v>
      </c>
      <c r="G97" s="88">
        <f>IFERROR(__xludf.DUMMYFUNCTION("""COMPUTED_VALUE"""),29.3227421819115)</f>
        <v>29.32274218</v>
      </c>
      <c r="H97" s="88">
        <f>IFERROR(__xludf.DUMMYFUNCTION("""COMPUTED_VALUE"""),31.278117299178)</f>
        <v>31.2781173</v>
      </c>
      <c r="I97" s="88">
        <f>IFERROR(__xludf.DUMMYFUNCTION("""COMPUTED_VALUE"""),29.3148576048258)</f>
        <v>29.3148576</v>
      </c>
      <c r="J97" s="88">
        <f>IFERROR(__xludf.DUMMYFUNCTION("""COMPUTED_VALUE"""),30.2136993926015)</f>
        <v>30.21369939</v>
      </c>
      <c r="K97" s="88">
        <f>IFERROR(__xludf.DUMMYFUNCTION("""COMPUTED_VALUE"""),5.75714E7)</f>
        <v>57571400</v>
      </c>
      <c r="L97" s="88">
        <f>IFERROR(__xludf.DUMMYFUNCTION("""COMPUTED_VALUE"""),0.0)</f>
        <v>0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IFERROR(__xludf.DUMMYFUNCTION("""COMPUTED_VALUE"""),38.33)</f>
        <v>38.33</v>
      </c>
      <c r="C98">
        <f>IFERROR(__xludf.DUMMYFUNCTION("""COMPUTED_VALUE"""),38.33)</f>
        <v>38.33</v>
      </c>
      <c r="D98" s="88">
        <f>IFERROR(__xludf.DUMMYFUNCTION("""COMPUTED_VALUE"""),35.915)</f>
        <v>35.915</v>
      </c>
      <c r="E98" s="88">
        <f>IFERROR(__xludf.DUMMYFUNCTION("""COMPUTED_VALUE"""),36.25)</f>
        <v>36.25</v>
      </c>
      <c r="F98" s="88">
        <f>IFERROR(__xludf.DUMMYFUNCTION("""COMPUTED_VALUE"""),6.08627E7)</f>
        <v>60862700</v>
      </c>
      <c r="G98" s="88">
        <f>IFERROR(__xludf.DUMMYFUNCTION("""COMPUTED_VALUE"""),30.2215839696872)</f>
        <v>30.22158397</v>
      </c>
      <c r="H98" s="88">
        <f>IFERROR(__xludf.DUMMYFUNCTION("""COMPUTED_VALUE"""),30.2215839696872)</f>
        <v>30.22158397</v>
      </c>
      <c r="I98" s="88">
        <f>IFERROR(__xludf.DUMMYFUNCTION("""COMPUTED_VALUE"""),28.3174586034781)</f>
        <v>28.3174586</v>
      </c>
      <c r="J98" s="88">
        <f>IFERROR(__xludf.DUMMYFUNCTION("""COMPUTED_VALUE"""),28.5815919358508)</f>
        <v>28.58159194</v>
      </c>
      <c r="K98" s="88">
        <f>IFERROR(__xludf.DUMMYFUNCTION("""COMPUTED_VALUE"""),6.08627E7)</f>
        <v>60862700</v>
      </c>
      <c r="L98" s="88">
        <f>IFERROR(__xludf.DUMMYFUNCTION("""COMPUTED_VALUE"""),0.0)</f>
        <v>0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IFERROR(__xludf.DUMMYFUNCTION("""COMPUTED_VALUE"""),36.43)</f>
        <v>36.43</v>
      </c>
      <c r="C99">
        <f>IFERROR(__xludf.DUMMYFUNCTION("""COMPUTED_VALUE"""),37.25)</f>
        <v>37.25</v>
      </c>
      <c r="D99" s="88">
        <f>IFERROR(__xludf.DUMMYFUNCTION("""COMPUTED_VALUE"""),35.79)</f>
        <v>35.79</v>
      </c>
      <c r="E99" s="88">
        <f>IFERROR(__xludf.DUMMYFUNCTION("""COMPUTED_VALUE"""),35.94)</f>
        <v>35.94</v>
      </c>
      <c r="F99" s="88">
        <f>IFERROR(__xludf.DUMMYFUNCTION("""COMPUTED_VALUE"""),6.77048E7)</f>
        <v>67704800</v>
      </c>
      <c r="G99" s="88">
        <f>IFERROR(__xludf.DUMMYFUNCTION("""COMPUTED_VALUE"""),28.7235143233944)</f>
        <v>28.72351432</v>
      </c>
      <c r="H99" s="88">
        <f>IFERROR(__xludf.DUMMYFUNCTION("""COMPUTED_VALUE"""),29.2419420886093)</f>
        <v>29.24194209</v>
      </c>
      <c r="I99" s="88">
        <f>IFERROR(__xludf.DUMMYFUNCTION("""COMPUTED_VALUE"""),28.0958149624517)</f>
        <v>28.09581496</v>
      </c>
      <c r="J99" s="88">
        <f>IFERROR(__xludf.DUMMYFUNCTION("""COMPUTED_VALUE"""),28.2135677493857)</f>
        <v>28.21356775</v>
      </c>
      <c r="K99" s="88">
        <f>IFERROR(__xludf.DUMMYFUNCTION("""COMPUTED_VALUE"""),6.77048E7)</f>
        <v>67704800</v>
      </c>
      <c r="L99" s="88">
        <f>IFERROR(__xludf.DUMMYFUNCTION("""COMPUTED_VALUE"""),0.161)</f>
        <v>0.161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IFERROR(__xludf.DUMMYFUNCTION("""COMPUTED_VALUE"""),36.16)</f>
        <v>36.16</v>
      </c>
      <c r="C100">
        <f>IFERROR(__xludf.DUMMYFUNCTION("""COMPUTED_VALUE"""),36.97)</f>
        <v>36.97</v>
      </c>
      <c r="D100" s="88">
        <f>IFERROR(__xludf.DUMMYFUNCTION("""COMPUTED_VALUE"""),35.43)</f>
        <v>35.43</v>
      </c>
      <c r="E100" s="88">
        <f>IFERROR(__xludf.DUMMYFUNCTION("""COMPUTED_VALUE"""),36.83)</f>
        <v>36.83</v>
      </c>
      <c r="F100" s="88">
        <f>IFERROR(__xludf.DUMMYFUNCTION("""COMPUTED_VALUE"""),7.72432E7)</f>
        <v>77243200</v>
      </c>
      <c r="G100" s="88">
        <f>IFERROR(__xludf.DUMMYFUNCTION("""COMPUTED_VALUE"""),28.3862718368889)</f>
        <v>28.38627184</v>
      </c>
      <c r="H100" s="88">
        <f>IFERROR(__xludf.DUMMYFUNCTION("""COMPUTED_VALUE"""),29.0221368863325)</f>
        <v>29.02213689</v>
      </c>
      <c r="I100" s="88">
        <f>IFERROR(__xludf.DUMMYFUNCTION("""COMPUTED_VALUE"""),27.8132082738101)</f>
        <v>27.81320827</v>
      </c>
      <c r="J100" s="88">
        <f>IFERROR(__xludf.DUMMYFUNCTION("""COMPUTED_VALUE"""),28.9122342851941)</f>
        <v>28.91223429</v>
      </c>
      <c r="K100" s="88">
        <f>IFERROR(__xludf.DUMMYFUNCTION("""COMPUTED_VALUE"""),7.72432E7)</f>
        <v>77243200</v>
      </c>
      <c r="L100" s="88">
        <f>IFERROR(__xludf.DUMMYFUNCTION("""COMPUTED_VALUE"""),0.0)</f>
        <v>0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IFERROR(__xludf.DUMMYFUNCTION("""COMPUTED_VALUE"""),36.58)</f>
        <v>36.58</v>
      </c>
      <c r="C101">
        <f>IFERROR(__xludf.DUMMYFUNCTION("""COMPUTED_VALUE"""),36.85)</f>
        <v>36.85</v>
      </c>
      <c r="D101" s="88">
        <f>IFERROR(__xludf.DUMMYFUNCTION("""COMPUTED_VALUE"""),35.1599)</f>
        <v>35.1599</v>
      </c>
      <c r="E101" s="88">
        <f>IFERROR(__xludf.DUMMYFUNCTION("""COMPUTED_VALUE"""),35.81)</f>
        <v>35.81</v>
      </c>
      <c r="F101" s="88">
        <f>IFERROR(__xludf.DUMMYFUNCTION("""COMPUTED_VALUE"""),6.41026E7)</f>
        <v>64102600</v>
      </c>
      <c r="G101" s="88">
        <f>IFERROR(__xludf.DUMMYFUNCTION("""COMPUTED_VALUE"""),28.7159796403041)</f>
        <v>28.71597964</v>
      </c>
      <c r="H101" s="88">
        <f>IFERROR(__xludf.DUMMYFUNCTION("""COMPUTED_VALUE"""),28.9279346567853)</f>
        <v>28.92793466</v>
      </c>
      <c r="I101" s="88">
        <f>IFERROR(__xludf.DUMMYFUNCTION("""COMPUTED_VALUE"""),27.6011747554709)</f>
        <v>27.60117476</v>
      </c>
      <c r="J101" s="88">
        <f>IFERROR(__xludf.DUMMYFUNCTION("""COMPUTED_VALUE"""),28.1115153340429)</f>
        <v>28.11151533</v>
      </c>
      <c r="K101" s="88">
        <f>IFERROR(__xludf.DUMMYFUNCTION("""COMPUTED_VALUE"""),6.41026E7)</f>
        <v>64102600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IFERROR(__xludf.DUMMYFUNCTION("""COMPUTED_VALUE"""),35.23)</f>
        <v>35.23</v>
      </c>
      <c r="C102">
        <f>IFERROR(__xludf.DUMMYFUNCTION("""COMPUTED_VALUE"""),35.58)</f>
        <v>35.58</v>
      </c>
      <c r="D102" s="88">
        <f>IFERROR(__xludf.DUMMYFUNCTION("""COMPUTED_VALUE"""),34.115)</f>
        <v>34.115</v>
      </c>
      <c r="E102" s="88">
        <f>IFERROR(__xludf.DUMMYFUNCTION("""COMPUTED_VALUE"""),34.25)</f>
        <v>34.25</v>
      </c>
      <c r="F102" s="88">
        <f>IFERROR(__xludf.DUMMYFUNCTION("""COMPUTED_VALUE"""),6.75867E7)</f>
        <v>67586700</v>
      </c>
      <c r="G102" s="88">
        <f>IFERROR(__xludf.DUMMYFUNCTION("""COMPUTED_VALUE"""),27.6562045578981)</f>
        <v>27.65620456</v>
      </c>
      <c r="H102" s="88">
        <f>IFERROR(__xludf.DUMMYFUNCTION("""COMPUTED_VALUE"""),27.6998515909216)</f>
        <v>27.69985159</v>
      </c>
      <c r="I102" s="88">
        <f>IFERROR(__xludf.DUMMYFUNCTION("""COMPUTED_VALUE"""),26.5208124385218)</f>
        <v>26.52081244</v>
      </c>
      <c r="J102" s="88">
        <f>IFERROR(__xludf.DUMMYFUNCTION("""COMPUTED_VALUE"""),26.6257606923457)</f>
        <v>26.62576069</v>
      </c>
      <c r="K102" s="88">
        <f>IFERROR(__xludf.DUMMYFUNCTION("""COMPUTED_VALUE"""),6.75867E7)</f>
        <v>67586700</v>
      </c>
      <c r="L102" s="88">
        <f>IFERROR(__xludf.DUMMYFUNCTION("""COMPUTED_VALUE"""),0.346)</f>
        <v>0.346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IFERROR(__xludf.DUMMYFUNCTION("IMPORTDATA(concatenate(""https://api.tiingo.com/tiingo/daily/VWO/prices?startDate=2012-12-31&amp;resampleFreq=monthly&amp;sort=-date&amp;format=csv&amp;token="",TOKEN!B1))"),"date")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IFERROR(__xludf.DUMMYFUNCTION("""COMPUTED_VALUE"""),53.46)</f>
        <v>53.46</v>
      </c>
      <c r="C2">
        <f>IFERROR(__xludf.DUMMYFUNCTION("""COMPUTED_VALUE"""),53.59)</f>
        <v>53.59</v>
      </c>
      <c r="D2" s="88">
        <f>IFERROR(__xludf.DUMMYFUNCTION("""COMPUTED_VALUE"""),51.6)</f>
        <v>51.6</v>
      </c>
      <c r="E2" s="88">
        <f>IFERROR(__xludf.DUMMYFUNCTION("""COMPUTED_VALUE"""),52.8)</f>
        <v>52.8</v>
      </c>
      <c r="F2" s="88">
        <f>IFERROR(__xludf.DUMMYFUNCTION("""COMPUTED_VALUE"""),1.45926694E8)</f>
        <v>145926694</v>
      </c>
      <c r="G2" s="88">
        <f>IFERROR(__xludf.DUMMYFUNCTION("""COMPUTED_VALUE"""),53.46)</f>
        <v>53.46</v>
      </c>
      <c r="H2" s="88">
        <f>IFERROR(__xludf.DUMMYFUNCTION("""COMPUTED_VALUE"""),53.59)</f>
        <v>53.59</v>
      </c>
      <c r="I2" s="88">
        <f>IFERROR(__xludf.DUMMYFUNCTION("""COMPUTED_VALUE"""),51.6)</f>
        <v>51.6</v>
      </c>
      <c r="J2" s="88">
        <f>IFERROR(__xludf.DUMMYFUNCTION("""COMPUTED_VALUE"""),52.8)</f>
        <v>52.8</v>
      </c>
      <c r="K2" s="88">
        <f>IFERROR(__xludf.DUMMYFUNCTION("""COMPUTED_VALUE"""),1.45926694E8)</f>
        <v>145926694</v>
      </c>
      <c r="L2" s="88">
        <f>IFERROR(__xludf.DUMMYFUNCTION("""COMPUTED_VALUE"""),0.0)</f>
        <v>0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IFERROR(__xludf.DUMMYFUNCTION("""COMPUTED_VALUE"""),52.05)</f>
        <v>52.05</v>
      </c>
      <c r="C3">
        <f>IFERROR(__xludf.DUMMYFUNCTION("""COMPUTED_VALUE"""),54.04)</f>
        <v>54.04</v>
      </c>
      <c r="D3" s="88">
        <f>IFERROR(__xludf.DUMMYFUNCTION("""COMPUTED_VALUE"""),50.32)</f>
        <v>50.32</v>
      </c>
      <c r="E3" s="88">
        <f>IFERROR(__xludf.DUMMYFUNCTION("""COMPUTED_VALUE"""),53.6)</f>
        <v>53.6</v>
      </c>
      <c r="F3" s="88">
        <f>IFERROR(__xludf.DUMMYFUNCTION("""COMPUTED_VALUE"""),3.06743884E8)</f>
        <v>306743884</v>
      </c>
      <c r="G3" s="88">
        <f>IFERROR(__xludf.DUMMYFUNCTION("""COMPUTED_VALUE"""),52.05)</f>
        <v>52.05</v>
      </c>
      <c r="H3" s="88">
        <f>IFERROR(__xludf.DUMMYFUNCTION("""COMPUTED_VALUE"""),53.9698586674358)</f>
        <v>53.96985867</v>
      </c>
      <c r="I3" s="88">
        <f>IFERROR(__xludf.DUMMYFUNCTION("""COMPUTED_VALUE"""),50.32)</f>
        <v>50.32</v>
      </c>
      <c r="J3" s="88">
        <f>IFERROR(__xludf.DUMMYFUNCTION("""COMPUTED_VALUE"""),53.5304297663686)</f>
        <v>53.53042977</v>
      </c>
      <c r="K3" s="88">
        <f>IFERROR(__xludf.DUMMYFUNCTION("""COMPUTED_VALUE"""),3.06743884E8)</f>
        <v>306743884</v>
      </c>
      <c r="L3" s="88">
        <f>IFERROR(__xludf.DUMMYFUNCTION("""COMPUTED_VALUE"""),0.0684)</f>
        <v>0.0684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IFERROR(__xludf.DUMMYFUNCTION("""COMPUTED_VALUE"""),52.49)</f>
        <v>52.49</v>
      </c>
      <c r="C4">
        <f>IFERROR(__xludf.DUMMYFUNCTION("""COMPUTED_VALUE"""),56.6599)</f>
        <v>56.6599</v>
      </c>
      <c r="D4" s="88">
        <f>IFERROR(__xludf.DUMMYFUNCTION("""COMPUTED_VALUE"""),52.23)</f>
        <v>52.23</v>
      </c>
      <c r="E4" s="88">
        <f>IFERROR(__xludf.DUMMYFUNCTION("""COMPUTED_VALUE"""),52.75)</f>
        <v>52.75</v>
      </c>
      <c r="F4" s="88">
        <f>IFERROR(__xludf.DUMMYFUNCTION("""COMPUTED_VALUE"""),1.71858057E8)</f>
        <v>171858057</v>
      </c>
      <c r="G4" s="88">
        <f>IFERROR(__xludf.DUMMYFUNCTION("""COMPUTED_VALUE"""),52.4218704932218)</f>
        <v>52.42187049</v>
      </c>
      <c r="H4" s="88">
        <f>IFERROR(__xludf.DUMMYFUNCTION("""COMPUTED_VALUE"""),56.5863581626767)</f>
        <v>56.58635816</v>
      </c>
      <c r="I4" s="88">
        <f>IFERROR(__xludf.DUMMYFUNCTION("""COMPUTED_VALUE"""),52.162207960773)</f>
        <v>52.16220796</v>
      </c>
      <c r="J4" s="88">
        <f>IFERROR(__xludf.DUMMYFUNCTION("""COMPUTED_VALUE"""),52.6815330256706)</f>
        <v>52.68153303</v>
      </c>
      <c r="K4" s="88">
        <f>IFERROR(__xludf.DUMMYFUNCTION("""COMPUTED_VALUE"""),1.71858057E8)</f>
        <v>171858057</v>
      </c>
      <c r="L4" s="88">
        <f>IFERROR(__xludf.DUMMYFUNCTION("""COMPUTED_VALUE"""),0.0)</f>
        <v>0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IFERROR(__xludf.DUMMYFUNCTION("""COMPUTED_VALUE"""),51.68)</f>
        <v>51.68</v>
      </c>
      <c r="C5">
        <f>IFERROR(__xludf.DUMMYFUNCTION("""COMPUTED_VALUE"""),54.56)</f>
        <v>54.56</v>
      </c>
      <c r="D5" s="88">
        <f>IFERROR(__xludf.DUMMYFUNCTION("""COMPUTED_VALUE"""),50.21)</f>
        <v>50.21</v>
      </c>
      <c r="E5" s="88">
        <f>IFERROR(__xludf.DUMMYFUNCTION("""COMPUTED_VALUE"""),50.9)</f>
        <v>50.9</v>
      </c>
      <c r="F5" s="88">
        <f>IFERROR(__xludf.DUMMYFUNCTION("""COMPUTED_VALUE"""),2.51812279E8)</f>
        <v>251812279</v>
      </c>
      <c r="G5" s="88">
        <f>IFERROR(__xludf.DUMMYFUNCTION("""COMPUTED_VALUE"""),51.612921834439)</f>
        <v>51.61292183</v>
      </c>
      <c r="H5" s="88">
        <f>IFERROR(__xludf.DUMMYFUNCTION("""COMPUTED_VALUE"""),54.4891837323334)</f>
        <v>54.48918373</v>
      </c>
      <c r="I5" s="88">
        <f>IFERROR(__xludf.DUMMYFUNCTION("""COMPUTED_VALUE"""),50.1448298240554)</f>
        <v>50.14482982</v>
      </c>
      <c r="J5" s="88">
        <f>IFERROR(__xludf.DUMMYFUNCTION("""COMPUTED_VALUE"""),50.8339342370926)</f>
        <v>50.83393424</v>
      </c>
      <c r="K5" s="88">
        <f>IFERROR(__xludf.DUMMYFUNCTION("""COMPUTED_VALUE"""),2.51812279E8)</f>
        <v>251812279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IFERROR(__xludf.DUMMYFUNCTION("""COMPUTED_VALUE"""),50.11)</f>
        <v>50.11</v>
      </c>
      <c r="C6">
        <f>IFERROR(__xludf.DUMMYFUNCTION("""COMPUTED_VALUE"""),50.49)</f>
        <v>50.49</v>
      </c>
      <c r="D6" s="88">
        <f>IFERROR(__xludf.DUMMYFUNCTION("""COMPUTED_VALUE"""),48.18)</f>
        <v>48.18</v>
      </c>
      <c r="E6" s="88">
        <f>IFERROR(__xludf.DUMMYFUNCTION("""COMPUTED_VALUE"""),48.43)</f>
        <v>48.43</v>
      </c>
      <c r="F6" s="88">
        <f>IFERROR(__xludf.DUMMYFUNCTION("""COMPUTED_VALUE"""),2.13307978E8)</f>
        <v>213307978</v>
      </c>
      <c r="G6" s="88">
        <f>IFERROR(__xludf.DUMMYFUNCTION("""COMPUTED_VALUE"""),50.0449596192674)</f>
        <v>50.04495962</v>
      </c>
      <c r="H6" s="88">
        <f>IFERROR(__xludf.DUMMYFUNCTION("""COMPUTED_VALUE"""),50.4244663974618)</f>
        <v>50.4244664</v>
      </c>
      <c r="I6" s="88">
        <f>IFERROR(__xludf.DUMMYFUNCTION("""COMPUTED_VALUE"""),47.8241445467182)</f>
        <v>47.82414455</v>
      </c>
      <c r="J6" s="88">
        <f>IFERROR(__xludf.DUMMYFUNCTION("""COMPUTED_VALUE"""),48.0722980572346)</f>
        <v>48.07229806</v>
      </c>
      <c r="K6" s="88">
        <f>IFERROR(__xludf.DUMMYFUNCTION("""COMPUTED_VALUE"""),2.13307978E8)</f>
        <v>213307978</v>
      </c>
      <c r="L6" s="88">
        <f>IFERROR(__xludf.DUMMYFUNCTION("""COMPUTED_VALUE"""),0.3009)</f>
        <v>0.3009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IFERROR(__xludf.DUMMYFUNCTION("""COMPUTED_VALUE"""),47.56)</f>
        <v>47.56</v>
      </c>
      <c r="C7">
        <f>IFERROR(__xludf.DUMMYFUNCTION("""COMPUTED_VALUE"""),48.86)</f>
        <v>48.86</v>
      </c>
      <c r="D7" s="88">
        <f>IFERROR(__xludf.DUMMYFUNCTION("""COMPUTED_VALUE"""),44.0)</f>
        <v>44</v>
      </c>
      <c r="E7" s="88">
        <f>IFERROR(__xludf.DUMMYFUNCTION("""COMPUTED_VALUE"""),44.26)</f>
        <v>44.26</v>
      </c>
      <c r="F7" s="88">
        <f>IFERROR(__xludf.DUMMYFUNCTION("""COMPUTED_VALUE"""),2.054751E8)</f>
        <v>205475100</v>
      </c>
      <c r="G7" s="88">
        <f>IFERROR(__xludf.DUMMYFUNCTION("""COMPUTED_VALUE"""),47.2087238406375)</f>
        <v>47.20872384</v>
      </c>
      <c r="H7" s="88">
        <f>IFERROR(__xludf.DUMMYFUNCTION("""COMPUTED_VALUE"""),48.4991220953227)</f>
        <v>48.4991221</v>
      </c>
      <c r="I7" s="88">
        <f>IFERROR(__xludf.DUMMYFUNCTION("""COMPUTED_VALUE"""),43.6750178508842)</f>
        <v>43.67501785</v>
      </c>
      <c r="J7" s="88">
        <f>IFERROR(__xludf.DUMMYFUNCTION("""COMPUTED_VALUE"""),43.9330975018212)</f>
        <v>43.9330975</v>
      </c>
      <c r="K7" s="88">
        <f>IFERROR(__xludf.DUMMYFUNCTION("""COMPUTED_VALUE"""),2.054751E8)</f>
        <v>205475100</v>
      </c>
      <c r="L7" s="88">
        <f>IFERROR(__xludf.DUMMYFUNCTION("""COMPUTED_VALUE"""),0.0)</f>
        <v>0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IFERROR(__xludf.DUMMYFUNCTION("""COMPUTED_VALUE"""),43.81)</f>
        <v>43.81</v>
      </c>
      <c r="C8">
        <f>IFERROR(__xludf.DUMMYFUNCTION("""COMPUTED_VALUE"""),45.43)</f>
        <v>45.43</v>
      </c>
      <c r="D8" s="88">
        <f>IFERROR(__xludf.DUMMYFUNCTION("""COMPUTED_VALUE"""),42.93)</f>
        <v>42.93</v>
      </c>
      <c r="E8" s="88">
        <f>IFERROR(__xludf.DUMMYFUNCTION("""COMPUTED_VALUE"""),43.56)</f>
        <v>43.56</v>
      </c>
      <c r="F8" s="88">
        <f>IFERROR(__xludf.DUMMYFUNCTION("""COMPUTED_VALUE"""),2.36495272E8)</f>
        <v>236495272</v>
      </c>
      <c r="G8" s="88">
        <f>IFERROR(__xludf.DUMMYFUNCTION("""COMPUTED_VALUE"""),43.4864211828917)</f>
        <v>43.48642118</v>
      </c>
      <c r="H8" s="88">
        <f>IFERROR(__xludf.DUMMYFUNCTION("""COMPUTED_VALUE"""),45.0944559310379)</f>
        <v>45.09445593</v>
      </c>
      <c r="I8" s="88">
        <f>IFERROR(__xludf.DUMMYFUNCTION("""COMPUTED_VALUE"""),42.612920825874)</f>
        <v>42.61292083</v>
      </c>
      <c r="J8" s="88">
        <f>IFERROR(__xludf.DUMMYFUNCTION("""COMPUTED_VALUE"""),43.2382676723753)</f>
        <v>43.23826767</v>
      </c>
      <c r="K8" s="88">
        <f>IFERROR(__xludf.DUMMYFUNCTION("""COMPUTED_VALUE"""),2.36495272E8)</f>
        <v>236495272</v>
      </c>
      <c r="L8" s="88">
        <f>IFERROR(__xludf.DUMMYFUNCTION("""COMPUTED_VALUE"""),0.0)</f>
        <v>0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IFERROR(__xludf.DUMMYFUNCTION("""COMPUTED_VALUE"""),43.24)</f>
        <v>43.24</v>
      </c>
      <c r="C9">
        <f>IFERROR(__xludf.DUMMYFUNCTION("""COMPUTED_VALUE"""),45.11)</f>
        <v>45.11</v>
      </c>
      <c r="D9" s="88">
        <f>IFERROR(__xludf.DUMMYFUNCTION("""COMPUTED_VALUE"""),41.53)</f>
        <v>41.53</v>
      </c>
      <c r="E9" s="88">
        <f>IFERROR(__xludf.DUMMYFUNCTION("""COMPUTED_VALUE"""),44.7)</f>
        <v>44.7</v>
      </c>
      <c r="F9" s="88">
        <f>IFERROR(__xludf.DUMMYFUNCTION("""COMPUTED_VALUE"""),2.68420553E8)</f>
        <v>268420553</v>
      </c>
      <c r="G9" s="88">
        <f>IFERROR(__xludf.DUMMYFUNCTION("""COMPUTED_VALUE"""),42.9206311789144)</f>
        <v>42.92063118</v>
      </c>
      <c r="H9" s="88">
        <f>IFERROR(__xludf.DUMMYFUNCTION("""COMPUTED_VALUE"""),44.3412862863315)</f>
        <v>44.34128629</v>
      </c>
      <c r="I9" s="88">
        <f>IFERROR(__xludf.DUMMYFUNCTION("""COMPUTED_VALUE"""),41.2232611669823)</f>
        <v>41.22326117</v>
      </c>
      <c r="J9" s="88">
        <f>IFERROR(__xludf.DUMMYFUNCTION("""COMPUTED_VALUE"""),43.9382730436493)</f>
        <v>43.93827304</v>
      </c>
      <c r="K9" s="88">
        <f>IFERROR(__xludf.DUMMYFUNCTION("""COMPUTED_VALUE"""),2.68420553E8)</f>
        <v>268420553</v>
      </c>
      <c r="L9" s="88">
        <f>IFERROR(__xludf.DUMMYFUNCTION("""COMPUTED_VALUE"""),0.4256)</f>
        <v>0.4256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IFERROR(__xludf.DUMMYFUNCTION("""COMPUTED_VALUE"""),44.19)</f>
        <v>44.19</v>
      </c>
      <c r="C10">
        <f>IFERROR(__xludf.DUMMYFUNCTION("""COMPUTED_VALUE"""),45.165)</f>
        <v>45.165</v>
      </c>
      <c r="D10" s="88">
        <f>IFERROR(__xludf.DUMMYFUNCTION("""COMPUTED_VALUE"""),43.085)</f>
        <v>43.085</v>
      </c>
      <c r="E10" s="88">
        <f>IFERROR(__xludf.DUMMYFUNCTION("""COMPUTED_VALUE"""),43.19)</f>
        <v>43.19</v>
      </c>
      <c r="F10" s="88">
        <f>IFERROR(__xludf.DUMMYFUNCTION("""COMPUTED_VALUE"""),1.93605986E8)</f>
        <v>193605986</v>
      </c>
      <c r="G10" s="88">
        <f>IFERROR(__xludf.DUMMYFUNCTION("""COMPUTED_VALUE"""),43.4369638881177)</f>
        <v>43.43696389</v>
      </c>
      <c r="H10" s="88">
        <f>IFERROR(__xludf.DUMMYFUNCTION("""COMPUTED_VALUE"""),44.3953490383987)</f>
        <v>44.39534904</v>
      </c>
      <c r="I10" s="88">
        <f>IFERROR(__xludf.DUMMYFUNCTION("""COMPUTED_VALUE"""),42.3507940511327)</f>
        <v>42.35079405</v>
      </c>
      <c r="J10" s="88">
        <f>IFERROR(__xludf.DUMMYFUNCTION("""COMPUTED_VALUE"""),42.4540047596245)</f>
        <v>42.45400476</v>
      </c>
      <c r="K10" s="88">
        <f>IFERROR(__xludf.DUMMYFUNCTION("""COMPUTED_VALUE"""),1.93605986E8)</f>
        <v>193605986</v>
      </c>
      <c r="L10" s="88">
        <f>IFERROR(__xludf.DUMMYFUNCTION("""COMPUTED_VALUE"""),0.0)</f>
        <v>0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IFERROR(__xludf.DUMMYFUNCTION("""COMPUTED_VALUE"""),43.01)</f>
        <v>43.01</v>
      </c>
      <c r="C11">
        <f>IFERROR(__xludf.DUMMYFUNCTION("""COMPUTED_VALUE"""),43.845)</f>
        <v>43.845</v>
      </c>
      <c r="D11" s="88">
        <f>IFERROR(__xludf.DUMMYFUNCTION("""COMPUTED_VALUE"""),39.95)</f>
        <v>39.95</v>
      </c>
      <c r="E11" s="88">
        <f>IFERROR(__xludf.DUMMYFUNCTION("""COMPUTED_VALUE"""),39.96)</f>
        <v>39.96</v>
      </c>
      <c r="F11" s="88">
        <f>IFERROR(__xludf.DUMMYFUNCTION("""COMPUTED_VALUE"""),2.40813156E8)</f>
        <v>240813156</v>
      </c>
      <c r="G11" s="88">
        <f>IFERROR(__xludf.DUMMYFUNCTION("""COMPUTED_VALUE"""),42.2770721164957)</f>
        <v>42.27707212</v>
      </c>
      <c r="H11" s="88">
        <f>IFERROR(__xludf.DUMMYFUNCTION("""COMPUTED_VALUE"""),43.0978429887875)</f>
        <v>43.09784299</v>
      </c>
      <c r="I11" s="88">
        <f>IFERROR(__xludf.DUMMYFUNCTION("""COMPUTED_VALUE"""),39.2692171833063)</f>
        <v>39.26921718</v>
      </c>
      <c r="J11" s="88">
        <f>IFERROR(__xludf.DUMMYFUNCTION("""COMPUTED_VALUE"""),39.2790467745912)</f>
        <v>39.27904677</v>
      </c>
      <c r="K11" s="88">
        <f>IFERROR(__xludf.DUMMYFUNCTION("""COMPUTED_VALUE"""),2.40813156E8)</f>
        <v>240813156</v>
      </c>
      <c r="L11" s="88">
        <f>IFERROR(__xludf.DUMMYFUNCTION("""COMPUTED_VALUE"""),0.0)</f>
        <v>0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IFERROR(__xludf.DUMMYFUNCTION("""COMPUTED_VALUE"""),39.61)</f>
        <v>39.61</v>
      </c>
      <c r="C12">
        <f>IFERROR(__xludf.DUMMYFUNCTION("""COMPUTED_VALUE"""),40.72)</f>
        <v>40.72</v>
      </c>
      <c r="D12" s="88">
        <f>IFERROR(__xludf.DUMMYFUNCTION("""COMPUTED_VALUE"""),37.65)</f>
        <v>37.65</v>
      </c>
      <c r="E12" s="88">
        <f>IFERROR(__xludf.DUMMYFUNCTION("""COMPUTED_VALUE"""),37.74)</f>
        <v>37.74</v>
      </c>
      <c r="F12" s="88">
        <f>IFERROR(__xludf.DUMMYFUNCTION("""COMPUTED_VALUE"""),2.95826154E8)</f>
        <v>295826154</v>
      </c>
      <c r="G12" s="88">
        <f>IFERROR(__xludf.DUMMYFUNCTION("""COMPUTED_VALUE"""),38.9350110796185)</f>
        <v>38.93501108</v>
      </c>
      <c r="H12" s="88">
        <f>IFERROR(__xludf.DUMMYFUNCTION("""COMPUTED_VALUE"""),40.0260957122461)</f>
        <v>40.02609571</v>
      </c>
      <c r="I12" s="88">
        <f>IFERROR(__xludf.DUMMYFUNCTION("""COMPUTED_VALUE"""),36.8520635261932)</f>
        <v>36.85206353</v>
      </c>
      <c r="J12" s="88">
        <f>IFERROR(__xludf.DUMMYFUNCTION("""COMPUTED_VALUE"""),36.9401561083275)</f>
        <v>36.94015611</v>
      </c>
      <c r="K12" s="88">
        <f>IFERROR(__xludf.DUMMYFUNCTION("""COMPUTED_VALUE"""),2.95826154E8)</f>
        <v>295826154</v>
      </c>
      <c r="L12" s="88">
        <f>IFERROR(__xludf.DUMMYFUNCTION("""COMPUTED_VALUE"""),0.17)</f>
        <v>0.17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IFERROR(__xludf.DUMMYFUNCTION("""COMPUTED_VALUE"""),37.36)</f>
        <v>37.36</v>
      </c>
      <c r="C13">
        <f>IFERROR(__xludf.DUMMYFUNCTION("""COMPUTED_VALUE"""),37.49)</f>
        <v>37.49</v>
      </c>
      <c r="D13" s="88">
        <f>IFERROR(__xludf.DUMMYFUNCTION("""COMPUTED_VALUE"""),34.84)</f>
        <v>34.84</v>
      </c>
      <c r="E13" s="88">
        <f>IFERROR(__xludf.DUMMYFUNCTION("""COMPUTED_VALUE"""),35.31)</f>
        <v>35.31</v>
      </c>
      <c r="F13" s="88">
        <f>IFERROR(__xludf.DUMMYFUNCTION("""COMPUTED_VALUE"""),3.07301208E8)</f>
        <v>307301208</v>
      </c>
      <c r="G13" s="88">
        <f>IFERROR(__xludf.DUMMYFUNCTION("""COMPUTED_VALUE"""),36.568209650427)</f>
        <v>36.56820965</v>
      </c>
      <c r="H13" s="88">
        <f>IFERROR(__xludf.DUMMYFUNCTION("""COMPUTED_VALUE"""),36.6954544912877)</f>
        <v>36.69545449</v>
      </c>
      <c r="I13" s="88">
        <f>IFERROR(__xludf.DUMMYFUNCTION("""COMPUTED_VALUE"""),34.1016173506659)</f>
        <v>34.10161735</v>
      </c>
      <c r="J13" s="88">
        <f>IFERROR(__xludf.DUMMYFUNCTION("""COMPUTED_VALUE"""),34.5616563907007)</f>
        <v>34.56165639</v>
      </c>
      <c r="K13" s="88">
        <f>IFERROR(__xludf.DUMMYFUNCTION("""COMPUTED_VALUE"""),3.07301208E8)</f>
        <v>307301208</v>
      </c>
      <c r="L13" s="88">
        <f>IFERROR(__xludf.DUMMYFUNCTION("""COMPUTED_VALUE"""),0.0)</f>
        <v>0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IFERROR(__xludf.DUMMYFUNCTION("""COMPUTED_VALUE"""),36.17)</f>
        <v>36.17</v>
      </c>
      <c r="C14">
        <f>IFERROR(__xludf.DUMMYFUNCTION("""COMPUTED_VALUE"""),36.89)</f>
        <v>36.89</v>
      </c>
      <c r="D14" s="88">
        <f>IFERROR(__xludf.DUMMYFUNCTION("""COMPUTED_VALUE"""),32.26)</f>
        <v>32.26</v>
      </c>
      <c r="E14" s="88">
        <f>IFERROR(__xludf.DUMMYFUNCTION("""COMPUTED_VALUE"""),32.7)</f>
        <v>32.7</v>
      </c>
      <c r="F14" s="88">
        <f>IFERROR(__xludf.DUMMYFUNCTION("""COMPUTED_VALUE"""),4.55141743E8)</f>
        <v>455141743</v>
      </c>
      <c r="G14" s="88">
        <f>IFERROR(__xludf.DUMMYFUNCTION("""COMPUTED_VALUE"""),35.4034299533176)</f>
        <v>35.40342995</v>
      </c>
      <c r="H14" s="88">
        <f>IFERROR(__xludf.DUMMYFUNCTION("""COMPUTED_VALUE"""),36.1081706103922)</f>
        <v>36.10817061</v>
      </c>
      <c r="I14" s="88">
        <f>IFERROR(__xludf.DUMMYFUNCTION("""COMPUTED_VALUE"""),31.5762966628152)</f>
        <v>31.57629666</v>
      </c>
      <c r="J14" s="88">
        <f>IFERROR(__xludf.DUMMYFUNCTION("""COMPUTED_VALUE"""),32.0069715088052)</f>
        <v>32.00697151</v>
      </c>
      <c r="K14" s="88">
        <f>IFERROR(__xludf.DUMMYFUNCTION("""COMPUTED_VALUE"""),4.55141743E8)</f>
        <v>455141743</v>
      </c>
      <c r="L14" s="88">
        <f>IFERROR(__xludf.DUMMYFUNCTION("""COMPUTED_VALUE"""),0.0)</f>
        <v>0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IFERROR(__xludf.DUMMYFUNCTION("""COMPUTED_VALUE"""),33.55)</f>
        <v>33.55</v>
      </c>
      <c r="C15">
        <f>IFERROR(__xludf.DUMMYFUNCTION("""COMPUTED_VALUE"""),41.97)</f>
        <v>41.97</v>
      </c>
      <c r="D15" s="88">
        <f>IFERROR(__xludf.DUMMYFUNCTION("""COMPUTED_VALUE"""),29.96)</f>
        <v>29.96</v>
      </c>
      <c r="E15" s="88">
        <f>IFERROR(__xludf.DUMMYFUNCTION("""COMPUTED_VALUE"""),40.5)</f>
        <v>40.5</v>
      </c>
      <c r="F15" s="88">
        <f>IFERROR(__xludf.DUMMYFUNCTION("""COMPUTED_VALUE"""),8.69034899E8)</f>
        <v>869034899</v>
      </c>
      <c r="G15" s="88">
        <f>IFERROR(__xludf.DUMMYFUNCTION("""COMPUTED_VALUE"""),32.8389570067405)</f>
        <v>32.83895701</v>
      </c>
      <c r="H15" s="88">
        <f>IFERROR(__xludf.DUMMYFUNCTION("""COMPUTED_VALUE"""),41.0022988814769)</f>
        <v>41.00229888</v>
      </c>
      <c r="I15" s="88">
        <f>IFERROR(__xludf.DUMMYFUNCTION("""COMPUTED_VALUE"""),29.3250417860491)</f>
        <v>29.32504179</v>
      </c>
      <c r="J15" s="88">
        <f>IFERROR(__xludf.DUMMYFUNCTION("""COMPUTED_VALUE"""),39.5661926304459)</f>
        <v>39.56619263</v>
      </c>
      <c r="K15" s="88">
        <f>IFERROR(__xludf.DUMMYFUNCTION("""COMPUTED_VALUE"""),8.69034899E8)</f>
        <v>869034899</v>
      </c>
      <c r="L15" s="88">
        <f>IFERROR(__xludf.DUMMYFUNCTION("""COMPUTED_VALUE"""),0.0581)</f>
        <v>0.0581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IFERROR(__xludf.DUMMYFUNCTION("""COMPUTED_VALUE"""),40.52)</f>
        <v>40.52</v>
      </c>
      <c r="C16">
        <f>IFERROR(__xludf.DUMMYFUNCTION("""COMPUTED_VALUE"""),44.37)</f>
        <v>44.37</v>
      </c>
      <c r="D16" s="88">
        <f>IFERROR(__xludf.DUMMYFUNCTION("""COMPUTED_VALUE"""),39.22)</f>
        <v>39.22</v>
      </c>
      <c r="E16" s="88">
        <f>IFERROR(__xludf.DUMMYFUNCTION("""COMPUTED_VALUE"""),42.06)</f>
        <v>42.06</v>
      </c>
      <c r="F16" s="88">
        <f>IFERROR(__xludf.DUMMYFUNCTION("""COMPUTED_VALUE"""),3.20865536E8)</f>
        <v>320865536</v>
      </c>
      <c r="G16" s="88">
        <f>IFERROR(__xludf.DUMMYFUNCTION("""COMPUTED_VALUE"""),39.5857314910041)</f>
        <v>39.58573149</v>
      </c>
      <c r="H16" s="88">
        <f>IFERROR(__xludf.DUMMYFUNCTION("""COMPUTED_VALUE"""),43.3469621484663)</f>
        <v>43.34696215</v>
      </c>
      <c r="I16" s="88">
        <f>IFERROR(__xludf.DUMMYFUNCTION("""COMPUTED_VALUE"""),38.3157055547182)</f>
        <v>38.31570555</v>
      </c>
      <c r="J16" s="88">
        <f>IFERROR(__xludf.DUMMYFUNCTION("""COMPUTED_VALUE"""),41.090223753989)</f>
        <v>41.09022375</v>
      </c>
      <c r="K16" s="88">
        <f>IFERROR(__xludf.DUMMYFUNCTION("""COMPUTED_VALUE"""),3.20865536E8)</f>
        <v>320865536</v>
      </c>
      <c r="L16" s="88">
        <f>IFERROR(__xludf.DUMMYFUNCTION("""COMPUTED_VALUE"""),0.0)</f>
        <v>0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IFERROR(__xludf.DUMMYFUNCTION("""COMPUTED_VALUE"""),42.01)</f>
        <v>42.01</v>
      </c>
      <c r="C17">
        <f>IFERROR(__xludf.DUMMYFUNCTION("""COMPUTED_VALUE"""),45.92)</f>
        <v>45.92</v>
      </c>
      <c r="D17" s="88">
        <f>IFERROR(__xludf.DUMMYFUNCTION("""COMPUTED_VALUE"""),41.77)</f>
        <v>41.77</v>
      </c>
      <c r="E17" s="88">
        <f>IFERROR(__xludf.DUMMYFUNCTION("""COMPUTED_VALUE"""),45.07)</f>
        <v>45.07</v>
      </c>
      <c r="F17" s="88">
        <f>IFERROR(__xludf.DUMMYFUNCTION("""COMPUTED_VALUE"""),2.95580863E8)</f>
        <v>295580863</v>
      </c>
      <c r="G17" s="88">
        <f>IFERROR(__xludf.DUMMYFUNCTION("""COMPUTED_VALUE"""),41.0413766025934)</f>
        <v>41.0413766</v>
      </c>
      <c r="H17" s="88">
        <f>IFERROR(__xludf.DUMMYFUNCTION("""COMPUTED_VALUE"""),44.8612238417302)</f>
        <v>44.86122384</v>
      </c>
      <c r="I17" s="88">
        <f>IFERROR(__xludf.DUMMYFUNCTION("""COMPUTED_VALUE"""),40.8069102758944)</f>
        <v>40.80691028</v>
      </c>
      <c r="J17" s="88">
        <f>IFERROR(__xludf.DUMMYFUNCTION("""COMPUTED_VALUE"""),44.0308222680048)</f>
        <v>44.03082227</v>
      </c>
      <c r="K17" s="88">
        <f>IFERROR(__xludf.DUMMYFUNCTION("""COMPUTED_VALUE"""),2.95580863E8)</f>
        <v>295580863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IFERROR(__xludf.DUMMYFUNCTION("""COMPUTED_VALUE"""),44.47)</f>
        <v>44.47</v>
      </c>
      <c r="C18">
        <f>IFERROR(__xludf.DUMMYFUNCTION("""COMPUTED_VALUE"""),44.76)</f>
        <v>44.76</v>
      </c>
      <c r="D18" s="88">
        <f>IFERROR(__xludf.DUMMYFUNCTION("""COMPUTED_VALUE"""),41.55)</f>
        <v>41.55</v>
      </c>
      <c r="E18" s="88">
        <f>IFERROR(__xludf.DUMMYFUNCTION("""COMPUTED_VALUE"""),42.16)</f>
        <v>42.16</v>
      </c>
      <c r="F18" s="88">
        <f>IFERROR(__xludf.DUMMYFUNCTION("""COMPUTED_VALUE"""),2.1415453E8)</f>
        <v>214154530</v>
      </c>
      <c r="G18" s="88">
        <f>IFERROR(__xludf.DUMMYFUNCTION("""COMPUTED_VALUE"""),43.4446564512575)</f>
        <v>43.44465645</v>
      </c>
      <c r="H18" s="88">
        <f>IFERROR(__xludf.DUMMYFUNCTION("""COMPUTED_VALUE"""),43.727969929352)</f>
        <v>43.72796993</v>
      </c>
      <c r="I18" s="88">
        <f>IFERROR(__xludf.DUMMYFUNCTION("""COMPUTED_VALUE"""),40.0852515654059)</f>
        <v>40.08525157</v>
      </c>
      <c r="J18" s="88">
        <f>IFERROR(__xludf.DUMMYFUNCTION("""COMPUTED_VALUE"""),40.6737474367632)</f>
        <v>40.67374744</v>
      </c>
      <c r="K18" s="88">
        <f>IFERROR(__xludf.DUMMYFUNCTION("""COMPUTED_VALUE"""),2.1415453E8)</f>
        <v>214154530</v>
      </c>
      <c r="L18" s="88">
        <f>IFERROR(__xludf.DUMMYFUNCTION("""COMPUTED_VALUE"""),0.559)</f>
        <v>0.559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IFERROR(__xludf.DUMMYFUNCTION("""COMPUTED_VALUE"""),42.06)</f>
        <v>42.06</v>
      </c>
      <c r="C19">
        <f>IFERROR(__xludf.DUMMYFUNCTION("""COMPUTED_VALUE"""),43.39)</f>
        <v>43.39</v>
      </c>
      <c r="D19" s="88">
        <f>IFERROR(__xludf.DUMMYFUNCTION("""COMPUTED_VALUE"""),41.82)</f>
        <v>41.82</v>
      </c>
      <c r="E19" s="88">
        <f>IFERROR(__xludf.DUMMYFUNCTION("""COMPUTED_VALUE"""),42.31)</f>
        <v>42.31</v>
      </c>
      <c r="F19" s="88">
        <f>IFERROR(__xludf.DUMMYFUNCTION("""COMPUTED_VALUE"""),2.16162025E8)</f>
        <v>216162025</v>
      </c>
      <c r="G19" s="88">
        <f>IFERROR(__xludf.DUMMYFUNCTION("""COMPUTED_VALUE"""),40.5772727037538)</f>
        <v>40.5772727</v>
      </c>
      <c r="H19" s="88">
        <f>IFERROR(__xludf.DUMMYFUNCTION("""COMPUTED_VALUE"""),41.8603866527789)</f>
        <v>41.86038665</v>
      </c>
      <c r="I19" s="88">
        <f>IFERROR(__xludf.DUMMYFUNCTION("""COMPUTED_VALUE"""),40.3457333445313)</f>
        <v>40.34573334</v>
      </c>
      <c r="J19" s="88">
        <f>IFERROR(__xludf.DUMMYFUNCTION("""COMPUTED_VALUE"""),40.8184595362773)</f>
        <v>40.81845954</v>
      </c>
      <c r="K19" s="88">
        <f>IFERROR(__xludf.DUMMYFUNCTION("""COMPUTED_VALUE"""),2.16162025E8)</f>
        <v>216162025</v>
      </c>
      <c r="L19" s="88">
        <f>IFERROR(__xludf.DUMMYFUNCTION("""COMPUTED_VALUE"""),0.0)</f>
        <v>0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IFERROR(__xludf.DUMMYFUNCTION("""COMPUTED_VALUE"""),41.85)</f>
        <v>41.85</v>
      </c>
      <c r="C20">
        <f>IFERROR(__xludf.DUMMYFUNCTION("""COMPUTED_VALUE"""),42.35)</f>
        <v>42.35</v>
      </c>
      <c r="D20" s="88">
        <f>IFERROR(__xludf.DUMMYFUNCTION("""COMPUTED_VALUE"""),39.61)</f>
        <v>39.61</v>
      </c>
      <c r="E20" s="88">
        <f>IFERROR(__xludf.DUMMYFUNCTION("""COMPUTED_VALUE"""),40.26)</f>
        <v>40.26</v>
      </c>
      <c r="F20" s="88">
        <f>IFERROR(__xludf.DUMMYFUNCTION("""COMPUTED_VALUE"""),2.9323458E8)</f>
        <v>293234580</v>
      </c>
      <c r="G20" s="88">
        <f>IFERROR(__xludf.DUMMYFUNCTION("""COMPUTED_VALUE"""),40.3746757644341)</f>
        <v>40.37467576</v>
      </c>
      <c r="H20" s="88">
        <f>IFERROR(__xludf.DUMMYFUNCTION("""COMPUTED_VALUE"""),40.8570494294811)</f>
        <v>40.85704943</v>
      </c>
      <c r="I20" s="88">
        <f>IFERROR(__xludf.DUMMYFUNCTION("""COMPUTED_VALUE"""),38.2136417450235)</f>
        <v>38.21364175</v>
      </c>
      <c r="J20" s="88">
        <f>IFERROR(__xludf.DUMMYFUNCTION("""COMPUTED_VALUE"""),38.8407275095846)</f>
        <v>38.84072751</v>
      </c>
      <c r="K20" s="88">
        <f>IFERROR(__xludf.DUMMYFUNCTION("""COMPUTED_VALUE"""),2.9323458E8)</f>
        <v>293234580</v>
      </c>
      <c r="L20" s="88">
        <f>IFERROR(__xludf.DUMMYFUNCTION("""COMPUTED_VALUE"""),0.0)</f>
        <v>0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IFERROR(__xludf.DUMMYFUNCTION("""COMPUTED_VALUE"""),40.26)</f>
        <v>40.26</v>
      </c>
      <c r="C21">
        <f>IFERROR(__xludf.DUMMYFUNCTION("""COMPUTED_VALUE"""),42.28)</f>
        <v>42.28</v>
      </c>
      <c r="D21" s="88">
        <f>IFERROR(__xludf.DUMMYFUNCTION("""COMPUTED_VALUE"""),39.95)</f>
        <v>39.95</v>
      </c>
      <c r="E21" s="88">
        <f>IFERROR(__xludf.DUMMYFUNCTION("""COMPUTED_VALUE"""),40.0)</f>
        <v>40</v>
      </c>
      <c r="F21" s="88">
        <f>IFERROR(__xludf.DUMMYFUNCTION("""COMPUTED_VALUE"""),2.61024291E8)</f>
        <v>261024291</v>
      </c>
      <c r="G21" s="88">
        <f>IFERROR(__xludf.DUMMYFUNCTION("""COMPUTED_VALUE"""),38.8407275095846)</f>
        <v>38.84072751</v>
      </c>
      <c r="H21" s="88">
        <f>IFERROR(__xludf.DUMMYFUNCTION("""COMPUTED_VALUE"""),40.2754426745575)</f>
        <v>40.27544267</v>
      </c>
      <c r="I21" s="88">
        <f>IFERROR(__xludf.DUMMYFUNCTION("""COMPUTED_VALUE"""),38.0559114202595)</f>
        <v>38.05591142</v>
      </c>
      <c r="J21" s="88">
        <f>IFERROR(__xludf.DUMMYFUNCTION("""COMPUTED_VALUE"""),38.1035408463174)</f>
        <v>38.10354085</v>
      </c>
      <c r="K21" s="88">
        <f>IFERROR(__xludf.DUMMYFUNCTION("""COMPUTED_VALUE"""),2.61024291E8)</f>
        <v>261024291</v>
      </c>
      <c r="L21" s="88">
        <f>IFERROR(__xludf.DUMMYFUNCTION("""COMPUTED_VALUE"""),0.5186)</f>
        <v>0.5186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IFERROR(__xludf.DUMMYFUNCTION("""COMPUTED_VALUE"""),40.4)</f>
        <v>40.4</v>
      </c>
      <c r="C22">
        <f>IFERROR(__xludf.DUMMYFUNCTION("""COMPUTED_VALUE"""),42.1)</f>
        <v>42.1</v>
      </c>
      <c r="D22" s="88">
        <f>IFERROR(__xludf.DUMMYFUNCTION("""COMPUTED_VALUE"""),38.98)</f>
        <v>38.98</v>
      </c>
      <c r="E22" s="88">
        <f>IFERROR(__xludf.DUMMYFUNCTION("""COMPUTED_VALUE"""),41.8)</f>
        <v>41.8</v>
      </c>
      <c r="F22" s="88">
        <f>IFERROR(__xludf.DUMMYFUNCTION("""COMPUTED_VALUE"""),2.90388873E8)</f>
        <v>290388873</v>
      </c>
      <c r="G22" s="88">
        <f>IFERROR(__xludf.DUMMYFUNCTION("""COMPUTED_VALUE"""),38.4845762547806)</f>
        <v>38.48457625</v>
      </c>
      <c r="H22" s="88">
        <f>IFERROR(__xludf.DUMMYFUNCTION("""COMPUTED_VALUE"""),40.1039767407491)</f>
        <v>40.10397674</v>
      </c>
      <c r="I22" s="88">
        <f>IFERROR(__xludf.DUMMYFUNCTION("""COMPUTED_VALUE"""),37.1319005547363)</f>
        <v>37.13190055</v>
      </c>
      <c r="J22" s="88">
        <f>IFERROR(__xludf.DUMMYFUNCTION("""COMPUTED_VALUE"""),39.8182001844017)</f>
        <v>39.81820018</v>
      </c>
      <c r="K22" s="88">
        <f>IFERROR(__xludf.DUMMYFUNCTION("""COMPUTED_VALUE"""),2.90388873E8)</f>
        <v>290388873</v>
      </c>
      <c r="L22" s="88">
        <f>IFERROR(__xludf.DUMMYFUNCTION("""COMPUTED_VALUE"""),0.0)</f>
        <v>0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IFERROR(__xludf.DUMMYFUNCTION("""COMPUTED_VALUE"""),41.76)</f>
        <v>41.76</v>
      </c>
      <c r="C23">
        <f>IFERROR(__xludf.DUMMYFUNCTION("""COMPUTED_VALUE"""),43.43)</f>
        <v>43.43</v>
      </c>
      <c r="D23" s="88">
        <f>IFERROR(__xludf.DUMMYFUNCTION("""COMPUTED_VALUE"""),41.32)</f>
        <v>41.32</v>
      </c>
      <c r="E23" s="88">
        <f>IFERROR(__xludf.DUMMYFUNCTION("""COMPUTED_VALUE"""),43.35)</f>
        <v>43.35</v>
      </c>
      <c r="F23" s="88">
        <f>IFERROR(__xludf.DUMMYFUNCTION("""COMPUTED_VALUE"""),2.21231819E8)</f>
        <v>221231819</v>
      </c>
      <c r="G23" s="88">
        <f>IFERROR(__xludf.DUMMYFUNCTION("""COMPUTED_VALUE"""),39.7800966435554)</f>
        <v>39.78009664</v>
      </c>
      <c r="H23" s="88">
        <f>IFERROR(__xludf.DUMMYFUNCTION("""COMPUTED_VALUE"""),41.3709194738891)</f>
        <v>41.37091947</v>
      </c>
      <c r="I23" s="88">
        <f>IFERROR(__xludf.DUMMYFUNCTION("""COMPUTED_VALUE"""),39.3609576942459)</f>
        <v>39.36095769</v>
      </c>
      <c r="J23" s="88">
        <f>IFERROR(__xludf.DUMMYFUNCTION("""COMPUTED_VALUE"""),41.2947123921965)</f>
        <v>41.29471239</v>
      </c>
      <c r="K23" s="88">
        <f>IFERROR(__xludf.DUMMYFUNCTION("""COMPUTED_VALUE"""),2.21231819E8)</f>
        <v>221231819</v>
      </c>
      <c r="L23" s="88">
        <f>IFERROR(__xludf.DUMMYFUNCTION("""COMPUTED_VALUE"""),0.0)</f>
        <v>0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IFERROR(__xludf.DUMMYFUNCTION("""COMPUTED_VALUE"""),42.53)</f>
        <v>42.53</v>
      </c>
      <c r="C24">
        <f>IFERROR(__xludf.DUMMYFUNCTION("""COMPUTED_VALUE"""),42.815)</f>
        <v>42.815</v>
      </c>
      <c r="D24" s="88">
        <f>IFERROR(__xludf.DUMMYFUNCTION("""COMPUTED_VALUE"""),40.4)</f>
        <v>40.4</v>
      </c>
      <c r="E24" s="88">
        <f>IFERROR(__xludf.DUMMYFUNCTION("""COMPUTED_VALUE"""),40.85)</f>
        <v>40.85</v>
      </c>
      <c r="F24" s="88">
        <f>IFERROR(__xludf.DUMMYFUNCTION("""COMPUTED_VALUE"""),2.59737953E8)</f>
        <v>259737953</v>
      </c>
      <c r="G24" s="88">
        <f>IFERROR(__xludf.DUMMYFUNCTION("""COMPUTED_VALUE"""),40.513589804847)</f>
        <v>40.5135898</v>
      </c>
      <c r="H24" s="88">
        <f>IFERROR(__xludf.DUMMYFUNCTION("""COMPUTED_VALUE"""),40.785077533377)</f>
        <v>40.78507753</v>
      </c>
      <c r="I24" s="88">
        <f>IFERROR(__xludf.DUMMYFUNCTION("""COMPUTED_VALUE"""),38.222052342993)</f>
        <v>38.22205234</v>
      </c>
      <c r="J24" s="88">
        <f>IFERROR(__xludf.DUMMYFUNCTION("""COMPUTED_VALUE"""),38.6477930250313)</f>
        <v>38.64779303</v>
      </c>
      <c r="K24" s="88">
        <f>IFERROR(__xludf.DUMMYFUNCTION("""COMPUTED_VALUE"""),2.59737953E8)</f>
        <v>259737953</v>
      </c>
      <c r="L24" s="88">
        <f>IFERROR(__xludf.DUMMYFUNCTION("""COMPUTED_VALUE"""),0.2792)</f>
        <v>0.2792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IFERROR(__xludf.DUMMYFUNCTION("""COMPUTED_VALUE"""),40.64)</f>
        <v>40.64</v>
      </c>
      <c r="C25">
        <f>IFERROR(__xludf.DUMMYFUNCTION("""COMPUTED_VALUE"""),43.83)</f>
        <v>43.83</v>
      </c>
      <c r="D25" s="88">
        <f>IFERROR(__xludf.DUMMYFUNCTION("""COMPUTED_VALUE"""),39.57)</f>
        <v>39.57</v>
      </c>
      <c r="E25" s="88">
        <f>IFERROR(__xludf.DUMMYFUNCTION("""COMPUTED_VALUE"""),43.5)</f>
        <v>43.5</v>
      </c>
      <c r="F25" s="88">
        <f>IFERROR(__xludf.DUMMYFUNCTION("""COMPUTED_VALUE"""),3.41794043E8)</f>
        <v>341794043</v>
      </c>
      <c r="G25" s="88">
        <f>IFERROR(__xludf.DUMMYFUNCTION("""COMPUTED_VALUE"""),38.4491140400801)</f>
        <v>38.44911404</v>
      </c>
      <c r="H25" s="88">
        <f>IFERROR(__xludf.DUMMYFUNCTION("""COMPUTED_VALUE"""),41.4671424305293)</f>
        <v>41.46714243</v>
      </c>
      <c r="I25" s="88">
        <f>IFERROR(__xludf.DUMMYFUNCTION("""COMPUTED_VALUE"""),37.4367973072335)</f>
        <v>37.43679731</v>
      </c>
      <c r="J25" s="88">
        <f>IFERROR(__xludf.DUMMYFUNCTION("""COMPUTED_VALUE"""),41.1549325970346)</f>
        <v>41.1549326</v>
      </c>
      <c r="K25" s="88">
        <f>IFERROR(__xludf.DUMMYFUNCTION("""COMPUTED_VALUE"""),3.41794043E8)</f>
        <v>341794043</v>
      </c>
      <c r="L25" s="88">
        <f>IFERROR(__xludf.DUMMYFUNCTION("""COMPUTED_VALUE"""),0.0)</f>
        <v>0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IFERROR(__xludf.DUMMYFUNCTION("""COMPUTED_VALUE"""),43.41)</f>
        <v>43.41</v>
      </c>
      <c r="C26">
        <f>IFERROR(__xludf.DUMMYFUNCTION("""COMPUTED_VALUE"""),44.19)</f>
        <v>44.19</v>
      </c>
      <c r="D26" s="88">
        <f>IFERROR(__xludf.DUMMYFUNCTION("""COMPUTED_VALUE"""),42.86)</f>
        <v>42.86</v>
      </c>
      <c r="E26" s="88">
        <f>IFERROR(__xludf.DUMMYFUNCTION("""COMPUTED_VALUE"""),43.06)</f>
        <v>43.06</v>
      </c>
      <c r="F26" s="88">
        <f>IFERROR(__xludf.DUMMYFUNCTION("""COMPUTED_VALUE"""),2.16424355E8)</f>
        <v>216424355</v>
      </c>
      <c r="G26" s="88">
        <f>IFERROR(__xludf.DUMMYFUNCTION("""COMPUTED_VALUE"""),41.0697844606269)</f>
        <v>41.06978446</v>
      </c>
      <c r="H26" s="88">
        <f>IFERROR(__xludf.DUMMYFUNCTION("""COMPUTED_VALUE"""),41.8077349761599)</f>
        <v>41.80773498</v>
      </c>
      <c r="I26" s="88">
        <f>IFERROR(__xludf.DUMMYFUNCTION("""COMPUTED_VALUE"""),40.5494347381357)</f>
        <v>40.54943474</v>
      </c>
      <c r="J26" s="88">
        <f>IFERROR(__xludf.DUMMYFUNCTION("""COMPUTED_VALUE"""),40.7386528190416)</f>
        <v>40.73865282</v>
      </c>
      <c r="K26" s="88">
        <f>IFERROR(__xludf.DUMMYFUNCTION("""COMPUTED_VALUE"""),2.16424355E8)</f>
        <v>216424355</v>
      </c>
      <c r="L26" s="88">
        <f>IFERROR(__xludf.DUMMYFUNCTION("""COMPUTED_VALUE"""),0.0)</f>
        <v>0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IFERROR(__xludf.DUMMYFUNCTION("""COMPUTED_VALUE"""),42.5)</f>
        <v>42.5</v>
      </c>
      <c r="C27">
        <f>IFERROR(__xludf.DUMMYFUNCTION("""COMPUTED_VALUE"""),43.44)</f>
        <v>43.44</v>
      </c>
      <c r="D27" s="88">
        <f>IFERROR(__xludf.DUMMYFUNCTION("""COMPUTED_VALUE"""),40.91)</f>
        <v>40.91</v>
      </c>
      <c r="E27" s="88">
        <f>IFERROR(__xludf.DUMMYFUNCTION("""COMPUTED_VALUE"""),41.88)</f>
        <v>41.88</v>
      </c>
      <c r="F27" s="88">
        <f>IFERROR(__xludf.DUMMYFUNCTION("""COMPUTED_VALUE"""),3.2297478E8)</f>
        <v>322974780</v>
      </c>
      <c r="G27" s="88">
        <f>IFERROR(__xludf.DUMMYFUNCTION("""COMPUTED_VALUE"""),40.208842192505)</f>
        <v>40.20884219</v>
      </c>
      <c r="H27" s="88">
        <f>IFERROR(__xludf.DUMMYFUNCTION("""COMPUTED_VALUE"""),41.0183983142679)</f>
        <v>41.01839831</v>
      </c>
      <c r="I27" s="88">
        <f>IFERROR(__xludf.DUMMYFUNCTION("""COMPUTED_VALUE"""),38.6294354290217)</f>
        <v>38.62943543</v>
      </c>
      <c r="J27" s="88">
        <f>IFERROR(__xludf.DUMMYFUNCTION("""COMPUTED_VALUE"""),39.5453619107169)</f>
        <v>39.54536191</v>
      </c>
      <c r="K27" s="88">
        <f>IFERROR(__xludf.DUMMYFUNCTION("""COMPUTED_VALUE"""),3.2297478E8)</f>
        <v>322974780</v>
      </c>
      <c r="L27" s="88">
        <f>IFERROR(__xludf.DUMMYFUNCTION("""COMPUTED_VALUE"""),0.0816)</f>
        <v>0.0816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IFERROR(__xludf.DUMMYFUNCTION("""COMPUTED_VALUE"""),41.62)</f>
        <v>41.62</v>
      </c>
      <c r="C28">
        <f>IFERROR(__xludf.DUMMYFUNCTION("""COMPUTED_VALUE"""),42.59)</f>
        <v>42.59</v>
      </c>
      <c r="D28" s="88">
        <f>IFERROR(__xludf.DUMMYFUNCTION("""COMPUTED_VALUE"""),40.51)</f>
        <v>40.51</v>
      </c>
      <c r="E28" s="88">
        <f>IFERROR(__xludf.DUMMYFUNCTION("""COMPUTED_VALUE"""),41.56)</f>
        <v>41.56</v>
      </c>
      <c r="F28" s="88">
        <f>IFERROR(__xludf.DUMMYFUNCTION("""COMPUTED_VALUE"""),3.02227882E8)</f>
        <v>302227882</v>
      </c>
      <c r="G28" s="88">
        <f>IFERROR(__xludf.DUMMYFUNCTION("""COMPUTED_VALUE"""),39.2998558434584)</f>
        <v>39.29985584</v>
      </c>
      <c r="H28" s="88">
        <f>IFERROR(__xludf.DUMMYFUNCTION("""COMPUTED_VALUE"""),40.2157823251536)</f>
        <v>40.21578233</v>
      </c>
      <c r="I28" s="88">
        <f>IFERROR(__xludf.DUMMYFUNCTION("""COMPUTED_VALUE"""),38.2517337870855)</f>
        <v>38.25173379</v>
      </c>
      <c r="J28" s="88">
        <f>IFERROR(__xludf.DUMMYFUNCTION("""COMPUTED_VALUE"""),39.2432005971679)</f>
        <v>39.2432006</v>
      </c>
      <c r="K28" s="88">
        <f>IFERROR(__xludf.DUMMYFUNCTION("""COMPUTED_VALUE"""),3.02227882E8)</f>
        <v>302227882</v>
      </c>
      <c r="L28" s="88">
        <f>IFERROR(__xludf.DUMMYFUNCTION("""COMPUTED_VALUE"""),0.0)</f>
        <v>0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IFERROR(__xludf.DUMMYFUNCTION("""COMPUTED_VALUE"""),41.78)</f>
        <v>41.78</v>
      </c>
      <c r="C29">
        <f>IFERROR(__xludf.DUMMYFUNCTION("""COMPUTED_VALUE"""),41.82)</f>
        <v>41.82</v>
      </c>
      <c r="D29" s="88">
        <f>IFERROR(__xludf.DUMMYFUNCTION("""COMPUTED_VALUE"""),37.52)</f>
        <v>37.52</v>
      </c>
      <c r="E29" s="88">
        <f>IFERROR(__xludf.DUMMYFUNCTION("""COMPUTED_VALUE"""),37.77)</f>
        <v>37.77</v>
      </c>
      <c r="F29" s="88">
        <f>IFERROR(__xludf.DUMMYFUNCTION("""COMPUTED_VALUE"""),3.87258148E8)</f>
        <v>387258148</v>
      </c>
      <c r="G29" s="88">
        <f>IFERROR(__xludf.DUMMYFUNCTION("""COMPUTED_VALUE"""),39.4509365002328)</f>
        <v>39.4509365</v>
      </c>
      <c r="H29" s="88">
        <f>IFERROR(__xludf.DUMMYFUNCTION("""COMPUTED_VALUE"""),39.4887066644265)</f>
        <v>39.48870666</v>
      </c>
      <c r="I29" s="88">
        <f>IFERROR(__xludf.DUMMYFUNCTION("""COMPUTED_VALUE"""),35.4284140136126)</f>
        <v>35.42841401</v>
      </c>
      <c r="J29" s="88">
        <f>IFERROR(__xludf.DUMMYFUNCTION("""COMPUTED_VALUE"""),35.6644775398227)</f>
        <v>35.66447754</v>
      </c>
      <c r="K29" s="88">
        <f>IFERROR(__xludf.DUMMYFUNCTION("""COMPUTED_VALUE"""),3.87258148E8)</f>
        <v>387258148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IFERROR(__xludf.DUMMYFUNCTION("""COMPUTED_VALUE"""),38.1)</f>
        <v>38.1</v>
      </c>
      <c r="C30">
        <f>IFERROR(__xludf.DUMMYFUNCTION("""COMPUTED_VALUE"""),40.75)</f>
        <v>40.75</v>
      </c>
      <c r="D30" s="88">
        <f>IFERROR(__xludf.DUMMYFUNCTION("""COMPUTED_VALUE"""),37.18)</f>
        <v>37.18</v>
      </c>
      <c r="E30" s="88">
        <f>IFERROR(__xludf.DUMMYFUNCTION("""COMPUTED_VALUE"""),40.69)</f>
        <v>40.69</v>
      </c>
      <c r="F30" s="88">
        <f>IFERROR(__xludf.DUMMYFUNCTION("""COMPUTED_VALUE"""),5.76796436E8)</f>
        <v>576796436</v>
      </c>
      <c r="G30" s="88">
        <f>IFERROR(__xludf.DUMMYFUNCTION("""COMPUTED_VALUE"""),35.9760813944201)</f>
        <v>35.97608139</v>
      </c>
      <c r="H30" s="88">
        <f>IFERROR(__xludf.DUMMYFUNCTION("""COMPUTED_VALUE"""),38.2130545995052)</f>
        <v>38.2130546</v>
      </c>
      <c r="I30" s="88">
        <f>IFERROR(__xludf.DUMMYFUNCTION("""COMPUTED_VALUE"""),35.1073676179669)</f>
        <v>35.10736762</v>
      </c>
      <c r="J30" s="88">
        <f>IFERROR(__xludf.DUMMYFUNCTION("""COMPUTED_VALUE"""),38.156789979236)</f>
        <v>38.15678998</v>
      </c>
      <c r="K30" s="88">
        <f>IFERROR(__xludf.DUMMYFUNCTION("""COMPUTED_VALUE"""),5.76796436E8)</f>
        <v>576796436</v>
      </c>
      <c r="L30" s="88">
        <f>IFERROR(__xludf.DUMMYFUNCTION("""COMPUTED_VALUE"""),0.2591)</f>
        <v>0.2591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IFERROR(__xludf.DUMMYFUNCTION("""COMPUTED_VALUE"""),39.69)</f>
        <v>39.69</v>
      </c>
      <c r="C31">
        <f>IFERROR(__xludf.DUMMYFUNCTION("""COMPUTED_VALUE"""),40.14)</f>
        <v>40.14</v>
      </c>
      <c r="D31" s="88">
        <f>IFERROR(__xludf.DUMMYFUNCTION("""COMPUTED_VALUE"""),37.84)</f>
        <v>37.84</v>
      </c>
      <c r="E31" s="88">
        <f>IFERROR(__xludf.DUMMYFUNCTION("""COMPUTED_VALUE"""),38.46)</f>
        <v>38.46</v>
      </c>
      <c r="F31" s="88">
        <f>IFERROR(__xludf.DUMMYFUNCTION("""COMPUTED_VALUE"""),3.94637376E8)</f>
        <v>394637376</v>
      </c>
      <c r="G31" s="88">
        <f>IFERROR(__xludf.DUMMYFUNCTION("""COMPUTED_VALUE"""),37.2190463080825)</f>
        <v>37.21904631</v>
      </c>
      <c r="H31" s="88">
        <f>IFERROR(__xludf.DUMMYFUNCTION("""COMPUTED_VALUE"""),37.6410309601016)</f>
        <v>37.64103096</v>
      </c>
      <c r="I31" s="88">
        <f>IFERROR(__xludf.DUMMYFUNCTION("""COMPUTED_VALUE"""),35.4842205164485)</f>
        <v>35.48422052</v>
      </c>
      <c r="J31" s="88">
        <f>IFERROR(__xludf.DUMMYFUNCTION("""COMPUTED_VALUE"""),36.0656215925637)</f>
        <v>36.06562159</v>
      </c>
      <c r="K31" s="88">
        <f>IFERROR(__xludf.DUMMYFUNCTION("""COMPUTED_VALUE"""),3.94637376E8)</f>
        <v>394637376</v>
      </c>
      <c r="L31" s="88">
        <f>IFERROR(__xludf.DUMMYFUNCTION("""COMPUTED_VALUE"""),0.0)</f>
        <v>0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IFERROR(__xludf.DUMMYFUNCTION("""COMPUTED_VALUE"""),37.86)</f>
        <v>37.86</v>
      </c>
      <c r="C32">
        <f>IFERROR(__xludf.DUMMYFUNCTION("""COMPUTED_VALUE"""),41.24)</f>
        <v>41.24</v>
      </c>
      <c r="D32" s="88">
        <f>IFERROR(__xludf.DUMMYFUNCTION("""COMPUTED_VALUE"""),36.35)</f>
        <v>36.35</v>
      </c>
      <c r="E32" s="88">
        <f>IFERROR(__xludf.DUMMYFUNCTION("""COMPUTED_VALUE"""),41.23)</f>
        <v>41.23</v>
      </c>
      <c r="F32" s="88">
        <f>IFERROR(__xludf.DUMMYFUNCTION("""COMPUTED_VALUE"""),4.82819869E8)</f>
        <v>482819869</v>
      </c>
      <c r="G32" s="88">
        <f>IFERROR(__xludf.DUMMYFUNCTION("""COMPUTED_VALUE"""),35.5029753898716)</f>
        <v>35.50297539</v>
      </c>
      <c r="H32" s="88">
        <f>IFERROR(__xludf.DUMMYFUNCTION("""COMPUTED_VALUE"""),38.6725489983704)</f>
        <v>38.672549</v>
      </c>
      <c r="I32" s="88">
        <f>IFERROR(__xludf.DUMMYFUNCTION("""COMPUTED_VALUE"""),34.0869824464298)</f>
        <v>34.08698245</v>
      </c>
      <c r="J32" s="88">
        <f>IFERROR(__xludf.DUMMYFUNCTION("""COMPUTED_VALUE"""),38.6631715616589)</f>
        <v>38.66317156</v>
      </c>
      <c r="K32" s="88">
        <f>IFERROR(__xludf.DUMMYFUNCTION("""COMPUTED_VALUE"""),4.82819869E8)</f>
        <v>482819869</v>
      </c>
      <c r="L32" s="88">
        <f>IFERROR(__xludf.DUMMYFUNCTION("""COMPUTED_VALUE"""),0.0)</f>
        <v>0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IFERROR(__xludf.DUMMYFUNCTION("""COMPUTED_VALUE"""),41.0)</f>
        <v>41</v>
      </c>
      <c r="C33">
        <f>IFERROR(__xludf.DUMMYFUNCTION("""COMPUTED_VALUE"""),41.93)</f>
        <v>41.93</v>
      </c>
      <c r="D33" s="88">
        <f>IFERROR(__xludf.DUMMYFUNCTION("""COMPUTED_VALUE"""),39.47)</f>
        <v>39.47</v>
      </c>
      <c r="E33" s="88">
        <f>IFERROR(__xludf.DUMMYFUNCTION("""COMPUTED_VALUE"""),41.24)</f>
        <v>41.24</v>
      </c>
      <c r="F33" s="88">
        <f>IFERROR(__xludf.DUMMYFUNCTION("""COMPUTED_VALUE"""),2.63317706E8)</f>
        <v>263317706</v>
      </c>
      <c r="G33" s="88">
        <f>IFERROR(__xludf.DUMMYFUNCTION("""COMPUTED_VALUE"""),38.4474905172936)</f>
        <v>38.44749052</v>
      </c>
      <c r="H33" s="88">
        <f>IFERROR(__xludf.DUMMYFUNCTION("""COMPUTED_VALUE"""),39.0007592832741)</f>
        <v>39.00075928</v>
      </c>
      <c r="I33" s="88">
        <f>IFERROR(__xludf.DUMMYFUNCTION("""COMPUTED_VALUE"""),36.5906252780427)</f>
        <v>36.59062528</v>
      </c>
      <c r="J33" s="88">
        <f>IFERROR(__xludf.DUMMYFUNCTION("""COMPUTED_VALUE"""),38.2315020640102)</f>
        <v>38.23150206</v>
      </c>
      <c r="K33" s="88">
        <f>IFERROR(__xludf.DUMMYFUNCTION("""COMPUTED_VALUE"""),2.63317706E8)</f>
        <v>263317706</v>
      </c>
      <c r="L33" s="88">
        <f>IFERROR(__xludf.DUMMYFUNCTION("""COMPUTED_VALUE"""),0.4746)</f>
        <v>0.4746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IFERROR(__xludf.DUMMYFUNCTION("""COMPUTED_VALUE"""),42.04)</f>
        <v>42.04</v>
      </c>
      <c r="C34">
        <f>IFERROR(__xludf.DUMMYFUNCTION("""COMPUTED_VALUE"""),43.74)</f>
        <v>43.74</v>
      </c>
      <c r="D34" s="88">
        <f>IFERROR(__xludf.DUMMYFUNCTION("""COMPUTED_VALUE"""),40.33)</f>
        <v>40.33</v>
      </c>
      <c r="E34" s="88">
        <f>IFERROR(__xludf.DUMMYFUNCTION("""COMPUTED_VALUE"""),43.52)</f>
        <v>43.52</v>
      </c>
      <c r="F34" s="88">
        <f>IFERROR(__xludf.DUMMYFUNCTION("""COMPUTED_VALUE"""),3.07646899E8)</f>
        <v>307646899</v>
      </c>
      <c r="G34" s="88">
        <f>IFERROR(__xludf.DUMMYFUNCTION("""COMPUTED_VALUE"""),38.9731412893062)</f>
        <v>38.97314129</v>
      </c>
      <c r="H34" s="88">
        <f>IFERROR(__xludf.DUMMYFUNCTION("""COMPUTED_VALUE"""),40.5491246430603)</f>
        <v>40.54912464</v>
      </c>
      <c r="I34" s="88">
        <f>IFERROR(__xludf.DUMMYFUNCTION("""COMPUTED_VALUE"""),37.387887445236)</f>
        <v>37.38788745</v>
      </c>
      <c r="J34" s="88">
        <f>IFERROR(__xludf.DUMMYFUNCTION("""COMPUTED_VALUE"""),40.3451738561039)</f>
        <v>40.34517386</v>
      </c>
      <c r="K34" s="88">
        <f>IFERROR(__xludf.DUMMYFUNCTION("""COMPUTED_VALUE"""),3.07646899E8)</f>
        <v>307646899</v>
      </c>
      <c r="L34" s="88">
        <f>IFERROR(__xludf.DUMMYFUNCTION("""COMPUTED_VALUE"""),0.0)</f>
        <v>0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IFERROR(__xludf.DUMMYFUNCTION("""COMPUTED_VALUE"""),43.88)</f>
        <v>43.88</v>
      </c>
      <c r="C35">
        <f>IFERROR(__xludf.DUMMYFUNCTION("""COMPUTED_VALUE"""),44.14)</f>
        <v>44.14</v>
      </c>
      <c r="D35" s="88">
        <f>IFERROR(__xludf.DUMMYFUNCTION("""COMPUTED_VALUE"""),41.42)</f>
        <v>41.42</v>
      </c>
      <c r="E35" s="88">
        <f>IFERROR(__xludf.DUMMYFUNCTION("""COMPUTED_VALUE"""),41.57)</f>
        <v>41.57</v>
      </c>
      <c r="F35" s="88">
        <f>IFERROR(__xludf.DUMMYFUNCTION("""COMPUTED_VALUE"""),2.55003516E8)</f>
        <v>255003516</v>
      </c>
      <c r="G35" s="88">
        <f>IFERROR(__xludf.DUMMYFUNCTION("""COMPUTED_VALUE"""),40.6789115074871)</f>
        <v>40.67891151</v>
      </c>
      <c r="H35" s="88">
        <f>IFERROR(__xludf.DUMMYFUNCTION("""COMPUTED_VALUE"""),40.9199442557083)</f>
        <v>40.91994426</v>
      </c>
      <c r="I35" s="88">
        <f>IFERROR(__xludf.DUMMYFUNCTION("""COMPUTED_VALUE"""),38.3983708897018)</f>
        <v>38.39837089</v>
      </c>
      <c r="J35" s="88">
        <f>IFERROR(__xludf.DUMMYFUNCTION("""COMPUTED_VALUE"""),38.5374282444448)</f>
        <v>38.53742824</v>
      </c>
      <c r="K35" s="88">
        <f>IFERROR(__xludf.DUMMYFUNCTION("""COMPUTED_VALUE"""),2.55003516E8)</f>
        <v>255003516</v>
      </c>
      <c r="L35" s="88">
        <f>IFERROR(__xludf.DUMMYFUNCTION("""COMPUTED_VALUE"""),0.0)</f>
        <v>0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IFERROR(__xludf.DUMMYFUNCTION("""COMPUTED_VALUE"""),42.2)</f>
        <v>42.2</v>
      </c>
      <c r="C36">
        <f>IFERROR(__xludf.DUMMYFUNCTION("""COMPUTED_VALUE"""),45.83)</f>
        <v>45.83</v>
      </c>
      <c r="D36" s="88">
        <f>IFERROR(__xludf.DUMMYFUNCTION("""COMPUTED_VALUE"""),41.03)</f>
        <v>41.03</v>
      </c>
      <c r="E36" s="88">
        <f>IFERROR(__xludf.DUMMYFUNCTION("""COMPUTED_VALUE"""),44.83)</f>
        <v>44.83</v>
      </c>
      <c r="F36" s="88">
        <f>IFERROR(__xludf.DUMMYFUNCTION("""COMPUTED_VALUE"""),3.14897018E8)</f>
        <v>314897018</v>
      </c>
      <c r="G36" s="88">
        <f>IFERROR(__xludf.DUMMYFUNCTION("""COMPUTED_VALUE"""),39.1214691343654)</f>
        <v>39.12146913</v>
      </c>
      <c r="H36" s="88">
        <f>IFERROR(__xludf.DUMMYFUNCTION("""COMPUTED_VALUE"""),42.2158403819448)</f>
        <v>42.21584038</v>
      </c>
      <c r="I36" s="88">
        <f>IFERROR(__xludf.DUMMYFUNCTION("""COMPUTED_VALUE"""),38.03682176737)</f>
        <v>38.03682177</v>
      </c>
      <c r="J36" s="88">
        <f>IFERROR(__xludf.DUMMYFUNCTION("""COMPUTED_VALUE"""),41.2947005088935)</f>
        <v>41.29470051</v>
      </c>
      <c r="K36" s="88">
        <f>IFERROR(__xludf.DUMMYFUNCTION("""COMPUTED_VALUE"""),3.14897018E8)</f>
        <v>314897018</v>
      </c>
      <c r="L36" s="88">
        <f>IFERROR(__xludf.DUMMYFUNCTION("""COMPUTED_VALUE"""),0.2745)</f>
        <v>0.2745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IFERROR(__xludf.DUMMYFUNCTION("""COMPUTED_VALUE"""),44.61)</f>
        <v>44.61</v>
      </c>
      <c r="C37">
        <f>IFERROR(__xludf.DUMMYFUNCTION("""COMPUTED_VALUE"""),46.58)</f>
        <v>46.58</v>
      </c>
      <c r="D37" s="88">
        <f>IFERROR(__xludf.DUMMYFUNCTION("""COMPUTED_VALUE"""),43.96)</f>
        <v>43.96</v>
      </c>
      <c r="E37" s="88">
        <f>IFERROR(__xludf.DUMMYFUNCTION("""COMPUTED_VALUE"""),45.39)</f>
        <v>45.39</v>
      </c>
      <c r="F37" s="88">
        <f>IFERROR(__xludf.DUMMYFUNCTION("""COMPUTED_VALUE"""),2.51211112E8)</f>
        <v>251211112</v>
      </c>
      <c r="G37" s="88">
        <f>IFERROR(__xludf.DUMMYFUNCTION("""COMPUTED_VALUE"""),41.0920497368222)</f>
        <v>41.09204974</v>
      </c>
      <c r="H37" s="88">
        <f>IFERROR(__xludf.DUMMYFUNCTION("""COMPUTED_VALUE"""),42.9066952867334)</f>
        <v>42.90669529</v>
      </c>
      <c r="I37" s="88">
        <f>IFERROR(__xludf.DUMMYFUNCTION("""COMPUTED_VALUE"""),40.4933088193388)</f>
        <v>40.49330882</v>
      </c>
      <c r="J37" s="88">
        <f>IFERROR(__xludf.DUMMYFUNCTION("""COMPUTED_VALUE"""),41.8105388378022)</f>
        <v>41.81053884</v>
      </c>
      <c r="K37" s="88">
        <f>IFERROR(__xludf.DUMMYFUNCTION("""COMPUTED_VALUE"""),2.51211112E8)</f>
        <v>251211112</v>
      </c>
      <c r="L37" s="88">
        <f>IFERROR(__xludf.DUMMYFUNCTION("""COMPUTED_VALUE"""),0.0)</f>
        <v>0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IFERROR(__xludf.DUMMYFUNCTION("""COMPUTED_VALUE"""),45.68)</f>
        <v>45.68</v>
      </c>
      <c r="C38">
        <f>IFERROR(__xludf.DUMMYFUNCTION("""COMPUTED_VALUE"""),47.2)</f>
        <v>47.2</v>
      </c>
      <c r="D38" s="88">
        <f>IFERROR(__xludf.DUMMYFUNCTION("""COMPUTED_VALUE"""),45.02)</f>
        <v>45.02</v>
      </c>
      <c r="E38" s="88">
        <f>IFERROR(__xludf.DUMMYFUNCTION("""COMPUTED_VALUE"""),46.74)</f>
        <v>46.74</v>
      </c>
      <c r="F38" s="88">
        <f>IFERROR(__xludf.DUMMYFUNCTION("""COMPUTED_VALUE"""),2.27511705E8)</f>
        <v>227511705</v>
      </c>
      <c r="G38" s="88">
        <f>IFERROR(__xludf.DUMMYFUNCTION("""COMPUTED_VALUE"""),42.0776694009871)</f>
        <v>42.0776694</v>
      </c>
      <c r="H38" s="88">
        <f>IFERROR(__xludf.DUMMYFUNCTION("""COMPUTED_VALUE"""),43.4778020080252)</f>
        <v>43.47780201</v>
      </c>
      <c r="I38" s="88">
        <f>IFERROR(__xludf.DUMMYFUNCTION("""COMPUTED_VALUE"""),41.4697170847732)</f>
        <v>41.46971708</v>
      </c>
      <c r="J38" s="88">
        <f>IFERROR(__xludf.DUMMYFUNCTION("""COMPUTED_VALUE"""),43.0540776664216)</f>
        <v>43.05407767</v>
      </c>
      <c r="K38" s="88">
        <f>IFERROR(__xludf.DUMMYFUNCTION("""COMPUTED_VALUE"""),2.27511705E8)</f>
        <v>227511705</v>
      </c>
      <c r="L38" s="88">
        <f>IFERROR(__xludf.DUMMYFUNCTION("""COMPUTED_VALUE"""),0.0)</f>
        <v>0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IFERROR(__xludf.DUMMYFUNCTION("""COMPUTED_VALUE"""),46.98)</f>
        <v>46.98</v>
      </c>
      <c r="C39">
        <f>IFERROR(__xludf.DUMMYFUNCTION("""COMPUTED_VALUE"""),48.87)</f>
        <v>48.87</v>
      </c>
      <c r="D39" s="88">
        <f>IFERROR(__xludf.DUMMYFUNCTION("""COMPUTED_VALUE"""),45.82)</f>
        <v>45.82</v>
      </c>
      <c r="E39" s="88">
        <f>IFERROR(__xludf.DUMMYFUNCTION("""COMPUTED_VALUE"""),47.57)</f>
        <v>47.57</v>
      </c>
      <c r="F39" s="88">
        <f>IFERROR(__xludf.DUMMYFUNCTION("""COMPUTED_VALUE"""),2.72596681E8)</f>
        <v>272596681</v>
      </c>
      <c r="G39" s="88">
        <f>IFERROR(__xludf.DUMMYFUNCTION("""COMPUTED_VALUE"""),43.2751512359539)</f>
        <v>43.27515124</v>
      </c>
      <c r="H39" s="88">
        <f>IFERROR(__xludf.DUMMYFUNCTION("""COMPUTED_VALUE"""),44.9316919423719)</f>
        <v>44.93169194</v>
      </c>
      <c r="I39" s="88">
        <f>IFERROR(__xludf.DUMMYFUNCTION("""COMPUTED_VALUE"""),42.1366777515634)</f>
        <v>42.13667775</v>
      </c>
      <c r="J39" s="88">
        <f>IFERROR(__xludf.DUMMYFUNCTION("""COMPUTED_VALUE"""),43.7364556107762)</f>
        <v>43.73645561</v>
      </c>
      <c r="K39" s="88">
        <f>IFERROR(__xludf.DUMMYFUNCTION("""COMPUTED_VALUE"""),2.72596681E8)</f>
        <v>272596681</v>
      </c>
      <c r="L39" s="88">
        <f>IFERROR(__xludf.DUMMYFUNCTION("""COMPUTED_VALUE"""),0.0886)</f>
        <v>0.0886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IFERROR(__xludf.DUMMYFUNCTION("""COMPUTED_VALUE"""),47.17)</f>
        <v>47.17</v>
      </c>
      <c r="C40">
        <f>IFERROR(__xludf.DUMMYFUNCTION("""COMPUTED_VALUE"""),49.75)</f>
        <v>49.75</v>
      </c>
      <c r="D40" s="88">
        <f>IFERROR(__xludf.DUMMYFUNCTION("""COMPUTED_VALUE"""),44.34)</f>
        <v>44.34</v>
      </c>
      <c r="E40" s="88">
        <f>IFERROR(__xludf.DUMMYFUNCTION("""COMPUTED_VALUE"""),49.56)</f>
        <v>49.56</v>
      </c>
      <c r="F40" s="88">
        <f>IFERROR(__xludf.DUMMYFUNCTION("""COMPUTED_VALUE"""),4.01815455E8)</f>
        <v>401815455</v>
      </c>
      <c r="G40" s="88">
        <f>IFERROR(__xludf.DUMMYFUNCTION("""COMPUTED_VALUE"""),43.3686905856698)</f>
        <v>43.36869059</v>
      </c>
      <c r="H40" s="88">
        <f>IFERROR(__xludf.DUMMYFUNCTION("""COMPUTED_VALUE"""),45.7407749976059)</f>
        <v>45.740775</v>
      </c>
      <c r="I40" s="88">
        <f>IFERROR(__xludf.DUMMYFUNCTION("""COMPUTED_VALUE"""),40.7667530330421)</f>
        <v>40.76675303</v>
      </c>
      <c r="J40" s="88">
        <f>IFERROR(__xludf.DUMMYFUNCTION("""COMPUTED_VALUE"""),45.5660866106804)</f>
        <v>45.56608661</v>
      </c>
      <c r="K40" s="88">
        <f>IFERROR(__xludf.DUMMYFUNCTION("""COMPUTED_VALUE"""),4.01815455E8)</f>
        <v>401815455</v>
      </c>
      <c r="L40" s="88">
        <f>IFERROR(__xludf.DUMMYFUNCTION("""COMPUTED_VALUE"""),0.0)</f>
        <v>0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IFERROR(__xludf.DUMMYFUNCTION("""COMPUTED_VALUE"""),49.84)</f>
        <v>49.84</v>
      </c>
      <c r="C41">
        <f>IFERROR(__xludf.DUMMYFUNCTION("""COMPUTED_VALUE"""),50.99)</f>
        <v>50.99</v>
      </c>
      <c r="D41" s="88">
        <f>IFERROR(__xludf.DUMMYFUNCTION("""COMPUTED_VALUE"""),46.45)</f>
        <v>46.45</v>
      </c>
      <c r="E41" s="88">
        <f>IFERROR(__xludf.DUMMYFUNCTION("""COMPUTED_VALUE"""),46.53)</f>
        <v>46.53</v>
      </c>
      <c r="F41" s="88">
        <f>IFERROR(__xludf.DUMMYFUNCTION("""COMPUTED_VALUE"""),2.91205051E8)</f>
        <v>291205051</v>
      </c>
      <c r="G41" s="88">
        <f>IFERROR(__xludf.DUMMYFUNCTION("""COMPUTED_VALUE"""),45.8235221282549)</f>
        <v>45.82352213</v>
      </c>
      <c r="H41" s="88">
        <f>IFERROR(__xludf.DUMMYFUNCTION("""COMPUTED_VALUE"""),46.8808465754357)</f>
        <v>46.88084658</v>
      </c>
      <c r="I41" s="88">
        <f>IFERROR(__xludf.DUMMYFUNCTION("""COMPUTED_VALUE"""),42.7067135404783)</f>
        <v>42.70671354</v>
      </c>
      <c r="J41" s="88">
        <f>IFERROR(__xludf.DUMMYFUNCTION("""COMPUTED_VALUE"""),42.7802665454996)</f>
        <v>42.78026655</v>
      </c>
      <c r="K41" s="88">
        <f>IFERROR(__xludf.DUMMYFUNCTION("""COMPUTED_VALUE"""),2.91205051E8)</f>
        <v>291205051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IFERROR(__xludf.DUMMYFUNCTION("""COMPUTED_VALUE"""),45.91)</f>
        <v>45.91</v>
      </c>
      <c r="C42">
        <f>IFERROR(__xludf.DUMMYFUNCTION("""COMPUTED_VALUE"""),46.14)</f>
        <v>46.14</v>
      </c>
      <c r="D42" s="88">
        <f>IFERROR(__xludf.DUMMYFUNCTION("""COMPUTED_VALUE"""),43.3)</f>
        <v>43.3</v>
      </c>
      <c r="E42" s="88">
        <f>IFERROR(__xludf.DUMMYFUNCTION("""COMPUTED_VALUE"""),44.25)</f>
        <v>44.25</v>
      </c>
      <c r="F42" s="88">
        <f>IFERROR(__xludf.DUMMYFUNCTION("""COMPUTED_VALUE"""),2.15392227E8)</f>
        <v>215392227</v>
      </c>
      <c r="G42" s="88">
        <f>IFERROR(__xludf.DUMMYFUNCTION("""COMPUTED_VALUE"""),42.2102307565847)</f>
        <v>42.21023076</v>
      </c>
      <c r="H42" s="88">
        <f>IFERROR(__xludf.DUMMYFUNCTION("""COMPUTED_VALUE"""),42.4216956460209)</f>
        <v>42.42169565</v>
      </c>
      <c r="I42" s="88">
        <f>IFERROR(__xludf.DUMMYFUNCTION("""COMPUTED_VALUE"""),39.6240512895915)</f>
        <v>39.62405129</v>
      </c>
      <c r="J42" s="88">
        <f>IFERROR(__xludf.DUMMYFUNCTION("""COMPUTED_VALUE"""),40.4934011446749)</f>
        <v>40.49340114</v>
      </c>
      <c r="K42" s="88">
        <f>IFERROR(__xludf.DUMMYFUNCTION("""COMPUTED_VALUE"""),2.15392227E8)</f>
        <v>215392227</v>
      </c>
      <c r="L42" s="88">
        <f>IFERROR(__xludf.DUMMYFUNCTION("""COMPUTED_VALUE"""),0.2121)</f>
        <v>0.2121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IFERROR(__xludf.DUMMYFUNCTION("""COMPUTED_VALUE"""),44.48)</f>
        <v>44.48</v>
      </c>
      <c r="C43">
        <f>IFERROR(__xludf.DUMMYFUNCTION("""COMPUTED_VALUE"""),45.84)</f>
        <v>45.84</v>
      </c>
      <c r="D43" s="88">
        <f>IFERROR(__xludf.DUMMYFUNCTION("""COMPUTED_VALUE"""),43.76)</f>
        <v>43.76</v>
      </c>
      <c r="E43" s="88">
        <f>IFERROR(__xludf.DUMMYFUNCTION("""COMPUTED_VALUE"""),44.92)</f>
        <v>44.92</v>
      </c>
      <c r="F43" s="88">
        <f>IFERROR(__xludf.DUMMYFUNCTION("""COMPUTED_VALUE"""),2.3542074E8)</f>
        <v>235420740</v>
      </c>
      <c r="G43" s="88">
        <f>IFERROR(__xludf.DUMMYFUNCTION("""COMPUTED_VALUE"""),40.7038753201162)</f>
        <v>40.70387532</v>
      </c>
      <c r="H43" s="88">
        <f>IFERROR(__xludf.DUMMYFUNCTION("""COMPUTED_VALUE"""),41.9484182705514)</f>
        <v>41.94841827</v>
      </c>
      <c r="I43" s="88">
        <f>IFERROR(__xludf.DUMMYFUNCTION("""COMPUTED_VALUE"""),40.044999640474)</f>
        <v>40.04499964</v>
      </c>
      <c r="J43" s="88">
        <f>IFERROR(__xludf.DUMMYFUNCTION("""COMPUTED_VALUE"""),41.1065215687864)</f>
        <v>41.10652157</v>
      </c>
      <c r="K43" s="88">
        <f>IFERROR(__xludf.DUMMYFUNCTION("""COMPUTED_VALUE"""),2.3542074E8)</f>
        <v>235420740</v>
      </c>
      <c r="L43" s="88">
        <f>IFERROR(__xludf.DUMMYFUNCTION("""COMPUTED_VALUE"""),0.0)</f>
        <v>0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IFERROR(__xludf.DUMMYFUNCTION("""COMPUTED_VALUE"""),44.63)</f>
        <v>44.63</v>
      </c>
      <c r="C44">
        <f>IFERROR(__xludf.DUMMYFUNCTION("""COMPUTED_VALUE"""),45.33)</f>
        <v>45.33</v>
      </c>
      <c r="D44" s="88">
        <f>IFERROR(__xludf.DUMMYFUNCTION("""COMPUTED_VALUE"""),43.53)</f>
        <v>43.53</v>
      </c>
      <c r="E44" s="88">
        <f>IFERROR(__xludf.DUMMYFUNCTION("""COMPUTED_VALUE"""),43.53)</f>
        <v>43.53</v>
      </c>
      <c r="F44" s="88">
        <f>IFERROR(__xludf.DUMMYFUNCTION("""COMPUTED_VALUE"""),2.09275602E8)</f>
        <v>209275602</v>
      </c>
      <c r="G44" s="88">
        <f>IFERROR(__xludf.DUMMYFUNCTION("""COMPUTED_VALUE"""),40.8411410867083)</f>
        <v>40.84114109</v>
      </c>
      <c r="H44" s="88">
        <f>IFERROR(__xludf.DUMMYFUNCTION("""COMPUTED_VALUE"""),41.4817146641382)</f>
        <v>41.48171466</v>
      </c>
      <c r="I44" s="88">
        <f>IFERROR(__xludf.DUMMYFUNCTION("""COMPUTED_VALUE"""),39.8345254650328)</f>
        <v>39.83452547</v>
      </c>
      <c r="J44" s="88">
        <f>IFERROR(__xludf.DUMMYFUNCTION("""COMPUTED_VALUE"""),39.8345254650328)</f>
        <v>39.83452547</v>
      </c>
      <c r="K44" s="88">
        <f>IFERROR(__xludf.DUMMYFUNCTION("""COMPUTED_VALUE"""),2.09275602E8)</f>
        <v>209275602</v>
      </c>
      <c r="L44" s="88">
        <f>IFERROR(__xludf.DUMMYFUNCTION("""COMPUTED_VALUE"""),0.0)</f>
        <v>0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IFERROR(__xludf.DUMMYFUNCTION("""COMPUTED_VALUE"""),43.57)</f>
        <v>43.57</v>
      </c>
      <c r="C45">
        <f>IFERROR(__xludf.DUMMYFUNCTION("""COMPUTED_VALUE"""),45.27)</f>
        <v>45.27</v>
      </c>
      <c r="D45" s="88">
        <f>IFERROR(__xludf.DUMMYFUNCTION("""COMPUTED_VALUE"""),42.91)</f>
        <v>42.91</v>
      </c>
      <c r="E45" s="88">
        <f>IFERROR(__xludf.DUMMYFUNCTION("""COMPUTED_VALUE"""),44.5)</f>
        <v>44.5</v>
      </c>
      <c r="F45" s="88">
        <f>IFERROR(__xludf.DUMMYFUNCTION("""COMPUTED_VALUE"""),1.96702014E8)</f>
        <v>196702014</v>
      </c>
      <c r="G45" s="88">
        <f>IFERROR(__xludf.DUMMYFUNCTION("""COMPUTED_VALUE"""),39.8711296694573)</f>
        <v>39.87112967</v>
      </c>
      <c r="H45" s="88">
        <f>IFERROR(__xludf.DUMMYFUNCTION("""COMPUTED_VALUE"""),40.9455301156555)</f>
        <v>40.94553012</v>
      </c>
      <c r="I45" s="88">
        <f>IFERROR(__xludf.DUMMYFUNCTION("""COMPUTED_VALUE"""),39.267160296452)</f>
        <v>39.2671603</v>
      </c>
      <c r="J45" s="88">
        <f>IFERROR(__xludf.DUMMYFUNCTION("""COMPUTED_VALUE"""),40.2490852694206)</f>
        <v>40.24908527</v>
      </c>
      <c r="K45" s="88">
        <f>IFERROR(__xludf.DUMMYFUNCTION("""COMPUTED_VALUE"""),1.96702014E8)</f>
        <v>196702014</v>
      </c>
      <c r="L45" s="88">
        <f>IFERROR(__xludf.DUMMYFUNCTION("""COMPUTED_VALUE"""),0.522)</f>
        <v>0.522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IFERROR(__xludf.DUMMYFUNCTION("""COMPUTED_VALUE"""),44.3)</f>
        <v>44.3</v>
      </c>
      <c r="C46">
        <f>IFERROR(__xludf.DUMMYFUNCTION("""COMPUTED_VALUE"""),44.41)</f>
        <v>44.41</v>
      </c>
      <c r="D46" s="88">
        <f>IFERROR(__xludf.DUMMYFUNCTION("""COMPUTED_VALUE"""),42.22)</f>
        <v>42.22</v>
      </c>
      <c r="E46" s="88">
        <f>IFERROR(__xludf.DUMMYFUNCTION("""COMPUTED_VALUE"""),43.2)</f>
        <v>43.2</v>
      </c>
      <c r="F46" s="88">
        <f>IFERROR(__xludf.DUMMYFUNCTION("""COMPUTED_VALUE"""),2.01333459E8)</f>
        <v>201333459</v>
      </c>
      <c r="G46" s="88">
        <f>IFERROR(__xludf.DUMMYFUNCTION("""COMPUTED_VALUE"""),40.0681905041648)</f>
        <v>40.0681905</v>
      </c>
      <c r="H46" s="88">
        <f>IFERROR(__xludf.DUMMYFUNCTION("""COMPUTED_VALUE"""),40.1676826250555)</f>
        <v>40.16768263</v>
      </c>
      <c r="I46" s="88">
        <f>IFERROR(__xludf.DUMMYFUNCTION("""COMPUTED_VALUE"""),38.1868849455042)</f>
        <v>38.18688495</v>
      </c>
      <c r="J46" s="88">
        <f>IFERROR(__xludf.DUMMYFUNCTION("""COMPUTED_VALUE"""),39.0732692952578)</f>
        <v>39.0732693</v>
      </c>
      <c r="K46" s="88">
        <f>IFERROR(__xludf.DUMMYFUNCTION("""COMPUTED_VALUE"""),2.01333459E8)</f>
        <v>201333459</v>
      </c>
      <c r="L46" s="88">
        <f>IFERROR(__xludf.DUMMYFUNCTION("""COMPUTED_VALUE"""),0.0)</f>
        <v>0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IFERROR(__xludf.DUMMYFUNCTION("""COMPUTED_VALUE"""),43.01)</f>
        <v>43.01</v>
      </c>
      <c r="C47">
        <f>IFERROR(__xludf.DUMMYFUNCTION("""COMPUTED_VALUE"""),43.13)</f>
        <v>43.13</v>
      </c>
      <c r="D47" s="88">
        <f>IFERROR(__xludf.DUMMYFUNCTION("""COMPUTED_VALUE"""),40.433)</f>
        <v>40.433</v>
      </c>
      <c r="E47" s="88">
        <f>IFERROR(__xludf.DUMMYFUNCTION("""COMPUTED_VALUE"""),41.01)</f>
        <v>41.01</v>
      </c>
      <c r="F47" s="88">
        <f>IFERROR(__xludf.DUMMYFUNCTION("""COMPUTED_VALUE"""),2.11890942E8)</f>
        <v>211890942</v>
      </c>
      <c r="G47" s="88">
        <f>IFERROR(__xludf.DUMMYFUNCTION("""COMPUTED_VALUE"""),38.9014192682647)</f>
        <v>38.90141927</v>
      </c>
      <c r="H47" s="88">
        <f>IFERROR(__xludf.DUMMYFUNCTION("""COMPUTED_VALUE"""),39.0099561274182)</f>
        <v>39.00995613</v>
      </c>
      <c r="I47" s="88">
        <f>IFERROR(__xludf.DUMMYFUNCTION("""COMPUTED_VALUE"""),36.5705902179435)</f>
        <v>36.57059022</v>
      </c>
      <c r="J47" s="88">
        <f>IFERROR(__xludf.DUMMYFUNCTION("""COMPUTED_VALUE"""),37.0924716157065)</f>
        <v>37.09247162</v>
      </c>
      <c r="K47" s="88">
        <f>IFERROR(__xludf.DUMMYFUNCTION("""COMPUTED_VALUE"""),2.11890942E8)</f>
        <v>211890942</v>
      </c>
      <c r="L47" s="88">
        <f>IFERROR(__xludf.DUMMYFUNCTION("""COMPUTED_VALUE"""),0.0)</f>
        <v>0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IFERROR(__xludf.DUMMYFUNCTION("""COMPUTED_VALUE"""),40.83)</f>
        <v>40.83</v>
      </c>
      <c r="C48">
        <f>IFERROR(__xludf.DUMMYFUNCTION("""COMPUTED_VALUE"""),41.28)</f>
        <v>41.28</v>
      </c>
      <c r="D48" s="88">
        <f>IFERROR(__xludf.DUMMYFUNCTION("""COMPUTED_VALUE"""),40.2883)</f>
        <v>40.2883</v>
      </c>
      <c r="E48" s="88">
        <f>IFERROR(__xludf.DUMMYFUNCTION("""COMPUTED_VALUE"""),40.84)</f>
        <v>40.84</v>
      </c>
      <c r="F48" s="88">
        <f>IFERROR(__xludf.DUMMYFUNCTION("""COMPUTED_VALUE"""),2.20741456E8)</f>
        <v>220741456</v>
      </c>
      <c r="G48" s="88">
        <f>IFERROR(__xludf.DUMMYFUNCTION("""COMPUTED_VALUE"""),36.9296663269763)</f>
        <v>36.92966633</v>
      </c>
      <c r="H48" s="88">
        <f>IFERROR(__xludf.DUMMYFUNCTION("""COMPUTED_VALUE"""),37.2733663809623)</f>
        <v>37.27336638</v>
      </c>
      <c r="I48" s="88">
        <f>IFERROR(__xludf.DUMMYFUNCTION("""COMPUTED_VALUE"""),36.2955255276465)</f>
        <v>36.29552553</v>
      </c>
      <c r="J48" s="88">
        <f>IFERROR(__xludf.DUMMYFUNCTION("""COMPUTED_VALUE"""),36.7089961007697)</f>
        <v>36.7089961</v>
      </c>
      <c r="K48" s="88">
        <f>IFERROR(__xludf.DUMMYFUNCTION("""COMPUTED_VALUE"""),2.20741456E8)</f>
        <v>220741456</v>
      </c>
      <c r="L48" s="88">
        <f>IFERROR(__xludf.DUMMYFUNCTION("""COMPUTED_VALUE"""),0.253)</f>
        <v>0.253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IFERROR(__xludf.DUMMYFUNCTION("""COMPUTED_VALUE"""),40.74)</f>
        <v>40.74</v>
      </c>
      <c r="C49">
        <f>IFERROR(__xludf.DUMMYFUNCTION("""COMPUTED_VALUE"""),41.36)</f>
        <v>41.36</v>
      </c>
      <c r="D49" s="88">
        <f>IFERROR(__xludf.DUMMYFUNCTION("""COMPUTED_VALUE"""),39.62)</f>
        <v>39.62</v>
      </c>
      <c r="E49" s="88">
        <f>IFERROR(__xludf.DUMMYFUNCTION("""COMPUTED_VALUE"""),40.48)</f>
        <v>40.48</v>
      </c>
      <c r="F49" s="88">
        <f>IFERROR(__xludf.DUMMYFUNCTION("""COMPUTED_VALUE"""),2.63800145E8)</f>
        <v>263800145</v>
      </c>
      <c r="G49" s="88">
        <f>IFERROR(__xludf.DUMMYFUNCTION("""COMPUTED_VALUE"""),36.619111193569)</f>
        <v>36.61911119</v>
      </c>
      <c r="H49" s="88">
        <f>IFERROR(__xludf.DUMMYFUNCTION("""COMPUTED_VALUE"""),37.1763976182134)</f>
        <v>37.17639762</v>
      </c>
      <c r="I49" s="88">
        <f>IFERROR(__xludf.DUMMYFUNCTION("""COMPUTED_VALUE"""),35.6124002329211)</f>
        <v>35.61240023</v>
      </c>
      <c r="J49" s="88">
        <f>IFERROR(__xludf.DUMMYFUNCTION("""COMPUTED_VALUE"""),36.3854104348472)</f>
        <v>36.38541043</v>
      </c>
      <c r="K49" s="88">
        <f>IFERROR(__xludf.DUMMYFUNCTION("""COMPUTED_VALUE"""),2.63800145E8)</f>
        <v>263800145</v>
      </c>
      <c r="L49" s="88">
        <f>IFERROR(__xludf.DUMMYFUNCTION("""COMPUTED_VALUE"""),0.0)</f>
        <v>0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IFERROR(__xludf.DUMMYFUNCTION("""COMPUTED_VALUE"""),40.34)</f>
        <v>40.34</v>
      </c>
      <c r="C50">
        <f>IFERROR(__xludf.DUMMYFUNCTION("""COMPUTED_VALUE"""),40.53)</f>
        <v>40.53</v>
      </c>
      <c r="D50" s="88">
        <f>IFERROR(__xludf.DUMMYFUNCTION("""COMPUTED_VALUE"""),39.26)</f>
        <v>39.26</v>
      </c>
      <c r="E50" s="88">
        <f>IFERROR(__xludf.DUMMYFUNCTION("""COMPUTED_VALUE"""),39.93)</f>
        <v>39.93</v>
      </c>
      <c r="F50" s="88">
        <f>IFERROR(__xludf.DUMMYFUNCTION("""COMPUTED_VALUE"""),2.14100995E8)</f>
        <v>214100995</v>
      </c>
      <c r="G50" s="88">
        <f>IFERROR(__xludf.DUMMYFUNCTION("""COMPUTED_VALUE"""),36.2595715647662)</f>
        <v>36.25957156</v>
      </c>
      <c r="H50" s="88">
        <f>IFERROR(__xludf.DUMMYFUNCTION("""COMPUTED_VALUE"""),36.4303528884475)</f>
        <v>36.43035289</v>
      </c>
      <c r="I50" s="88">
        <f>IFERROR(__xludf.DUMMYFUNCTION("""COMPUTED_VALUE"""),35.2888145669985)</f>
        <v>35.28881457</v>
      </c>
      <c r="J50" s="88">
        <f>IFERROR(__xludf.DUMMYFUNCTION("""COMPUTED_VALUE"""),35.8910434452433)</f>
        <v>35.89104345</v>
      </c>
      <c r="K50" s="88">
        <f>IFERROR(__xludf.DUMMYFUNCTION("""COMPUTED_VALUE"""),2.14100995E8)</f>
        <v>214100995</v>
      </c>
      <c r="L50" s="88">
        <f>IFERROR(__xludf.DUMMYFUNCTION("""COMPUTED_VALUE"""),0.0)</f>
        <v>0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IFERROR(__xludf.DUMMYFUNCTION("""COMPUTED_VALUE"""),39.72)</f>
        <v>39.72</v>
      </c>
      <c r="C51">
        <f>IFERROR(__xludf.DUMMYFUNCTION("""COMPUTED_VALUE"""),40.63)</f>
        <v>40.63</v>
      </c>
      <c r="D51" s="88">
        <f>IFERROR(__xludf.DUMMYFUNCTION("""COMPUTED_VALUE"""),38.12)</f>
        <v>38.12</v>
      </c>
      <c r="E51" s="88">
        <f>IFERROR(__xludf.DUMMYFUNCTION("""COMPUTED_VALUE"""),39.03)</f>
        <v>39.03</v>
      </c>
      <c r="F51" s="88">
        <f>IFERROR(__xludf.DUMMYFUNCTION("""COMPUTED_VALUE"""),3.19745469E8)</f>
        <v>319745469</v>
      </c>
      <c r="G51" s="88">
        <f>IFERROR(__xludf.DUMMYFUNCTION("""COMPUTED_VALUE"""),35.7022851401218)</f>
        <v>35.70228514</v>
      </c>
      <c r="H51" s="88">
        <f>IFERROR(__xludf.DUMMYFUNCTION("""COMPUTED_VALUE"""),36.4556581616792)</f>
        <v>36.45565816</v>
      </c>
      <c r="I51" s="88">
        <f>IFERROR(__xludf.DUMMYFUNCTION("""COMPUTED_VALUE"""),34.2035365277679)</f>
        <v>34.20353653</v>
      </c>
      <c r="J51" s="88">
        <f>IFERROR(__xludf.DUMMYFUNCTION("""COMPUTED_VALUE"""),35.0200427775127)</f>
        <v>35.02004278</v>
      </c>
      <c r="K51" s="88">
        <f>IFERROR(__xludf.DUMMYFUNCTION("""COMPUTED_VALUE"""),3.19745469E8)</f>
        <v>319745469</v>
      </c>
      <c r="L51" s="88">
        <f>IFERROR(__xludf.DUMMYFUNCTION("""COMPUTED_VALUE"""),0.071)</f>
        <v>0.071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IFERROR(__xludf.DUMMYFUNCTION("""COMPUTED_VALUE"""),38.69)</f>
        <v>38.69</v>
      </c>
      <c r="C52">
        <f>IFERROR(__xludf.DUMMYFUNCTION("""COMPUTED_VALUE"""),39.78)</f>
        <v>39.78</v>
      </c>
      <c r="D52" s="88">
        <f>IFERROR(__xludf.DUMMYFUNCTION("""COMPUTED_VALUE"""),37.84)</f>
        <v>37.84</v>
      </c>
      <c r="E52" s="88">
        <f>IFERROR(__xludf.DUMMYFUNCTION("""COMPUTED_VALUE"""),38.09)</f>
        <v>38.09</v>
      </c>
      <c r="F52" s="88">
        <f>IFERROR(__xludf.DUMMYFUNCTION("""COMPUTED_VALUE"""),1.91015153E8)</f>
        <v>191015153</v>
      </c>
      <c r="G52" s="88">
        <f>IFERROR(__xludf.DUMMYFUNCTION("""COMPUTED_VALUE"""),34.7149745083773)</f>
        <v>34.71497451</v>
      </c>
      <c r="H52" s="88">
        <f>IFERROR(__xludf.DUMMYFUNCTION("""COMPUTED_VALUE"""),35.6929874888407)</f>
        <v>35.69298749</v>
      </c>
      <c r="I52" s="88">
        <f>IFERROR(__xludf.DUMMYFUNCTION("""COMPUTED_VALUE"""),33.9523038355388)</f>
        <v>33.95230384</v>
      </c>
      <c r="J52" s="88">
        <f>IFERROR(__xludf.DUMMYFUNCTION("""COMPUTED_VALUE"""),34.1766187393148)</f>
        <v>34.17661874</v>
      </c>
      <c r="K52" s="88">
        <f>IFERROR(__xludf.DUMMYFUNCTION("""COMPUTED_VALUE"""),1.91015153E8)</f>
        <v>191015153</v>
      </c>
      <c r="L52" s="88">
        <f>IFERROR(__xludf.DUMMYFUNCTION("""COMPUTED_VALUE"""),0.0)</f>
        <v>0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IFERROR(__xludf.DUMMYFUNCTION("""COMPUTED_VALUE"""),37.84)</f>
        <v>37.84</v>
      </c>
      <c r="C53">
        <f>IFERROR(__xludf.DUMMYFUNCTION("""COMPUTED_VALUE"""),38.15)</f>
        <v>38.15</v>
      </c>
      <c r="D53" s="88">
        <f>IFERROR(__xludf.DUMMYFUNCTION("""COMPUTED_VALUE"""),36.03)</f>
        <v>36.03</v>
      </c>
      <c r="E53" s="88">
        <f>IFERROR(__xludf.DUMMYFUNCTION("""COMPUTED_VALUE"""),36.18)</f>
        <v>36.18</v>
      </c>
      <c r="F53" s="88">
        <f>IFERROR(__xludf.DUMMYFUNCTION("""COMPUTED_VALUE"""),2.55173814E8)</f>
        <v>255173814</v>
      </c>
      <c r="G53" s="88">
        <f>IFERROR(__xludf.DUMMYFUNCTION("""COMPUTED_VALUE"""),33.9523038355388)</f>
        <v>33.95230384</v>
      </c>
      <c r="H53" s="88">
        <f>IFERROR(__xludf.DUMMYFUNCTION("""COMPUTED_VALUE"""),34.2304543162211)</f>
        <v>34.23045432</v>
      </c>
      <c r="I53" s="88">
        <f>IFERROR(__xludf.DUMMYFUNCTION("""COMPUTED_VALUE"""),32.3282639322004)</f>
        <v>32.32826393</v>
      </c>
      <c r="J53" s="88">
        <f>IFERROR(__xludf.DUMMYFUNCTION("""COMPUTED_VALUE"""),32.462852874466)</f>
        <v>32.46285287</v>
      </c>
      <c r="K53" s="88">
        <f>IFERROR(__xludf.DUMMYFUNCTION("""COMPUTED_VALUE"""),2.55173814E8)</f>
        <v>255173814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IFERROR(__xludf.DUMMYFUNCTION("""COMPUTED_VALUE"""),35.78)</f>
        <v>35.78</v>
      </c>
      <c r="C54">
        <f>IFERROR(__xludf.DUMMYFUNCTION("""COMPUTED_VALUE"""),36.88)</f>
        <v>36.88</v>
      </c>
      <c r="D54" s="88">
        <f>IFERROR(__xludf.DUMMYFUNCTION("""COMPUTED_VALUE"""),34.71)</f>
        <v>34.71</v>
      </c>
      <c r="E54" s="88">
        <f>IFERROR(__xludf.DUMMYFUNCTION("""COMPUTED_VALUE"""),36.12)</f>
        <v>36.12</v>
      </c>
      <c r="F54" s="88">
        <f>IFERROR(__xludf.DUMMYFUNCTION("""COMPUTED_VALUE"""),3.00374255E8)</f>
        <v>300374255</v>
      </c>
      <c r="G54" s="88">
        <f>IFERROR(__xludf.DUMMYFUNCTION("""COMPUTED_VALUE"""),32.1039490284244)</f>
        <v>32.10394903</v>
      </c>
      <c r="H54" s="88">
        <f>IFERROR(__xludf.DUMMYFUNCTION("""COMPUTED_VALUE"""),32.9323369483471)</f>
        <v>32.93233695</v>
      </c>
      <c r="I54" s="88">
        <f>IFERROR(__xludf.DUMMYFUNCTION("""COMPUTED_VALUE"""),31.143881240263)</f>
        <v>31.14388124</v>
      </c>
      <c r="J54" s="88">
        <f>IFERROR(__xludf.DUMMYFUNCTION("""COMPUTED_VALUE"""),32.2536879222966)</f>
        <v>32.25368792</v>
      </c>
      <c r="K54" s="88">
        <f>IFERROR(__xludf.DUMMYFUNCTION("""COMPUTED_VALUE"""),3.00374255E8)</f>
        <v>300374255</v>
      </c>
      <c r="L54" s="88">
        <f>IFERROR(__xludf.DUMMYFUNCTION("""COMPUTED_VALUE"""),0.17)</f>
        <v>0.17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IFERROR(__xludf.DUMMYFUNCTION("""COMPUTED_VALUE"""),36.22)</f>
        <v>36.22</v>
      </c>
      <c r="C55">
        <f>IFERROR(__xludf.DUMMYFUNCTION("""COMPUTED_VALUE"""),38.19)</f>
        <v>38.19</v>
      </c>
      <c r="D55" s="88">
        <f>IFERROR(__xludf.DUMMYFUNCTION("""COMPUTED_VALUE"""),34.78)</f>
        <v>34.78</v>
      </c>
      <c r="E55" s="88">
        <f>IFERROR(__xludf.DUMMYFUNCTION("""COMPUTED_VALUE"""),37.89)</f>
        <v>37.89</v>
      </c>
      <c r="F55" s="88">
        <f>IFERROR(__xludf.DUMMYFUNCTION("""COMPUTED_VALUE"""),4.23508711E8)</f>
        <v>423508711</v>
      </c>
      <c r="G55" s="88">
        <f>IFERROR(__xludf.DUMMYFUNCTION("""COMPUTED_VALUE"""),32.3429838467769)</f>
        <v>32.34298385</v>
      </c>
      <c r="H55" s="88">
        <f>IFERROR(__xludf.DUMMYFUNCTION("""COMPUTED_VALUE"""),34.1021135590395)</f>
        <v>34.10211356</v>
      </c>
      <c r="I55" s="88">
        <f>IFERROR(__xludf.DUMMYFUNCTION("""COMPUTED_VALUE"""),31.0571225342601)</f>
        <v>31.05712253</v>
      </c>
      <c r="J55" s="88">
        <f>IFERROR(__xludf.DUMMYFUNCTION("""COMPUTED_VALUE"""),33.8342257855985)</f>
        <v>33.83422579</v>
      </c>
      <c r="K55" s="88">
        <f>IFERROR(__xludf.DUMMYFUNCTION("""COMPUTED_VALUE"""),4.23508711E8)</f>
        <v>423508711</v>
      </c>
      <c r="L55" s="88">
        <f>IFERROR(__xludf.DUMMYFUNCTION("""COMPUTED_VALUE"""),0.0)</f>
        <v>0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IFERROR(__xludf.DUMMYFUNCTION("""COMPUTED_VALUE"""),37.75)</f>
        <v>37.75</v>
      </c>
      <c r="C56">
        <f>IFERROR(__xludf.DUMMYFUNCTION("""COMPUTED_VALUE"""),38.38)</f>
        <v>38.38</v>
      </c>
      <c r="D56" s="88">
        <f>IFERROR(__xludf.DUMMYFUNCTION("""COMPUTED_VALUE"""),36.75)</f>
        <v>36.75</v>
      </c>
      <c r="E56" s="88">
        <f>IFERROR(__xludf.DUMMYFUNCTION("""COMPUTED_VALUE"""),37.7)</f>
        <v>37.7</v>
      </c>
      <c r="F56" s="88">
        <f>IFERROR(__xludf.DUMMYFUNCTION("""COMPUTED_VALUE"""),2.72804376E8)</f>
        <v>272804376</v>
      </c>
      <c r="G56" s="88">
        <f>IFERROR(__xludf.DUMMYFUNCTION("""COMPUTED_VALUE"""),33.709211491326)</f>
        <v>33.70921149</v>
      </c>
      <c r="H56" s="88">
        <f>IFERROR(__xludf.DUMMYFUNCTION("""COMPUTED_VALUE"""),34.2717758155521)</f>
        <v>34.27177582</v>
      </c>
      <c r="I56" s="88">
        <f>IFERROR(__xludf.DUMMYFUNCTION("""COMPUTED_VALUE"""),32.8162522465227)</f>
        <v>32.81625225</v>
      </c>
      <c r="J56" s="88">
        <f>IFERROR(__xludf.DUMMYFUNCTION("""COMPUTED_VALUE"""),33.6645635290858)</f>
        <v>33.66456353</v>
      </c>
      <c r="K56" s="88">
        <f>IFERROR(__xludf.DUMMYFUNCTION("""COMPUTED_VALUE"""),2.72804376E8)</f>
        <v>272804376</v>
      </c>
      <c r="L56" s="88">
        <f>IFERROR(__xludf.DUMMYFUNCTION("""COMPUTED_VALUE"""),0.0)</f>
        <v>0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IFERROR(__xludf.DUMMYFUNCTION("""COMPUTED_VALUE"""),37.63)</f>
        <v>37.63</v>
      </c>
      <c r="C57">
        <f>IFERROR(__xludf.DUMMYFUNCTION("""COMPUTED_VALUE"""),38.87)</f>
        <v>38.87</v>
      </c>
      <c r="D57" s="88">
        <f>IFERROR(__xludf.DUMMYFUNCTION("""COMPUTED_VALUE"""),36.13)</f>
        <v>36.13</v>
      </c>
      <c r="E57" s="88">
        <f>IFERROR(__xludf.DUMMYFUNCTION("""COMPUTED_VALUE"""),37.34)</f>
        <v>37.34</v>
      </c>
      <c r="F57" s="88">
        <f>IFERROR(__xludf.DUMMYFUNCTION("""COMPUTED_VALUE"""),3.59300665E8)</f>
        <v>359300665</v>
      </c>
      <c r="G57" s="88">
        <f>IFERROR(__xludf.DUMMYFUNCTION("""COMPUTED_VALUE"""),33.6020563819496)</f>
        <v>33.60205638</v>
      </c>
      <c r="H57" s="88">
        <f>IFERROR(__xludf.DUMMYFUNCTION("""COMPUTED_VALUE"""),34.2985645928962)</f>
        <v>34.29856459</v>
      </c>
      <c r="I57" s="88">
        <f>IFERROR(__xludf.DUMMYFUNCTION("""COMPUTED_VALUE"""),32.2626175147446)</f>
        <v>32.26261751</v>
      </c>
      <c r="J57" s="88">
        <f>IFERROR(__xludf.DUMMYFUNCTION("""COMPUTED_VALUE"""),32.93525927216)</f>
        <v>32.93525927</v>
      </c>
      <c r="K57" s="88">
        <f>IFERROR(__xludf.DUMMYFUNCTION("""COMPUTED_VALUE"""),3.59300665E8)</f>
        <v>359300665</v>
      </c>
      <c r="L57" s="88">
        <f>IFERROR(__xludf.DUMMYFUNCTION("""COMPUTED_VALUE"""),0.45)</f>
        <v>0.45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IFERROR(__xludf.DUMMYFUNCTION("""COMPUTED_VALUE"""),37.33)</f>
        <v>37.33</v>
      </c>
      <c r="C58">
        <f>IFERROR(__xludf.DUMMYFUNCTION("""COMPUTED_VALUE"""),38.6699)</f>
        <v>38.6699</v>
      </c>
      <c r="D58" s="88">
        <f>IFERROR(__xludf.DUMMYFUNCTION("""COMPUTED_VALUE"""),36.41)</f>
        <v>36.41</v>
      </c>
      <c r="E58" s="88">
        <f>IFERROR(__xludf.DUMMYFUNCTION("""COMPUTED_VALUE"""),37.08)</f>
        <v>37.08</v>
      </c>
      <c r="F58" s="88">
        <f>IFERROR(__xludf.DUMMYFUNCTION("""COMPUTED_VALUE"""),3.3514654E8)</f>
        <v>335146540</v>
      </c>
      <c r="G58" s="88">
        <f>IFERROR(__xludf.DUMMYFUNCTION("""COMPUTED_VALUE"""),32.926438902778)</f>
        <v>32.9264389</v>
      </c>
      <c r="H58" s="88">
        <f>IFERROR(__xludf.DUMMYFUNCTION("""COMPUTED_VALUE"""),34.108280196264)</f>
        <v>34.1082802</v>
      </c>
      <c r="I58" s="88">
        <f>IFERROR(__xludf.DUMMYFUNCTION("""COMPUTED_VALUE"""),32.1149649196396)</f>
        <v>32.11496492</v>
      </c>
      <c r="J58" s="88">
        <f>IFERROR(__xludf.DUMMYFUNCTION("""COMPUTED_VALUE"""),32.7059296682295)</f>
        <v>32.70592967</v>
      </c>
      <c r="K58" s="88">
        <f>IFERROR(__xludf.DUMMYFUNCTION("""COMPUTED_VALUE"""),3.3514654E8)</f>
        <v>335146540</v>
      </c>
      <c r="L58" s="88">
        <f>IFERROR(__xludf.DUMMYFUNCTION("""COMPUTED_VALUE"""),0.0)</f>
        <v>0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IFERROR(__xludf.DUMMYFUNCTION("""COMPUTED_VALUE"""),37.04)</f>
        <v>37.04</v>
      </c>
      <c r="C59">
        <f>IFERROR(__xludf.DUMMYFUNCTION("""COMPUTED_VALUE"""),37.0964)</f>
        <v>37.0964</v>
      </c>
      <c r="D59" s="88">
        <f>IFERROR(__xludf.DUMMYFUNCTION("""COMPUTED_VALUE"""),34.2499)</f>
        <v>34.2499</v>
      </c>
      <c r="E59" s="88">
        <f>IFERROR(__xludf.DUMMYFUNCTION("""COMPUTED_VALUE"""),35.37)</f>
        <v>35.37</v>
      </c>
      <c r="F59" s="88">
        <f>IFERROR(__xludf.DUMMYFUNCTION("""COMPUTED_VALUE"""),2.70500367E8)</f>
        <v>270500367</v>
      </c>
      <c r="G59" s="88">
        <f>IFERROR(__xludf.DUMMYFUNCTION("""COMPUTED_VALUE"""),32.6706481907018)</f>
        <v>32.67064819</v>
      </c>
      <c r="H59" s="88">
        <f>IFERROR(__xludf.DUMMYFUNCTION("""COMPUTED_VALUE"""),32.7203950740159)</f>
        <v>32.72039507</v>
      </c>
      <c r="I59" s="88">
        <f>IFERROR(__xludf.DUMMYFUNCTION("""COMPUTED_VALUE"""),30.209676929447)</f>
        <v>30.20967693</v>
      </c>
      <c r="J59" s="88">
        <f>IFERROR(__xludf.DUMMYFUNCTION("""COMPUTED_VALUE"""),31.197646503918)</f>
        <v>31.1976465</v>
      </c>
      <c r="K59" s="88">
        <f>IFERROR(__xludf.DUMMYFUNCTION("""COMPUTED_VALUE"""),2.70500367E8)</f>
        <v>270500367</v>
      </c>
      <c r="L59" s="88">
        <f>IFERROR(__xludf.DUMMYFUNCTION("""COMPUTED_VALUE"""),0.0)</f>
        <v>0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IFERROR(__xludf.DUMMYFUNCTION("""COMPUTED_VALUE"""),35.23)</f>
        <v>35.23</v>
      </c>
      <c r="C60">
        <f>IFERROR(__xludf.DUMMYFUNCTION("""COMPUTED_VALUE"""),35.52)</f>
        <v>35.52</v>
      </c>
      <c r="D60" s="88">
        <f>IFERROR(__xludf.DUMMYFUNCTION("""COMPUTED_VALUE"""),32.78)</f>
        <v>32.78</v>
      </c>
      <c r="E60" s="88">
        <f>IFERROR(__xludf.DUMMYFUNCTION("""COMPUTED_VALUE"""),33.69)</f>
        <v>33.69</v>
      </c>
      <c r="F60" s="88">
        <f>IFERROR(__xludf.DUMMYFUNCTION("""COMPUTED_VALUE"""),4.43249798E8)</f>
        <v>443249798</v>
      </c>
      <c r="G60" s="88">
        <f>IFERROR(__xludf.DUMMYFUNCTION("""COMPUTED_VALUE"""),31.0741613325708)</f>
        <v>31.07416133</v>
      </c>
      <c r="H60" s="88">
        <f>IFERROR(__xludf.DUMMYFUNCTION("""COMPUTED_VALUE"""),31.3255418599561)</f>
        <v>31.32554186</v>
      </c>
      <c r="I60" s="88">
        <f>IFERROR(__xludf.DUMMYFUNCTION("""COMPUTED_VALUE"""),28.9131708339958)</f>
        <v>28.91317083</v>
      </c>
      <c r="J60" s="88">
        <f>IFERROR(__xludf.DUMMYFUNCTION("""COMPUTED_VALUE"""),29.5190309083632)</f>
        <v>29.51903091</v>
      </c>
      <c r="K60" s="88">
        <f>IFERROR(__xludf.DUMMYFUNCTION("""COMPUTED_VALUE"""),4.43249798E8)</f>
        <v>443249798</v>
      </c>
      <c r="L60" s="88">
        <f>IFERROR(__xludf.DUMMYFUNCTION("""COMPUTED_VALUE"""),0.223)</f>
        <v>0.223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IFERROR(__xludf.DUMMYFUNCTION("""COMPUTED_VALUE"""),33.8)</f>
        <v>33.8</v>
      </c>
      <c r="C61">
        <f>IFERROR(__xludf.DUMMYFUNCTION("""COMPUTED_VALUE"""),34.925)</f>
        <v>34.925</v>
      </c>
      <c r="D61" s="88">
        <f>IFERROR(__xludf.DUMMYFUNCTION("""COMPUTED_VALUE"""),32.25)</f>
        <v>32.25</v>
      </c>
      <c r="E61" s="88">
        <f>IFERROR(__xludf.DUMMYFUNCTION("""COMPUTED_VALUE"""),34.92)</f>
        <v>34.92</v>
      </c>
      <c r="F61" s="88">
        <f>IFERROR(__xludf.DUMMYFUNCTION("""COMPUTED_VALUE"""),3.29029337E8)</f>
        <v>329029337</v>
      </c>
      <c r="G61" s="88">
        <f>IFERROR(__xludf.DUMMYFUNCTION("""COMPUTED_VALUE"""),29.6154124280996)</f>
        <v>29.61541243</v>
      </c>
      <c r="H61" s="88">
        <f>IFERROR(__xludf.DUMMYFUNCTION("""COMPUTED_VALUE"""),30.6011325163129)</f>
        <v>30.60113252</v>
      </c>
      <c r="I61" s="88">
        <f>IFERROR(__xludf.DUMMYFUNCTION("""COMPUTED_VALUE"""),28.25730919545)</f>
        <v>28.2573092</v>
      </c>
      <c r="J61" s="88">
        <f>IFERROR(__xludf.DUMMYFUNCTION("""COMPUTED_VALUE"""),30.5967515381431)</f>
        <v>30.59675154</v>
      </c>
      <c r="K61" s="88">
        <f>IFERROR(__xludf.DUMMYFUNCTION("""COMPUTED_VALUE"""),3.29029337E8)</f>
        <v>329029337</v>
      </c>
      <c r="L61" s="88">
        <f>IFERROR(__xludf.DUMMYFUNCTION("""COMPUTED_VALUE"""),0.0)</f>
        <v>0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IFERROR(__xludf.DUMMYFUNCTION("""COMPUTED_VALUE"""),34.93)</f>
        <v>34.93</v>
      </c>
      <c r="C62">
        <f>IFERROR(__xludf.DUMMYFUNCTION("""COMPUTED_VALUE"""),35.8299)</f>
        <v>35.8299</v>
      </c>
      <c r="D62" s="88">
        <f>IFERROR(__xludf.DUMMYFUNCTION("""COMPUTED_VALUE"""),33.2)</f>
        <v>33.2</v>
      </c>
      <c r="E62" s="88">
        <f>IFERROR(__xludf.DUMMYFUNCTION("""COMPUTED_VALUE"""),34.01)</f>
        <v>34.01</v>
      </c>
      <c r="F62" s="88">
        <f>IFERROR(__xludf.DUMMYFUNCTION("""COMPUTED_VALUE"""),2.95330248E8)</f>
        <v>295330248</v>
      </c>
      <c r="G62" s="88">
        <f>IFERROR(__xludf.DUMMYFUNCTION("""COMPUTED_VALUE"""),30.6055134944828)</f>
        <v>30.60551349</v>
      </c>
      <c r="H62" s="88">
        <f>IFERROR(__xludf.DUMMYFUNCTION("""COMPUTED_VALUE"""),31.3940019454901)</f>
        <v>31.39400195</v>
      </c>
      <c r="I62" s="88">
        <f>IFERROR(__xludf.DUMMYFUNCTION("""COMPUTED_VALUE"""),29.0896950477191)</f>
        <v>29.08969505</v>
      </c>
      <c r="J62" s="88">
        <f>IFERROR(__xludf.DUMMYFUNCTION("""COMPUTED_VALUE"""),29.7994135112327)</f>
        <v>29.79941351</v>
      </c>
      <c r="K62" s="88">
        <f>IFERROR(__xludf.DUMMYFUNCTION("""COMPUTED_VALUE"""),2.95330248E8)</f>
        <v>295330248</v>
      </c>
      <c r="L62" s="88">
        <f>IFERROR(__xludf.DUMMYFUNCTION("""COMPUTED_VALUE"""),0.0)</f>
        <v>0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IFERROR(__xludf.DUMMYFUNCTION("""COMPUTED_VALUE"""),34.58)</f>
        <v>34.58</v>
      </c>
      <c r="C63">
        <f>IFERROR(__xludf.DUMMYFUNCTION("""COMPUTED_VALUE"""),34.93)</f>
        <v>34.93</v>
      </c>
      <c r="D63" s="88">
        <f>IFERROR(__xludf.DUMMYFUNCTION("""COMPUTED_VALUE"""),31.33)</f>
        <v>31.33</v>
      </c>
      <c r="E63" s="88">
        <f>IFERROR(__xludf.DUMMYFUNCTION("""COMPUTED_VALUE"""),31.36)</f>
        <v>31.36</v>
      </c>
      <c r="F63" s="88">
        <f>IFERROR(__xludf.DUMMYFUNCTION("""COMPUTED_VALUE"""),3.59545629E8)</f>
        <v>359545629</v>
      </c>
      <c r="G63" s="88">
        <f>IFERROR(__xludf.DUMMYFUNCTION("""COMPUTED_VALUE"""),30.2988450225942)</f>
        <v>30.29884502</v>
      </c>
      <c r="H63" s="88">
        <f>IFERROR(__xludf.DUMMYFUNCTION("""COMPUTED_VALUE"""),30.6055134944828)</f>
        <v>30.60551349</v>
      </c>
      <c r="I63" s="88">
        <f>IFERROR(__xludf.DUMMYFUNCTION("""COMPUTED_VALUE"""),27.4035871248184)</f>
        <v>27.40358712</v>
      </c>
      <c r="J63" s="88">
        <f>IFERROR(__xludf.DUMMYFUNCTION("""COMPUTED_VALUE"""),27.4298273933708)</f>
        <v>27.42982739</v>
      </c>
      <c r="K63" s="88">
        <f>IFERROR(__xludf.DUMMYFUNCTION("""COMPUTED_VALUE"""),3.59545629E8)</f>
        <v>359545629</v>
      </c>
      <c r="L63" s="88">
        <f>IFERROR(__xludf.DUMMYFUNCTION("""COMPUTED_VALUE"""),0.057)</f>
        <v>0.057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IFERROR(__xludf.DUMMYFUNCTION("""COMPUTED_VALUE"""),30.73)</f>
        <v>30.73</v>
      </c>
      <c r="C64">
        <f>IFERROR(__xludf.DUMMYFUNCTION("""COMPUTED_VALUE"""),31.46)</f>
        <v>31.46</v>
      </c>
      <c r="D64" s="88">
        <f>IFERROR(__xludf.DUMMYFUNCTION("""COMPUTED_VALUE"""),28.9031)</f>
        <v>28.9031</v>
      </c>
      <c r="E64" s="88">
        <f>IFERROR(__xludf.DUMMYFUNCTION("""COMPUTED_VALUE"""),30.31)</f>
        <v>30.31</v>
      </c>
      <c r="F64" s="88">
        <f>IFERROR(__xludf.DUMMYFUNCTION("""COMPUTED_VALUE"""),4.24644195E8)</f>
        <v>424644195</v>
      </c>
      <c r="G64" s="88">
        <f>IFERROR(__xludf.DUMMYFUNCTION("""COMPUTED_VALUE"""),26.8787817537718)</f>
        <v>26.87878175</v>
      </c>
      <c r="H64" s="88">
        <f>IFERROR(__xludf.DUMMYFUNCTION("""COMPUTED_VALUE"""),27.5172949552119)</f>
        <v>27.51729496</v>
      </c>
      <c r="I64" s="88">
        <f>IFERROR(__xludf.DUMMYFUNCTION("""COMPUTED_VALUE"""),25.2808368664966)</f>
        <v>25.28083687</v>
      </c>
      <c r="J64" s="88">
        <f>IFERROR(__xludf.DUMMYFUNCTION("""COMPUTED_VALUE"""),26.5114179940392)</f>
        <v>26.51141799</v>
      </c>
      <c r="K64" s="88">
        <f>IFERROR(__xludf.DUMMYFUNCTION("""COMPUTED_VALUE"""),4.24644195E8)</f>
        <v>424644195</v>
      </c>
      <c r="L64" s="88">
        <f>IFERROR(__xludf.DUMMYFUNCTION("""COMPUTED_VALUE"""),0.0)</f>
        <v>0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IFERROR(__xludf.DUMMYFUNCTION("""COMPUTED_VALUE"""),30.83)</f>
        <v>30.83</v>
      </c>
      <c r="C65">
        <f>IFERROR(__xludf.DUMMYFUNCTION("""COMPUTED_VALUE"""),31.97)</f>
        <v>31.97</v>
      </c>
      <c r="D65" s="88">
        <f>IFERROR(__xludf.DUMMYFUNCTION("""COMPUTED_VALUE"""),27.98)</f>
        <v>27.98</v>
      </c>
      <c r="E65" s="88">
        <f>IFERROR(__xludf.DUMMYFUNCTION("""COMPUTED_VALUE"""),31.84)</f>
        <v>31.84</v>
      </c>
      <c r="F65" s="88">
        <f>IFERROR(__xludf.DUMMYFUNCTION("""COMPUTED_VALUE"""),5.01785449E8)</f>
        <v>501785449</v>
      </c>
      <c r="G65" s="88">
        <f>IFERROR(__xludf.DUMMYFUNCTION("""COMPUTED_VALUE"""),26.9662493156129)</f>
        <v>26.96624932</v>
      </c>
      <c r="H65" s="88">
        <f>IFERROR(__xludf.DUMMYFUNCTION("""COMPUTED_VALUE"""),27.9633795206015)</f>
        <v>27.96337952</v>
      </c>
      <c r="I65" s="88">
        <f>IFERROR(__xludf.DUMMYFUNCTION("""COMPUTED_VALUE"""),24.4734238031414)</f>
        <v>24.4734238</v>
      </c>
      <c r="J65" s="88">
        <f>IFERROR(__xludf.DUMMYFUNCTION("""COMPUTED_VALUE"""),27.8496716902081)</f>
        <v>27.84967169</v>
      </c>
      <c r="K65" s="88">
        <f>IFERROR(__xludf.DUMMYFUNCTION("""COMPUTED_VALUE"""),5.01785449E8)</f>
        <v>501785449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IFERROR(__xludf.DUMMYFUNCTION("""COMPUTED_VALUE"""),32.71)</f>
        <v>32.71</v>
      </c>
      <c r="C66">
        <f>IFERROR(__xludf.DUMMYFUNCTION("""COMPUTED_VALUE"""),34.3)</f>
        <v>34.3</v>
      </c>
      <c r="D66" s="88">
        <f>IFERROR(__xludf.DUMMYFUNCTION("""COMPUTED_VALUE"""),31.5101)</f>
        <v>31.5101</v>
      </c>
      <c r="E66" s="88">
        <f>IFERROR(__xludf.DUMMYFUNCTION("""COMPUTED_VALUE"""),34.19)</f>
        <v>34.19</v>
      </c>
      <c r="F66" s="88">
        <f>IFERROR(__xludf.DUMMYFUNCTION("""COMPUTED_VALUE"""),5.08019748E8)</f>
        <v>508019748</v>
      </c>
      <c r="G66" s="88">
        <f>IFERROR(__xludf.DUMMYFUNCTION("""COMPUTED_VALUE"""),28.6106394782257)</f>
        <v>28.61063948</v>
      </c>
      <c r="H66" s="88">
        <f>IFERROR(__xludf.DUMMYFUNCTION("""COMPUTED_VALUE"""),29.8562455232329)</f>
        <v>29.85624552</v>
      </c>
      <c r="I66" s="88">
        <f>IFERROR(__xludf.DUMMYFUNCTION("""COMPUTED_VALUE"""),27.4277924799306)</f>
        <v>27.42779248</v>
      </c>
      <c r="J66" s="88">
        <f>IFERROR(__xludf.DUMMYFUNCTION("""COMPUTED_VALUE"""),29.7604966308843)</f>
        <v>29.76049663</v>
      </c>
      <c r="K66" s="88">
        <f>IFERROR(__xludf.DUMMYFUNCTION("""COMPUTED_VALUE"""),5.08019748E8)</f>
        <v>508019748</v>
      </c>
      <c r="L66" s="88">
        <f>IFERROR(__xludf.DUMMYFUNCTION("""COMPUTED_VALUE"""),0.159)</f>
        <v>0.159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IFERROR(__xludf.DUMMYFUNCTION("""COMPUTED_VALUE"""),34.04)</f>
        <v>34.04</v>
      </c>
      <c r="C67">
        <f>IFERROR(__xludf.DUMMYFUNCTION("""COMPUTED_VALUE"""),36.3)</f>
        <v>36.3</v>
      </c>
      <c r="D67" s="88">
        <f>IFERROR(__xludf.DUMMYFUNCTION("""COMPUTED_VALUE"""),33.591)</f>
        <v>33.591</v>
      </c>
      <c r="E67" s="88">
        <f>IFERROR(__xludf.DUMMYFUNCTION("""COMPUTED_VALUE"""),35.13)</f>
        <v>35.13</v>
      </c>
      <c r="F67" s="88">
        <f>IFERROR(__xludf.DUMMYFUNCTION("""COMPUTED_VALUE"""),3.28520638E8)</f>
        <v>328520638</v>
      </c>
      <c r="G67" s="88">
        <f>IFERROR(__xludf.DUMMYFUNCTION("""COMPUTED_VALUE"""),29.6299299594999)</f>
        <v>29.62992996</v>
      </c>
      <c r="H67" s="88">
        <f>IFERROR(__xludf.DUMMYFUNCTION("""COMPUTED_VALUE"""),31.5971344750249)</f>
        <v>31.59713448</v>
      </c>
      <c r="I67" s="88">
        <f>IFERROR(__xludf.DUMMYFUNCTION("""COMPUTED_VALUE"""),29.2391003898226)</f>
        <v>29.23910039</v>
      </c>
      <c r="J67" s="88">
        <f>IFERROR(__xludf.DUMMYFUNCTION("""COMPUTED_VALUE"""),30.5787144382266)</f>
        <v>30.57871444</v>
      </c>
      <c r="K67" s="88">
        <f>IFERROR(__xludf.DUMMYFUNCTION("""COMPUTED_VALUE"""),3.28520638E8)</f>
        <v>328520638</v>
      </c>
      <c r="L67" s="88">
        <f>IFERROR(__xludf.DUMMYFUNCTION("""COMPUTED_VALUE"""),0.0)</f>
        <v>0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IFERROR(__xludf.DUMMYFUNCTION("""COMPUTED_VALUE"""),34.84)</f>
        <v>34.84</v>
      </c>
      <c r="C68">
        <f>IFERROR(__xludf.DUMMYFUNCTION("""COMPUTED_VALUE"""),36.525)</f>
        <v>36.525</v>
      </c>
      <c r="D68" s="88">
        <f>IFERROR(__xludf.DUMMYFUNCTION("""COMPUTED_VALUE"""),32.93)</f>
        <v>32.93</v>
      </c>
      <c r="E68" s="88">
        <f>IFERROR(__xludf.DUMMYFUNCTION("""COMPUTED_VALUE"""),33.34)</f>
        <v>33.34</v>
      </c>
      <c r="F68" s="88">
        <f>IFERROR(__xludf.DUMMYFUNCTION("""COMPUTED_VALUE"""),3.84201362E8)</f>
        <v>384201362</v>
      </c>
      <c r="G68" s="88">
        <f>IFERROR(__xludf.DUMMYFUNCTION("""COMPUTED_VALUE"""),30.3262855402167)</f>
        <v>30.32628554</v>
      </c>
      <c r="H68" s="88">
        <f>IFERROR(__xludf.DUMMYFUNCTION("""COMPUTED_VALUE"""),31.7929844821015)</f>
        <v>31.79298448</v>
      </c>
      <c r="I68" s="88">
        <f>IFERROR(__xludf.DUMMYFUNCTION("""COMPUTED_VALUE"""),28.6637365912554)</f>
        <v>28.66373659</v>
      </c>
      <c r="J68" s="88">
        <f>IFERROR(__xludf.DUMMYFUNCTION("""COMPUTED_VALUE"""),29.0206188263727)</f>
        <v>29.02061883</v>
      </c>
      <c r="K68" s="88">
        <f>IFERROR(__xludf.DUMMYFUNCTION("""COMPUTED_VALUE"""),3.84201362E8)</f>
        <v>384201362</v>
      </c>
      <c r="L68" s="88">
        <f>IFERROR(__xludf.DUMMYFUNCTION("""COMPUTED_VALUE"""),0.0)</f>
        <v>0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IFERROR(__xludf.DUMMYFUNCTION("""COMPUTED_VALUE"""),33.09)</f>
        <v>33.09</v>
      </c>
      <c r="C69">
        <f>IFERROR(__xludf.DUMMYFUNCTION("""COMPUTED_VALUE"""),36.0)</f>
        <v>36</v>
      </c>
      <c r="D69" s="88">
        <f>IFERROR(__xludf.DUMMYFUNCTION("""COMPUTED_VALUE"""),31.89)</f>
        <v>31.89</v>
      </c>
      <c r="E69" s="88">
        <f>IFERROR(__xludf.DUMMYFUNCTION("""COMPUTED_VALUE"""),33.59)</f>
        <v>33.59</v>
      </c>
      <c r="F69" s="88">
        <f>IFERROR(__xludf.DUMMYFUNCTION("""COMPUTED_VALUE"""),5.0862188E8)</f>
        <v>508621880</v>
      </c>
      <c r="G69" s="88">
        <f>IFERROR(__xludf.DUMMYFUNCTION("""COMPUTED_VALUE"""),28.8030077073987)</f>
        <v>28.80300771</v>
      </c>
      <c r="H69" s="88">
        <f>IFERROR(__xludf.DUMMYFUNCTION("""COMPUTED_VALUE"""),30.9104946261964)</f>
        <v>30.91049463</v>
      </c>
      <c r="I69" s="88">
        <f>IFERROR(__xludf.DUMMYFUNCTION("""COMPUTED_VALUE"""),27.7584743363235)</f>
        <v>27.75847434</v>
      </c>
      <c r="J69" s="88">
        <f>IFERROR(__xludf.DUMMYFUNCTION("""COMPUTED_VALUE"""),28.8412087359427)</f>
        <v>28.84120874</v>
      </c>
      <c r="K69" s="88">
        <f>IFERROR(__xludf.DUMMYFUNCTION("""COMPUTED_VALUE"""),5.0862188E8)</f>
        <v>508621880</v>
      </c>
      <c r="L69" s="88">
        <f>IFERROR(__xludf.DUMMYFUNCTION("""COMPUTED_VALUE"""),0.45)</f>
        <v>0.45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IFERROR(__xludf.DUMMYFUNCTION("""COMPUTED_VALUE"""),34.54)</f>
        <v>34.54</v>
      </c>
      <c r="C70">
        <f>IFERROR(__xludf.DUMMYFUNCTION("""COMPUTED_VALUE"""),38.2701)</f>
        <v>38.2701</v>
      </c>
      <c r="D70" s="88">
        <f>IFERROR(__xludf.DUMMYFUNCTION("""COMPUTED_VALUE"""),30.9)</f>
        <v>30.9</v>
      </c>
      <c r="E70" s="88">
        <f>IFERROR(__xludf.DUMMYFUNCTION("""COMPUTED_VALUE"""),37.91)</f>
        <v>37.91</v>
      </c>
      <c r="F70" s="88">
        <f>IFERROR(__xludf.DUMMYFUNCTION("""COMPUTED_VALUE"""),5.08321511E8)</f>
        <v>508321511</v>
      </c>
      <c r="G70" s="88">
        <f>IFERROR(__xludf.DUMMYFUNCTION("""COMPUTED_VALUE"""),29.656902344134)</f>
        <v>29.65690234</v>
      </c>
      <c r="H70" s="88">
        <f>IFERROR(__xludf.DUMMYFUNCTION("""COMPUTED_VALUE"""),32.8596588998333)</f>
        <v>32.8596589</v>
      </c>
      <c r="I70" s="88">
        <f>IFERROR(__xludf.DUMMYFUNCTION("""COMPUTED_VALUE"""),26.5315078874853)</f>
        <v>26.53150789</v>
      </c>
      <c r="J70" s="88">
        <f>IFERROR(__xludf.DUMMYFUNCTION("""COMPUTED_VALUE"""),32.5504680910863)</f>
        <v>32.55046809</v>
      </c>
      <c r="K70" s="88">
        <f>IFERROR(__xludf.DUMMYFUNCTION("""COMPUTED_VALUE"""),5.08321511E8)</f>
        <v>508321511</v>
      </c>
      <c r="L70" s="88">
        <f>IFERROR(__xludf.DUMMYFUNCTION("""COMPUTED_VALUE"""),0.0)</f>
        <v>0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IFERROR(__xludf.DUMMYFUNCTION("""COMPUTED_VALUE"""),38.32)</f>
        <v>38.32</v>
      </c>
      <c r="C71">
        <f>IFERROR(__xludf.DUMMYFUNCTION("""COMPUTED_VALUE"""),41.29)</f>
        <v>41.29</v>
      </c>
      <c r="D71" s="88">
        <f>IFERROR(__xludf.DUMMYFUNCTION("""COMPUTED_VALUE"""),37.42)</f>
        <v>37.42</v>
      </c>
      <c r="E71" s="88">
        <f>IFERROR(__xludf.DUMMYFUNCTION("""COMPUTED_VALUE"""),41.07)</f>
        <v>41.07</v>
      </c>
      <c r="F71" s="88">
        <f>IFERROR(__xludf.DUMMYFUNCTION("""COMPUTED_VALUE"""),2.95629065E8)</f>
        <v>295629065</v>
      </c>
      <c r="G71" s="88">
        <f>IFERROR(__xludf.DUMMYFUNCTION("""COMPUTED_VALUE"""),32.9025042798847)</f>
        <v>32.90250428</v>
      </c>
      <c r="H71" s="88">
        <f>IFERROR(__xludf.DUMMYFUNCTION("""COMPUTED_VALUE"""),35.4526200865459)</f>
        <v>35.45262009</v>
      </c>
      <c r="I71" s="88">
        <f>IFERROR(__xludf.DUMMYFUNCTION("""COMPUTED_VALUE"""),32.1297419142298)</f>
        <v>32.12974191</v>
      </c>
      <c r="J71" s="88">
        <f>IFERROR(__xludf.DUMMYFUNCTION("""COMPUTED_VALUE"""),35.2637226193858)</f>
        <v>35.26372262</v>
      </c>
      <c r="K71" s="88">
        <f>IFERROR(__xludf.DUMMYFUNCTION("""COMPUTED_VALUE"""),2.95629065E8)</f>
        <v>295629065</v>
      </c>
      <c r="L71" s="88">
        <f>IFERROR(__xludf.DUMMYFUNCTION("""COMPUTED_VALUE"""),0.0)</f>
        <v>0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IFERROR(__xludf.DUMMYFUNCTION("""COMPUTED_VALUE"""),40.88)</f>
        <v>40.88</v>
      </c>
      <c r="C72">
        <f>IFERROR(__xludf.DUMMYFUNCTION("""COMPUTED_VALUE"""),42.639)</f>
        <v>42.639</v>
      </c>
      <c r="D72" s="88">
        <f>IFERROR(__xludf.DUMMYFUNCTION("""COMPUTED_VALUE"""),40.32)</f>
        <v>40.32</v>
      </c>
      <c r="E72" s="88">
        <f>IFERROR(__xludf.DUMMYFUNCTION("""COMPUTED_VALUE"""),42.5)</f>
        <v>42.5</v>
      </c>
      <c r="F72" s="88">
        <f>IFERROR(__xludf.DUMMYFUNCTION("""COMPUTED_VALUE"""),2.61855347E8)</f>
        <v>261855347</v>
      </c>
      <c r="G72" s="88">
        <f>IFERROR(__xludf.DUMMYFUNCTION("""COMPUTED_VALUE"""),35.1005838977475)</f>
        <v>35.1005839</v>
      </c>
      <c r="H72" s="88">
        <f>IFERROR(__xludf.DUMMYFUNCTION("""COMPUTED_VALUE"""),36.2714917780244)</f>
        <v>36.27149178</v>
      </c>
      <c r="I72" s="88">
        <f>IFERROR(__xludf.DUMMYFUNCTION("""COMPUTED_VALUE"""),34.61975398134)</f>
        <v>34.61975398</v>
      </c>
      <c r="J72" s="88">
        <f>IFERROR(__xludf.DUMMYFUNCTION("""COMPUTED_VALUE"""),36.1532493859151)</f>
        <v>36.15324939</v>
      </c>
      <c r="K72" s="88">
        <f>IFERROR(__xludf.DUMMYFUNCTION("""COMPUTED_VALUE"""),2.61855347E8)</f>
        <v>261855347</v>
      </c>
      <c r="L72" s="88">
        <f>IFERROR(__xludf.DUMMYFUNCTION("""COMPUTED_VALUE"""),0.386)</f>
        <v>0.386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IFERROR(__xludf.DUMMYFUNCTION("""COMPUTED_VALUE"""),42.34)</f>
        <v>42.34</v>
      </c>
      <c r="C73">
        <f>IFERROR(__xludf.DUMMYFUNCTION("""COMPUTED_VALUE"""),44.43)</f>
        <v>44.43</v>
      </c>
      <c r="D73" s="88">
        <f>IFERROR(__xludf.DUMMYFUNCTION("""COMPUTED_VALUE"""),42.33)</f>
        <v>42.33</v>
      </c>
      <c r="E73" s="88">
        <f>IFERROR(__xludf.DUMMYFUNCTION("""COMPUTED_VALUE"""),44.06)</f>
        <v>44.06</v>
      </c>
      <c r="F73" s="88">
        <f>IFERROR(__xludf.DUMMYFUNCTION("""COMPUTED_VALUE"""),1.89894717E8)</f>
        <v>189894717</v>
      </c>
      <c r="G73" s="88">
        <f>IFERROR(__xludf.DUMMYFUNCTION("""COMPUTED_VALUE"""),36.0171430352858)</f>
        <v>36.01714304</v>
      </c>
      <c r="H73" s="88">
        <f>IFERROR(__xludf.DUMMYFUNCTION("""COMPUTED_VALUE"""),37.7950322403814)</f>
        <v>37.79503224</v>
      </c>
      <c r="I73" s="88">
        <f>IFERROR(__xludf.DUMMYFUNCTION("""COMPUTED_VALUE"""),36.0086363883715)</f>
        <v>36.00863639</v>
      </c>
      <c r="J73" s="88">
        <f>IFERROR(__xludf.DUMMYFUNCTION("""COMPUTED_VALUE"""),37.4802863045511)</f>
        <v>37.4802863</v>
      </c>
      <c r="K73" s="88">
        <f>IFERROR(__xludf.DUMMYFUNCTION("""COMPUTED_VALUE"""),1.89894717E8)</f>
        <v>189894717</v>
      </c>
      <c r="L73" s="88">
        <f>IFERROR(__xludf.DUMMYFUNCTION("""COMPUTED_VALUE"""),0.0)</f>
        <v>0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IFERROR(__xludf.DUMMYFUNCTION("""COMPUTED_VALUE"""),43.9)</f>
        <v>43.9</v>
      </c>
      <c r="C74">
        <f>IFERROR(__xludf.DUMMYFUNCTION("""COMPUTED_VALUE"""),45.08)</f>
        <v>45.08</v>
      </c>
      <c r="D74" s="88">
        <f>IFERROR(__xludf.DUMMYFUNCTION("""COMPUTED_VALUE"""),41.2)</f>
        <v>41.2</v>
      </c>
      <c r="E74" s="88">
        <f>IFERROR(__xludf.DUMMYFUNCTION("""COMPUTED_VALUE"""),41.29)</f>
        <v>41.29</v>
      </c>
      <c r="F74" s="88">
        <f>IFERROR(__xludf.DUMMYFUNCTION("""COMPUTED_VALUE"""),2.3390144E8)</f>
        <v>233901440</v>
      </c>
      <c r="G74" s="88">
        <f>IFERROR(__xludf.DUMMYFUNCTION("""COMPUTED_VALUE"""),37.3441799539217)</f>
        <v>37.34417995</v>
      </c>
      <c r="H74" s="88">
        <f>IFERROR(__xludf.DUMMYFUNCTION("""COMPUTED_VALUE"""),38.347964289813)</f>
        <v>38.34796429</v>
      </c>
      <c r="I74" s="88">
        <f>IFERROR(__xludf.DUMMYFUNCTION("""COMPUTED_VALUE"""),35.0473852870518)</f>
        <v>35.04738529</v>
      </c>
      <c r="J74" s="88">
        <f>IFERROR(__xludf.DUMMYFUNCTION("""COMPUTED_VALUE"""),35.1239451092808)</f>
        <v>35.12394511</v>
      </c>
      <c r="K74" s="88">
        <f>IFERROR(__xludf.DUMMYFUNCTION("""COMPUTED_VALUE"""),2.3390144E8)</f>
        <v>233901440</v>
      </c>
      <c r="L74" s="88">
        <f>IFERROR(__xludf.DUMMYFUNCTION("""COMPUTED_VALUE"""),0.0)</f>
        <v>0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IFERROR(__xludf.DUMMYFUNCTION("""COMPUTED_VALUE"""),40.87)</f>
        <v>40.87</v>
      </c>
      <c r="C75">
        <f>IFERROR(__xludf.DUMMYFUNCTION("""COMPUTED_VALUE"""),41.75)</f>
        <v>41.75</v>
      </c>
      <c r="D75" s="88">
        <f>IFERROR(__xludf.DUMMYFUNCTION("""COMPUTED_VALUE"""),38.99)</f>
        <v>38.99</v>
      </c>
      <c r="E75" s="88">
        <f>IFERROR(__xludf.DUMMYFUNCTION("""COMPUTED_VALUE"""),41.73)</f>
        <v>41.73</v>
      </c>
      <c r="F75" s="88">
        <f>IFERROR(__xludf.DUMMYFUNCTION("""COMPUTED_VALUE"""),2.59214493E8)</f>
        <v>259214493</v>
      </c>
      <c r="G75" s="88">
        <f>IFERROR(__xludf.DUMMYFUNCTION("""COMPUTED_VALUE"""),34.7666659388789)</f>
        <v>34.76666594</v>
      </c>
      <c r="H75" s="88">
        <f>IFERROR(__xludf.DUMMYFUNCTION("""COMPUTED_VALUE"""),35.4526665976129)</f>
        <v>35.4526666</v>
      </c>
      <c r="I75" s="88">
        <f>IFERROR(__xludf.DUMMYFUNCTION("""COMPUTED_VALUE"""),33.1089693566689)</f>
        <v>33.10896936</v>
      </c>
      <c r="J75" s="88">
        <f>IFERROR(__xludf.DUMMYFUNCTION("""COMPUTED_VALUE"""),35.4356832842727)</f>
        <v>35.43568328</v>
      </c>
      <c r="K75" s="88">
        <f>IFERROR(__xludf.DUMMYFUNCTION("""COMPUTED_VALUE"""),2.59214493E8)</f>
        <v>259214493</v>
      </c>
      <c r="L75" s="88">
        <f>IFERROR(__xludf.DUMMYFUNCTION("""COMPUTED_VALUE"""),0.071)</f>
        <v>0.071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IFERROR(__xludf.DUMMYFUNCTION("""COMPUTED_VALUE"""),41.8)</f>
        <v>41.8</v>
      </c>
      <c r="C76">
        <f>IFERROR(__xludf.DUMMYFUNCTION("""COMPUTED_VALUE"""),42.04)</f>
        <v>42.04</v>
      </c>
      <c r="D76" s="88">
        <f>IFERROR(__xludf.DUMMYFUNCTION("""COMPUTED_VALUE"""),40.08)</f>
        <v>40.08</v>
      </c>
      <c r="E76" s="88">
        <f>IFERROR(__xludf.DUMMYFUNCTION("""COMPUTED_VALUE"""),40.4)</f>
        <v>40.4</v>
      </c>
      <c r="F76" s="88">
        <f>IFERROR(__xludf.DUMMYFUNCTION("""COMPUTED_VALUE"""),2.1824481E8)</f>
        <v>218244810</v>
      </c>
      <c r="G76" s="88">
        <f>IFERROR(__xludf.DUMMYFUNCTION("""COMPUTED_VALUE"""),35.4951248809633)</f>
        <v>35.49512488</v>
      </c>
      <c r="H76" s="88">
        <f>IFERROR(__xludf.DUMMYFUNCTION("""COMPUTED_VALUE"""),35.6989246410454)</f>
        <v>35.69892464</v>
      </c>
      <c r="I76" s="88">
        <f>IFERROR(__xludf.DUMMYFUNCTION("""COMPUTED_VALUE"""),34.0345599337084)</f>
        <v>34.03455993</v>
      </c>
      <c r="J76" s="88">
        <f>IFERROR(__xludf.DUMMYFUNCTION("""COMPUTED_VALUE"""),34.3062929471512)</f>
        <v>34.30629295</v>
      </c>
      <c r="K76" s="88">
        <f>IFERROR(__xludf.DUMMYFUNCTION("""COMPUTED_VALUE"""),2.1824481E8)</f>
        <v>218244810</v>
      </c>
      <c r="L76" s="88">
        <f>IFERROR(__xludf.DUMMYFUNCTION("""COMPUTED_VALUE"""),0.0)</f>
        <v>0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IFERROR(__xludf.DUMMYFUNCTION("""COMPUTED_VALUE"""),39.94)</f>
        <v>39.94</v>
      </c>
      <c r="C77">
        <f>IFERROR(__xludf.DUMMYFUNCTION("""COMPUTED_VALUE"""),42.04)</f>
        <v>42.04</v>
      </c>
      <c r="D77" s="88">
        <f>IFERROR(__xludf.DUMMYFUNCTION("""COMPUTED_VALUE"""),38.55)</f>
        <v>38.55</v>
      </c>
      <c r="E77" s="88">
        <f>IFERROR(__xludf.DUMMYFUNCTION("""COMPUTED_VALUE"""),39.95)</f>
        <v>39.95</v>
      </c>
      <c r="F77" s="88">
        <f>IFERROR(__xludf.DUMMYFUNCTION("""COMPUTED_VALUE"""),2.74520758E8)</f>
        <v>274520758</v>
      </c>
      <c r="G77" s="88">
        <f>IFERROR(__xludf.DUMMYFUNCTION("""COMPUTED_VALUE"""),33.9156767403272)</f>
        <v>33.91567674</v>
      </c>
      <c r="H77" s="88">
        <f>IFERROR(__xludf.DUMMYFUNCTION("""COMPUTED_VALUE"""),35.6989246410454)</f>
        <v>35.69892464</v>
      </c>
      <c r="I77" s="88">
        <f>IFERROR(__xludf.DUMMYFUNCTION("""COMPUTED_VALUE"""),32.7353364631851)</f>
        <v>32.73533646</v>
      </c>
      <c r="J77" s="88">
        <f>IFERROR(__xludf.DUMMYFUNCTION("""COMPUTED_VALUE"""),33.9241683969973)</f>
        <v>33.9241684</v>
      </c>
      <c r="K77" s="88">
        <f>IFERROR(__xludf.DUMMYFUNCTION("""COMPUTED_VALUE"""),2.74520758E8)</f>
        <v>274520758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IFERROR(__xludf.DUMMYFUNCTION("""COMPUTED_VALUE"""),40.02)</f>
        <v>40.02</v>
      </c>
      <c r="C78">
        <f>IFERROR(__xludf.DUMMYFUNCTION("""COMPUTED_VALUE"""),41.72)</f>
        <v>41.72</v>
      </c>
      <c r="D78" s="88">
        <f>IFERROR(__xludf.DUMMYFUNCTION("""COMPUTED_VALUE"""),37.3)</f>
        <v>37.3</v>
      </c>
      <c r="E78" s="88">
        <f>IFERROR(__xludf.DUMMYFUNCTION("""COMPUTED_VALUE"""),41.71)</f>
        <v>41.71</v>
      </c>
      <c r="F78" s="88">
        <f>IFERROR(__xludf.DUMMYFUNCTION("""COMPUTED_VALUE"""),3.65346487E8)</f>
        <v>365346487</v>
      </c>
      <c r="G78" s="88">
        <f>IFERROR(__xludf.DUMMYFUNCTION("""COMPUTED_VALUE"""),33.9836099936879)</f>
        <v>33.98360999</v>
      </c>
      <c r="H78" s="88">
        <f>IFERROR(__xludf.DUMMYFUNCTION("""COMPUTED_VALUE"""),35.2737889961274)</f>
        <v>35.273789</v>
      </c>
      <c r="I78" s="88">
        <f>IFERROR(__xludf.DUMMYFUNCTION("""COMPUTED_VALUE"""),31.5367288963459)</f>
        <v>31.5367289</v>
      </c>
      <c r="J78" s="88">
        <f>IFERROR(__xludf.DUMMYFUNCTION("""COMPUTED_VALUE"""),35.2653341090238)</f>
        <v>35.26533411</v>
      </c>
      <c r="K78" s="88">
        <f>IFERROR(__xludf.DUMMYFUNCTION("""COMPUTED_VALUE"""),3.65346487E8)</f>
        <v>365346487</v>
      </c>
      <c r="L78" s="88">
        <f>IFERROR(__xludf.DUMMYFUNCTION("""COMPUTED_VALUE"""),0.174)</f>
        <v>0.174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IFERROR(__xludf.DUMMYFUNCTION("""COMPUTED_VALUE"""),42.17)</f>
        <v>42.17</v>
      </c>
      <c r="C79">
        <f>IFERROR(__xludf.DUMMYFUNCTION("""COMPUTED_VALUE"""),43.13)</f>
        <v>43.13</v>
      </c>
      <c r="D79" s="88">
        <f>IFERROR(__xludf.DUMMYFUNCTION("""COMPUTED_VALUE"""),41.53)</f>
        <v>41.53</v>
      </c>
      <c r="E79" s="88">
        <f>IFERROR(__xludf.DUMMYFUNCTION("""COMPUTED_VALUE"""),42.5)</f>
        <v>42.5</v>
      </c>
      <c r="F79" s="88">
        <f>IFERROR(__xludf.DUMMYFUNCTION("""COMPUTED_VALUE"""),1.81159303E8)</f>
        <v>181159303</v>
      </c>
      <c r="G79" s="88">
        <f>IFERROR(__xludf.DUMMYFUNCTION("""COMPUTED_VALUE"""),35.6542589157884)</f>
        <v>35.65425892</v>
      </c>
      <c r="H79" s="88">
        <f>IFERROR(__xludf.DUMMYFUNCTION("""COMPUTED_VALUE"""),36.4659280777318)</f>
        <v>36.46592808</v>
      </c>
      <c r="I79" s="88">
        <f>IFERROR(__xludf.DUMMYFUNCTION("""COMPUTED_VALUE"""),35.1131461411594)</f>
        <v>35.11314614</v>
      </c>
      <c r="J79" s="88">
        <f>IFERROR(__xludf.DUMMYFUNCTION("""COMPUTED_VALUE"""),35.9332701902064)</f>
        <v>35.93327019</v>
      </c>
      <c r="K79" s="88">
        <f>IFERROR(__xludf.DUMMYFUNCTION("""COMPUTED_VALUE"""),1.81159303E8)</f>
        <v>181159303</v>
      </c>
      <c r="L79" s="88">
        <f>IFERROR(__xludf.DUMMYFUNCTION("""COMPUTED_VALUE"""),0.0)</f>
        <v>0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IFERROR(__xludf.DUMMYFUNCTION("""COMPUTED_VALUE"""),42.64)</f>
        <v>42.64</v>
      </c>
      <c r="C80">
        <f>IFERROR(__xludf.DUMMYFUNCTION("""COMPUTED_VALUE"""),42.725)</f>
        <v>42.725</v>
      </c>
      <c r="D80" s="88">
        <f>IFERROR(__xludf.DUMMYFUNCTION("""COMPUTED_VALUE"""),40.0)</f>
        <v>40</v>
      </c>
      <c r="E80" s="88">
        <f>IFERROR(__xludf.DUMMYFUNCTION("""COMPUTED_VALUE"""),41.57)</f>
        <v>41.57</v>
      </c>
      <c r="F80" s="88">
        <f>IFERROR(__xludf.DUMMYFUNCTION("""COMPUTED_VALUE"""),3.3022337E8)</f>
        <v>330223370</v>
      </c>
      <c r="G80" s="88">
        <f>IFERROR(__xludf.DUMMYFUNCTION("""COMPUTED_VALUE"""),36.0516386096565)</f>
        <v>36.05163861</v>
      </c>
      <c r="H80" s="88">
        <f>IFERROR(__xludf.DUMMYFUNCTION("""COMPUTED_VALUE"""),36.1235051500369)</f>
        <v>36.12350515</v>
      </c>
      <c r="I80" s="88">
        <f>IFERROR(__xludf.DUMMYFUNCTION("""COMPUTED_VALUE"""),33.8195484143119)</f>
        <v>33.81954841</v>
      </c>
      <c r="J80" s="88">
        <f>IFERROR(__xludf.DUMMYFUNCTION("""COMPUTED_VALUE"""),35.1469656895737)</f>
        <v>35.14696569</v>
      </c>
      <c r="K80" s="88">
        <f>IFERROR(__xludf.DUMMYFUNCTION("""COMPUTED_VALUE"""),3.3022337E8)</f>
        <v>330223370</v>
      </c>
      <c r="L80" s="88">
        <f>IFERROR(__xludf.DUMMYFUNCTION("""COMPUTED_VALUE"""),0.0)</f>
        <v>0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IFERROR(__xludf.DUMMYFUNCTION("""COMPUTED_VALUE"""),41.71)</f>
        <v>41.71</v>
      </c>
      <c r="C81">
        <f>IFERROR(__xludf.DUMMYFUNCTION("""COMPUTED_VALUE"""),46.49)</f>
        <v>46.49</v>
      </c>
      <c r="D81" s="88">
        <f>IFERROR(__xludf.DUMMYFUNCTION("""COMPUTED_VALUE"""),41.43)</f>
        <v>41.43</v>
      </c>
      <c r="E81" s="88">
        <f>IFERROR(__xludf.DUMMYFUNCTION("""COMPUTED_VALUE"""),45.43)</f>
        <v>45.43</v>
      </c>
      <c r="F81" s="88">
        <f>IFERROR(__xludf.DUMMYFUNCTION("""COMPUTED_VALUE"""),2.55241653E8)</f>
        <v>255241653</v>
      </c>
      <c r="G81" s="88">
        <f>IFERROR(__xludf.DUMMYFUNCTION("""COMPUTED_VALUE"""),35.2653341090238)</f>
        <v>35.26533411</v>
      </c>
      <c r="H81" s="88">
        <f>IFERROR(__xludf.DUMMYFUNCTION("""COMPUTED_VALUE"""),38.9056622992848)</f>
        <v>38.9056623</v>
      </c>
      <c r="I81" s="88">
        <f>IFERROR(__xludf.DUMMYFUNCTION("""COMPUTED_VALUE"""),35.0285972701236)</f>
        <v>35.02859727</v>
      </c>
      <c r="J81" s="88">
        <f>IFERROR(__xludf.DUMMYFUNCTION("""COMPUTED_VALUE"""),38.0185897667565)</f>
        <v>38.01858977</v>
      </c>
      <c r="K81" s="88">
        <f>IFERROR(__xludf.DUMMYFUNCTION("""COMPUTED_VALUE"""),2.55241653E8)</f>
        <v>255241653</v>
      </c>
      <c r="L81" s="88">
        <f>IFERROR(__xludf.DUMMYFUNCTION("""COMPUTED_VALUE"""),0.446)</f>
        <v>0.446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IFERROR(__xludf.DUMMYFUNCTION("""COMPUTED_VALUE"""),45.4)</f>
        <v>45.4</v>
      </c>
      <c r="C82">
        <f>IFERROR(__xludf.DUMMYFUNCTION("""COMPUTED_VALUE"""),46.4)</f>
        <v>46.4</v>
      </c>
      <c r="D82" s="88">
        <f>IFERROR(__xludf.DUMMYFUNCTION("""COMPUTED_VALUE"""),43.1699)</f>
        <v>43.1699</v>
      </c>
      <c r="E82" s="88">
        <f>IFERROR(__xludf.DUMMYFUNCTION("""COMPUTED_VALUE"""),43.85)</f>
        <v>43.85</v>
      </c>
      <c r="F82" s="88">
        <f>IFERROR(__xludf.DUMMYFUNCTION("""COMPUTED_VALUE"""),1.950489E8)</f>
        <v>195048900</v>
      </c>
      <c r="G82" s="88">
        <f>IFERROR(__xludf.DUMMYFUNCTION("""COMPUTED_VALUE"""),37.9934839403642)</f>
        <v>37.99348394</v>
      </c>
      <c r="H82" s="88">
        <f>IFERROR(__xludf.DUMMYFUNCTION("""COMPUTED_VALUE"""),38.8303448201079)</f>
        <v>38.83034482</v>
      </c>
      <c r="I82" s="88">
        <f>IFERROR(__xludf.DUMMYFUNCTION("""COMPUTED_VALUE"""),36.1272004924478)</f>
        <v>36.12720049</v>
      </c>
      <c r="J82" s="88">
        <f>IFERROR(__xludf.DUMMYFUNCTION("""COMPUTED_VALUE"""),36.6963495767615)</f>
        <v>36.69634958</v>
      </c>
      <c r="K82" s="88">
        <f>IFERROR(__xludf.DUMMYFUNCTION("""COMPUTED_VALUE"""),1.950489E8)</f>
        <v>195048900</v>
      </c>
      <c r="L82" s="88">
        <f>IFERROR(__xludf.DUMMYFUNCTION("""COMPUTED_VALUE"""),0.0)</f>
        <v>0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IFERROR(__xludf.DUMMYFUNCTION("""COMPUTED_VALUE"""),43.72)</f>
        <v>43.72</v>
      </c>
      <c r="C83">
        <f>IFERROR(__xludf.DUMMYFUNCTION("""COMPUTED_VALUE"""),45.17)</f>
        <v>45.17</v>
      </c>
      <c r="D83" s="88">
        <f>IFERROR(__xludf.DUMMYFUNCTION("""COMPUTED_VALUE"""),43.36)</f>
        <v>43.36</v>
      </c>
      <c r="E83" s="88">
        <f>IFERROR(__xludf.DUMMYFUNCTION("""COMPUTED_VALUE"""),43.36)</f>
        <v>43.36</v>
      </c>
      <c r="F83" s="88">
        <f>IFERROR(__xludf.DUMMYFUNCTION("""COMPUTED_VALUE"""),2.194879E8)</f>
        <v>219487900</v>
      </c>
      <c r="G83" s="88">
        <f>IFERROR(__xludf.DUMMYFUNCTION("""COMPUTED_VALUE"""),36.5875576623948)</f>
        <v>36.58755766</v>
      </c>
      <c r="H83" s="88">
        <f>IFERROR(__xludf.DUMMYFUNCTION("""COMPUTED_VALUE"""),37.8010059380231)</f>
        <v>37.80100594</v>
      </c>
      <c r="I83" s="88">
        <f>IFERROR(__xludf.DUMMYFUNCTION("""COMPUTED_VALUE"""),36.286287745687)</f>
        <v>36.28628775</v>
      </c>
      <c r="J83" s="88">
        <f>IFERROR(__xludf.DUMMYFUNCTION("""COMPUTED_VALUE"""),36.286287745687)</f>
        <v>36.28628775</v>
      </c>
      <c r="K83" s="88">
        <f>IFERROR(__xludf.DUMMYFUNCTION("""COMPUTED_VALUE"""),2.194879E8)</f>
        <v>219487900</v>
      </c>
      <c r="L83" s="88">
        <f>IFERROR(__xludf.DUMMYFUNCTION("""COMPUTED_VALUE"""),0.0)</f>
        <v>0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IFERROR(__xludf.DUMMYFUNCTION("""COMPUTED_VALUE"""),43.13)</f>
        <v>43.13</v>
      </c>
      <c r="C84">
        <f>IFERROR(__xludf.DUMMYFUNCTION("""COMPUTED_VALUE"""),43.89)</f>
        <v>43.89</v>
      </c>
      <c r="D84" s="88">
        <f>IFERROR(__xludf.DUMMYFUNCTION("""COMPUTED_VALUE"""),42.32)</f>
        <v>42.32</v>
      </c>
      <c r="E84" s="88">
        <f>IFERROR(__xludf.DUMMYFUNCTION("""COMPUTED_VALUE"""),42.4)</f>
        <v>42.4</v>
      </c>
      <c r="F84" s="88">
        <f>IFERROR(__xludf.DUMMYFUNCTION("""COMPUTED_VALUE"""),2.179553E8)</f>
        <v>217955300</v>
      </c>
      <c r="G84" s="88">
        <f>IFERROR(__xludf.DUMMYFUNCTION("""COMPUTED_VALUE"""),36.093809743346)</f>
        <v>36.09380974</v>
      </c>
      <c r="H84" s="88">
        <f>IFERROR(__xludf.DUMMYFUNCTION("""COMPUTED_VALUE"""),36.3756423556581)</f>
        <v>36.37564236</v>
      </c>
      <c r="I84" s="88">
        <f>IFERROR(__xludf.DUMMYFUNCTION("""COMPUTED_VALUE"""),35.0744402937218)</f>
        <v>35.07444029</v>
      </c>
      <c r="J84" s="88">
        <f>IFERROR(__xludf.DUMMYFUNCTION("""COMPUTED_VALUE"""),35.140743583502)</f>
        <v>35.14074358</v>
      </c>
      <c r="K84" s="88">
        <f>IFERROR(__xludf.DUMMYFUNCTION("""COMPUTED_VALUE"""),2.179553E8)</f>
        <v>217955300</v>
      </c>
      <c r="L84" s="88">
        <f>IFERROR(__xludf.DUMMYFUNCTION("""COMPUTED_VALUE"""),0.418)</f>
        <v>0.418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IFERROR(__xludf.DUMMYFUNCTION("""COMPUTED_VALUE"""),42.21)</f>
        <v>42.21</v>
      </c>
      <c r="C85">
        <f>IFERROR(__xludf.DUMMYFUNCTION("""COMPUTED_VALUE"""),43.02)</f>
        <v>43.02</v>
      </c>
      <c r="D85" s="88">
        <f>IFERROR(__xludf.DUMMYFUNCTION("""COMPUTED_VALUE"""),40.69)</f>
        <v>40.69</v>
      </c>
      <c r="E85" s="88">
        <f>IFERROR(__xludf.DUMMYFUNCTION("""COMPUTED_VALUE"""),40.85)</f>
        <v>40.85</v>
      </c>
      <c r="F85" s="88">
        <f>IFERROR(__xludf.DUMMYFUNCTION("""COMPUTED_VALUE"""),2.505144E8)</f>
        <v>250514400</v>
      </c>
      <c r="G85" s="88">
        <f>IFERROR(__xludf.DUMMYFUNCTION("""COMPUTED_VALUE"""),34.983273270274)</f>
        <v>34.98327327</v>
      </c>
      <c r="H85" s="88">
        <f>IFERROR(__xludf.DUMMYFUNCTION("""COMPUTED_VALUE"""),35.6545940792985)</f>
        <v>35.65459408</v>
      </c>
      <c r="I85" s="88">
        <f>IFERROR(__xludf.DUMMYFUNCTION("""COMPUTED_VALUE"""),33.7235107644504)</f>
        <v>33.72351076</v>
      </c>
      <c r="J85" s="88">
        <f>IFERROR(__xludf.DUMMYFUNCTION("""COMPUTED_VALUE"""),33.8561173440107)</f>
        <v>33.85611734</v>
      </c>
      <c r="K85" s="88">
        <f>IFERROR(__xludf.DUMMYFUNCTION("""COMPUTED_VALUE"""),2.505144E8)</f>
        <v>250514400</v>
      </c>
      <c r="L85" s="88">
        <f>IFERROR(__xludf.DUMMYFUNCTION("""COMPUTED_VALUE"""),0.0)</f>
        <v>0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IFERROR(__xludf.DUMMYFUNCTION("""COMPUTED_VALUE"""),40.94)</f>
        <v>40.94</v>
      </c>
      <c r="C86">
        <f>IFERROR(__xludf.DUMMYFUNCTION("""COMPUTED_VALUE"""),41.93)</f>
        <v>41.93</v>
      </c>
      <c r="D86" s="88">
        <f>IFERROR(__xludf.DUMMYFUNCTION("""COMPUTED_VALUE"""),40.12)</f>
        <v>40.12</v>
      </c>
      <c r="E86" s="88">
        <f>IFERROR(__xludf.DUMMYFUNCTION("""COMPUTED_VALUE"""),40.97)</f>
        <v>40.97</v>
      </c>
      <c r="F86" s="88">
        <f>IFERROR(__xludf.DUMMYFUNCTION("""COMPUTED_VALUE"""),3.304169E8)</f>
        <v>330416900</v>
      </c>
      <c r="G86" s="88">
        <f>IFERROR(__xludf.DUMMYFUNCTION("""COMPUTED_VALUE"""),33.9307085450135)</f>
        <v>33.93070855</v>
      </c>
      <c r="H86" s="88">
        <f>IFERROR(__xludf.DUMMYFUNCTION("""COMPUTED_VALUE"""),34.7512117560433)</f>
        <v>34.75121176</v>
      </c>
      <c r="I86" s="88">
        <f>IFERROR(__xludf.DUMMYFUNCTION("""COMPUTED_VALUE"""),33.2510998247665)</f>
        <v>33.25109982</v>
      </c>
      <c r="J86" s="88">
        <f>IFERROR(__xludf.DUMMYFUNCTION("""COMPUTED_VALUE"""),33.955572278681)</f>
        <v>33.95557228</v>
      </c>
      <c r="K86" s="88">
        <f>IFERROR(__xludf.DUMMYFUNCTION("""COMPUTED_VALUE"""),3.304169E8)</f>
        <v>330416900</v>
      </c>
      <c r="L86" s="88">
        <f>IFERROR(__xludf.DUMMYFUNCTION("""COMPUTED_VALUE"""),0.0)</f>
        <v>0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IFERROR(__xludf.DUMMYFUNCTION("""COMPUTED_VALUE"""),40.58)</f>
        <v>40.58</v>
      </c>
      <c r="C87">
        <f>IFERROR(__xludf.DUMMYFUNCTION("""COMPUTED_VALUE"""),40.8)</f>
        <v>40.8</v>
      </c>
      <c r="D87" s="88">
        <f>IFERROR(__xludf.DUMMYFUNCTION("""COMPUTED_VALUE"""),37.56)</f>
        <v>37.56</v>
      </c>
      <c r="E87" s="88">
        <f>IFERROR(__xludf.DUMMYFUNCTION("""COMPUTED_VALUE"""),38.19)</f>
        <v>38.19</v>
      </c>
      <c r="F87" s="88">
        <f>IFERROR(__xludf.DUMMYFUNCTION("""COMPUTED_VALUE"""),3.780011E8)</f>
        <v>378001100</v>
      </c>
      <c r="G87" s="88">
        <f>IFERROR(__xludf.DUMMYFUNCTION("""COMPUTED_VALUE"""),33.6323437410026)</f>
        <v>33.63234374</v>
      </c>
      <c r="H87" s="88">
        <f>IFERROR(__xludf.DUMMYFUNCTION("""COMPUTED_VALUE"""),33.8146777878981)</f>
        <v>33.81467779</v>
      </c>
      <c r="I87" s="88">
        <f>IFERROR(__xludf.DUMMYFUNCTION("""COMPUTED_VALUE"""),31.0468440674478)</f>
        <v>31.04684407</v>
      </c>
      <c r="J87" s="88">
        <f>IFERROR(__xludf.DUMMYFUNCTION("""COMPUTED_VALUE"""),31.567597841742)</f>
        <v>31.56759784</v>
      </c>
      <c r="K87" s="88">
        <f>IFERROR(__xludf.DUMMYFUNCTION("""COMPUTED_VALUE"""),3.780011E8)</f>
        <v>378001100</v>
      </c>
      <c r="L87" s="88">
        <f>IFERROR(__xludf.DUMMYFUNCTION("""COMPUTED_VALUE"""),0.105)</f>
        <v>0.105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IFERROR(__xludf.DUMMYFUNCTION("""COMPUTED_VALUE"""),38.89)</f>
        <v>38.89</v>
      </c>
      <c r="C88">
        <f>IFERROR(__xludf.DUMMYFUNCTION("""COMPUTED_VALUE"""),39.37)</f>
        <v>39.37</v>
      </c>
      <c r="D88" s="88">
        <f>IFERROR(__xludf.DUMMYFUNCTION("""COMPUTED_VALUE"""),36.65)</f>
        <v>36.65</v>
      </c>
      <c r="E88" s="88">
        <f>IFERROR(__xludf.DUMMYFUNCTION("""COMPUTED_VALUE"""),37.5)</f>
        <v>37.5</v>
      </c>
      <c r="F88" s="88">
        <f>IFERROR(__xludf.DUMMYFUNCTION("""COMPUTED_VALUE"""),3.899593E8)</f>
        <v>389959300</v>
      </c>
      <c r="G88" s="88">
        <f>IFERROR(__xludf.DUMMYFUNCTION("""COMPUTED_VALUE"""),32.1462131465134)</f>
        <v>32.14621315</v>
      </c>
      <c r="H88" s="88">
        <f>IFERROR(__xludf.DUMMYFUNCTION("""COMPUTED_VALUE"""),32.5429779269281)</f>
        <v>32.54297793</v>
      </c>
      <c r="I88" s="88">
        <f>IFERROR(__xludf.DUMMYFUNCTION("""COMPUTED_VALUE"""),30.294644171245)</f>
        <v>30.29464417</v>
      </c>
      <c r="J88" s="88">
        <f>IFERROR(__xludf.DUMMYFUNCTION("""COMPUTED_VALUE"""),30.997248469896)</f>
        <v>30.99724847</v>
      </c>
      <c r="K88" s="88">
        <f>IFERROR(__xludf.DUMMYFUNCTION("""COMPUTED_VALUE"""),3.899593E8)</f>
        <v>389959300</v>
      </c>
      <c r="L88" s="88">
        <f>IFERROR(__xludf.DUMMYFUNCTION("""COMPUTED_VALUE"""),0.0)</f>
        <v>0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IFERROR(__xludf.DUMMYFUNCTION("""COMPUTED_VALUE"""),37.67)</f>
        <v>37.67</v>
      </c>
      <c r="C89">
        <f>IFERROR(__xludf.DUMMYFUNCTION("""COMPUTED_VALUE"""),40.53)</f>
        <v>40.53</v>
      </c>
      <c r="D89" s="88">
        <f>IFERROR(__xludf.DUMMYFUNCTION("""COMPUTED_VALUE"""),37.19)</f>
        <v>37.19</v>
      </c>
      <c r="E89" s="88">
        <f>IFERROR(__xludf.DUMMYFUNCTION("""COMPUTED_VALUE"""),40.51)</f>
        <v>40.51</v>
      </c>
      <c r="F89" s="88">
        <f>IFERROR(__xludf.DUMMYFUNCTION("""COMPUTED_VALUE"""),4.795531E8)</f>
        <v>479553100</v>
      </c>
      <c r="G89" s="88">
        <f>IFERROR(__xludf.DUMMYFUNCTION("""COMPUTED_VALUE"""),31.1377693296261)</f>
        <v>31.13776933</v>
      </c>
      <c r="H89" s="88">
        <f>IFERROR(__xludf.DUMMYFUNCTION("""COMPUTED_VALUE"""),33.5018261462635)</f>
        <v>33.50182615</v>
      </c>
      <c r="I89" s="88">
        <f>IFERROR(__xludf.DUMMYFUNCTION("""COMPUTED_VALUE"""),30.7410045492115)</f>
        <v>30.74100455</v>
      </c>
      <c r="J89" s="88">
        <f>IFERROR(__xludf.DUMMYFUNCTION("""COMPUTED_VALUE"""),33.4852942804129)</f>
        <v>33.48529428</v>
      </c>
      <c r="K89" s="88">
        <f>IFERROR(__xludf.DUMMYFUNCTION("""COMPUTED_VALUE"""),4.795531E8)</f>
        <v>479553100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IFERROR(__xludf.DUMMYFUNCTION("""COMPUTED_VALUE"""),41.14)</f>
        <v>41.14</v>
      </c>
      <c r="C90">
        <f>IFERROR(__xludf.DUMMYFUNCTION("""COMPUTED_VALUE"""),41.58)</f>
        <v>41.58</v>
      </c>
      <c r="D90" s="88">
        <f>IFERROR(__xludf.DUMMYFUNCTION("""COMPUTED_VALUE"""),39.8)</f>
        <v>39.8</v>
      </c>
      <c r="E90" s="88">
        <f>IFERROR(__xludf.DUMMYFUNCTION("""COMPUTED_VALUE"""),41.38)</f>
        <v>41.38</v>
      </c>
      <c r="F90" s="88">
        <f>IFERROR(__xludf.DUMMYFUNCTION("""COMPUTED_VALUE"""),4.189418E8)</f>
        <v>418941800</v>
      </c>
      <c r="G90" s="88">
        <f>IFERROR(__xludf.DUMMYFUNCTION("""COMPUTED_VALUE"""),34.0060480547072)</f>
        <v>34.00604805</v>
      </c>
      <c r="H90" s="88">
        <f>IFERROR(__xludf.DUMMYFUNCTION("""COMPUTED_VALUE"""),34.1849195011117)</f>
        <v>34.1849195</v>
      </c>
      <c r="I90" s="88">
        <f>IFERROR(__xludf.DUMMYFUNCTION("""COMPUTED_VALUE"""),32.721495818765)</f>
        <v>32.72149582</v>
      </c>
      <c r="J90" s="88">
        <f>IFERROR(__xludf.DUMMYFUNCTION("""COMPUTED_VALUE"""),34.0204898738818)</f>
        <v>34.02048987</v>
      </c>
      <c r="K90" s="88">
        <f>IFERROR(__xludf.DUMMYFUNCTION("""COMPUTED_VALUE"""),4.189418E8)</f>
        <v>418941800</v>
      </c>
      <c r="L90" s="88">
        <f>IFERROR(__xludf.DUMMYFUNCTION("""COMPUTED_VALUE"""),0.216)</f>
        <v>0.216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IFERROR(__xludf.DUMMYFUNCTION("""COMPUTED_VALUE"""),41.48)</f>
        <v>41.48</v>
      </c>
      <c r="C91">
        <f>IFERROR(__xludf.DUMMYFUNCTION("""COMPUTED_VALUE"""),42.47)</f>
        <v>42.47</v>
      </c>
      <c r="D91" s="88">
        <f>IFERROR(__xludf.DUMMYFUNCTION("""COMPUTED_VALUE"""),39.75)</f>
        <v>39.75</v>
      </c>
      <c r="E91" s="88">
        <f>IFERROR(__xludf.DUMMYFUNCTION("""COMPUTED_VALUE"""),41.92)</f>
        <v>41.92</v>
      </c>
      <c r="F91" s="88">
        <f>IFERROR(__xludf.DUMMYFUNCTION("""COMPUTED_VALUE"""),3.428968E8)</f>
        <v>342896800</v>
      </c>
      <c r="G91" s="88">
        <f>IFERROR(__xludf.DUMMYFUNCTION("""COMPUTED_VALUE"""),34.1027046874967)</f>
        <v>34.10270469</v>
      </c>
      <c r="H91" s="88">
        <f>IFERROR(__xludf.DUMMYFUNCTION("""COMPUTED_VALUE"""),34.9166313422851)</f>
        <v>34.91663134</v>
      </c>
      <c r="I91" s="88">
        <f>IFERROR(__xludf.DUMMYFUNCTION("""COMPUTED_VALUE"""),32.6803884119575)</f>
        <v>32.68038841</v>
      </c>
      <c r="J91" s="88">
        <f>IFERROR(__xludf.DUMMYFUNCTION("""COMPUTED_VALUE"""),34.4644498674027)</f>
        <v>34.46444987</v>
      </c>
      <c r="K91" s="88">
        <f>IFERROR(__xludf.DUMMYFUNCTION("""COMPUTED_VALUE"""),3.428968E8)</f>
        <v>342896800</v>
      </c>
      <c r="L91" s="88">
        <f>IFERROR(__xludf.DUMMYFUNCTION("""COMPUTED_VALUE"""),0.0)</f>
        <v>0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IFERROR(__xludf.DUMMYFUNCTION("""COMPUTED_VALUE"""),41.865)</f>
        <v>41.865</v>
      </c>
      <c r="C92">
        <f>IFERROR(__xludf.DUMMYFUNCTION("""COMPUTED_VALUE"""),43.16)</f>
        <v>43.16</v>
      </c>
      <c r="D92" s="88">
        <f>IFERROR(__xludf.DUMMYFUNCTION("""COMPUTED_VALUE"""),40.39)</f>
        <v>40.39</v>
      </c>
      <c r="E92" s="88">
        <f>IFERROR(__xludf.DUMMYFUNCTION("""COMPUTED_VALUE"""),40.4)</f>
        <v>40.4</v>
      </c>
      <c r="F92" s="88">
        <f>IFERROR(__xludf.DUMMYFUNCTION("""COMPUTED_VALUE"""),3.802494E8)</f>
        <v>380249400</v>
      </c>
      <c r="G92" s="88">
        <f>IFERROR(__xludf.DUMMYFUNCTION("""COMPUTED_VALUE"""),34.4192317199144)</f>
        <v>34.41923172</v>
      </c>
      <c r="H92" s="88">
        <f>IFERROR(__xludf.DUMMYFUNCTION("""COMPUTED_VALUE"""),35.4839135562285)</f>
        <v>35.48391356</v>
      </c>
      <c r="I92" s="88">
        <f>IFERROR(__xludf.DUMMYFUNCTION("""COMPUTED_VALUE"""),33.2065632190934)</f>
        <v>33.20656322</v>
      </c>
      <c r="J92" s="88">
        <f>IFERROR(__xludf.DUMMYFUNCTION("""COMPUTED_VALUE"""),33.2147847004549)</f>
        <v>33.2147847</v>
      </c>
      <c r="K92" s="88">
        <f>IFERROR(__xludf.DUMMYFUNCTION("""COMPUTED_VALUE"""),3.802494E8)</f>
        <v>380249400</v>
      </c>
      <c r="L92" s="88">
        <f>IFERROR(__xludf.DUMMYFUNCTION("""COMPUTED_VALUE"""),0.0)</f>
        <v>0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IFERROR(__xludf.DUMMYFUNCTION("""COMPUTED_VALUE"""),40.135)</f>
        <v>40.135</v>
      </c>
      <c r="C93">
        <f>IFERROR(__xludf.DUMMYFUNCTION("""COMPUTED_VALUE"""),43.008)</f>
        <v>43.008</v>
      </c>
      <c r="D93" s="88">
        <f>IFERROR(__xludf.DUMMYFUNCTION("""COMPUTED_VALUE"""),37.81)</f>
        <v>37.81</v>
      </c>
      <c r="E93" s="88">
        <f>IFERROR(__xludf.DUMMYFUNCTION("""COMPUTED_VALUE"""),38.21)</f>
        <v>38.21</v>
      </c>
      <c r="F93" s="88">
        <f>IFERROR(__xludf.DUMMYFUNCTION("""COMPUTED_VALUE"""),4.313742E8)</f>
        <v>431374200</v>
      </c>
      <c r="G93" s="88">
        <f>IFERROR(__xludf.DUMMYFUNCTION("""COMPUTED_VALUE"""),32.9969154443752)</f>
        <v>32.99691544</v>
      </c>
      <c r="H93" s="88">
        <f>IFERROR(__xludf.DUMMYFUNCTION("""COMPUTED_VALUE"""),35.0684293751223)</f>
        <v>35.06842938</v>
      </c>
      <c r="I93" s="88">
        <f>IFERROR(__xludf.DUMMYFUNCTION("""COMPUTED_VALUE"""),30.8300156871599)</f>
        <v>30.83001569</v>
      </c>
      <c r="J93" s="88">
        <f>IFERROR(__xludf.DUMMYFUNCTION("""COMPUTED_VALUE"""),31.1561729544136)</f>
        <v>31.15617295</v>
      </c>
      <c r="K93" s="88">
        <f>IFERROR(__xludf.DUMMYFUNCTION("""COMPUTED_VALUE"""),4.313742E8)</f>
        <v>431374200</v>
      </c>
      <c r="L93" s="88">
        <f>IFERROR(__xludf.DUMMYFUNCTION("""COMPUTED_VALUE"""),0.345)</f>
        <v>0.345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IFERROR(__xludf.DUMMYFUNCTION("""COMPUTED_VALUE"""),37.72)</f>
        <v>37.72</v>
      </c>
      <c r="C94">
        <f>IFERROR(__xludf.DUMMYFUNCTION("""COMPUTED_VALUE"""),40.29)</f>
        <v>40.29</v>
      </c>
      <c r="D94" s="88">
        <f>IFERROR(__xludf.DUMMYFUNCTION("""COMPUTED_VALUE"""),36.95)</f>
        <v>36.95</v>
      </c>
      <c r="E94" s="88">
        <f>IFERROR(__xludf.DUMMYFUNCTION("""COMPUTED_VALUE"""),39.5)</f>
        <v>39.5</v>
      </c>
      <c r="F94" s="88">
        <f>IFERROR(__xludf.DUMMYFUNCTION("""COMPUTED_VALUE"""),3.810094E8)</f>
        <v>381009400</v>
      </c>
      <c r="G94" s="88">
        <f>IFERROR(__xludf.DUMMYFUNCTION("""COMPUTED_VALUE"""),30.7566303020278)</f>
        <v>30.7566303</v>
      </c>
      <c r="H94" s="88">
        <f>IFERROR(__xludf.DUMMYFUNCTION("""COMPUTED_VALUE"""),32.8521907441331)</f>
        <v>32.85219074</v>
      </c>
      <c r="I94" s="88">
        <f>IFERROR(__xludf.DUMMYFUNCTION("""COMPUTED_VALUE"""),30.1287775625643)</f>
        <v>30.12877756</v>
      </c>
      <c r="J94" s="88">
        <f>IFERROR(__xludf.DUMMYFUNCTION("""COMPUTED_VALUE"""),32.2080301413069)</f>
        <v>32.20803014</v>
      </c>
      <c r="K94" s="88">
        <f>IFERROR(__xludf.DUMMYFUNCTION("""COMPUTED_VALUE"""),3.810094E8)</f>
        <v>381009400</v>
      </c>
      <c r="L94" s="88">
        <f>IFERROR(__xludf.DUMMYFUNCTION("""COMPUTED_VALUE"""),0.0)</f>
        <v>0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IFERROR(__xludf.DUMMYFUNCTION("""COMPUTED_VALUE"""),39.06)</f>
        <v>39.06</v>
      </c>
      <c r="C95">
        <f>IFERROR(__xludf.DUMMYFUNCTION("""COMPUTED_VALUE"""),40.53)</f>
        <v>40.53</v>
      </c>
      <c r="D95" s="88">
        <f>IFERROR(__xludf.DUMMYFUNCTION("""COMPUTED_VALUE"""),37.34)</f>
        <v>37.34</v>
      </c>
      <c r="E95" s="88">
        <f>IFERROR(__xludf.DUMMYFUNCTION("""COMPUTED_VALUE"""),39.0)</f>
        <v>39</v>
      </c>
      <c r="F95" s="88">
        <f>IFERROR(__xludf.DUMMYFUNCTION("""COMPUTED_VALUE"""),4.643185E8)</f>
        <v>464318500</v>
      </c>
      <c r="G95" s="88">
        <f>IFERROR(__xludf.DUMMYFUNCTION("""COMPUTED_VALUE"""),31.8492571473278)</f>
        <v>31.84925715</v>
      </c>
      <c r="H95" s="88">
        <f>IFERROR(__xludf.DUMMYFUNCTION("""COMPUTED_VALUE"""),33.0478851044853)</f>
        <v>33.0478851</v>
      </c>
      <c r="I95" s="88">
        <f>IFERROR(__xludf.DUMMYFUNCTION("""COMPUTED_VALUE"""),30.4467808981367)</f>
        <v>30.4467809</v>
      </c>
      <c r="J95" s="88">
        <f>IFERROR(__xludf.DUMMYFUNCTION("""COMPUTED_VALUE"""),31.8003335572398)</f>
        <v>31.80033356</v>
      </c>
      <c r="K95" s="88">
        <f>IFERROR(__xludf.DUMMYFUNCTION("""COMPUTED_VALUE"""),4.643185E8)</f>
        <v>464318500</v>
      </c>
      <c r="L95" s="88">
        <f>IFERROR(__xludf.DUMMYFUNCTION("""COMPUTED_VALUE"""),0.0)</f>
        <v>0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IFERROR(__xludf.DUMMYFUNCTION("""COMPUTED_VALUE"""),38.795)</f>
        <v>38.795</v>
      </c>
      <c r="C96">
        <f>IFERROR(__xludf.DUMMYFUNCTION("""COMPUTED_VALUE"""),42.26)</f>
        <v>42.26</v>
      </c>
      <c r="D96" s="88">
        <f>IFERROR(__xludf.DUMMYFUNCTION("""COMPUTED_VALUE"""),36.015)</f>
        <v>36.015</v>
      </c>
      <c r="E96" s="88">
        <f>IFERROR(__xludf.DUMMYFUNCTION("""COMPUTED_VALUE"""),41.715)</f>
        <v>41.715</v>
      </c>
      <c r="F96" s="88">
        <f>IFERROR(__xludf.DUMMYFUNCTION("""COMPUTED_VALUE"""),6.128188E8)</f>
        <v>612818800</v>
      </c>
      <c r="G96" s="88">
        <f>IFERROR(__xludf.DUMMYFUNCTION("""COMPUTED_VALUE"""),31.6331779577722)</f>
        <v>31.63317796</v>
      </c>
      <c r="H96" s="88">
        <f>IFERROR(__xludf.DUMMYFUNCTION("""COMPUTED_VALUE"""),33.9873482115213)</f>
        <v>33.98734821</v>
      </c>
      <c r="I96" s="88">
        <f>IFERROR(__xludf.DUMMYFUNCTION("""COMPUTED_VALUE"""),29.3663849503587)</f>
        <v>29.36638495</v>
      </c>
      <c r="J96" s="88">
        <f>IFERROR(__xludf.DUMMYFUNCTION("""COMPUTED_VALUE"""),33.5490352731569)</f>
        <v>33.54903527</v>
      </c>
      <c r="K96" s="88">
        <f>IFERROR(__xludf.DUMMYFUNCTION("""COMPUTED_VALUE"""),6.128188E8)</f>
        <v>612818800</v>
      </c>
      <c r="L96" s="88">
        <f>IFERROR(__xludf.DUMMYFUNCTION("""COMPUTED_VALUE"""),0.506)</f>
        <v>0.506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IFERROR(__xludf.DUMMYFUNCTION("""COMPUTED_VALUE"""),41.539)</f>
        <v>41.539</v>
      </c>
      <c r="C97">
        <f>IFERROR(__xludf.DUMMYFUNCTION("""COMPUTED_VALUE"""),44.81)</f>
        <v>44.81</v>
      </c>
      <c r="D97" s="88">
        <f>IFERROR(__xludf.DUMMYFUNCTION("""COMPUTED_VALUE"""),41.52)</f>
        <v>41.52</v>
      </c>
      <c r="E97" s="88">
        <f>IFERROR(__xludf.DUMMYFUNCTION("""COMPUTED_VALUE"""),43.7)</f>
        <v>43.7</v>
      </c>
      <c r="F97" s="88">
        <f>IFERROR(__xludf.DUMMYFUNCTION("""COMPUTED_VALUE"""),3.308014E8)</f>
        <v>330801400</v>
      </c>
      <c r="G97" s="88">
        <f>IFERROR(__xludf.DUMMYFUNCTION("""COMPUTED_VALUE"""),33.4074883426026)</f>
        <v>33.40748834</v>
      </c>
      <c r="H97" s="88">
        <f>IFERROR(__xludf.DUMMYFUNCTION("""COMPUTED_VALUE"""),36.0381702167125)</f>
        <v>36.03817022</v>
      </c>
      <c r="I97" s="88">
        <f>IFERROR(__xludf.DUMMYFUNCTION("""COMPUTED_VALUE"""),33.3922077080541)</f>
        <v>33.39220771</v>
      </c>
      <c r="J97" s="88">
        <f>IFERROR(__xludf.DUMMYFUNCTION("""COMPUTED_VALUE"""),35.1454594615116)</f>
        <v>35.14545946</v>
      </c>
      <c r="K97" s="88">
        <f>IFERROR(__xludf.DUMMYFUNCTION("""COMPUTED_VALUE"""),3.308014E8)</f>
        <v>330801400</v>
      </c>
      <c r="L97" s="88">
        <f>IFERROR(__xludf.DUMMYFUNCTION("""COMPUTED_VALUE"""),0.0)</f>
        <v>0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IFERROR(__xludf.DUMMYFUNCTION("""COMPUTED_VALUE"""),43.76)</f>
        <v>43.76</v>
      </c>
      <c r="C98">
        <f>IFERROR(__xludf.DUMMYFUNCTION("""COMPUTED_VALUE"""),43.88)</f>
        <v>43.88</v>
      </c>
      <c r="D98" s="88">
        <f>IFERROR(__xludf.DUMMYFUNCTION("""COMPUTED_VALUE"""),41.23)</f>
        <v>41.23</v>
      </c>
      <c r="E98" s="88">
        <f>IFERROR(__xludf.DUMMYFUNCTION("""COMPUTED_VALUE"""),42.885)</f>
        <v>42.885</v>
      </c>
      <c r="F98" s="88">
        <f>IFERROR(__xludf.DUMMYFUNCTION("""COMPUTED_VALUE"""),3.741943E8)</f>
        <v>374194300</v>
      </c>
      <c r="G98" s="88">
        <f>IFERROR(__xludf.DUMMYFUNCTION("""COMPUTED_VALUE"""),35.1937140969279)</f>
        <v>35.1937141</v>
      </c>
      <c r="H98" s="88">
        <f>IFERROR(__xludf.DUMMYFUNCTION("""COMPUTED_VALUE"""),35.2902233677604)</f>
        <v>35.29022337</v>
      </c>
      <c r="I98" s="88">
        <f>IFERROR(__xludf.DUMMYFUNCTION("""COMPUTED_VALUE"""),33.1589769702088)</f>
        <v>33.15897697</v>
      </c>
      <c r="J98" s="88">
        <f>IFERROR(__xludf.DUMMYFUNCTION("""COMPUTED_VALUE"""),34.4900006637741)</f>
        <v>34.49000066</v>
      </c>
      <c r="K98" s="88">
        <f>IFERROR(__xludf.DUMMYFUNCTION("""COMPUTED_VALUE"""),3.741943E8)</f>
        <v>374194300</v>
      </c>
      <c r="L98" s="88">
        <f>IFERROR(__xludf.DUMMYFUNCTION("""COMPUTED_VALUE"""),0.0)</f>
        <v>0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IFERROR(__xludf.DUMMYFUNCTION("""COMPUTED_VALUE"""),42.895)</f>
        <v>42.895</v>
      </c>
      <c r="C99">
        <f>IFERROR(__xludf.DUMMYFUNCTION("""COMPUTED_VALUE"""),44.47)</f>
        <v>44.47</v>
      </c>
      <c r="D99" s="88">
        <f>IFERROR(__xludf.DUMMYFUNCTION("""COMPUTED_VALUE"""),42.05)</f>
        <v>42.05</v>
      </c>
      <c r="E99" s="88">
        <f>IFERROR(__xludf.DUMMYFUNCTION("""COMPUTED_VALUE"""),43.38)</f>
        <v>43.38</v>
      </c>
      <c r="F99" s="88">
        <f>IFERROR(__xludf.DUMMYFUNCTION("""COMPUTED_VALUE"""),3.397739E8)</f>
        <v>339773900</v>
      </c>
      <c r="G99" s="88">
        <f>IFERROR(__xludf.DUMMYFUNCTION("""COMPUTED_VALUE"""),34.4980431030101)</f>
        <v>34.4980431</v>
      </c>
      <c r="H99" s="88">
        <f>IFERROR(__xludf.DUMMYFUNCTION("""COMPUTED_VALUE"""),35.7157899848103)</f>
        <v>35.71578998</v>
      </c>
      <c r="I99" s="88">
        <f>IFERROR(__xludf.DUMMYFUNCTION("""COMPUTED_VALUE"""),33.8184569875644)</f>
        <v>33.81845699</v>
      </c>
      <c r="J99" s="88">
        <f>IFERROR(__xludf.DUMMYFUNCTION("""COMPUTED_VALUE"""),34.8403636056009)</f>
        <v>34.84036361</v>
      </c>
      <c r="K99" s="88">
        <f>IFERROR(__xludf.DUMMYFUNCTION("""COMPUTED_VALUE"""),3.397739E8)</f>
        <v>339773900</v>
      </c>
      <c r="L99" s="88">
        <f>IFERROR(__xludf.DUMMYFUNCTION("""COMPUTED_VALUE"""),0.058)</f>
        <v>0.058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IFERROR(__xludf.DUMMYFUNCTION("""COMPUTED_VALUE"""),43.505)</f>
        <v>43.505</v>
      </c>
      <c r="C100">
        <f>IFERROR(__xludf.DUMMYFUNCTION("""COMPUTED_VALUE"""),44.97)</f>
        <v>44.97</v>
      </c>
      <c r="D100" s="88">
        <f>IFERROR(__xludf.DUMMYFUNCTION("""COMPUTED_VALUE"""),42.98)</f>
        <v>42.98</v>
      </c>
      <c r="E100" s="88">
        <f>IFERROR(__xludf.DUMMYFUNCTION("""COMPUTED_VALUE"""),44.81)</f>
        <v>44.81</v>
      </c>
      <c r="F100" s="88">
        <f>IFERROR(__xludf.DUMMYFUNCTION("""COMPUTED_VALUE"""),3.675345E8)</f>
        <v>367534500</v>
      </c>
      <c r="G100" s="88">
        <f>IFERROR(__xludf.DUMMYFUNCTION("""COMPUTED_VALUE"""),34.9407565389965)</f>
        <v>34.94075654</v>
      </c>
      <c r="H100" s="88">
        <f>IFERROR(__xludf.DUMMYFUNCTION("""COMPUTED_VALUE"""),36.1173617183927)</f>
        <v>36.11736172</v>
      </c>
      <c r="I100" s="88">
        <f>IFERROR(__xludf.DUMMYFUNCTION("""COMPUTED_VALUE"""),34.5191062187351)</f>
        <v>34.51910622</v>
      </c>
      <c r="J100" s="88">
        <f>IFERROR(__xludf.DUMMYFUNCTION("""COMPUTED_VALUE"""),35.9888587636463)</f>
        <v>35.98885876</v>
      </c>
      <c r="K100" s="88">
        <f>IFERROR(__xludf.DUMMYFUNCTION("""COMPUTED_VALUE"""),3.675345E8)</f>
        <v>367534500</v>
      </c>
      <c r="L100" s="88">
        <f>IFERROR(__xludf.DUMMYFUNCTION("""COMPUTED_VALUE"""),0.0)</f>
        <v>0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IFERROR(__xludf.DUMMYFUNCTION("""COMPUTED_VALUE"""),44.56)</f>
        <v>44.56</v>
      </c>
      <c r="C101">
        <f>IFERROR(__xludf.DUMMYFUNCTION("""COMPUTED_VALUE"""),45.54)</f>
        <v>45.54</v>
      </c>
      <c r="D101" s="88">
        <f>IFERROR(__xludf.DUMMYFUNCTION("""COMPUTED_VALUE"""),44.1)</f>
        <v>44.1</v>
      </c>
      <c r="E101" s="88">
        <f>IFERROR(__xludf.DUMMYFUNCTION("""COMPUTED_VALUE"""),45.13)</f>
        <v>45.13</v>
      </c>
      <c r="F101" s="88">
        <f>IFERROR(__xludf.DUMMYFUNCTION("""COMPUTED_VALUE"""),4.008497E8)</f>
        <v>400849700</v>
      </c>
      <c r="G101" s="88">
        <f>IFERROR(__xludf.DUMMYFUNCTION("""COMPUTED_VALUE"""),35.7880728968552)</f>
        <v>35.7880729</v>
      </c>
      <c r="H101" s="88">
        <f>IFERROR(__xludf.DUMMYFUNCTION("""COMPUTED_VALUE"""),36.5751534946765)</f>
        <v>36.57515349</v>
      </c>
      <c r="I101" s="88">
        <f>IFERROR(__xludf.DUMMYFUNCTION("""COMPUTED_VALUE"""),35.4186269019594)</f>
        <v>35.4186269</v>
      </c>
      <c r="J101" s="88">
        <f>IFERROR(__xludf.DUMMYFUNCTION("""COMPUTED_VALUE"""),36.245864673139)</f>
        <v>36.24586467</v>
      </c>
      <c r="K101" s="88">
        <f>IFERROR(__xludf.DUMMYFUNCTION("""COMPUTED_VALUE"""),4.008497E8)</f>
        <v>400849700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IFERROR(__xludf.DUMMYFUNCTION("""COMPUTED_VALUE"""),44.53)</f>
        <v>44.53</v>
      </c>
      <c r="C102">
        <f>IFERROR(__xludf.DUMMYFUNCTION("""COMPUTED_VALUE"""),44.61)</f>
        <v>44.61</v>
      </c>
      <c r="D102" s="88">
        <f>IFERROR(__xludf.DUMMYFUNCTION("""COMPUTED_VALUE"""),42.01)</f>
        <v>42.01</v>
      </c>
      <c r="E102" s="88">
        <f>IFERROR(__xludf.DUMMYFUNCTION("""COMPUTED_VALUE"""),42.33)</f>
        <v>42.33</v>
      </c>
      <c r="F102" s="88">
        <f>IFERROR(__xludf.DUMMYFUNCTION("""COMPUTED_VALUE"""),3.952011E8)</f>
        <v>395201100</v>
      </c>
      <c r="G102" s="88">
        <f>IFERROR(__xludf.DUMMYFUNCTION("""COMPUTED_VALUE"""),35.7639785928402)</f>
        <v>35.76397859</v>
      </c>
      <c r="H102" s="88">
        <f>IFERROR(__xludf.DUMMYFUNCTION("""COMPUTED_VALUE"""),35.8282300702134)</f>
        <v>35.82823007</v>
      </c>
      <c r="I102" s="88">
        <f>IFERROR(__xludf.DUMMYFUNCTION("""COMPUTED_VALUE"""),33.3977114935783)</f>
        <v>33.39771149</v>
      </c>
      <c r="J102" s="88">
        <f>IFERROR(__xludf.DUMMYFUNCTION("""COMPUTED_VALUE"""),33.6521096768191)</f>
        <v>33.65210968</v>
      </c>
      <c r="K102" s="88">
        <f>IFERROR(__xludf.DUMMYFUNCTION("""COMPUTED_VALUE"""),3.952011E8)</f>
        <v>395201100</v>
      </c>
      <c r="L102" s="88">
        <f>IFERROR(__xludf.DUMMYFUNCTION("""COMPUTED_VALUE"""),0.45)</f>
        <v>0.45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IFERROR(__xludf.DUMMYFUNCTION("IMPORTDATA(concatenate(""https://api.tiingo.com/tiingo/daily/BND/prices?startDate=2012-12-31&amp;resampleFreq=monthly&amp;sort=-date&amp;format=csv&amp;token="",TOKEN!B1))"),"date")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IFERROR(__xludf.DUMMYFUNCTION("""COMPUTED_VALUE"""),85.17)</f>
        <v>85.17</v>
      </c>
      <c r="C2">
        <f>IFERROR(__xludf.DUMMYFUNCTION("""COMPUTED_VALUE"""),85.56)</f>
        <v>85.56</v>
      </c>
      <c r="D2" s="88">
        <f>IFERROR(__xludf.DUMMYFUNCTION("""COMPUTED_VALUE"""),84.55)</f>
        <v>84.55</v>
      </c>
      <c r="E2" s="88">
        <f>IFERROR(__xludf.DUMMYFUNCTION("""COMPUTED_VALUE"""),84.7777)</f>
        <v>84.7777</v>
      </c>
      <c r="F2" s="88">
        <f>IFERROR(__xludf.DUMMYFUNCTION("""COMPUTED_VALUE"""),9.7511937E7)</f>
        <v>97511937</v>
      </c>
      <c r="G2" s="88">
        <f>IFERROR(__xludf.DUMMYFUNCTION("""COMPUTED_VALUE"""),85.17)</f>
        <v>85.17</v>
      </c>
      <c r="H2" s="88">
        <f>IFERROR(__xludf.DUMMYFUNCTION("""COMPUTED_VALUE"""),85.56)</f>
        <v>85.56</v>
      </c>
      <c r="I2" s="88">
        <f>IFERROR(__xludf.DUMMYFUNCTION("""COMPUTED_VALUE"""),84.55)</f>
        <v>84.55</v>
      </c>
      <c r="J2" s="88">
        <f>IFERROR(__xludf.DUMMYFUNCTION("""COMPUTED_VALUE"""),84.7777)</f>
        <v>84.7777</v>
      </c>
      <c r="K2" s="88">
        <f>IFERROR(__xludf.DUMMYFUNCTION("""COMPUTED_VALUE"""),9.7511937E7)</f>
        <v>97511937</v>
      </c>
      <c r="L2" s="88">
        <f>IFERROR(__xludf.DUMMYFUNCTION("""COMPUTED_VALUE"""),0.19245)</f>
        <v>0.19245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IFERROR(__xludf.DUMMYFUNCTION("""COMPUTED_VALUE"""),84.72)</f>
        <v>84.72</v>
      </c>
      <c r="C3">
        <f>IFERROR(__xludf.DUMMYFUNCTION("""COMPUTED_VALUE"""),85.75)</f>
        <v>85.75</v>
      </c>
      <c r="D3" s="88">
        <f>IFERROR(__xludf.DUMMYFUNCTION("""COMPUTED_VALUE"""),84.22)</f>
        <v>84.22</v>
      </c>
      <c r="E3" s="88">
        <f>IFERROR(__xludf.DUMMYFUNCTION("""COMPUTED_VALUE"""),85.61)</f>
        <v>85.61</v>
      </c>
      <c r="F3" s="88">
        <f>IFERROR(__xludf.DUMMYFUNCTION("""COMPUTED_VALUE"""),1.31290714E8)</f>
        <v>131290714</v>
      </c>
      <c r="G3" s="88">
        <f>IFERROR(__xludf.DUMMYFUNCTION("""COMPUTED_VALUE"""),84.5281669136494)</f>
        <v>84.52816691</v>
      </c>
      <c r="H3" s="88">
        <f>IFERROR(__xludf.DUMMYFUNCTION("""COMPUTED_VALUE"""),85.5558346653144)</f>
        <v>85.55583467</v>
      </c>
      <c r="I3" s="88">
        <f>IFERROR(__xludf.DUMMYFUNCTION("""COMPUTED_VALUE"""),84.0292990730353)</f>
        <v>84.02929907</v>
      </c>
      <c r="J3" s="88">
        <f>IFERROR(__xludf.DUMMYFUNCTION("""COMPUTED_VALUE"""),85.4161516699425)</f>
        <v>85.41615167</v>
      </c>
      <c r="K3" s="88">
        <f>IFERROR(__xludf.DUMMYFUNCTION("""COMPUTED_VALUE"""),1.31290714E8)</f>
        <v>131290714</v>
      </c>
      <c r="L3" s="88">
        <f>IFERROR(__xludf.DUMMYFUNCTION("""COMPUTED_VALUE"""),0.12875)</f>
        <v>0.12875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IFERROR(__xludf.DUMMYFUNCTION("""COMPUTED_VALUE"""),85.94)</f>
        <v>85.94</v>
      </c>
      <c r="C4">
        <f>IFERROR(__xludf.DUMMYFUNCTION("""COMPUTED_VALUE"""),87.37)</f>
        <v>87.37</v>
      </c>
      <c r="D4" s="88">
        <f>IFERROR(__xludf.DUMMYFUNCTION("""COMPUTED_VALUE"""),84.92)</f>
        <v>84.92</v>
      </c>
      <c r="E4" s="88">
        <f>IFERROR(__xludf.DUMMYFUNCTION("""COMPUTED_VALUE"""),87.2442)</f>
        <v>87.2442</v>
      </c>
      <c r="F4" s="88">
        <f>IFERROR(__xludf.DUMMYFUNCTION("""COMPUTED_VALUE"""),1.0236102E8)</f>
        <v>102361020</v>
      </c>
      <c r="G4" s="88">
        <f>IFERROR(__xludf.DUMMYFUNCTION("""COMPUTED_VALUE"""),85.6167794697567)</f>
        <v>85.61677947</v>
      </c>
      <c r="H4" s="88">
        <f>IFERROR(__xludf.DUMMYFUNCTION("""COMPUTED_VALUE"""),87.0414012365912)</f>
        <v>87.04140124</v>
      </c>
      <c r="I4" s="88">
        <f>IFERROR(__xludf.DUMMYFUNCTION("""COMPUTED_VALUE"""),84.6006156920147)</f>
        <v>84.60061569</v>
      </c>
      <c r="J4" s="88">
        <f>IFERROR(__xludf.DUMMYFUNCTION("""COMPUTED_VALUE"""),86.9160743706696)</f>
        <v>86.91607437</v>
      </c>
      <c r="K4" s="88">
        <f>IFERROR(__xludf.DUMMYFUNCTION("""COMPUTED_VALUE"""),1.0236102E8)</f>
        <v>102361020</v>
      </c>
      <c r="L4" s="88">
        <f>IFERROR(__xludf.DUMMYFUNCTION("""COMPUTED_VALUE"""),0.139196)</f>
        <v>0.139196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IFERROR(__xludf.DUMMYFUNCTION("""COMPUTED_VALUE"""),87.43)</f>
        <v>87.43</v>
      </c>
      <c r="C5">
        <f>IFERROR(__xludf.DUMMYFUNCTION("""COMPUTED_VALUE"""),88.1)</f>
        <v>88.1</v>
      </c>
      <c r="D5" s="88">
        <f>IFERROR(__xludf.DUMMYFUNCTION("""COMPUTED_VALUE"""),86.94)</f>
        <v>86.94</v>
      </c>
      <c r="E5" s="88">
        <f>IFERROR(__xludf.DUMMYFUNCTION("""COMPUTED_VALUE"""),88.04)</f>
        <v>88.04</v>
      </c>
      <c r="F5" s="88">
        <f>IFERROR(__xludf.DUMMYFUNCTION("""COMPUTED_VALUE"""),1.14244743E8)</f>
        <v>114244743</v>
      </c>
      <c r="G5" s="88">
        <f>IFERROR(__xludf.DUMMYFUNCTION("""COMPUTED_VALUE"""),86.9625493851595)</f>
        <v>86.96254939</v>
      </c>
      <c r="H5" s="88">
        <f>IFERROR(__xludf.DUMMYFUNCTION("""COMPUTED_VALUE"""),87.6289671832615)</f>
        <v>87.62896718</v>
      </c>
      <c r="I5" s="88">
        <f>IFERROR(__xludf.DUMMYFUNCTION("""COMPUTED_VALUE"""),86.475169204458)</f>
        <v>86.4751692</v>
      </c>
      <c r="J5" s="88">
        <f>IFERROR(__xludf.DUMMYFUNCTION("""COMPUTED_VALUE"""),87.5692879774613)</f>
        <v>87.56928798</v>
      </c>
      <c r="K5" s="88">
        <f>IFERROR(__xludf.DUMMYFUNCTION("""COMPUTED_VALUE"""),1.14244743E8)</f>
        <v>114244743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IFERROR(__xludf.DUMMYFUNCTION("""COMPUTED_VALUE"""),88.19)</f>
        <v>88.19</v>
      </c>
      <c r="C6">
        <f>IFERROR(__xludf.DUMMYFUNCTION("""COMPUTED_VALUE"""),88.3)</f>
        <v>88.3</v>
      </c>
      <c r="D6" s="88">
        <f>IFERROR(__xludf.DUMMYFUNCTION("""COMPUTED_VALUE"""),87.7)</f>
        <v>87.7</v>
      </c>
      <c r="E6" s="88">
        <f>IFERROR(__xludf.DUMMYFUNCTION("""COMPUTED_VALUE"""),88.255)</f>
        <v>88.255</v>
      </c>
      <c r="F6" s="88">
        <f>IFERROR(__xludf.DUMMYFUNCTION("""COMPUTED_VALUE"""),1.05787111E8)</f>
        <v>105787111</v>
      </c>
      <c r="G6" s="88">
        <f>IFERROR(__xludf.DUMMYFUNCTION("""COMPUTED_VALUE"""),87.7184859919617)</f>
        <v>87.71848599</v>
      </c>
      <c r="H6" s="88">
        <f>IFERROR(__xludf.DUMMYFUNCTION("""COMPUTED_VALUE"""),87.7354945656148)</f>
        <v>87.73549457</v>
      </c>
      <c r="I6" s="88">
        <f>IFERROR(__xludf.DUMMYFUNCTION("""COMPUTED_VALUE"""),87.0524104734744)</f>
        <v>87.05241047</v>
      </c>
      <c r="J6" s="88">
        <f>IFERROR(__xludf.DUMMYFUNCTION("""COMPUTED_VALUE"""),87.4935711916237)</f>
        <v>87.49357119</v>
      </c>
      <c r="K6" s="88">
        <f>IFERROR(__xludf.DUMMYFUNCTION("""COMPUTED_VALUE"""),1.05787111E8)</f>
        <v>105787111</v>
      </c>
      <c r="L6" s="88">
        <f>IFERROR(__xludf.DUMMYFUNCTION("""COMPUTED_VALUE"""),0.43401)</f>
        <v>0.43401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IFERROR(__xludf.DUMMYFUNCTION("""COMPUTED_VALUE"""),88.49)</f>
        <v>88.49</v>
      </c>
      <c r="C7">
        <f>IFERROR(__xludf.DUMMYFUNCTION("""COMPUTED_VALUE"""),88.5)</f>
        <v>88.5</v>
      </c>
      <c r="D7" s="88">
        <f>IFERROR(__xludf.DUMMYFUNCTION("""COMPUTED_VALUE"""),87.38)</f>
        <v>87.38</v>
      </c>
      <c r="E7" s="88">
        <f>IFERROR(__xludf.DUMMYFUNCTION("""COMPUTED_VALUE"""),87.56)</f>
        <v>87.56</v>
      </c>
      <c r="F7" s="88">
        <f>IFERROR(__xludf.DUMMYFUNCTION("""COMPUTED_VALUE"""),9.2207998E7)</f>
        <v>92207998</v>
      </c>
      <c r="G7" s="88">
        <f>IFERROR(__xludf.DUMMYFUNCTION("""COMPUTED_VALUE"""),87.5841200735712)</f>
        <v>87.58412007</v>
      </c>
      <c r="H7" s="88">
        <f>IFERROR(__xludf.DUMMYFUNCTION("""COMPUTED_VALUE"""),87.5940177026901)</f>
        <v>87.5940177</v>
      </c>
      <c r="I7" s="88">
        <f>IFERROR(__xludf.DUMMYFUNCTION("""COMPUTED_VALUE"""),86.4854832413679)</f>
        <v>86.48548324</v>
      </c>
      <c r="J7" s="88">
        <f>IFERROR(__xludf.DUMMYFUNCTION("""COMPUTED_VALUE"""),86.663640565509)</f>
        <v>86.66364057</v>
      </c>
      <c r="K7" s="88">
        <f>IFERROR(__xludf.DUMMYFUNCTION("""COMPUTED_VALUE"""),9.2207998E7)</f>
        <v>92207998</v>
      </c>
      <c r="L7" s="88">
        <f>IFERROR(__xludf.DUMMYFUNCTION("""COMPUTED_VALUE"""),0.15097)</f>
        <v>0.15097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IFERROR(__xludf.DUMMYFUNCTION("""COMPUTED_VALUE"""),87.58)</f>
        <v>87.58</v>
      </c>
      <c r="C8">
        <f>IFERROR(__xludf.DUMMYFUNCTION("""COMPUTED_VALUE"""),88.24)</f>
        <v>88.24</v>
      </c>
      <c r="D8" s="88">
        <f>IFERROR(__xludf.DUMMYFUNCTION("""COMPUTED_VALUE"""),87.5)</f>
        <v>87.5</v>
      </c>
      <c r="E8" s="88">
        <f>IFERROR(__xludf.DUMMYFUNCTION("""COMPUTED_VALUE"""),87.9917)</f>
        <v>87.9917</v>
      </c>
      <c r="F8" s="88">
        <f>IFERROR(__xludf.DUMMYFUNCTION("""COMPUTED_VALUE"""),1.05501953E8)</f>
        <v>105501953</v>
      </c>
      <c r="G8" s="88">
        <f>IFERROR(__xludf.DUMMYFUNCTION("""COMPUTED_VALUE"""),86.5342174250643)</f>
        <v>86.53421743</v>
      </c>
      <c r="H8" s="88">
        <f>IFERROR(__xludf.DUMMYFUNCTION("""COMPUTED_VALUE"""),87.1863364419693)</f>
        <v>87.18633644</v>
      </c>
      <c r="I8" s="88">
        <f>IFERROR(__xludf.DUMMYFUNCTION("""COMPUTED_VALUE"""),86.4551726957425)</f>
        <v>86.4551727</v>
      </c>
      <c r="J8" s="88">
        <f>IFERROR(__xludf.DUMMYFUNCTION("""COMPUTED_VALUE"""),86.9410013633367)</f>
        <v>86.94100136</v>
      </c>
      <c r="K8" s="88">
        <f>IFERROR(__xludf.DUMMYFUNCTION("""COMPUTED_VALUE"""),1.05501953E8)</f>
        <v>105501953</v>
      </c>
      <c r="L8" s="88">
        <f>IFERROR(__xludf.DUMMYFUNCTION("""COMPUTED_VALUE"""),0.15029)</f>
        <v>0.15029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IFERROR(__xludf.DUMMYFUNCTION("""COMPUTED_VALUE"""),88.22)</f>
        <v>88.22</v>
      </c>
      <c r="C9">
        <f>IFERROR(__xludf.DUMMYFUNCTION("""COMPUTED_VALUE"""),88.89)</f>
        <v>88.89</v>
      </c>
      <c r="D9" s="88">
        <f>IFERROR(__xludf.DUMMYFUNCTION("""COMPUTED_VALUE"""),88.13)</f>
        <v>88.13</v>
      </c>
      <c r="E9" s="88">
        <f>IFERROR(__xludf.DUMMYFUNCTION("""COMPUTED_VALUE"""),88.2483)</f>
        <v>88.2483</v>
      </c>
      <c r="F9" s="88">
        <f>IFERROR(__xludf.DUMMYFUNCTION("""COMPUTED_VALUE"""),1.08292488E8)</f>
        <v>108292488</v>
      </c>
      <c r="G9" s="88">
        <f>IFERROR(__xludf.DUMMYFUNCTION("""COMPUTED_VALUE"""),87.0182316793407)</f>
        <v>87.01823168</v>
      </c>
      <c r="H9" s="88">
        <f>IFERROR(__xludf.DUMMYFUNCTION("""COMPUTED_VALUE"""),87.6791046698775)</f>
        <v>87.67910467</v>
      </c>
      <c r="I9" s="88">
        <f>IFERROR(__xludf.DUMMYFUNCTION("""COMPUTED_VALUE"""),86.9294576955372)</f>
        <v>86.9294577</v>
      </c>
      <c r="J9" s="88">
        <f>IFERROR(__xludf.DUMMYFUNCTION("""COMPUTED_VALUE"""),87.0461461653589)</f>
        <v>87.04614617</v>
      </c>
      <c r="K9" s="88">
        <f>IFERROR(__xludf.DUMMYFUNCTION("""COMPUTED_VALUE"""),1.08292488E8)</f>
        <v>108292488</v>
      </c>
      <c r="L9" s="88">
        <f>IFERROR(__xludf.DUMMYFUNCTION("""COMPUTED_VALUE"""),0.15307)</f>
        <v>0.15307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IFERROR(__xludf.DUMMYFUNCTION("""COMPUTED_VALUE"""),88.46)</f>
        <v>88.46</v>
      </c>
      <c r="C10">
        <f>IFERROR(__xludf.DUMMYFUNCTION("""COMPUTED_VALUE"""),89.59)</f>
        <v>89.59</v>
      </c>
      <c r="D10" s="88">
        <f>IFERROR(__xludf.DUMMYFUNCTION("""COMPUTED_VALUE"""),88.12)</f>
        <v>88.12</v>
      </c>
      <c r="E10" s="88">
        <f>IFERROR(__xludf.DUMMYFUNCTION("""COMPUTED_VALUE"""),89.32)</f>
        <v>89.32</v>
      </c>
      <c r="F10" s="88">
        <f>IFERROR(__xludf.DUMMYFUNCTION("""COMPUTED_VALUE"""),1.09327484E8)</f>
        <v>109327484</v>
      </c>
      <c r="G10" s="88">
        <f>IFERROR(__xludf.DUMMYFUNCTION("""COMPUTED_VALUE"""),87.104391222473)</f>
        <v>87.10439122</v>
      </c>
      <c r="H10" s="88">
        <f>IFERROR(__xludf.DUMMYFUNCTION("""COMPUTED_VALUE"""),88.2170744926674)</f>
        <v>88.21707449</v>
      </c>
      <c r="I10" s="88">
        <f>IFERROR(__xludf.DUMMYFUNCTION("""COMPUTED_VALUE"""),86.7696015659543)</f>
        <v>86.76960157</v>
      </c>
      <c r="J10" s="88">
        <f>IFERROR(__xludf.DUMMYFUNCTION("""COMPUTED_VALUE"""),87.9512121183731)</f>
        <v>87.95121212</v>
      </c>
      <c r="K10" s="88">
        <f>IFERROR(__xludf.DUMMYFUNCTION("""COMPUTED_VALUE"""),1.09327484E8)</f>
        <v>109327484</v>
      </c>
      <c r="L10" s="88">
        <f>IFERROR(__xludf.DUMMYFUNCTION("""COMPUTED_VALUE"""),0.15874)</f>
        <v>0.15874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IFERROR(__xludf.DUMMYFUNCTION("""COMPUTED_VALUE"""),89.46)</f>
        <v>89.46</v>
      </c>
      <c r="C11">
        <f>IFERROR(__xludf.DUMMYFUNCTION("""COMPUTED_VALUE"""),89.47)</f>
        <v>89.47</v>
      </c>
      <c r="D11" s="88">
        <f>IFERROR(__xludf.DUMMYFUNCTION("""COMPUTED_VALUE"""),88.0)</f>
        <v>88</v>
      </c>
      <c r="E11" s="88">
        <f>IFERROR(__xludf.DUMMYFUNCTION("""COMPUTED_VALUE"""),88.14)</f>
        <v>88.14</v>
      </c>
      <c r="F11" s="88">
        <f>IFERROR(__xludf.DUMMYFUNCTION("""COMPUTED_VALUE"""),7.9147528E7)</f>
        <v>79147528</v>
      </c>
      <c r="G11" s="88">
        <f>IFERROR(__xludf.DUMMYFUNCTION("""COMPUTED_VALUE"""),87.9327046626791)</f>
        <v>87.93270466</v>
      </c>
      <c r="H11" s="88">
        <f>IFERROR(__xludf.DUMMYFUNCTION("""COMPUTED_VALUE"""),87.9425339388542)</f>
        <v>87.94253394</v>
      </c>
      <c r="I11" s="88">
        <f>IFERROR(__xludf.DUMMYFUNCTION("""COMPUTED_VALUE"""),86.4976303411107)</f>
        <v>86.49763034</v>
      </c>
      <c r="J11" s="88">
        <f>IFERROR(__xludf.DUMMYFUNCTION("""COMPUTED_VALUE"""),86.6352402075625)</f>
        <v>86.63524021</v>
      </c>
      <c r="K11" s="88">
        <f>IFERROR(__xludf.DUMMYFUNCTION("""COMPUTED_VALUE"""),7.9147528E7)</f>
        <v>79147528</v>
      </c>
      <c r="L11" s="88">
        <f>IFERROR(__xludf.DUMMYFUNCTION("""COMPUTED_VALUE"""),0.162394)</f>
        <v>0.162394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IFERROR(__xludf.DUMMYFUNCTION("""COMPUTED_VALUE"""),88.34)</f>
        <v>88.34</v>
      </c>
      <c r="C12">
        <f>IFERROR(__xludf.DUMMYFUNCTION("""COMPUTED_VALUE"""),88.36)</f>
        <v>88.36</v>
      </c>
      <c r="D12" s="88">
        <f>IFERROR(__xludf.DUMMYFUNCTION("""COMPUTED_VALUE"""),87.03)</f>
        <v>87.03</v>
      </c>
      <c r="E12" s="88">
        <f>IFERROR(__xludf.DUMMYFUNCTION("""COMPUTED_VALUE"""),87.59)</f>
        <v>87.59</v>
      </c>
      <c r="F12" s="88">
        <f>IFERROR(__xludf.DUMMYFUNCTION("""COMPUTED_VALUE"""),9.8983156E7)</f>
        <v>98983156</v>
      </c>
      <c r="G12" s="88">
        <f>IFERROR(__xludf.DUMMYFUNCTION("""COMPUTED_VALUE"""),86.6722446370107)</f>
        <v>86.67224464</v>
      </c>
      <c r="H12" s="88">
        <f>IFERROR(__xludf.DUMMYFUNCTION("""COMPUTED_VALUE"""),86.6918670605192)</f>
        <v>86.69186706</v>
      </c>
      <c r="I12" s="88">
        <f>IFERROR(__xludf.DUMMYFUNCTION("""COMPUTED_VALUE"""),85.3869758972045)</f>
        <v>85.3869759</v>
      </c>
      <c r="J12" s="88">
        <f>IFERROR(__xludf.DUMMYFUNCTION("""COMPUTED_VALUE"""),85.9364037554423)</f>
        <v>85.93640376</v>
      </c>
      <c r="K12" s="88">
        <f>IFERROR(__xludf.DUMMYFUNCTION("""COMPUTED_VALUE"""),9.8983156E7)</f>
        <v>98983156</v>
      </c>
      <c r="L12" s="88">
        <f>IFERROR(__xludf.DUMMYFUNCTION("""COMPUTED_VALUE"""),0.16874)</f>
        <v>0.16874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IFERROR(__xludf.DUMMYFUNCTION("""COMPUTED_VALUE"""),87.92)</f>
        <v>87.92</v>
      </c>
      <c r="C13">
        <f>IFERROR(__xludf.DUMMYFUNCTION("""COMPUTED_VALUE"""),87.94)</f>
        <v>87.94</v>
      </c>
      <c r="D13" s="88">
        <f>IFERROR(__xludf.DUMMYFUNCTION("""COMPUTED_VALUE"""),86.63)</f>
        <v>86.63</v>
      </c>
      <c r="E13" s="88">
        <f>IFERROR(__xludf.DUMMYFUNCTION("""COMPUTED_VALUE"""),87.38)</f>
        <v>87.38</v>
      </c>
      <c r="F13" s="88">
        <f>IFERROR(__xludf.DUMMYFUNCTION("""COMPUTED_VALUE"""),9.0801294E7)</f>
        <v>90801294</v>
      </c>
      <c r="G13" s="88">
        <f>IFERROR(__xludf.DUMMYFUNCTION("""COMPUTED_VALUE"""),86.0944850639336)</f>
        <v>86.09448506</v>
      </c>
      <c r="H13" s="88">
        <f>IFERROR(__xludf.DUMMYFUNCTION("""COMPUTED_VALUE"""),86.1140697966597)</f>
        <v>86.1140698</v>
      </c>
      <c r="I13" s="88">
        <f>IFERROR(__xludf.DUMMYFUNCTION("""COMPUTED_VALUE"""),84.8312698031002)</f>
        <v>84.8312698</v>
      </c>
      <c r="J13" s="88">
        <f>IFERROR(__xludf.DUMMYFUNCTION("""COMPUTED_VALUE"""),85.5656972803289)</f>
        <v>85.56569728</v>
      </c>
      <c r="K13" s="88">
        <f>IFERROR(__xludf.DUMMYFUNCTION("""COMPUTED_VALUE"""),9.0801294E7)</f>
        <v>90801294</v>
      </c>
      <c r="L13" s="88">
        <f>IFERROR(__xludf.DUMMYFUNCTION("""COMPUTED_VALUE"""),0.17385)</f>
        <v>0.17385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IFERROR(__xludf.DUMMYFUNCTION("""COMPUTED_VALUE"""),87.51)</f>
        <v>87.51</v>
      </c>
      <c r="C14">
        <f>IFERROR(__xludf.DUMMYFUNCTION("""COMPUTED_VALUE"""),87.86)</f>
        <v>87.86</v>
      </c>
      <c r="D14" s="88">
        <f>IFERROR(__xludf.DUMMYFUNCTION("""COMPUTED_VALUE"""),85.55)</f>
        <v>85.55</v>
      </c>
      <c r="E14" s="88">
        <f>IFERROR(__xludf.DUMMYFUNCTION("""COMPUTED_VALUE"""),86.12)</f>
        <v>86.12</v>
      </c>
      <c r="F14" s="88">
        <f>IFERROR(__xludf.DUMMYFUNCTION("""COMPUTED_VALUE"""),9.3087548E7)</f>
        <v>93087548</v>
      </c>
      <c r="G14" s="88">
        <f>IFERROR(__xludf.DUMMYFUNCTION("""COMPUTED_VALUE"""),85.5226873992415)</f>
        <v>85.5226874</v>
      </c>
      <c r="H14" s="88">
        <f>IFERROR(__xludf.DUMMYFUNCTION("""COMPUTED_VALUE"""),85.8647390572204)</f>
        <v>85.86473906</v>
      </c>
      <c r="I14" s="88">
        <f>IFERROR(__xludf.DUMMYFUNCTION("""COMPUTED_VALUE"""),83.6071981145596)</f>
        <v>83.60719811</v>
      </c>
      <c r="J14" s="88">
        <f>IFERROR(__xludf.DUMMYFUNCTION("""COMPUTED_VALUE"""),84.1642536718395)</f>
        <v>84.16425367</v>
      </c>
      <c r="K14" s="88">
        <f>IFERROR(__xludf.DUMMYFUNCTION("""COMPUTED_VALUE"""),9.3087548E7)</f>
        <v>93087548</v>
      </c>
      <c r="L14" s="88">
        <f>IFERROR(__xludf.DUMMYFUNCTION("""COMPUTED_VALUE"""),0.190462)</f>
        <v>0.190462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IFERROR(__xludf.DUMMYFUNCTION("""COMPUTED_VALUE"""),85.35)</f>
        <v>85.35</v>
      </c>
      <c r="C15">
        <f>IFERROR(__xludf.DUMMYFUNCTION("""COMPUTED_VALUE"""),89.32)</f>
        <v>89.32</v>
      </c>
      <c r="D15" s="88">
        <f>IFERROR(__xludf.DUMMYFUNCTION("""COMPUTED_VALUE"""),76.49)</f>
        <v>76.49</v>
      </c>
      <c r="E15" s="88">
        <f>IFERROR(__xludf.DUMMYFUNCTION("""COMPUTED_VALUE"""),86.82)</f>
        <v>86.82</v>
      </c>
      <c r="F15" s="88">
        <f>IFERROR(__xludf.DUMMYFUNCTION("""COMPUTED_VALUE"""),2.23071132E8)</f>
        <v>223071132</v>
      </c>
      <c r="G15" s="88">
        <f>IFERROR(__xludf.DUMMYFUNCTION("""COMPUTED_VALUE"""),83.2265589859963)</f>
        <v>83.22655899</v>
      </c>
      <c r="H15" s="88">
        <f>IFERROR(__xludf.DUMMYFUNCTION("""COMPUTED_VALUE"""),87.0977885018065)</f>
        <v>87.0977885</v>
      </c>
      <c r="I15" s="88">
        <f>IFERROR(__xludf.DUMMYFUNCTION("""COMPUTED_VALUE"""),74.586988832324)</f>
        <v>74.58698883</v>
      </c>
      <c r="J15" s="88">
        <f>IFERROR(__xludf.DUMMYFUNCTION("""COMPUTED_VALUE"""),84.6599865397094)</f>
        <v>84.65998654</v>
      </c>
      <c r="K15" s="88">
        <f>IFERROR(__xludf.DUMMYFUNCTION("""COMPUTED_VALUE"""),2.23071132E8)</f>
        <v>223071132</v>
      </c>
      <c r="L15" s="88">
        <f>IFERROR(__xludf.DUMMYFUNCTION("""COMPUTED_VALUE"""),0.17275)</f>
        <v>0.17275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IFERROR(__xludf.DUMMYFUNCTION("""COMPUTED_VALUE"""),86.76)</f>
        <v>86.76</v>
      </c>
      <c r="C16">
        <f>IFERROR(__xludf.DUMMYFUNCTION("""COMPUTED_VALUE"""),86.87)</f>
        <v>86.87</v>
      </c>
      <c r="D16" s="88">
        <f>IFERROR(__xludf.DUMMYFUNCTION("""COMPUTED_VALUE"""),84.83)</f>
        <v>84.83</v>
      </c>
      <c r="E16" s="88">
        <f>IFERROR(__xludf.DUMMYFUNCTION("""COMPUTED_VALUE"""),85.22)</f>
        <v>85.22</v>
      </c>
      <c r="F16" s="88">
        <f>IFERROR(__xludf.DUMMYFUNCTION("""COMPUTED_VALUE"""),1.07860374E8)</f>
        <v>107860374</v>
      </c>
      <c r="G16" s="88">
        <f>IFERROR(__xludf.DUMMYFUNCTION("""COMPUTED_VALUE"""),84.4329159477678)</f>
        <v>84.43291595</v>
      </c>
      <c r="H16" s="88">
        <f>IFERROR(__xludf.DUMMYFUNCTION("""COMPUTED_VALUE"""),84.5399655184715)</f>
        <v>84.53996552</v>
      </c>
      <c r="I16" s="88">
        <f>IFERROR(__xludf.DUMMYFUNCTION("""COMPUTED_VALUE"""),82.5546825708753)</f>
        <v>82.55468257</v>
      </c>
      <c r="J16" s="88">
        <f>IFERROR(__xludf.DUMMYFUNCTION("""COMPUTED_VALUE"""),82.9342219579158)</f>
        <v>82.93422196</v>
      </c>
      <c r="K16" s="88">
        <f>IFERROR(__xludf.DUMMYFUNCTION("""COMPUTED_VALUE"""),1.07860374E8)</f>
        <v>107860374</v>
      </c>
      <c r="L16" s="88">
        <f>IFERROR(__xludf.DUMMYFUNCTION("""COMPUTED_VALUE"""),0.182502)</f>
        <v>0.182502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IFERROR(__xludf.DUMMYFUNCTION("""COMPUTED_VALUE"""),85.52)</f>
        <v>85.52</v>
      </c>
      <c r="C17">
        <f>IFERROR(__xludf.DUMMYFUNCTION("""COMPUTED_VALUE"""),85.58)</f>
        <v>85.58</v>
      </c>
      <c r="D17" s="88">
        <f>IFERROR(__xludf.DUMMYFUNCTION("""COMPUTED_VALUE"""),83.86)</f>
        <v>83.86</v>
      </c>
      <c r="E17" s="88">
        <f>IFERROR(__xludf.DUMMYFUNCTION("""COMPUTED_VALUE"""),83.98)</f>
        <v>83.98</v>
      </c>
      <c r="F17" s="88">
        <f>IFERROR(__xludf.DUMMYFUNCTION("""COMPUTED_VALUE"""),8.6599139E7)</f>
        <v>86599139</v>
      </c>
      <c r="G17" s="88">
        <f>IFERROR(__xludf.DUMMYFUNCTION("""COMPUTED_VALUE"""),83.0484073237259)</f>
        <v>83.04840732</v>
      </c>
      <c r="H17" s="88">
        <f>IFERROR(__xludf.DUMMYFUNCTION("""COMPUTED_VALUE"""),83.1066732783496)</f>
        <v>83.10667328</v>
      </c>
      <c r="I17" s="88">
        <f>IFERROR(__xludf.DUMMYFUNCTION("""COMPUTED_VALUE"""),81.4363825791353)</f>
        <v>81.43638258</v>
      </c>
      <c r="J17" s="88">
        <f>IFERROR(__xludf.DUMMYFUNCTION("""COMPUTED_VALUE"""),81.5529144883828)</f>
        <v>81.55291449</v>
      </c>
      <c r="K17" s="88">
        <f>IFERROR(__xludf.DUMMYFUNCTION("""COMPUTED_VALUE"""),8.6599139E7)</f>
        <v>86599139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IFERROR(__xludf.DUMMYFUNCTION("""COMPUTED_VALUE"""),83.86)</f>
        <v>83.86</v>
      </c>
      <c r="C18">
        <f>IFERROR(__xludf.DUMMYFUNCTION("""COMPUTED_VALUE"""),84.43)</f>
        <v>84.43</v>
      </c>
      <c r="D18" s="88">
        <f>IFERROR(__xludf.DUMMYFUNCTION("""COMPUTED_VALUE"""),83.61)</f>
        <v>83.61</v>
      </c>
      <c r="E18" s="88">
        <f>IFERROR(__xludf.DUMMYFUNCTION("""COMPUTED_VALUE"""),83.83)</f>
        <v>83.83</v>
      </c>
      <c r="F18" s="88">
        <f>IFERROR(__xludf.DUMMYFUNCTION("""COMPUTED_VALUE"""),6.9778788E7)</f>
        <v>69778788</v>
      </c>
      <c r="G18" s="88">
        <f>IFERROR(__xludf.DUMMYFUNCTION("""COMPUTED_VALUE"""),81.4363825791353)</f>
        <v>81.43638258</v>
      </c>
      <c r="H18" s="88">
        <f>IFERROR(__xludf.DUMMYFUNCTION("""COMPUTED_VALUE"""),81.8068611649497)</f>
        <v>81.80686116</v>
      </c>
      <c r="I18" s="88">
        <f>IFERROR(__xludf.DUMMYFUNCTION("""COMPUTED_VALUE"""),81.109230701385)</f>
        <v>81.1092307</v>
      </c>
      <c r="J18" s="88">
        <f>IFERROR(__xludf.DUMMYFUNCTION("""COMPUTED_VALUE"""),81.2255024453125)</f>
        <v>81.22550245</v>
      </c>
      <c r="K18" s="88">
        <f>IFERROR(__xludf.DUMMYFUNCTION("""COMPUTED_VALUE"""),6.9778788E7)</f>
        <v>69778788</v>
      </c>
      <c r="L18" s="88">
        <f>IFERROR(__xludf.DUMMYFUNCTION("""COMPUTED_VALUE"""),0.367263)</f>
        <v>0.367263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IFERROR(__xludf.DUMMYFUNCTION("""COMPUTED_VALUE"""),84.29)</f>
        <v>84.29</v>
      </c>
      <c r="C19">
        <f>IFERROR(__xludf.DUMMYFUNCTION("""COMPUTED_VALUE"""),84.44)</f>
        <v>84.44</v>
      </c>
      <c r="D19" s="88">
        <f>IFERROR(__xludf.DUMMYFUNCTION("""COMPUTED_VALUE"""),83.26)</f>
        <v>83.26</v>
      </c>
      <c r="E19" s="88">
        <f>IFERROR(__xludf.DUMMYFUNCTION("""COMPUTED_VALUE"""),84.25)</f>
        <v>84.25</v>
      </c>
      <c r="F19" s="88">
        <f>IFERROR(__xludf.DUMMYFUNCTION("""COMPUTED_VALUE"""),5.9152421E7)</f>
        <v>59152421</v>
      </c>
      <c r="G19" s="88">
        <f>IFERROR(__xludf.DUMMYFUNCTION("""COMPUTED_VALUE"""),81.4963671367541)</f>
        <v>81.49636714</v>
      </c>
      <c r="H19" s="88">
        <f>IFERROR(__xludf.DUMMYFUNCTION("""COMPUTED_VALUE"""),81.6413956700382)</f>
        <v>81.64139567</v>
      </c>
      <c r="I19" s="88">
        <f>IFERROR(__xludf.DUMMYFUNCTION("""COMPUTED_VALUE"""),80.5005045415369)</f>
        <v>80.50050454</v>
      </c>
      <c r="J19" s="88">
        <f>IFERROR(__xludf.DUMMYFUNCTION("""COMPUTED_VALUE"""),81.4576928612117)</f>
        <v>81.45769286</v>
      </c>
      <c r="K19" s="88">
        <f>IFERROR(__xludf.DUMMYFUNCTION("""COMPUTED_VALUE"""),5.9152421E7)</f>
        <v>59152421</v>
      </c>
      <c r="L19" s="88">
        <f>IFERROR(__xludf.DUMMYFUNCTION("""COMPUTED_VALUE"""),0.185305)</f>
        <v>0.185305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IFERROR(__xludf.DUMMYFUNCTION("""COMPUTED_VALUE"""),84.51)</f>
        <v>84.51</v>
      </c>
      <c r="C20">
        <f>IFERROR(__xludf.DUMMYFUNCTION("""COMPUTED_VALUE"""),84.98)</f>
        <v>84.98</v>
      </c>
      <c r="D20" s="88">
        <f>IFERROR(__xludf.DUMMYFUNCTION("""COMPUTED_VALUE"""),83.76)</f>
        <v>83.76</v>
      </c>
      <c r="E20" s="88">
        <f>IFERROR(__xludf.DUMMYFUNCTION("""COMPUTED_VALUE"""),84.05)</f>
        <v>84.05</v>
      </c>
      <c r="F20" s="88">
        <f>IFERROR(__xludf.DUMMYFUNCTION("""COMPUTED_VALUE"""),7.3026168E7)</f>
        <v>73026168</v>
      </c>
      <c r="G20" s="88">
        <f>IFERROR(__xludf.DUMMYFUNCTION("""COMPUTED_VALUE"""),81.5297537410566)</f>
        <v>81.52975374</v>
      </c>
      <c r="H20" s="88">
        <f>IFERROR(__xludf.DUMMYFUNCTION("""COMPUTED_VALUE"""),81.9831791848892)</f>
        <v>81.98317918</v>
      </c>
      <c r="I20" s="88">
        <f>IFERROR(__xludf.DUMMYFUNCTION("""COMPUTED_VALUE"""),80.8062025008981)</f>
        <v>80.8062025</v>
      </c>
      <c r="J20" s="88">
        <f>IFERROR(__xludf.DUMMYFUNCTION("""COMPUTED_VALUE"""),81.0859756470927)</f>
        <v>81.08597565</v>
      </c>
      <c r="K20" s="88">
        <f>IFERROR(__xludf.DUMMYFUNCTION("""COMPUTED_VALUE"""),7.3026168E7)</f>
        <v>73026168</v>
      </c>
      <c r="L20" s="88">
        <f>IFERROR(__xludf.DUMMYFUNCTION("""COMPUTED_VALUE"""),0.181656)</f>
        <v>0.181656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IFERROR(__xludf.DUMMYFUNCTION("""COMPUTED_VALUE"""),84.43)</f>
        <v>84.43</v>
      </c>
      <c r="C21">
        <f>IFERROR(__xludf.DUMMYFUNCTION("""COMPUTED_VALUE"""),85.18)</f>
        <v>85.18</v>
      </c>
      <c r="D21" s="88">
        <f>IFERROR(__xludf.DUMMYFUNCTION("""COMPUTED_VALUE"""),83.29)</f>
        <v>83.29</v>
      </c>
      <c r="E21" s="88">
        <f>IFERROR(__xludf.DUMMYFUNCTION("""COMPUTED_VALUE"""),84.98)</f>
        <v>84.98</v>
      </c>
      <c r="F21" s="88">
        <f>IFERROR(__xludf.DUMMYFUNCTION("""COMPUTED_VALUE"""),5.8332171E7)</f>
        <v>58332171</v>
      </c>
      <c r="G21" s="88">
        <f>IFERROR(__xludf.DUMMYFUNCTION("""COMPUTED_VALUE"""),81.2774943715199)</f>
        <v>81.27749437</v>
      </c>
      <c r="H21" s="88">
        <f>IFERROR(__xludf.DUMMYFUNCTION("""COMPUTED_VALUE"""),81.9994903537376)</f>
        <v>81.99949035</v>
      </c>
      <c r="I21" s="88">
        <f>IFERROR(__xludf.DUMMYFUNCTION("""COMPUTED_VALUE"""),80.180060478549)</f>
        <v>80.18006048</v>
      </c>
      <c r="J21" s="88">
        <f>IFERROR(__xludf.DUMMYFUNCTION("""COMPUTED_VALUE"""),81.8069580918129)</f>
        <v>81.80695809</v>
      </c>
      <c r="K21" s="88">
        <f>IFERROR(__xludf.DUMMYFUNCTION("""COMPUTED_VALUE"""),5.8332171E7)</f>
        <v>58332171</v>
      </c>
      <c r="L21" s="88">
        <f>IFERROR(__xludf.DUMMYFUNCTION("""COMPUTED_VALUE"""),0.188198)</f>
        <v>0.188198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IFERROR(__xludf.DUMMYFUNCTION("""COMPUTED_VALUE"""),85.1)</f>
        <v>85.1</v>
      </c>
      <c r="C22">
        <f>IFERROR(__xludf.DUMMYFUNCTION("""COMPUTED_VALUE"""),85.3)</f>
        <v>85.3</v>
      </c>
      <c r="D22" s="88">
        <f>IFERROR(__xludf.DUMMYFUNCTION("""COMPUTED_VALUE"""),82.94)</f>
        <v>82.94</v>
      </c>
      <c r="E22" s="88">
        <f>IFERROR(__xludf.DUMMYFUNCTION("""COMPUTED_VALUE"""),82.97)</f>
        <v>82.97</v>
      </c>
      <c r="F22" s="88">
        <f>IFERROR(__xludf.DUMMYFUNCTION("""COMPUTED_VALUE"""),7.6380734E7)</f>
        <v>76380734</v>
      </c>
      <c r="G22" s="88">
        <f>IFERROR(__xludf.DUMMYFUNCTION("""COMPUTED_VALUE"""),81.7414728401247)</f>
        <v>81.74147284</v>
      </c>
      <c r="H22" s="88">
        <f>IFERROR(__xludf.DUMMYFUNCTION("""COMPUTED_VALUE"""),81.9335797093142)</f>
        <v>81.93357971</v>
      </c>
      <c r="I22" s="88">
        <f>IFERROR(__xludf.DUMMYFUNCTION("""COMPUTED_VALUE"""),79.6667186528783)</f>
        <v>79.66671865</v>
      </c>
      <c r="J22" s="88">
        <f>IFERROR(__xludf.DUMMYFUNCTION("""COMPUTED_VALUE"""),79.6955346832567)</f>
        <v>79.69553468</v>
      </c>
      <c r="K22" s="88">
        <f>IFERROR(__xludf.DUMMYFUNCTION("""COMPUTED_VALUE"""),7.6380734E7)</f>
        <v>76380734</v>
      </c>
      <c r="L22" s="88">
        <f>IFERROR(__xludf.DUMMYFUNCTION("""COMPUTED_VALUE"""),0.193413)</f>
        <v>0.193413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IFERROR(__xludf.DUMMYFUNCTION("""COMPUTED_VALUE"""),83.0)</f>
        <v>83</v>
      </c>
      <c r="C23">
        <f>IFERROR(__xludf.DUMMYFUNCTION("""COMPUTED_VALUE"""),83.22)</f>
        <v>83.22</v>
      </c>
      <c r="D23" s="88">
        <f>IFERROR(__xludf.DUMMYFUNCTION("""COMPUTED_VALUE"""),82.43)</f>
        <v>82.43</v>
      </c>
      <c r="E23" s="88">
        <f>IFERROR(__xludf.DUMMYFUNCTION("""COMPUTED_VALUE"""),82.91)</f>
        <v>82.91</v>
      </c>
      <c r="F23" s="88">
        <f>IFERROR(__xludf.DUMMYFUNCTION("""COMPUTED_VALUE"""),4.968645E7)</f>
        <v>49686450</v>
      </c>
      <c r="G23" s="88">
        <f>IFERROR(__xludf.DUMMYFUNCTION("""COMPUTED_VALUE"""),79.5398896982131)</f>
        <v>79.5398897</v>
      </c>
      <c r="H23" s="88">
        <f>IFERROR(__xludf.DUMMYFUNCTION("""COMPUTED_VALUE"""),79.7507183215095)</f>
        <v>79.75071832</v>
      </c>
      <c r="I23" s="88">
        <f>IFERROR(__xludf.DUMMYFUNCTION("""COMPUTED_VALUE"""),78.9936519014904)</f>
        <v>78.9936519</v>
      </c>
      <c r="J23" s="88">
        <f>IFERROR(__xludf.DUMMYFUNCTION("""COMPUTED_VALUE"""),79.4536416250463)</f>
        <v>79.45364163</v>
      </c>
      <c r="K23" s="88">
        <f>IFERROR(__xludf.DUMMYFUNCTION("""COMPUTED_VALUE"""),4.968645E7)</f>
        <v>49686450</v>
      </c>
      <c r="L23" s="88">
        <f>IFERROR(__xludf.DUMMYFUNCTION("""COMPUTED_VALUE"""),0.194464)</f>
        <v>0.194464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IFERROR(__xludf.DUMMYFUNCTION("""COMPUTED_VALUE"""),83.07)</f>
        <v>83.07</v>
      </c>
      <c r="C24">
        <f>IFERROR(__xludf.DUMMYFUNCTION("""COMPUTED_VALUE"""),83.13)</f>
        <v>83.13</v>
      </c>
      <c r="D24" s="88">
        <f>IFERROR(__xludf.DUMMYFUNCTION("""COMPUTED_VALUE"""),82.03)</f>
        <v>82.03</v>
      </c>
      <c r="E24" s="88">
        <f>IFERROR(__xludf.DUMMYFUNCTION("""COMPUTED_VALUE"""),82.14)</f>
        <v>82.14</v>
      </c>
      <c r="F24" s="88">
        <f>IFERROR(__xludf.DUMMYFUNCTION("""COMPUTED_VALUE"""),5.6888648E7)</f>
        <v>56888648</v>
      </c>
      <c r="G24" s="88">
        <f>IFERROR(__xludf.DUMMYFUNCTION("""COMPUTED_VALUE"""),79.4206019427427)</f>
        <v>79.42060194</v>
      </c>
      <c r="H24" s="88">
        <f>IFERROR(__xludf.DUMMYFUNCTION("""COMPUTED_VALUE"""),79.47796604671)</f>
        <v>79.47796605</v>
      </c>
      <c r="I24" s="88">
        <f>IFERROR(__xludf.DUMMYFUNCTION("""COMPUTED_VALUE"""),78.4262908073093)</f>
        <v>78.42629081</v>
      </c>
      <c r="J24" s="88">
        <f>IFERROR(__xludf.DUMMYFUNCTION("""COMPUTED_VALUE"""),78.5314583312494)</f>
        <v>78.53145833</v>
      </c>
      <c r="K24" s="88">
        <f>IFERROR(__xludf.DUMMYFUNCTION("""COMPUTED_VALUE"""),5.6888648E7)</f>
        <v>56888648</v>
      </c>
      <c r="L24" s="88">
        <f>IFERROR(__xludf.DUMMYFUNCTION("""COMPUTED_VALUE"""),0.19348)</f>
        <v>0.19348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IFERROR(__xludf.DUMMYFUNCTION("""COMPUTED_VALUE"""),82.24)</f>
        <v>82.24</v>
      </c>
      <c r="C25">
        <f>IFERROR(__xludf.DUMMYFUNCTION("""COMPUTED_VALUE"""),82.24)</f>
        <v>82.24</v>
      </c>
      <c r="D25" s="88">
        <f>IFERROR(__xludf.DUMMYFUNCTION("""COMPUTED_VALUE"""),80.53)</f>
        <v>80.53</v>
      </c>
      <c r="E25" s="88">
        <f>IFERROR(__xludf.DUMMYFUNCTION("""COMPUTED_VALUE"""),80.78)</f>
        <v>80.78</v>
      </c>
      <c r="F25" s="88">
        <f>IFERROR(__xludf.DUMMYFUNCTION("""COMPUTED_VALUE"""),6.4384988E7)</f>
        <v>64384988</v>
      </c>
      <c r="G25" s="88">
        <f>IFERROR(__xludf.DUMMYFUNCTION("""COMPUTED_VALUE"""),78.4426087305388)</f>
        <v>78.44260873</v>
      </c>
      <c r="H25" s="88">
        <f>IFERROR(__xludf.DUMMYFUNCTION("""COMPUTED_VALUE"""),78.4426087305388)</f>
        <v>78.44260873</v>
      </c>
      <c r="I25" s="88">
        <f>IFERROR(__xludf.DUMMYFUNCTION("""COMPUTED_VALUE"""),76.8115671336368)</f>
        <v>76.81156713</v>
      </c>
      <c r="J25" s="88">
        <f>IFERROR(__xludf.DUMMYFUNCTION("""COMPUTED_VALUE"""),77.0500235074529)</f>
        <v>77.05002351</v>
      </c>
      <c r="K25" s="88">
        <f>IFERROR(__xludf.DUMMYFUNCTION("""COMPUTED_VALUE"""),6.4384988E7)</f>
        <v>64384988</v>
      </c>
      <c r="L25" s="88">
        <f>IFERROR(__xludf.DUMMYFUNCTION("""COMPUTED_VALUE"""),0.194785)</f>
        <v>0.194785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IFERROR(__xludf.DUMMYFUNCTION("""COMPUTED_VALUE"""),80.96)</f>
        <v>80.96</v>
      </c>
      <c r="C26">
        <f>IFERROR(__xludf.DUMMYFUNCTION("""COMPUTED_VALUE"""),81.05)</f>
        <v>81.05</v>
      </c>
      <c r="D26" s="88">
        <f>IFERROR(__xludf.DUMMYFUNCTION("""COMPUTED_VALUE"""),80.45)</f>
        <v>80.45</v>
      </c>
      <c r="E26" s="88">
        <f>IFERROR(__xludf.DUMMYFUNCTION("""COMPUTED_VALUE"""),80.86)</f>
        <v>80.86</v>
      </c>
      <c r="F26" s="88">
        <f>IFERROR(__xludf.DUMMYFUNCTION("""COMPUTED_VALUE"""),4.9802919E7)</f>
        <v>49802919</v>
      </c>
      <c r="G26" s="88">
        <f>IFERROR(__xludf.DUMMYFUNCTION("""COMPUTED_VALUE"""),77.0359321777044)</f>
        <v>77.03593218</v>
      </c>
      <c r="H26" s="88">
        <f>IFERROR(__xludf.DUMMYFUNCTION("""COMPUTED_VALUE"""),77.1215699481589)</f>
        <v>77.12156995</v>
      </c>
      <c r="I26" s="88">
        <f>IFERROR(__xludf.DUMMYFUNCTION("""COMPUTED_VALUE"""),76.5506514784625)</f>
        <v>76.55065148</v>
      </c>
      <c r="J26" s="88">
        <f>IFERROR(__xludf.DUMMYFUNCTION("""COMPUTED_VALUE"""),76.9407790994217)</f>
        <v>76.9407791</v>
      </c>
      <c r="K26" s="88">
        <f>IFERROR(__xludf.DUMMYFUNCTION("""COMPUTED_VALUE"""),4.9802919E7)</f>
        <v>49802919</v>
      </c>
      <c r="L26" s="88">
        <f>IFERROR(__xludf.DUMMYFUNCTION("""COMPUTED_VALUE"""),0.199608)</f>
        <v>0.199608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IFERROR(__xludf.DUMMYFUNCTION("""COMPUTED_VALUE"""),81.18)</f>
        <v>81.18</v>
      </c>
      <c r="C27">
        <f>IFERROR(__xludf.DUMMYFUNCTION("""COMPUTED_VALUE"""),81.31)</f>
        <v>81.31</v>
      </c>
      <c r="D27" s="88">
        <f>IFERROR(__xludf.DUMMYFUNCTION("""COMPUTED_VALUE"""),79.39)</f>
        <v>79.39</v>
      </c>
      <c r="E27" s="88">
        <f>IFERROR(__xludf.DUMMYFUNCTION("""COMPUTED_VALUE"""),79.55)</f>
        <v>79.55</v>
      </c>
      <c r="F27" s="88">
        <f>IFERROR(__xludf.DUMMYFUNCTION("""COMPUTED_VALUE"""),5.3424868E7)</f>
        <v>53424868</v>
      </c>
      <c r="G27" s="88">
        <f>IFERROR(__xludf.DUMMYFUNCTION("""COMPUTED_VALUE"""),77.0545832166422)</f>
        <v>77.05458322</v>
      </c>
      <c r="H27" s="88">
        <f>IFERROR(__xludf.DUMMYFUNCTION("""COMPUTED_VALUE"""),77.1779768581569)</f>
        <v>77.17797686</v>
      </c>
      <c r="I27" s="88">
        <f>IFERROR(__xludf.DUMMYFUNCTION("""COMPUTED_VALUE"""),75.3555476911705)</f>
        <v>75.35554769</v>
      </c>
      <c r="J27" s="88">
        <f>IFERROR(__xludf.DUMMYFUNCTION("""COMPUTED_VALUE"""),75.5074167884194)</f>
        <v>75.50741679</v>
      </c>
      <c r="K27" s="88">
        <f>IFERROR(__xludf.DUMMYFUNCTION("""COMPUTED_VALUE"""),5.3424868E7)</f>
        <v>53424868</v>
      </c>
      <c r="L27" s="88">
        <f>IFERROR(__xludf.DUMMYFUNCTION("""COMPUTED_VALUE"""),0.183666)</f>
        <v>0.183666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IFERROR(__xludf.DUMMYFUNCTION("""COMPUTED_VALUE"""),79.82)</f>
        <v>79.82</v>
      </c>
      <c r="C28">
        <f>IFERROR(__xludf.DUMMYFUNCTION("""COMPUTED_VALUE"""),80.12)</f>
        <v>80.12</v>
      </c>
      <c r="D28" s="88">
        <f>IFERROR(__xludf.DUMMYFUNCTION("""COMPUTED_VALUE"""),79.53)</f>
        <v>79.53</v>
      </c>
      <c r="E28" s="88">
        <f>IFERROR(__xludf.DUMMYFUNCTION("""COMPUTED_VALUE"""),79.79)</f>
        <v>79.79</v>
      </c>
      <c r="F28" s="88">
        <f>IFERROR(__xludf.DUMMYFUNCTION("""COMPUTED_VALUE"""),4.604999E7)</f>
        <v>46049990</v>
      </c>
      <c r="G28" s="88">
        <f>IFERROR(__xludf.DUMMYFUNCTION("""COMPUTED_VALUE"""),75.5888237788269)</f>
        <v>75.58882378</v>
      </c>
      <c r="H28" s="88">
        <f>IFERROR(__xludf.DUMMYFUNCTION("""COMPUTED_VALUE"""),75.8729210869408)</f>
        <v>75.87292109</v>
      </c>
      <c r="I28" s="88">
        <f>IFERROR(__xludf.DUMMYFUNCTION("""COMPUTED_VALUE"""),75.3141963809835)</f>
        <v>75.31419638</v>
      </c>
      <c r="J28" s="88">
        <f>IFERROR(__xludf.DUMMYFUNCTION("""COMPUTED_VALUE"""),75.5604140480155)</f>
        <v>75.56041405</v>
      </c>
      <c r="K28" s="88">
        <f>IFERROR(__xludf.DUMMYFUNCTION("""COMPUTED_VALUE"""),4.604999E7)</f>
        <v>46049990</v>
      </c>
      <c r="L28" s="88">
        <f>IFERROR(__xludf.DUMMYFUNCTION("""COMPUTED_VALUE"""),0.198345)</f>
        <v>0.198345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IFERROR(__xludf.DUMMYFUNCTION("""COMPUTED_VALUE"""),80.09)</f>
        <v>80.09</v>
      </c>
      <c r="C29">
        <f>IFERROR(__xludf.DUMMYFUNCTION("""COMPUTED_VALUE"""),80.09)</f>
        <v>80.09</v>
      </c>
      <c r="D29" s="88">
        <f>IFERROR(__xludf.DUMMYFUNCTION("""COMPUTED_VALUE"""),79.14)</f>
        <v>79.14</v>
      </c>
      <c r="E29" s="88">
        <f>IFERROR(__xludf.DUMMYFUNCTION("""COMPUTED_VALUE"""),79.28)</f>
        <v>79.28</v>
      </c>
      <c r="F29" s="88">
        <f>IFERROR(__xludf.DUMMYFUNCTION("""COMPUTED_VALUE"""),6.1718313E7)</f>
        <v>61718313</v>
      </c>
      <c r="G29" s="88">
        <f>IFERROR(__xludf.DUMMYFUNCTION("""COMPUTED_VALUE"""),75.6561591421836)</f>
        <v>75.65615914</v>
      </c>
      <c r="H29" s="88">
        <f>IFERROR(__xludf.DUMMYFUNCTION("""COMPUTED_VALUE"""),75.6561591421836)</f>
        <v>75.65615914</v>
      </c>
      <c r="I29" s="88">
        <f>IFERROR(__xludf.DUMMYFUNCTION("""COMPUTED_VALUE"""),74.7587518355901)</f>
        <v>74.75875184</v>
      </c>
      <c r="J29" s="88">
        <f>IFERROR(__xludf.DUMMYFUNCTION("""COMPUTED_VALUE"""),74.8910013334039)</f>
        <v>74.89100133</v>
      </c>
      <c r="K29" s="88">
        <f>IFERROR(__xludf.DUMMYFUNCTION("""COMPUTED_VALUE"""),6.1718313E7)</f>
        <v>61718313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IFERROR(__xludf.DUMMYFUNCTION("""COMPUTED_VALUE"""),79.21)</f>
        <v>79.21</v>
      </c>
      <c r="C30">
        <f>IFERROR(__xludf.DUMMYFUNCTION("""COMPUTED_VALUE"""),79.26)</f>
        <v>79.26</v>
      </c>
      <c r="D30" s="88">
        <f>IFERROR(__xludf.DUMMYFUNCTION("""COMPUTED_VALUE"""),77.95)</f>
        <v>77.95</v>
      </c>
      <c r="E30" s="88">
        <f>IFERROR(__xludf.DUMMYFUNCTION("""COMPUTED_VALUE"""),77.99)</f>
        <v>77.99</v>
      </c>
      <c r="F30" s="88">
        <f>IFERROR(__xludf.DUMMYFUNCTION("""COMPUTED_VALUE"""),7.0316776E7)</f>
        <v>70316776</v>
      </c>
      <c r="G30" s="88">
        <f>IFERROR(__xludf.DUMMYFUNCTION("""COMPUTED_VALUE"""),74.824876584497)</f>
        <v>74.82487658</v>
      </c>
      <c r="H30" s="88">
        <f>IFERROR(__xludf.DUMMYFUNCTION("""COMPUTED_VALUE"""),74.862662155301)</f>
        <v>74.86266216</v>
      </c>
      <c r="I30" s="88">
        <f>IFERROR(__xludf.DUMMYFUNCTION("""COMPUTED_VALUE"""),73.4498267924479)</f>
        <v>73.44982679</v>
      </c>
      <c r="J30" s="88">
        <f>IFERROR(__xludf.DUMMYFUNCTION("""COMPUTED_VALUE"""),73.48751753102)</f>
        <v>73.48751753</v>
      </c>
      <c r="K30" s="88">
        <f>IFERROR(__xludf.DUMMYFUNCTION("""COMPUTED_VALUE"""),7.0316776E7)</f>
        <v>70316776</v>
      </c>
      <c r="L30" s="88">
        <f>IFERROR(__xludf.DUMMYFUNCTION("""COMPUTED_VALUE"""),0.390341999999999)</f>
        <v>0.390342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IFERROR(__xludf.DUMMYFUNCTION("""COMPUTED_VALUE"""),78.14)</f>
        <v>78.14</v>
      </c>
      <c r="C31">
        <f>IFERROR(__xludf.DUMMYFUNCTION("""COMPUTED_VALUE"""),78.17)</f>
        <v>78.17</v>
      </c>
      <c r="D31" s="88">
        <f>IFERROR(__xludf.DUMMYFUNCTION("""COMPUTED_VALUE"""),77.46)</f>
        <v>77.46</v>
      </c>
      <c r="E31" s="88">
        <f>IFERROR(__xludf.DUMMYFUNCTION("""COMPUTED_VALUE"""),77.65)</f>
        <v>77.65</v>
      </c>
      <c r="F31" s="88">
        <f>IFERROR(__xludf.DUMMYFUNCTION("""COMPUTED_VALUE"""),4.715457E7)</f>
        <v>47154570</v>
      </c>
      <c r="G31" s="88">
        <f>IFERROR(__xludf.DUMMYFUNCTION("""COMPUTED_VALUE"""),73.448199877907)</f>
        <v>73.44819988</v>
      </c>
      <c r="H31" s="88">
        <f>IFERROR(__xludf.DUMMYFUNCTION("""COMPUTED_VALUE"""),73.4763985725108)</f>
        <v>73.47639857</v>
      </c>
      <c r="I31" s="88">
        <f>IFERROR(__xludf.DUMMYFUNCTION("""COMPUTED_VALUE"""),72.8090294668887)</f>
        <v>72.80902947</v>
      </c>
      <c r="J31" s="88">
        <f>IFERROR(__xludf.DUMMYFUNCTION("""COMPUTED_VALUE"""),72.9876211993791)</f>
        <v>72.9876212</v>
      </c>
      <c r="K31" s="88">
        <f>IFERROR(__xludf.DUMMYFUNCTION("""COMPUTED_VALUE"""),4.715457E7)</f>
        <v>47154570</v>
      </c>
      <c r="L31" s="88">
        <f>IFERROR(__xludf.DUMMYFUNCTION("""COMPUTED_VALUE"""),0.194369)</f>
        <v>0.194369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IFERROR(__xludf.DUMMYFUNCTION("""COMPUTED_VALUE"""),77.84)</f>
        <v>77.84</v>
      </c>
      <c r="C32">
        <f>IFERROR(__xludf.DUMMYFUNCTION("""COMPUTED_VALUE"""),78.55)</f>
        <v>78.55</v>
      </c>
      <c r="D32" s="88">
        <f>IFERROR(__xludf.DUMMYFUNCTION("""COMPUTED_VALUE"""),77.66)</f>
        <v>77.66</v>
      </c>
      <c r="E32" s="88">
        <f>IFERROR(__xludf.DUMMYFUNCTION("""COMPUTED_VALUE"""),78.42)</f>
        <v>78.42</v>
      </c>
      <c r="F32" s="88">
        <f>IFERROR(__xludf.DUMMYFUNCTION("""COMPUTED_VALUE"""),5.7504779E7)</f>
        <v>57504779</v>
      </c>
      <c r="G32" s="88">
        <f>IFERROR(__xludf.DUMMYFUNCTION("""COMPUTED_VALUE"""),72.9838527509292)</f>
        <v>72.98385275</v>
      </c>
      <c r="H32" s="88">
        <f>IFERROR(__xludf.DUMMYFUNCTION("""COMPUTED_VALUE"""),73.6495584992997)</f>
        <v>73.6495585</v>
      </c>
      <c r="I32" s="88">
        <f>IFERROR(__xludf.DUMMYFUNCTION("""COMPUTED_VALUE"""),72.8150822795114)</f>
        <v>72.81508228</v>
      </c>
      <c r="J32" s="88">
        <f>IFERROR(__xludf.DUMMYFUNCTION("""COMPUTED_VALUE"""),73.5276687143868)</f>
        <v>73.52766871</v>
      </c>
      <c r="K32" s="88">
        <f>IFERROR(__xludf.DUMMYFUNCTION("""COMPUTED_VALUE"""),5.7504779E7)</f>
        <v>57504779</v>
      </c>
      <c r="L32" s="88">
        <f>IFERROR(__xludf.DUMMYFUNCTION("""COMPUTED_VALUE"""),0.183416)</f>
        <v>0.183416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IFERROR(__xludf.DUMMYFUNCTION("""COMPUTED_VALUE"""),78.7)</f>
        <v>78.7</v>
      </c>
      <c r="C33">
        <f>IFERROR(__xludf.DUMMYFUNCTION("""COMPUTED_VALUE"""),79.18)</f>
        <v>79.18</v>
      </c>
      <c r="D33" s="88">
        <f>IFERROR(__xludf.DUMMYFUNCTION("""COMPUTED_VALUE"""),78.38)</f>
        <v>78.38</v>
      </c>
      <c r="E33" s="88">
        <f>IFERROR(__xludf.DUMMYFUNCTION("""COMPUTED_VALUE"""),79.0)</f>
        <v>79</v>
      </c>
      <c r="F33" s="88">
        <f>IFERROR(__xludf.DUMMYFUNCTION("""COMPUTED_VALUE"""),3.9836276E7)</f>
        <v>39836276</v>
      </c>
      <c r="G33" s="88">
        <f>IFERROR(__xludf.DUMMYFUNCTION("""COMPUTED_VALUE"""),73.6179062893242)</f>
        <v>73.61790629</v>
      </c>
      <c r="H33" s="88">
        <f>IFERROR(__xludf.DUMMYFUNCTION("""COMPUTED_VALUE"""),74.0669100379758)</f>
        <v>74.06691004</v>
      </c>
      <c r="I33" s="88">
        <f>IFERROR(__xludf.DUMMYFUNCTION("""COMPUTED_VALUE"""),73.3185704568899)</f>
        <v>73.31857046</v>
      </c>
      <c r="J33" s="88">
        <f>IFERROR(__xludf.DUMMYFUNCTION("""COMPUTED_VALUE"""),73.8985336322314)</f>
        <v>73.89853363</v>
      </c>
      <c r="K33" s="88">
        <f>IFERROR(__xludf.DUMMYFUNCTION("""COMPUTED_VALUE"""),3.9836276E7)</f>
        <v>39836276</v>
      </c>
      <c r="L33" s="88">
        <f>IFERROR(__xludf.DUMMYFUNCTION("""COMPUTED_VALUE"""),0.18764)</f>
        <v>0.18764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IFERROR(__xludf.DUMMYFUNCTION("""COMPUTED_VALUE"""),79.32)</f>
        <v>79.32</v>
      </c>
      <c r="C34">
        <f>IFERROR(__xludf.DUMMYFUNCTION("""COMPUTED_VALUE"""),79.52)</f>
        <v>79.52</v>
      </c>
      <c r="D34" s="88">
        <f>IFERROR(__xludf.DUMMYFUNCTION("""COMPUTED_VALUE"""),78.65)</f>
        <v>78.65</v>
      </c>
      <c r="E34" s="88">
        <f>IFERROR(__xludf.DUMMYFUNCTION("""COMPUTED_VALUE"""),78.75)</f>
        <v>78.75</v>
      </c>
      <c r="F34" s="88">
        <f>IFERROR(__xludf.DUMMYFUNCTION("""COMPUTED_VALUE"""),5.209097E7)</f>
        <v>52090970</v>
      </c>
      <c r="G34" s="88">
        <f>IFERROR(__xludf.DUMMYFUNCTION("""COMPUTED_VALUE"""),74.0220752335959)</f>
        <v>74.02207523</v>
      </c>
      <c r="H34" s="88">
        <f>IFERROR(__xludf.DUMMYFUNCTION("""COMPUTED_VALUE"""),74.2087168756372)</f>
        <v>74.20871688</v>
      </c>
      <c r="I34" s="88">
        <f>IFERROR(__xludf.DUMMYFUNCTION("""COMPUTED_VALUE"""),73.3968257327574)</f>
        <v>73.39682573</v>
      </c>
      <c r="J34" s="88">
        <f>IFERROR(__xludf.DUMMYFUNCTION("""COMPUTED_VALUE"""),73.4901465537781)</f>
        <v>73.49014655</v>
      </c>
      <c r="K34" s="88">
        <f>IFERROR(__xludf.DUMMYFUNCTION("""COMPUTED_VALUE"""),5.209097E7)</f>
        <v>52090970</v>
      </c>
      <c r="L34" s="88">
        <f>IFERROR(__xludf.DUMMYFUNCTION("""COMPUTED_VALUE"""),0.186858)</f>
        <v>0.186858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IFERROR(__xludf.DUMMYFUNCTION("""COMPUTED_VALUE"""),78.98)</f>
        <v>78.98</v>
      </c>
      <c r="C35">
        <f>IFERROR(__xludf.DUMMYFUNCTION("""COMPUTED_VALUE"""),79.38)</f>
        <v>79.38</v>
      </c>
      <c r="D35" s="88">
        <f>IFERROR(__xludf.DUMMYFUNCTION("""COMPUTED_VALUE"""),78.87)</f>
        <v>78.87</v>
      </c>
      <c r="E35" s="88">
        <f>IFERROR(__xludf.DUMMYFUNCTION("""COMPUTED_VALUE"""),79.03)</f>
        <v>79.03</v>
      </c>
      <c r="F35" s="88">
        <f>IFERROR(__xludf.DUMMYFUNCTION("""COMPUTED_VALUE"""),4.2679577E7)</f>
        <v>42679577</v>
      </c>
      <c r="G35" s="88">
        <f>IFERROR(__xludf.DUMMYFUNCTION("""COMPUTED_VALUE"""),73.53031171848)</f>
        <v>73.53031172</v>
      </c>
      <c r="H35" s="88">
        <f>IFERROR(__xludf.DUMMYFUNCTION("""COMPUTED_VALUE"""),73.9027113726632)</f>
        <v>73.90271137</v>
      </c>
      <c r="I35" s="88">
        <f>IFERROR(__xludf.DUMMYFUNCTION("""COMPUTED_VALUE"""),73.4279018135796)</f>
        <v>73.42790181</v>
      </c>
      <c r="J35" s="88">
        <f>IFERROR(__xludf.DUMMYFUNCTION("""COMPUTED_VALUE"""),73.5768616752529)</f>
        <v>73.57686168</v>
      </c>
      <c r="K35" s="88">
        <f>IFERROR(__xludf.DUMMYFUNCTION("""COMPUTED_VALUE"""),4.2679577E7)</f>
        <v>42679577</v>
      </c>
      <c r="L35" s="88">
        <f>IFERROR(__xludf.DUMMYFUNCTION("""COMPUTED_VALUE"""),0.18101)</f>
        <v>0.18101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IFERROR(__xludf.DUMMYFUNCTION("""COMPUTED_VALUE"""),79.19)</f>
        <v>79.19</v>
      </c>
      <c r="C36">
        <f>IFERROR(__xludf.DUMMYFUNCTION("""COMPUTED_VALUE"""),79.3)</f>
        <v>79.3</v>
      </c>
      <c r="D36" s="88">
        <f>IFERROR(__xludf.DUMMYFUNCTION("""COMPUTED_VALUE"""),78.58)</f>
        <v>78.58</v>
      </c>
      <c r="E36" s="88">
        <f>IFERROR(__xludf.DUMMYFUNCTION("""COMPUTED_VALUE"""),79.03)</f>
        <v>79.03</v>
      </c>
      <c r="F36" s="88">
        <f>IFERROR(__xludf.DUMMYFUNCTION("""COMPUTED_VALUE"""),5.0493083E7)</f>
        <v>50493083</v>
      </c>
      <c r="G36" s="88">
        <f>IFERROR(__xludf.DUMMYFUNCTION("""COMPUTED_VALUE"""),73.5571970657904)</f>
        <v>73.55719707</v>
      </c>
      <c r="H36" s="88">
        <f>IFERROR(__xludf.DUMMYFUNCTION("""COMPUTED_VALUE"""),73.659372740462)</f>
        <v>73.65937274</v>
      </c>
      <c r="I36" s="88">
        <f>IFERROR(__xludf.DUMMYFUNCTION("""COMPUTED_VALUE"""),72.9905865062484)</f>
        <v>72.99058651</v>
      </c>
      <c r="J36" s="88">
        <f>IFERROR(__xludf.DUMMYFUNCTION("""COMPUTED_VALUE"""),73.4085779026319)</f>
        <v>73.4085779</v>
      </c>
      <c r="K36" s="88">
        <f>IFERROR(__xludf.DUMMYFUNCTION("""COMPUTED_VALUE"""),5.0493083E7)</f>
        <v>50493083</v>
      </c>
      <c r="L36" s="88">
        <f>IFERROR(__xludf.DUMMYFUNCTION("""COMPUTED_VALUE"""),0.18462)</f>
        <v>0.18462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IFERROR(__xludf.DUMMYFUNCTION("""COMPUTED_VALUE"""),79.41)</f>
        <v>79.41</v>
      </c>
      <c r="C37">
        <f>IFERROR(__xludf.DUMMYFUNCTION("""COMPUTED_VALUE"""),79.78)</f>
        <v>79.78</v>
      </c>
      <c r="D37" s="88">
        <f>IFERROR(__xludf.DUMMYFUNCTION("""COMPUTED_VALUE"""),78.3)</f>
        <v>78.3</v>
      </c>
      <c r="E37" s="88">
        <f>IFERROR(__xludf.DUMMYFUNCTION("""COMPUTED_VALUE"""),78.86)</f>
        <v>78.86</v>
      </c>
      <c r="F37" s="88">
        <f>IFERROR(__xludf.DUMMYFUNCTION("""COMPUTED_VALUE"""),4.0137403E7)</f>
        <v>40137403</v>
      </c>
      <c r="G37" s="88">
        <f>IFERROR(__xludf.DUMMYFUNCTION("""COMPUTED_VALUE"""),73.5897676223854)</f>
        <v>73.58976762</v>
      </c>
      <c r="H37" s="88">
        <f>IFERROR(__xludf.DUMMYFUNCTION("""COMPUTED_VALUE"""),73.932649048154)</f>
        <v>73.93264905</v>
      </c>
      <c r="I37" s="88">
        <f>IFERROR(__xludf.DUMMYFUNCTION("""COMPUTED_VALUE"""),72.5611233450797)</f>
        <v>72.56112335</v>
      </c>
      <c r="J37" s="88">
        <f>IFERROR(__xludf.DUMMYFUNCTION("""COMPUTED_VALUE"""),73.0800790165132)</f>
        <v>73.08007902</v>
      </c>
      <c r="K37" s="88">
        <f>IFERROR(__xludf.DUMMYFUNCTION("""COMPUTED_VALUE"""),4.0137403E7)</f>
        <v>40137403</v>
      </c>
      <c r="L37" s="88">
        <f>IFERROR(__xludf.DUMMYFUNCTION("""COMPUTED_VALUE"""),0.17836)</f>
        <v>0.17836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IFERROR(__xludf.DUMMYFUNCTION("""COMPUTED_VALUE"""),79.05)</f>
        <v>79.05</v>
      </c>
      <c r="C38">
        <f>IFERROR(__xludf.DUMMYFUNCTION("""COMPUTED_VALUE"""),79.8)</f>
        <v>79.8</v>
      </c>
      <c r="D38" s="88">
        <f>IFERROR(__xludf.DUMMYFUNCTION("""COMPUTED_VALUE"""),78.69)</f>
        <v>78.69</v>
      </c>
      <c r="E38" s="88">
        <f>IFERROR(__xludf.DUMMYFUNCTION("""COMPUTED_VALUE"""),79.63)</f>
        <v>79.63</v>
      </c>
      <c r="F38" s="88">
        <f>IFERROR(__xludf.DUMMYFUNCTION("""COMPUTED_VALUE"""),4.1553944E7)</f>
        <v>41553944</v>
      </c>
      <c r="G38" s="88">
        <f>IFERROR(__xludf.DUMMYFUNCTION("""COMPUTED_VALUE"""),73.0906111491044)</f>
        <v>73.09061115</v>
      </c>
      <c r="H38" s="88">
        <f>IFERROR(__xludf.DUMMYFUNCTION("""COMPUTED_VALUE"""),73.7840704579195)</f>
        <v>73.78407046</v>
      </c>
      <c r="I38" s="88">
        <f>IFERROR(__xludf.DUMMYFUNCTION("""COMPUTED_VALUE"""),72.7577506808732)</f>
        <v>72.75775068</v>
      </c>
      <c r="J38" s="88">
        <f>IFERROR(__xludf.DUMMYFUNCTION("""COMPUTED_VALUE"""),73.6268863479214)</f>
        <v>73.62688635</v>
      </c>
      <c r="K38" s="88">
        <f>IFERROR(__xludf.DUMMYFUNCTION("""COMPUTED_VALUE"""),4.1553944E7)</f>
        <v>41553944</v>
      </c>
      <c r="L38" s="88">
        <f>IFERROR(__xludf.DUMMYFUNCTION("""COMPUTED_VALUE"""),0.200173)</f>
        <v>0.200173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IFERROR(__xludf.DUMMYFUNCTION("""COMPUTED_VALUE"""),79.93)</f>
        <v>79.93</v>
      </c>
      <c r="C39">
        <f>IFERROR(__xludf.DUMMYFUNCTION("""COMPUTED_VALUE"""),79.95)</f>
        <v>79.95</v>
      </c>
      <c r="D39" s="88">
        <f>IFERROR(__xludf.DUMMYFUNCTION("""COMPUTED_VALUE"""),79.14)</f>
        <v>79.14</v>
      </c>
      <c r="E39" s="88">
        <f>IFERROR(__xludf.DUMMYFUNCTION("""COMPUTED_VALUE"""),79.42)</f>
        <v>79.42</v>
      </c>
      <c r="F39" s="88">
        <f>IFERROR(__xludf.DUMMYFUNCTION("""COMPUTED_VALUE"""),4.7036154E7)</f>
        <v>47036154</v>
      </c>
      <c r="G39" s="88">
        <f>IFERROR(__xludf.DUMMYFUNCTION("""COMPUTED_VALUE"""),73.7191648733767)</f>
        <v>73.71916487</v>
      </c>
      <c r="H39" s="88">
        <f>IFERROR(__xludf.DUMMYFUNCTION("""COMPUTED_VALUE"""),73.737610804785)</f>
        <v>73.7376108</v>
      </c>
      <c r="I39" s="88">
        <f>IFERROR(__xludf.DUMMYFUNCTION("""COMPUTED_VALUE"""),72.9905505827478)</f>
        <v>72.99055058</v>
      </c>
      <c r="J39" s="88">
        <f>IFERROR(__xludf.DUMMYFUNCTION("""COMPUTED_VALUE"""),73.2487936224643)</f>
        <v>73.24879362</v>
      </c>
      <c r="K39" s="88">
        <f>IFERROR(__xludf.DUMMYFUNCTION("""COMPUTED_VALUE"""),4.7036154E7)</f>
        <v>47036154</v>
      </c>
      <c r="L39" s="88">
        <f>IFERROR(__xludf.DUMMYFUNCTION("""COMPUTED_VALUE"""),0.165345)</f>
        <v>0.165345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IFERROR(__xludf.DUMMYFUNCTION("""COMPUTED_VALUE"""),79.55)</f>
        <v>79.55</v>
      </c>
      <c r="C40">
        <f>IFERROR(__xludf.DUMMYFUNCTION("""COMPUTED_VALUE"""),80.43)</f>
        <v>80.43</v>
      </c>
      <c r="D40" s="88">
        <f>IFERROR(__xludf.DUMMYFUNCTION("""COMPUTED_VALUE"""),79.23)</f>
        <v>79.23</v>
      </c>
      <c r="E40" s="88">
        <f>IFERROR(__xludf.DUMMYFUNCTION("""COMPUTED_VALUE"""),80.37)</f>
        <v>80.37</v>
      </c>
      <c r="F40" s="88">
        <f>IFERROR(__xludf.DUMMYFUNCTION("""COMPUTED_VALUE"""),5.7921195E7)</f>
        <v>57921195</v>
      </c>
      <c r="G40" s="88">
        <f>IFERROR(__xludf.DUMMYFUNCTION("""COMPUTED_VALUE"""),73.2164540654834)</f>
        <v>73.21645407</v>
      </c>
      <c r="H40" s="88">
        <f>IFERROR(__xludf.DUMMYFUNCTION("""COMPUTED_VALUE"""),74.0263909552085)</f>
        <v>74.02639096</v>
      </c>
      <c r="I40" s="88">
        <f>IFERROR(__xludf.DUMMYFUNCTION("""COMPUTED_VALUE"""),72.9219315601289)</f>
        <v>72.92193156</v>
      </c>
      <c r="J40" s="88">
        <f>IFERROR(__xludf.DUMMYFUNCTION("""COMPUTED_VALUE"""),73.9711679854545)</f>
        <v>73.97116799</v>
      </c>
      <c r="K40" s="88">
        <f>IFERROR(__xludf.DUMMYFUNCTION("""COMPUTED_VALUE"""),5.7921195E7)</f>
        <v>57921195</v>
      </c>
      <c r="L40" s="88">
        <f>IFERROR(__xludf.DUMMYFUNCTION("""COMPUTED_VALUE"""),0.176624)</f>
        <v>0.176624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IFERROR(__xludf.DUMMYFUNCTION("""COMPUTED_VALUE"""),80.56)</f>
        <v>80.56</v>
      </c>
      <c r="C41">
        <f>IFERROR(__xludf.DUMMYFUNCTION("""COMPUTED_VALUE"""),81.5)</f>
        <v>81.5</v>
      </c>
      <c r="D41" s="88">
        <f>IFERROR(__xludf.DUMMYFUNCTION("""COMPUTED_VALUE"""),80.43)</f>
        <v>80.43</v>
      </c>
      <c r="E41" s="88">
        <f>IFERROR(__xludf.DUMMYFUNCTION("""COMPUTED_VALUE"""),81.45)</f>
        <v>81.45</v>
      </c>
      <c r="F41" s="88">
        <f>IFERROR(__xludf.DUMMYFUNCTION("""COMPUTED_VALUE"""),6.1109592E7)</f>
        <v>61109592</v>
      </c>
      <c r="G41" s="88">
        <f>IFERROR(__xludf.DUMMYFUNCTION("""COMPUTED_VALUE"""),73.9830270233459)</f>
        <v>73.98302702</v>
      </c>
      <c r="H41" s="88">
        <f>IFERROR(__xludf.DUMMYFUNCTION("""COMPUTED_VALUE"""),74.846284786528)</f>
        <v>74.84628479</v>
      </c>
      <c r="I41" s="88">
        <f>IFERROR(__xludf.DUMMYFUNCTION("""COMPUTED_VALUE"""),73.8636403114165)</f>
        <v>73.86364031</v>
      </c>
      <c r="J41" s="88">
        <f>IFERROR(__xludf.DUMMYFUNCTION("""COMPUTED_VALUE"""),74.8003668204013)</f>
        <v>74.80036682</v>
      </c>
      <c r="K41" s="88">
        <f>IFERROR(__xludf.DUMMYFUNCTION("""COMPUTED_VALUE"""),6.1109592E7)</f>
        <v>61109592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IFERROR(__xludf.DUMMYFUNCTION("""COMPUTED_VALUE"""),81.57)</f>
        <v>81.57</v>
      </c>
      <c r="C42">
        <f>IFERROR(__xludf.DUMMYFUNCTION("""COMPUTED_VALUE"""),81.85)</f>
        <v>81.85</v>
      </c>
      <c r="D42" s="88">
        <f>IFERROR(__xludf.DUMMYFUNCTION("""COMPUTED_VALUE"""),81.17)</f>
        <v>81.17</v>
      </c>
      <c r="E42" s="88">
        <f>IFERROR(__xludf.DUMMYFUNCTION("""COMPUTED_VALUE"""),81.5)</f>
        <v>81.5</v>
      </c>
      <c r="F42" s="88">
        <f>IFERROR(__xludf.DUMMYFUNCTION("""COMPUTED_VALUE"""),4.3542668E7)</f>
        <v>43542668</v>
      </c>
      <c r="G42" s="88">
        <f>IFERROR(__xludf.DUMMYFUNCTION("""COMPUTED_VALUE"""),74.9105699391053)</f>
        <v>74.91056994</v>
      </c>
      <c r="H42" s="88">
        <f>IFERROR(__xludf.DUMMYFUNCTION("""COMPUTED_VALUE"""),74.9727849998375)</f>
        <v>74.972785</v>
      </c>
      <c r="I42" s="88">
        <f>IFERROR(__xludf.DUMMYFUNCTION("""COMPUTED_VALUE"""),74.4231983046646)</f>
        <v>74.4231983</v>
      </c>
      <c r="J42" s="88">
        <f>IFERROR(__xludf.DUMMYFUNCTION("""COMPUTED_VALUE"""),74.6521927609867)</f>
        <v>74.65219276</v>
      </c>
      <c r="K42" s="88">
        <f>IFERROR(__xludf.DUMMYFUNCTION("""COMPUTED_VALUE"""),4.3542668E7)</f>
        <v>43542668</v>
      </c>
      <c r="L42" s="88">
        <f>IFERROR(__xludf.DUMMYFUNCTION("""COMPUTED_VALUE"""),0.379654)</f>
        <v>0.379654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IFERROR(__xludf.DUMMYFUNCTION("""COMPUTED_VALUE"""),81.51)</f>
        <v>81.51</v>
      </c>
      <c r="C43">
        <f>IFERROR(__xludf.DUMMYFUNCTION("""COMPUTED_VALUE"""),81.95)</f>
        <v>81.95</v>
      </c>
      <c r="D43" s="88">
        <f>IFERROR(__xludf.DUMMYFUNCTION("""COMPUTED_VALUE"""),81.42)</f>
        <v>81.42</v>
      </c>
      <c r="E43" s="88">
        <f>IFERROR(__xludf.DUMMYFUNCTION("""COMPUTED_VALUE"""),81.59)</f>
        <v>81.59</v>
      </c>
      <c r="F43" s="88">
        <f>IFERROR(__xludf.DUMMYFUNCTION("""COMPUTED_VALUE"""),3.7252059E7)</f>
        <v>37252059</v>
      </c>
      <c r="G43" s="88">
        <f>IFERROR(__xludf.DUMMYFUNCTION("""COMPUTED_VALUE"""),74.5074830762128)</f>
        <v>74.50748308</v>
      </c>
      <c r="H43" s="88">
        <f>IFERROR(__xludf.DUMMYFUNCTION("""COMPUTED_VALUE"""),74.9096827149508)</f>
        <v>74.90968271</v>
      </c>
      <c r="I43" s="88">
        <f>IFERROR(__xludf.DUMMYFUNCTION("""COMPUTED_VALUE"""),74.4252149682891)</f>
        <v>74.42521497</v>
      </c>
      <c r="J43" s="88">
        <f>IFERROR(__xludf.DUMMYFUNCTION("""COMPUTED_VALUE"""),74.5806102832561)</f>
        <v>74.58061028</v>
      </c>
      <c r="K43" s="88">
        <f>IFERROR(__xludf.DUMMYFUNCTION("""COMPUTED_VALUE"""),3.7252059E7)</f>
        <v>37252059</v>
      </c>
      <c r="L43" s="88">
        <f>IFERROR(__xludf.DUMMYFUNCTION("""COMPUTED_VALUE"""),0.172858)</f>
        <v>0.172858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IFERROR(__xludf.DUMMYFUNCTION("""COMPUTED_VALUE"""),81.77)</f>
        <v>81.77</v>
      </c>
      <c r="C44">
        <f>IFERROR(__xludf.DUMMYFUNCTION("""COMPUTED_VALUE"""),82.06)</f>
        <v>82.06</v>
      </c>
      <c r="D44" s="88">
        <f>IFERROR(__xludf.DUMMYFUNCTION("""COMPUTED_VALUE"""),81.43)</f>
        <v>81.43</v>
      </c>
      <c r="E44" s="88">
        <f>IFERROR(__xludf.DUMMYFUNCTION("""COMPUTED_VALUE"""),81.75)</f>
        <v>81.75</v>
      </c>
      <c r="F44" s="88">
        <f>IFERROR(__xludf.DUMMYFUNCTION("""COMPUTED_VALUE"""),4.5695402E7)</f>
        <v>45695402</v>
      </c>
      <c r="G44" s="88">
        <f>IFERROR(__xludf.DUMMYFUNCTION("""COMPUTED_VALUE"""),74.5872407885312)</f>
        <v>74.58724079</v>
      </c>
      <c r="H44" s="88">
        <f>IFERROR(__xludf.DUMMYFUNCTION("""COMPUTED_VALUE"""),74.8517668962562)</f>
        <v>74.8517669</v>
      </c>
      <c r="I44" s="88">
        <f>IFERROR(__xludf.DUMMYFUNCTION("""COMPUTED_VALUE"""),74.2771067311984)</f>
        <v>74.27710673</v>
      </c>
      <c r="J44" s="88">
        <f>IFERROR(__xludf.DUMMYFUNCTION("""COMPUTED_VALUE"""),74.5689976086881)</f>
        <v>74.56899761</v>
      </c>
      <c r="K44" s="88">
        <f>IFERROR(__xludf.DUMMYFUNCTION("""COMPUTED_VALUE"""),4.5695402E7)</f>
        <v>45695402</v>
      </c>
      <c r="L44" s="88">
        <f>IFERROR(__xludf.DUMMYFUNCTION("""COMPUTED_VALUE"""),0.16817)</f>
        <v>0.16817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IFERROR(__xludf.DUMMYFUNCTION("""COMPUTED_VALUE"""),81.96)</f>
        <v>81.96</v>
      </c>
      <c r="C45">
        <f>IFERROR(__xludf.DUMMYFUNCTION("""COMPUTED_VALUE"""),82.71)</f>
        <v>82.71</v>
      </c>
      <c r="D45" s="88">
        <f>IFERROR(__xludf.DUMMYFUNCTION("""COMPUTED_VALUE"""),81.795)</f>
        <v>81.795</v>
      </c>
      <c r="E45" s="88">
        <f>IFERROR(__xludf.DUMMYFUNCTION("""COMPUTED_VALUE"""),82.31)</f>
        <v>82.31</v>
      </c>
      <c r="F45" s="88">
        <f>IFERROR(__xludf.DUMMYFUNCTION("""COMPUTED_VALUE"""),3.4145886E7)</f>
        <v>34145886</v>
      </c>
      <c r="G45" s="88">
        <f>IFERROR(__xludf.DUMMYFUNCTION("""COMPUTED_VALUE"""),74.607093622597)</f>
        <v>74.60709362</v>
      </c>
      <c r="H45" s="88">
        <f>IFERROR(__xludf.DUMMYFUNCTION("""COMPUTED_VALUE"""),75.2898086081625)</f>
        <v>75.28980861</v>
      </c>
      <c r="I45" s="88">
        <f>IFERROR(__xludf.DUMMYFUNCTION("""COMPUTED_VALUE"""),74.4568963257726)</f>
        <v>74.45689633</v>
      </c>
      <c r="J45" s="88">
        <f>IFERROR(__xludf.DUMMYFUNCTION("""COMPUTED_VALUE"""),74.9256939491943)</f>
        <v>74.92569395</v>
      </c>
      <c r="K45" s="88">
        <f>IFERROR(__xludf.DUMMYFUNCTION("""COMPUTED_VALUE"""),3.4145886E7)</f>
        <v>34145886</v>
      </c>
      <c r="L45" s="88">
        <f>IFERROR(__xludf.DUMMYFUNCTION("""COMPUTED_VALUE"""),0.173519)</f>
        <v>0.173519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IFERROR(__xludf.DUMMYFUNCTION("""COMPUTED_VALUE"""),82.52)</f>
        <v>82.52</v>
      </c>
      <c r="C46">
        <f>IFERROR(__xludf.DUMMYFUNCTION("""COMPUTED_VALUE"""),82.58)</f>
        <v>82.58</v>
      </c>
      <c r="D46" s="88">
        <f>IFERROR(__xludf.DUMMYFUNCTION("""COMPUTED_VALUE"""),81.745)</f>
        <v>81.745</v>
      </c>
      <c r="E46" s="88">
        <f>IFERROR(__xludf.DUMMYFUNCTION("""COMPUTED_VALUE"""),81.76)</f>
        <v>81.76</v>
      </c>
      <c r="F46" s="88">
        <f>IFERROR(__xludf.DUMMYFUNCTION("""COMPUTED_VALUE"""),3.5038154E7)</f>
        <v>35038154</v>
      </c>
      <c r="G46" s="88">
        <f>IFERROR(__xludf.DUMMYFUNCTION("""COMPUTED_VALUE"""),74.9586404444923)</f>
        <v>74.95864044</v>
      </c>
      <c r="H46" s="88">
        <f>IFERROR(__xludf.DUMMYFUNCTION("""COMPUTED_VALUE"""),75.0131426067156)</f>
        <v>75.01314261</v>
      </c>
      <c r="I46" s="88">
        <f>IFERROR(__xludf.DUMMYFUNCTION("""COMPUTED_VALUE"""),74.2546541824409)</f>
        <v>74.25465418</v>
      </c>
      <c r="J46" s="88">
        <f>IFERROR(__xludf.DUMMYFUNCTION("""COMPUTED_VALUE"""),74.2682797229967)</f>
        <v>74.26827972</v>
      </c>
      <c r="K46" s="88">
        <f>IFERROR(__xludf.DUMMYFUNCTION("""COMPUTED_VALUE"""),3.5038154E7)</f>
        <v>35038154</v>
      </c>
      <c r="L46" s="88">
        <f>IFERROR(__xludf.DUMMYFUNCTION("""COMPUTED_VALUE"""),0.17107)</f>
        <v>0.17107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IFERROR(__xludf.DUMMYFUNCTION("""COMPUTED_VALUE"""),81.99)</f>
        <v>81.99</v>
      </c>
      <c r="C47">
        <f>IFERROR(__xludf.DUMMYFUNCTION("""COMPUTED_VALUE"""),82.16)</f>
        <v>82.16</v>
      </c>
      <c r="D47" s="88">
        <f>IFERROR(__xludf.DUMMYFUNCTION("""COMPUTED_VALUE"""),81.3)</f>
        <v>81.3</v>
      </c>
      <c r="E47" s="88">
        <f>IFERROR(__xludf.DUMMYFUNCTION("""COMPUTED_VALUE"""),81.66)</f>
        <v>81.66</v>
      </c>
      <c r="F47" s="88">
        <f>IFERROR(__xludf.DUMMYFUNCTION("""COMPUTED_VALUE"""),3.3597936E7)</f>
        <v>33597936</v>
      </c>
      <c r="G47" s="88">
        <f>IFERROR(__xludf.DUMMYFUNCTION("""COMPUTED_VALUE"""),74.3221146056612)</f>
        <v>74.32211461</v>
      </c>
      <c r="H47" s="88">
        <f>IFERROR(__xludf.DUMMYFUNCTION("""COMPUTED_VALUE"""),74.4762158312127)</f>
        <v>74.47621583</v>
      </c>
      <c r="I47" s="88">
        <f>IFERROR(__xludf.DUMMYFUNCTION("""COMPUTED_VALUE"""),73.6966449254819)</f>
        <v>73.69664493</v>
      </c>
      <c r="J47" s="88">
        <f>IFERROR(__xludf.DUMMYFUNCTION("""COMPUTED_VALUE"""),74.022976932532)</f>
        <v>74.02297693</v>
      </c>
      <c r="K47" s="88">
        <f>IFERROR(__xludf.DUMMYFUNCTION("""COMPUTED_VALUE"""),3.3597936E7)</f>
        <v>33597936</v>
      </c>
      <c r="L47" s="88">
        <f>IFERROR(__xludf.DUMMYFUNCTION("""COMPUTED_VALUE"""),0.169673)</f>
        <v>0.169673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IFERROR(__xludf.DUMMYFUNCTION("""COMPUTED_VALUE"""),81.83)</f>
        <v>81.83</v>
      </c>
      <c r="C48">
        <f>IFERROR(__xludf.DUMMYFUNCTION("""COMPUTED_VALUE"""),82.39)</f>
        <v>82.39</v>
      </c>
      <c r="D48" s="88">
        <f>IFERROR(__xludf.DUMMYFUNCTION("""COMPUTED_VALUE"""),81.69)</f>
        <v>81.69</v>
      </c>
      <c r="E48" s="88">
        <f>IFERROR(__xludf.DUMMYFUNCTION("""COMPUTED_VALUE"""),81.71)</f>
        <v>81.71</v>
      </c>
      <c r="F48" s="88">
        <f>IFERROR(__xludf.DUMMYFUNCTION("""COMPUTED_VALUE"""),4.2755005E7)</f>
        <v>42755005</v>
      </c>
      <c r="G48" s="88">
        <f>IFERROR(__xludf.DUMMYFUNCTION("""COMPUTED_VALUE"""),74.0229714141723)</f>
        <v>74.02297141</v>
      </c>
      <c r="H48" s="88">
        <f>IFERROR(__xludf.DUMMYFUNCTION("""COMPUTED_VALUE"""),74.5295443579819)</f>
        <v>74.52954436</v>
      </c>
      <c r="I48" s="88">
        <f>IFERROR(__xludf.DUMMYFUNCTION("""COMPUTED_VALUE"""),73.8963281782199)</f>
        <v>73.89632818</v>
      </c>
      <c r="J48" s="88">
        <f>IFERROR(__xludf.DUMMYFUNCTION("""COMPUTED_VALUE"""),73.9144200690702)</f>
        <v>73.91442007</v>
      </c>
      <c r="K48" s="88">
        <f>IFERROR(__xludf.DUMMYFUNCTION("""COMPUTED_VALUE"""),4.2755005E7)</f>
        <v>42755005</v>
      </c>
      <c r="L48" s="88">
        <f>IFERROR(__xludf.DUMMYFUNCTION("""COMPUTED_VALUE"""),0.172209)</f>
        <v>0.172209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IFERROR(__xludf.DUMMYFUNCTION("""COMPUTED_VALUE"""),81.96)</f>
        <v>81.96</v>
      </c>
      <c r="C49">
        <f>IFERROR(__xludf.DUMMYFUNCTION("""COMPUTED_VALUE"""),82.01)</f>
        <v>82.01</v>
      </c>
      <c r="D49" s="88">
        <f>IFERROR(__xludf.DUMMYFUNCTION("""COMPUTED_VALUE"""),80.93)</f>
        <v>80.93</v>
      </c>
      <c r="E49" s="88">
        <f>IFERROR(__xludf.DUMMYFUNCTION("""COMPUTED_VALUE"""),81.34)</f>
        <v>81.34</v>
      </c>
      <c r="F49" s="88">
        <f>IFERROR(__xludf.DUMMYFUNCTION("""COMPUTED_VALUE"""),3.7408777E7)</f>
        <v>37408777</v>
      </c>
      <c r="G49" s="88">
        <f>IFERROR(__xludf.DUMMYFUNCTION("""COMPUTED_VALUE"""),73.9848315837826)</f>
        <v>73.98483158</v>
      </c>
      <c r="H49" s="88">
        <f>IFERROR(__xludf.DUMMYFUNCTION("""COMPUTED_VALUE"""),74.029966302904)</f>
        <v>74.0299663</v>
      </c>
      <c r="I49" s="88">
        <f>IFERROR(__xludf.DUMMYFUNCTION("""COMPUTED_VALUE"""),73.055056369882)</f>
        <v>73.05505637</v>
      </c>
      <c r="J49" s="88">
        <f>IFERROR(__xludf.DUMMYFUNCTION("""COMPUTED_VALUE"""),73.4251610666774)</f>
        <v>73.42516107</v>
      </c>
      <c r="K49" s="88">
        <f>IFERROR(__xludf.DUMMYFUNCTION("""COMPUTED_VALUE"""),3.7408777E7)</f>
        <v>37408777</v>
      </c>
      <c r="L49" s="88">
        <f>IFERROR(__xludf.DUMMYFUNCTION("""COMPUTED_VALUE"""),0.167906)</f>
        <v>0.167906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IFERROR(__xludf.DUMMYFUNCTION("""COMPUTED_VALUE"""),81.55)</f>
        <v>81.55</v>
      </c>
      <c r="C50">
        <f>IFERROR(__xludf.DUMMYFUNCTION("""COMPUTED_VALUE"""),81.9666)</f>
        <v>81.9666</v>
      </c>
      <c r="D50" s="88">
        <f>IFERROR(__xludf.DUMMYFUNCTION("""COMPUTED_VALUE"""),80.91)</f>
        <v>80.91</v>
      </c>
      <c r="E50" s="88">
        <f>IFERROR(__xludf.DUMMYFUNCTION("""COMPUTED_VALUE"""),80.97)</f>
        <v>80.97</v>
      </c>
      <c r="F50" s="88">
        <f>IFERROR(__xludf.DUMMYFUNCTION("""COMPUTED_VALUE"""),3.2895617E7)</f>
        <v>32895617</v>
      </c>
      <c r="G50" s="88">
        <f>IFERROR(__xludf.DUMMYFUNCTION("""COMPUTED_VALUE"""),73.4628758758238)</f>
        <v>73.46287588</v>
      </c>
      <c r="H50" s="88">
        <f>IFERROR(__xludf.DUMMYFUNCTION("""COMPUTED_VALUE"""),73.8381626212544)</f>
        <v>73.83816262</v>
      </c>
      <c r="I50" s="88">
        <f>IFERROR(__xludf.DUMMYFUNCTION("""COMPUTED_VALUE"""),72.8863431896125)</f>
        <v>72.88634319</v>
      </c>
      <c r="J50" s="88">
        <f>IFERROR(__xludf.DUMMYFUNCTION("""COMPUTED_VALUE"""),72.9403931289449)</f>
        <v>72.94039313</v>
      </c>
      <c r="K50" s="88">
        <f>IFERROR(__xludf.DUMMYFUNCTION("""COMPUTED_VALUE"""),3.2895617E7)</f>
        <v>32895617</v>
      </c>
      <c r="L50" s="88">
        <f>IFERROR(__xludf.DUMMYFUNCTION("""COMPUTED_VALUE"""),0.173602)</f>
        <v>0.173602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IFERROR(__xludf.DUMMYFUNCTION("""COMPUTED_VALUE"""),81.08)</f>
        <v>81.08</v>
      </c>
      <c r="C51">
        <f>IFERROR(__xludf.DUMMYFUNCTION("""COMPUTED_VALUE"""),81.23)</f>
        <v>81.23</v>
      </c>
      <c r="D51" s="88">
        <f>IFERROR(__xludf.DUMMYFUNCTION("""COMPUTED_VALUE"""),80.02)</f>
        <v>80.02</v>
      </c>
      <c r="E51" s="88">
        <f>IFERROR(__xludf.DUMMYFUNCTION("""COMPUTED_VALUE"""),80.78)</f>
        <v>80.78</v>
      </c>
      <c r="F51" s="88">
        <f>IFERROR(__xludf.DUMMYFUNCTION("""COMPUTED_VALUE"""),5.0620535E7)</f>
        <v>50620535</v>
      </c>
      <c r="G51" s="88">
        <f>IFERROR(__xludf.DUMMYFUNCTION("""COMPUTED_VALUE"""),72.8836626449479)</f>
        <v>72.88366264</v>
      </c>
      <c r="H51" s="88">
        <f>IFERROR(__xludf.DUMMYFUNCTION("""COMPUTED_VALUE"""),73.018499218662)</f>
        <v>73.01849922</v>
      </c>
      <c r="I51" s="88">
        <f>IFERROR(__xludf.DUMMYFUNCTION("""COMPUTED_VALUE"""),71.9308175240347)</f>
        <v>71.93081752</v>
      </c>
      <c r="J51" s="88">
        <f>IFERROR(__xludf.DUMMYFUNCTION("""COMPUTED_VALUE"""),72.6139894975196)</f>
        <v>72.6139895</v>
      </c>
      <c r="K51" s="88">
        <f>IFERROR(__xludf.DUMMYFUNCTION("""COMPUTED_VALUE"""),5.0620535E7)</f>
        <v>50620535</v>
      </c>
      <c r="L51" s="88">
        <f>IFERROR(__xludf.DUMMYFUNCTION("""COMPUTED_VALUE"""),0.158376)</f>
        <v>0.158376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IFERROR(__xludf.DUMMYFUNCTION("""COMPUTED_VALUE"""),81.27)</f>
        <v>81.27</v>
      </c>
      <c r="C52">
        <f>IFERROR(__xludf.DUMMYFUNCTION("""COMPUTED_VALUE"""),81.52)</f>
        <v>81.52</v>
      </c>
      <c r="D52" s="88">
        <f>IFERROR(__xludf.DUMMYFUNCTION("""COMPUTED_VALUE"""),80.5)</f>
        <v>80.5</v>
      </c>
      <c r="E52" s="88">
        <f>IFERROR(__xludf.DUMMYFUNCTION("""COMPUTED_VALUE"""),80.56)</f>
        <v>80.56</v>
      </c>
      <c r="F52" s="88">
        <f>IFERROR(__xludf.DUMMYFUNCTION("""COMPUTED_VALUE"""),4.3939219E7)</f>
        <v>43939219</v>
      </c>
      <c r="G52" s="88">
        <f>IFERROR(__xludf.DUMMYFUNCTION("""COMPUTED_VALUE"""),72.9115064831968)</f>
        <v>72.91150648</v>
      </c>
      <c r="H52" s="88">
        <f>IFERROR(__xludf.DUMMYFUNCTION("""COMPUTED_VALUE"""),73.135794370742)</f>
        <v>73.13579437</v>
      </c>
      <c r="I52" s="88">
        <f>IFERROR(__xludf.DUMMYFUNCTION("""COMPUTED_VALUE"""),72.2206997895575)</f>
        <v>72.22069979</v>
      </c>
      <c r="J52" s="88">
        <f>IFERROR(__xludf.DUMMYFUNCTION("""COMPUTED_VALUE"""),72.2745288825684)</f>
        <v>72.27452888</v>
      </c>
      <c r="K52" s="88">
        <f>IFERROR(__xludf.DUMMYFUNCTION("""COMPUTED_VALUE"""),4.3939219E7)</f>
        <v>43939219</v>
      </c>
      <c r="L52" s="88">
        <f>IFERROR(__xludf.DUMMYFUNCTION("""COMPUTED_VALUE"""),0.168023)</f>
        <v>0.168023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IFERROR(__xludf.DUMMYFUNCTION("""COMPUTED_VALUE"""),80.94)</f>
        <v>80.94</v>
      </c>
      <c r="C53">
        <f>IFERROR(__xludf.DUMMYFUNCTION("""COMPUTED_VALUE"""),81.43)</f>
        <v>81.43</v>
      </c>
      <c r="D53" s="88">
        <f>IFERROR(__xludf.DUMMYFUNCTION("""COMPUTED_VALUE"""),80.5)</f>
        <v>80.5</v>
      </c>
      <c r="E53" s="88">
        <f>IFERROR(__xludf.DUMMYFUNCTION("""COMPUTED_VALUE"""),80.55)</f>
        <v>80.55</v>
      </c>
      <c r="F53" s="88">
        <f>IFERROR(__xludf.DUMMYFUNCTION("""COMPUTED_VALUE"""),4.7715784E7)</f>
        <v>47715784</v>
      </c>
      <c r="G53" s="88">
        <f>IFERROR(__xludf.DUMMYFUNCTION("""COMPUTED_VALUE"""),72.4644394951112)</f>
        <v>72.4644395</v>
      </c>
      <c r="H53" s="88">
        <f>IFERROR(__xludf.DUMMYFUNCTION("""COMPUTED_VALUE"""),72.9031295785385)</f>
        <v>72.90312958</v>
      </c>
      <c r="I53" s="88">
        <f>IFERROR(__xludf.DUMMYFUNCTION("""COMPUTED_VALUE"""),72.0705137059112)</f>
        <v>72.07051371</v>
      </c>
      <c r="J53" s="88">
        <f>IFERROR(__xludf.DUMMYFUNCTION("""COMPUTED_VALUE"""),72.1152780001384)</f>
        <v>72.115278</v>
      </c>
      <c r="K53" s="88">
        <f>IFERROR(__xludf.DUMMYFUNCTION("""COMPUTED_VALUE"""),4.7715784E7)</f>
        <v>47715784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IFERROR(__xludf.DUMMYFUNCTION("""COMPUTED_VALUE"""),80.79)</f>
        <v>80.79</v>
      </c>
      <c r="C54">
        <f>IFERROR(__xludf.DUMMYFUNCTION("""COMPUTED_VALUE"""),81.06)</f>
        <v>81.06</v>
      </c>
      <c r="D54" s="88">
        <f>IFERROR(__xludf.DUMMYFUNCTION("""COMPUTED_VALUE"""),80.0301)</f>
        <v>80.0301</v>
      </c>
      <c r="E54" s="88">
        <f>IFERROR(__xludf.DUMMYFUNCTION("""COMPUTED_VALUE"""),80.48)</f>
        <v>80.48</v>
      </c>
      <c r="F54" s="88">
        <f>IFERROR(__xludf.DUMMYFUNCTION("""COMPUTED_VALUE"""),6.3821288E7)</f>
        <v>63821288</v>
      </c>
      <c r="G54" s="88">
        <f>IFERROR(__xludf.DUMMYFUNCTION("""COMPUTED_VALUE"""),72.3301466124293)</f>
        <v>72.33014661</v>
      </c>
      <c r="H54" s="88">
        <f>IFERROR(__xludf.DUMMYFUNCTION("""COMPUTED_VALUE"""),72.3864689721213)</f>
        <v>72.38646897</v>
      </c>
      <c r="I54" s="88">
        <f>IFERROR(__xludf.DUMMYFUNCTION("""COMPUTED_VALUE"""),71.4667696827753)</f>
        <v>71.46676968</v>
      </c>
      <c r="J54" s="88">
        <f>IFERROR(__xludf.DUMMYFUNCTION("""COMPUTED_VALUE"""),71.8685297665473)</f>
        <v>71.86852977</v>
      </c>
      <c r="K54" s="88">
        <f>IFERROR(__xludf.DUMMYFUNCTION("""COMPUTED_VALUE"""),6.3821288E7)</f>
        <v>63821288</v>
      </c>
      <c r="L54" s="88">
        <f>IFERROR(__xludf.DUMMYFUNCTION("""COMPUTED_VALUE"""),0.36576)</f>
        <v>0.36576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IFERROR(__xludf.DUMMYFUNCTION("""COMPUTED_VALUE"""),80.89)</f>
        <v>80.89</v>
      </c>
      <c r="C55">
        <f>IFERROR(__xludf.DUMMYFUNCTION("""COMPUTED_VALUE"""),83.24)</f>
        <v>83.24</v>
      </c>
      <c r="D55" s="88">
        <f>IFERROR(__xludf.DUMMYFUNCTION("""COMPUTED_VALUE"""),80.7)</f>
        <v>80.7</v>
      </c>
      <c r="E55" s="88">
        <f>IFERROR(__xludf.DUMMYFUNCTION("""COMPUTED_VALUE"""),82.89)</f>
        <v>82.89</v>
      </c>
      <c r="F55" s="88">
        <f>IFERROR(__xludf.DUMMYFUNCTION("""COMPUTED_VALUE"""),4.0775735E7)</f>
        <v>40775735</v>
      </c>
      <c r="G55" s="88">
        <f>IFERROR(__xludf.DUMMYFUNCTION("""COMPUTED_VALUE"""),72.0909872363628)</f>
        <v>72.09098724</v>
      </c>
      <c r="H55" s="88">
        <f>IFERROR(__xludf.DUMMYFUNCTION("""COMPUTED_VALUE"""),74.1853600884515)</f>
        <v>74.18536009</v>
      </c>
      <c r="I55" s="88">
        <f>IFERROR(__xludf.DUMMYFUNCTION("""COMPUTED_VALUE"""),71.9216549632152)</f>
        <v>71.92165496</v>
      </c>
      <c r="J55" s="88">
        <f>IFERROR(__xludf.DUMMYFUNCTION("""COMPUTED_VALUE"""),73.8734322168638)</f>
        <v>73.87343222</v>
      </c>
      <c r="K55" s="88">
        <f>IFERROR(__xludf.DUMMYFUNCTION("""COMPUTED_VALUE"""),4.0775735E7)</f>
        <v>40775735</v>
      </c>
      <c r="L55" s="88">
        <f>IFERROR(__xludf.DUMMYFUNCTION("""COMPUTED_VALUE"""),0.162502)</f>
        <v>0.162502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IFERROR(__xludf.DUMMYFUNCTION("""COMPUTED_VALUE"""),83.19)</f>
        <v>83.19</v>
      </c>
      <c r="C56">
        <f>IFERROR(__xludf.DUMMYFUNCTION("""COMPUTED_VALUE"""),84.01)</f>
        <v>84.01</v>
      </c>
      <c r="D56" s="88">
        <f>IFERROR(__xludf.DUMMYFUNCTION("""COMPUTED_VALUE"""),83.02)</f>
        <v>83.02</v>
      </c>
      <c r="E56" s="88">
        <f>IFERROR(__xludf.DUMMYFUNCTION("""COMPUTED_VALUE"""),83.95)</f>
        <v>83.95</v>
      </c>
      <c r="F56" s="88">
        <f>IFERROR(__xludf.DUMMYFUNCTION("""COMPUTED_VALUE"""),3.1290209E7)</f>
        <v>31290209</v>
      </c>
      <c r="G56" s="88">
        <f>IFERROR(__xludf.DUMMYFUNCTION("""COMPUTED_VALUE"""),73.9959256397424)</f>
        <v>73.99592564</v>
      </c>
      <c r="H56" s="88">
        <f>IFERROR(__xludf.DUMMYFUNCTION("""COMPUTED_VALUE"""),74.7253000720611)</f>
        <v>74.72530007</v>
      </c>
      <c r="I56" s="88">
        <f>IFERROR(__xludf.DUMMYFUNCTION("""COMPUTED_VALUE"""),73.8447138671886)</f>
        <v>73.84471387</v>
      </c>
      <c r="J56" s="88">
        <f>IFERROR(__xludf.DUMMYFUNCTION("""COMPUTED_VALUE"""),74.6719312111597)</f>
        <v>74.67193121</v>
      </c>
      <c r="K56" s="88">
        <f>IFERROR(__xludf.DUMMYFUNCTION("""COMPUTED_VALUE"""),3.1290209E7)</f>
        <v>31290209</v>
      </c>
      <c r="L56" s="88">
        <f>IFERROR(__xludf.DUMMYFUNCTION("""COMPUTED_VALUE"""),0.160539)</f>
        <v>0.160539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IFERROR(__xludf.DUMMYFUNCTION("""COMPUTED_VALUE"""),84.14)</f>
        <v>84.14</v>
      </c>
      <c r="C57">
        <f>IFERROR(__xludf.DUMMYFUNCTION("""COMPUTED_VALUE"""),84.4)</f>
        <v>84.4</v>
      </c>
      <c r="D57" s="88">
        <f>IFERROR(__xludf.DUMMYFUNCTION("""COMPUTED_VALUE"""),83.29)</f>
        <v>83.29</v>
      </c>
      <c r="E57" s="88">
        <f>IFERROR(__xludf.DUMMYFUNCTION("""COMPUTED_VALUE"""),83.9)</f>
        <v>83.9</v>
      </c>
      <c r="F57" s="88">
        <f>IFERROR(__xludf.DUMMYFUNCTION("""COMPUTED_VALUE"""),4.7263841E7)</f>
        <v>47263841</v>
      </c>
      <c r="G57" s="88">
        <f>IFERROR(__xludf.DUMMYFUNCTION("""COMPUTED_VALUE"""),74.6979842229297)</f>
        <v>74.69798422</v>
      </c>
      <c r="H57" s="88">
        <f>IFERROR(__xludf.DUMMYFUNCTION("""COMPUTED_VALUE"""),74.928807563766)</f>
        <v>74.92880756</v>
      </c>
      <c r="I57" s="88">
        <f>IFERROR(__xludf.DUMMYFUNCTION("""COMPUTED_VALUE"""),73.9433694548112)</f>
        <v>73.94336945</v>
      </c>
      <c r="J57" s="88">
        <f>IFERROR(__xludf.DUMMYFUNCTION("""COMPUTED_VALUE"""),74.4849165236962)</f>
        <v>74.48491652</v>
      </c>
      <c r="K57" s="88">
        <f>IFERROR(__xludf.DUMMYFUNCTION("""COMPUTED_VALUE"""),4.7263841E7)</f>
        <v>47263841</v>
      </c>
      <c r="L57" s="88">
        <f>IFERROR(__xludf.DUMMYFUNCTION("""COMPUTED_VALUE"""),0.165906)</f>
        <v>0.165906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IFERROR(__xludf.DUMMYFUNCTION("""COMPUTED_VALUE"""),84.21)</f>
        <v>84.21</v>
      </c>
      <c r="C58">
        <f>IFERROR(__xludf.DUMMYFUNCTION("""COMPUTED_VALUE"""),84.4875)</f>
        <v>84.4875</v>
      </c>
      <c r="D58" s="88">
        <f>IFERROR(__xludf.DUMMYFUNCTION("""COMPUTED_VALUE"""),83.88)</f>
        <v>83.88</v>
      </c>
      <c r="E58" s="88">
        <f>IFERROR(__xludf.DUMMYFUNCTION("""COMPUTED_VALUE"""),84.25)</f>
        <v>84.25</v>
      </c>
      <c r="F58" s="88">
        <f>IFERROR(__xludf.DUMMYFUNCTION("""COMPUTED_VALUE"""),5.1855898E7)</f>
        <v>51855898</v>
      </c>
      <c r="G58" s="88">
        <f>IFERROR(__xludf.DUMMYFUNCTION("""COMPUTED_VALUE"""),74.6130430426953)</f>
        <v>74.61304304</v>
      </c>
      <c r="H58" s="88">
        <f>IFERROR(__xludf.DUMMYFUNCTION("""COMPUTED_VALUE"""),74.8589178728147)</f>
        <v>74.85891787</v>
      </c>
      <c r="I58" s="88">
        <f>IFERROR(__xludf.DUMMYFUNCTION("""COMPUTED_VALUE"""),74.3206513528237)</f>
        <v>74.32065135</v>
      </c>
      <c r="J58" s="88">
        <f>IFERROR(__xludf.DUMMYFUNCTION("""COMPUTED_VALUE"""),74.6484844596495)</f>
        <v>74.64848446</v>
      </c>
      <c r="K58" s="88">
        <f>IFERROR(__xludf.DUMMYFUNCTION("""COMPUTED_VALUE"""),5.1855898E7)</f>
        <v>51855898</v>
      </c>
      <c r="L58" s="88">
        <f>IFERROR(__xludf.DUMMYFUNCTION("""COMPUTED_VALUE"""),0.165464)</f>
        <v>0.165464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IFERROR(__xludf.DUMMYFUNCTION("""COMPUTED_VALUE"""),84.64)</f>
        <v>84.64</v>
      </c>
      <c r="C59">
        <f>IFERROR(__xludf.DUMMYFUNCTION("""COMPUTED_VALUE"""),84.919)</f>
        <v>84.919</v>
      </c>
      <c r="D59" s="88">
        <f>IFERROR(__xludf.DUMMYFUNCTION("""COMPUTED_VALUE"""),83.95)</f>
        <v>83.95</v>
      </c>
      <c r="E59" s="88">
        <f>IFERROR(__xludf.DUMMYFUNCTION("""COMPUTED_VALUE"""),84.44)</f>
        <v>84.44</v>
      </c>
      <c r="F59" s="88">
        <f>IFERROR(__xludf.DUMMYFUNCTION("""COMPUTED_VALUE"""),3.9477121E7)</f>
        <v>39477121</v>
      </c>
      <c r="G59" s="88">
        <f>IFERROR(__xludf.DUMMYFUNCTION("""COMPUTED_VALUE"""),74.8469716638682)</f>
        <v>74.84697166</v>
      </c>
      <c r="H59" s="88">
        <f>IFERROR(__xludf.DUMMYFUNCTION("""COMPUTED_VALUE"""),75.0936907694237)</f>
        <v>75.09369077</v>
      </c>
      <c r="I59" s="88">
        <f>IFERROR(__xludf.DUMMYFUNCTION("""COMPUTED_VALUE"""),74.2368061339997)</f>
        <v>74.23680613</v>
      </c>
      <c r="J59" s="88">
        <f>IFERROR(__xludf.DUMMYFUNCTION("""COMPUTED_VALUE"""),74.6701120899933)</f>
        <v>74.67011209</v>
      </c>
      <c r="K59" s="88">
        <f>IFERROR(__xludf.DUMMYFUNCTION("""COMPUTED_VALUE"""),3.9477121E7)</f>
        <v>39477121</v>
      </c>
      <c r="L59" s="88">
        <f>IFERROR(__xludf.DUMMYFUNCTION("""COMPUTED_VALUE"""),0.164362)</f>
        <v>0.164362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IFERROR(__xludf.DUMMYFUNCTION("""COMPUTED_VALUE"""),84.3)</f>
        <v>84.3</v>
      </c>
      <c r="C60">
        <f>IFERROR(__xludf.DUMMYFUNCTION("""COMPUTED_VALUE"""),84.4099)</f>
        <v>84.4099</v>
      </c>
      <c r="D60" s="88">
        <f>IFERROR(__xludf.DUMMYFUNCTION("""COMPUTED_VALUE"""),82.6)</f>
        <v>82.6</v>
      </c>
      <c r="E60" s="88">
        <f>IFERROR(__xludf.DUMMYFUNCTION("""COMPUTED_VALUE"""),82.74)</f>
        <v>82.74</v>
      </c>
      <c r="F60" s="88">
        <f>IFERROR(__xludf.DUMMYFUNCTION("""COMPUTED_VALUE"""),3.9938875E7)</f>
        <v>39938875</v>
      </c>
      <c r="G60" s="88">
        <f>IFERROR(__xludf.DUMMYFUNCTION("""COMPUTED_VALUE"""),74.4013683744281)</f>
        <v>74.40136837</v>
      </c>
      <c r="H60" s="88">
        <f>IFERROR(__xludf.DUMMYFUNCTION("""COMPUTED_VALUE"""),74.4983637526529)</f>
        <v>74.49836375</v>
      </c>
      <c r="I60" s="88">
        <f>IFERROR(__xludf.DUMMYFUNCTION("""COMPUTED_VALUE"""),72.9009849078026)</f>
        <v>72.90098491</v>
      </c>
      <c r="J60" s="88">
        <f>IFERROR(__xludf.DUMMYFUNCTION("""COMPUTED_VALUE"""),73.0245458991718)</f>
        <v>73.0245459</v>
      </c>
      <c r="K60" s="88">
        <f>IFERROR(__xludf.DUMMYFUNCTION("""COMPUTED_VALUE"""),3.9938875E7)</f>
        <v>39938875</v>
      </c>
      <c r="L60" s="88">
        <f>IFERROR(__xludf.DUMMYFUNCTION("""COMPUTED_VALUE"""),0.169178)</f>
        <v>0.169178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IFERROR(__xludf.DUMMYFUNCTION("""COMPUTED_VALUE"""),82.8)</f>
        <v>82.8</v>
      </c>
      <c r="C61">
        <f>IFERROR(__xludf.DUMMYFUNCTION("""COMPUTED_VALUE"""),83.26)</f>
        <v>83.26</v>
      </c>
      <c r="D61" s="88">
        <f>IFERROR(__xludf.DUMMYFUNCTION("""COMPUTED_VALUE"""),82.52)</f>
        <v>82.52</v>
      </c>
      <c r="E61" s="88">
        <f>IFERROR(__xludf.DUMMYFUNCTION("""COMPUTED_VALUE"""),82.78)</f>
        <v>82.78</v>
      </c>
      <c r="F61" s="88">
        <f>IFERROR(__xludf.DUMMYFUNCTION("""COMPUTED_VALUE"""),3.9046628E7)</f>
        <v>39046628</v>
      </c>
      <c r="G61" s="88">
        <f>IFERROR(__xludf.DUMMYFUNCTION("""COMPUTED_VALUE"""),72.9282403406519)</f>
        <v>72.92824034</v>
      </c>
      <c r="H61" s="88">
        <f>IFERROR(__xludf.DUMMYFUNCTION("""COMPUTED_VALUE"""),73.3333972314334)</f>
        <v>73.33339723</v>
      </c>
      <c r="I61" s="88">
        <f>IFERROR(__xludf.DUMMYFUNCTION("""COMPUTED_VALUE"""),72.681623102785)</f>
        <v>72.6816231</v>
      </c>
      <c r="J61" s="88">
        <f>IFERROR(__xludf.DUMMYFUNCTION("""COMPUTED_VALUE"""),72.9106248236615)</f>
        <v>72.91062482</v>
      </c>
      <c r="K61" s="88">
        <f>IFERROR(__xludf.DUMMYFUNCTION("""COMPUTED_VALUE"""),3.9046628E7)</f>
        <v>39046628</v>
      </c>
      <c r="L61" s="88">
        <f>IFERROR(__xludf.DUMMYFUNCTION("""COMPUTED_VALUE"""),0.164101)</f>
        <v>0.164101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IFERROR(__xludf.DUMMYFUNCTION("""COMPUTED_VALUE"""),82.97)</f>
        <v>82.97</v>
      </c>
      <c r="C62">
        <f>IFERROR(__xludf.DUMMYFUNCTION("""COMPUTED_VALUE"""),83.15)</f>
        <v>83.15</v>
      </c>
      <c r="D62" s="88">
        <f>IFERROR(__xludf.DUMMYFUNCTION("""COMPUTED_VALUE"""),82.44)</f>
        <v>82.44</v>
      </c>
      <c r="E62" s="88">
        <f>IFERROR(__xludf.DUMMYFUNCTION("""COMPUTED_VALUE"""),82.65)</f>
        <v>82.65</v>
      </c>
      <c r="F62" s="88">
        <f>IFERROR(__xludf.DUMMYFUNCTION("""COMPUTED_VALUE"""),4.1406734E7)</f>
        <v>41406734</v>
      </c>
      <c r="G62" s="88">
        <f>IFERROR(__xludf.DUMMYFUNCTION("""COMPUTED_VALUE"""),72.9331814292917)</f>
        <v>72.93318143</v>
      </c>
      <c r="H62" s="88">
        <f>IFERROR(__xludf.DUMMYFUNCTION("""COMPUTED_VALUE"""),73.0914069645126)</f>
        <v>73.09140696</v>
      </c>
      <c r="I62" s="88">
        <f>IFERROR(__xludf.DUMMYFUNCTION("""COMPUTED_VALUE"""),72.4672951311415)</f>
        <v>72.46729513</v>
      </c>
      <c r="J62" s="88">
        <f>IFERROR(__xludf.DUMMYFUNCTION("""COMPUTED_VALUE"""),72.6518915888991)</f>
        <v>72.65189159</v>
      </c>
      <c r="K62" s="88">
        <f>IFERROR(__xludf.DUMMYFUNCTION("""COMPUTED_VALUE"""),4.1406734E7)</f>
        <v>41406734</v>
      </c>
      <c r="L62" s="88">
        <f>IFERROR(__xludf.DUMMYFUNCTION("""COMPUTED_VALUE"""),0.172864)</f>
        <v>0.172864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IFERROR(__xludf.DUMMYFUNCTION("""COMPUTED_VALUE"""),82.805)</f>
        <v>82.805</v>
      </c>
      <c r="C63">
        <f>IFERROR(__xludf.DUMMYFUNCTION("""COMPUTED_VALUE"""),82.92)</f>
        <v>82.92</v>
      </c>
      <c r="D63" s="88">
        <f>IFERROR(__xludf.DUMMYFUNCTION("""COMPUTED_VALUE"""),81.65)</f>
        <v>81.65</v>
      </c>
      <c r="E63" s="88">
        <f>IFERROR(__xludf.DUMMYFUNCTION("""COMPUTED_VALUE"""),82.17)</f>
        <v>82.17</v>
      </c>
      <c r="F63" s="88">
        <f>IFERROR(__xludf.DUMMYFUNCTION("""COMPUTED_VALUE"""),4.0038465E7)</f>
        <v>40038465</v>
      </c>
      <c r="G63" s="88">
        <f>IFERROR(__xludf.DUMMYFUNCTION("""COMPUTED_VALUE"""),72.6363679586175)</f>
        <v>72.63636796</v>
      </c>
      <c r="H63" s="88">
        <f>IFERROR(__xludf.DUMMYFUNCTION("""COMPUTED_VALUE"""),72.7372457113527)</f>
        <v>72.73724571</v>
      </c>
      <c r="I63" s="88">
        <f>IFERROR(__xludf.DUMMYFUNCTION("""COMPUTED_VALUE"""),71.6232044420158)</f>
        <v>71.62320444</v>
      </c>
      <c r="J63" s="88">
        <f>IFERROR(__xludf.DUMMYFUNCTION("""COMPUTED_VALUE"""),72.079347323949)</f>
        <v>72.07934732</v>
      </c>
      <c r="K63" s="88">
        <f>IFERROR(__xludf.DUMMYFUNCTION("""COMPUTED_VALUE"""),4.0038465E7)</f>
        <v>40038465</v>
      </c>
      <c r="L63" s="88">
        <f>IFERROR(__xludf.DUMMYFUNCTION("""COMPUTED_VALUE"""),0.16545)</f>
        <v>0.16545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IFERROR(__xludf.DUMMYFUNCTION("""COMPUTED_VALUE"""),82.25)</f>
        <v>82.25</v>
      </c>
      <c r="C64">
        <f>IFERROR(__xludf.DUMMYFUNCTION("""COMPUTED_VALUE"""),82.579)</f>
        <v>82.579</v>
      </c>
      <c r="D64" s="88">
        <f>IFERROR(__xludf.DUMMYFUNCTION("""COMPUTED_VALUE"""),81.335)</f>
        <v>81.335</v>
      </c>
      <c r="E64" s="88">
        <f>IFERROR(__xludf.DUMMYFUNCTION("""COMPUTED_VALUE"""),81.52)</f>
        <v>81.52</v>
      </c>
      <c r="F64" s="88">
        <f>IFERROR(__xludf.DUMMYFUNCTION("""COMPUTED_VALUE"""),4.1845332E7)</f>
        <v>41845332</v>
      </c>
      <c r="G64" s="88">
        <f>IFERROR(__xludf.DUMMYFUNCTION("""COMPUTED_VALUE"""),72.0039046941506)</f>
        <v>72.00390469</v>
      </c>
      <c r="H64" s="88">
        <f>IFERROR(__xludf.DUMMYFUNCTION("""COMPUTED_VALUE"""),72.2919203129272)</f>
        <v>72.29192031</v>
      </c>
      <c r="I64" s="88">
        <f>IFERROR(__xludf.DUMMYFUNCTION("""COMPUTED_VALUE"""),71.2028886115348)</f>
        <v>71.20288861</v>
      </c>
      <c r="J64" s="88">
        <f>IFERROR(__xludf.DUMMYFUNCTION("""COMPUTED_VALUE"""),71.3648426828833)</f>
        <v>71.36484268</v>
      </c>
      <c r="K64" s="88">
        <f>IFERROR(__xludf.DUMMYFUNCTION("""COMPUTED_VALUE"""),4.1845332E7)</f>
        <v>41845332</v>
      </c>
      <c r="L64" s="88">
        <f>IFERROR(__xludf.DUMMYFUNCTION("""COMPUTED_VALUE"""),0.174455)</f>
        <v>0.174455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IFERROR(__xludf.DUMMYFUNCTION("""COMPUTED_VALUE"""),81.73)</f>
        <v>81.73</v>
      </c>
      <c r="C65">
        <f>IFERROR(__xludf.DUMMYFUNCTION("""COMPUTED_VALUE"""),81.8)</f>
        <v>81.8</v>
      </c>
      <c r="D65" s="88">
        <f>IFERROR(__xludf.DUMMYFUNCTION("""COMPUTED_VALUE"""),80.7)</f>
        <v>80.7</v>
      </c>
      <c r="E65" s="88">
        <f>IFERROR(__xludf.DUMMYFUNCTION("""COMPUTED_VALUE"""),80.79)</f>
        <v>80.79</v>
      </c>
      <c r="F65" s="88">
        <f>IFERROR(__xludf.DUMMYFUNCTION("""COMPUTED_VALUE"""),5.3253612E7)</f>
        <v>53253612</v>
      </c>
      <c r="G65" s="88">
        <f>IFERROR(__xludf.DUMMYFUNCTION("""COMPUTED_VALUE"""),71.3956497809605)</f>
        <v>71.39564978</v>
      </c>
      <c r="H65" s="88">
        <f>IFERROR(__xludf.DUMMYFUNCTION("""COMPUTED_VALUE"""),71.4567986306445)</f>
        <v>71.45679863</v>
      </c>
      <c r="I65" s="88">
        <f>IFERROR(__xludf.DUMMYFUNCTION("""COMPUTED_VALUE"""),70.4958881356114)</f>
        <v>70.49588814</v>
      </c>
      <c r="J65" s="88">
        <f>IFERROR(__xludf.DUMMYFUNCTION("""COMPUTED_VALUE"""),70.574508085205)</f>
        <v>70.57450809</v>
      </c>
      <c r="K65" s="88">
        <f>IFERROR(__xludf.DUMMYFUNCTION("""COMPUTED_VALUE"""),5.3253612E7)</f>
        <v>53253612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IFERROR(__xludf.DUMMYFUNCTION("""COMPUTED_VALUE"""),80.76)</f>
        <v>80.76</v>
      </c>
      <c r="C66">
        <f>IFERROR(__xludf.DUMMYFUNCTION("""COMPUTED_VALUE"""),81.45)</f>
        <v>81.45</v>
      </c>
      <c r="D66" s="88">
        <f>IFERROR(__xludf.DUMMYFUNCTION("""COMPUTED_VALUE"""),80.47)</f>
        <v>80.47</v>
      </c>
      <c r="E66" s="88">
        <f>IFERROR(__xludf.DUMMYFUNCTION("""COMPUTED_VALUE"""),81.17)</f>
        <v>81.17</v>
      </c>
      <c r="F66" s="88">
        <f>IFERROR(__xludf.DUMMYFUNCTION("""COMPUTED_VALUE"""),4.9801816E7)</f>
        <v>49801816</v>
      </c>
      <c r="G66" s="88">
        <f>IFERROR(__xludf.DUMMYFUNCTION("""COMPUTED_VALUE"""),70.5483014353404)</f>
        <v>70.54830144</v>
      </c>
      <c r="H66" s="88">
        <f>IFERROR(__xludf.DUMMYFUNCTION("""COMPUTED_VALUE"""),70.9490183968057)</f>
        <v>70.9490184</v>
      </c>
      <c r="I66" s="88">
        <f>IFERROR(__xludf.DUMMYFUNCTION("""COMPUTED_VALUE"""),70.2782910282908)</f>
        <v>70.27829103</v>
      </c>
      <c r="J66" s="88">
        <f>IFERROR(__xludf.DUMMYFUNCTION("""COMPUTED_VALUE"""),70.7051175355276)</f>
        <v>70.70511754</v>
      </c>
      <c r="K66" s="88">
        <f>IFERROR(__xludf.DUMMYFUNCTION("""COMPUTED_VALUE"""),4.9801816E7)</f>
        <v>49801816</v>
      </c>
      <c r="L66" s="88">
        <f>IFERROR(__xludf.DUMMYFUNCTION("""COMPUTED_VALUE"""),0.396858)</f>
        <v>0.396858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IFERROR(__xludf.DUMMYFUNCTION("""COMPUTED_VALUE"""),81.3)</f>
        <v>81.3</v>
      </c>
      <c r="C67">
        <f>IFERROR(__xludf.DUMMYFUNCTION("""COMPUTED_VALUE"""),81.54)</f>
        <v>81.54</v>
      </c>
      <c r="D67" s="88">
        <f>IFERROR(__xludf.DUMMYFUNCTION("""COMPUTED_VALUE"""),80.753)</f>
        <v>80.753</v>
      </c>
      <c r="E67" s="88">
        <f>IFERROR(__xludf.DUMMYFUNCTION("""COMPUTED_VALUE"""),81.44)</f>
        <v>81.44</v>
      </c>
      <c r="F67" s="88">
        <f>IFERROR(__xludf.DUMMYFUNCTION("""COMPUTED_VALUE"""),3.7498449E7)</f>
        <v>37498449</v>
      </c>
      <c r="G67" s="88">
        <f>IFERROR(__xludf.DUMMYFUNCTION("""COMPUTED_VALUE"""),70.6734861203546)</f>
        <v>70.67348612</v>
      </c>
      <c r="H67" s="88">
        <f>IFERROR(__xludf.DUMMYFUNCTION("""COMPUTED_VALUE"""),70.882116337684)</f>
        <v>70.88211634</v>
      </c>
      <c r="I67" s="88">
        <f>IFERROR(__xludf.DUMMYFUNCTION("""COMPUTED_VALUE"""),70.1979830833579)</f>
        <v>70.19798308</v>
      </c>
      <c r="J67" s="88">
        <f>IFERROR(__xludf.DUMMYFUNCTION("""COMPUTED_VALUE"""),70.7951870804634)</f>
        <v>70.79518708</v>
      </c>
      <c r="K67" s="88">
        <f>IFERROR(__xludf.DUMMYFUNCTION("""COMPUTED_VALUE"""),3.7498449E7)</f>
        <v>37498449</v>
      </c>
      <c r="L67" s="88">
        <f>IFERROR(__xludf.DUMMYFUNCTION("""COMPUTED_VALUE"""),0.169471)</f>
        <v>0.169471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IFERROR(__xludf.DUMMYFUNCTION("""COMPUTED_VALUE"""),81.79)</f>
        <v>81.79</v>
      </c>
      <c r="C68">
        <f>IFERROR(__xludf.DUMMYFUNCTION("""COMPUTED_VALUE"""),82.34)</f>
        <v>82.34</v>
      </c>
      <c r="D68" s="88">
        <f>IFERROR(__xludf.DUMMYFUNCTION("""COMPUTED_VALUE"""),81.57)</f>
        <v>81.57</v>
      </c>
      <c r="E68" s="88">
        <f>IFERROR(__xludf.DUMMYFUNCTION("""COMPUTED_VALUE"""),81.89)</f>
        <v>81.89</v>
      </c>
      <c r="F68" s="88">
        <f>IFERROR(__xludf.DUMMYFUNCTION("""COMPUTED_VALUE"""),3.330984E7)</f>
        <v>33309840</v>
      </c>
      <c r="G68" s="88">
        <f>IFERROR(__xludf.DUMMYFUNCTION("""COMPUTED_VALUE"""),70.9518298863007)</f>
        <v>70.95182989</v>
      </c>
      <c r="H68" s="88">
        <f>IFERROR(__xludf.DUMMYFUNCTION("""COMPUTED_VALUE"""),71.4289481946204)</f>
        <v>71.42894819</v>
      </c>
      <c r="I68" s="88">
        <f>IFERROR(__xludf.DUMMYFUNCTION("""COMPUTED_VALUE"""),70.7609825629729)</f>
        <v>70.76098256</v>
      </c>
      <c r="J68" s="88">
        <f>IFERROR(__xludf.DUMMYFUNCTION("""COMPUTED_VALUE"""),71.0385786696316)</f>
        <v>71.03857867</v>
      </c>
      <c r="K68" s="88">
        <f>IFERROR(__xludf.DUMMYFUNCTION("""COMPUTED_VALUE"""),3.330984E7)</f>
        <v>33309840</v>
      </c>
      <c r="L68" s="88">
        <f>IFERROR(__xludf.DUMMYFUNCTION("""COMPUTED_VALUE"""),0.164234)</f>
        <v>0.164234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IFERROR(__xludf.DUMMYFUNCTION("""COMPUTED_VALUE"""),81.93)</f>
        <v>81.93</v>
      </c>
      <c r="C69">
        <f>IFERROR(__xludf.DUMMYFUNCTION("""COMPUTED_VALUE"""),81.94)</f>
        <v>81.94</v>
      </c>
      <c r="D69" s="88">
        <f>IFERROR(__xludf.DUMMYFUNCTION("""COMPUTED_VALUE"""),81.0)</f>
        <v>81</v>
      </c>
      <c r="E69" s="88">
        <f>IFERROR(__xludf.DUMMYFUNCTION("""COMPUTED_VALUE"""),81.39)</f>
        <v>81.39</v>
      </c>
      <c r="F69" s="88">
        <f>IFERROR(__xludf.DUMMYFUNCTION("""COMPUTED_VALUE"""),3.7106246E7)</f>
        <v>37106246</v>
      </c>
      <c r="G69" s="88">
        <f>IFERROR(__xludf.DUMMYFUNCTION("""COMPUTED_VALUE"""),70.9308840647206)</f>
        <v>70.93088406</v>
      </c>
      <c r="H69" s="88">
        <f>IFERROR(__xludf.DUMMYFUNCTION("""COMPUTED_VALUE"""),70.9395415630808)</f>
        <v>70.93954156</v>
      </c>
      <c r="I69" s="88">
        <f>IFERROR(__xludf.DUMMYFUNCTION("""COMPUTED_VALUE"""),70.1257367172265)</f>
        <v>70.12573672</v>
      </c>
      <c r="J69" s="88">
        <f>IFERROR(__xludf.DUMMYFUNCTION("""COMPUTED_VALUE"""),70.4633791532724)</f>
        <v>70.46337915</v>
      </c>
      <c r="K69" s="88">
        <f>IFERROR(__xludf.DUMMYFUNCTION("""COMPUTED_VALUE"""),3.7106246E7)</f>
        <v>37106246</v>
      </c>
      <c r="L69" s="88">
        <f>IFERROR(__xludf.DUMMYFUNCTION("""COMPUTED_VALUE"""),0.168469)</f>
        <v>0.168469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IFERROR(__xludf.DUMMYFUNCTION("""COMPUTED_VALUE"""),81.44)</f>
        <v>81.44</v>
      </c>
      <c r="C70">
        <f>IFERROR(__xludf.DUMMYFUNCTION("""COMPUTED_VALUE"""),82.429)</f>
        <v>82.429</v>
      </c>
      <c r="D70" s="88">
        <f>IFERROR(__xludf.DUMMYFUNCTION("""COMPUTED_VALUE"""),81.3122)</f>
        <v>81.3122</v>
      </c>
      <c r="E70" s="88">
        <f>IFERROR(__xludf.DUMMYFUNCTION("""COMPUTED_VALUE"""),81.7)</f>
        <v>81.7</v>
      </c>
      <c r="F70" s="88">
        <f>IFERROR(__xludf.DUMMYFUNCTION("""COMPUTED_VALUE"""),4.4466291E7)</f>
        <v>44466291</v>
      </c>
      <c r="G70" s="88">
        <f>IFERROR(__xludf.DUMMYFUNCTION("""COMPUTED_VALUE"""),70.361169212692)</f>
        <v>70.36116921</v>
      </c>
      <c r="H70" s="88">
        <f>IFERROR(__xludf.DUMMYFUNCTION("""COMPUTED_VALUE"""),71.2156288928413)</f>
        <v>71.21562889</v>
      </c>
      <c r="I70" s="88">
        <f>IFERROR(__xludf.DUMMYFUNCTION("""COMPUTED_VALUE"""),70.2507547059953)</f>
        <v>70.25075471</v>
      </c>
      <c r="J70" s="88">
        <f>IFERROR(__xludf.DUMMYFUNCTION("""COMPUTED_VALUE"""),70.5857996645007)</f>
        <v>70.58579966</v>
      </c>
      <c r="K70" s="88">
        <f>IFERROR(__xludf.DUMMYFUNCTION("""COMPUTED_VALUE"""),4.4466291E7)</f>
        <v>44466291</v>
      </c>
      <c r="L70" s="88">
        <f>IFERROR(__xludf.DUMMYFUNCTION("""COMPUTED_VALUE"""),0.168775)</f>
        <v>0.168775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IFERROR(__xludf.DUMMYFUNCTION("""COMPUTED_VALUE"""),81.81)</f>
        <v>81.81</v>
      </c>
      <c r="C71">
        <f>IFERROR(__xludf.DUMMYFUNCTION("""COMPUTED_VALUE"""),81.83)</f>
        <v>81.83</v>
      </c>
      <c r="D71" s="88">
        <f>IFERROR(__xludf.DUMMYFUNCTION("""COMPUTED_VALUE"""),80.83)</f>
        <v>80.83</v>
      </c>
      <c r="E71" s="88">
        <f>IFERROR(__xludf.DUMMYFUNCTION("""COMPUTED_VALUE"""),80.87)</f>
        <v>80.87</v>
      </c>
      <c r="F71" s="88">
        <f>IFERROR(__xludf.DUMMYFUNCTION("""COMPUTED_VALUE"""),4.0358131E7)</f>
        <v>40358131</v>
      </c>
      <c r="G71" s="88">
        <f>IFERROR(__xludf.DUMMYFUNCTION("""COMPUTED_VALUE"""),70.5353559145736)</f>
        <v>70.53535591</v>
      </c>
      <c r="H71" s="88">
        <f>IFERROR(__xludf.DUMMYFUNCTION("""COMPUTED_VALUE"""),70.5525996148339)</f>
        <v>70.55259961</v>
      </c>
      <c r="I71" s="88">
        <f>IFERROR(__xludf.DUMMYFUNCTION("""COMPUTED_VALUE"""),69.6904146018211)</f>
        <v>69.6904146</v>
      </c>
      <c r="J71" s="88">
        <f>IFERROR(__xludf.DUMMYFUNCTION("""COMPUTED_VALUE"""),69.7249020023416)</f>
        <v>69.724902</v>
      </c>
      <c r="K71" s="88">
        <f>IFERROR(__xludf.DUMMYFUNCTION("""COMPUTED_VALUE"""),4.0358131E7)</f>
        <v>40358131</v>
      </c>
      <c r="L71" s="88">
        <f>IFERROR(__xludf.DUMMYFUNCTION("""COMPUTED_VALUE"""),0.163435)</f>
        <v>0.163435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IFERROR(__xludf.DUMMYFUNCTION("""COMPUTED_VALUE"""),81.26)</f>
        <v>81.26</v>
      </c>
      <c r="C72">
        <f>IFERROR(__xludf.DUMMYFUNCTION("""COMPUTED_VALUE"""),82.19)</f>
        <v>82.19</v>
      </c>
      <c r="D72" s="88">
        <f>IFERROR(__xludf.DUMMYFUNCTION("""COMPUTED_VALUE"""),80.83)</f>
        <v>80.83</v>
      </c>
      <c r="E72" s="88">
        <f>IFERROR(__xludf.DUMMYFUNCTION("""COMPUTED_VALUE"""),82.19)</f>
        <v>82.19</v>
      </c>
      <c r="F72" s="88">
        <f>IFERROR(__xludf.DUMMYFUNCTION("""COMPUTED_VALUE"""),4.6264027E7)</f>
        <v>46264027</v>
      </c>
      <c r="G72" s="88">
        <f>IFERROR(__xludf.DUMMYFUNCTION("""COMPUTED_VALUE"""),69.9199012641766)</f>
        <v>69.91990126</v>
      </c>
      <c r="H72" s="88">
        <f>IFERROR(__xludf.DUMMYFUNCTION("""COMPUTED_VALUE"""),70.7201167228978)</f>
        <v>70.72011672</v>
      </c>
      <c r="I72" s="88">
        <f>IFERROR(__xludf.DUMMYFUNCTION("""COMPUTED_VALUE"""),69.5499091703593)</f>
        <v>69.54990917</v>
      </c>
      <c r="J72" s="88">
        <f>IFERROR(__xludf.DUMMYFUNCTION("""COMPUTED_VALUE"""),70.7201167228978)</f>
        <v>70.72011672</v>
      </c>
      <c r="K72" s="88">
        <f>IFERROR(__xludf.DUMMYFUNCTION("""COMPUTED_VALUE"""),4.6264027E7)</f>
        <v>46264027</v>
      </c>
      <c r="L72" s="88">
        <f>IFERROR(__xludf.DUMMYFUNCTION("""COMPUTED_VALUE"""),0.16628)</f>
        <v>0.16628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IFERROR(__xludf.DUMMYFUNCTION("""COMPUTED_VALUE"""),82.34)</f>
        <v>82.34</v>
      </c>
      <c r="C73">
        <f>IFERROR(__xludf.DUMMYFUNCTION("""COMPUTED_VALUE"""),82.63)</f>
        <v>82.63</v>
      </c>
      <c r="D73" s="88">
        <f>IFERROR(__xludf.DUMMYFUNCTION("""COMPUTED_VALUE"""),81.75)</f>
        <v>81.75</v>
      </c>
      <c r="E73" s="88">
        <f>IFERROR(__xludf.DUMMYFUNCTION("""COMPUTED_VALUE"""),82.56)</f>
        <v>82.56</v>
      </c>
      <c r="F73" s="88">
        <f>IFERROR(__xludf.DUMMYFUNCTION("""COMPUTED_VALUE"""),5.3288025E7)</f>
        <v>53288025</v>
      </c>
      <c r="G73" s="88">
        <f>IFERROR(__xludf.DUMMYFUNCTION("""COMPUTED_VALUE"""),70.7056314442548)</f>
        <v>70.70563144</v>
      </c>
      <c r="H73" s="88">
        <f>IFERROR(__xludf.DUMMYFUNCTION("""COMPUTED_VALUE"""),70.9546554073206)</f>
        <v>70.95465541</v>
      </c>
      <c r="I73" s="88">
        <f>IFERROR(__xludf.DUMMYFUNCTION("""COMPUTED_VALUE"""),70.1989964849142)</f>
        <v>70.19899648</v>
      </c>
      <c r="J73" s="88">
        <f>IFERROR(__xludf.DUMMYFUNCTION("""COMPUTED_VALUE"""),70.8945461748564)</f>
        <v>70.89454617</v>
      </c>
      <c r="K73" s="88">
        <f>IFERROR(__xludf.DUMMYFUNCTION("""COMPUTED_VALUE"""),5.3288025E7)</f>
        <v>53288025</v>
      </c>
      <c r="L73" s="88">
        <f>IFERROR(__xludf.DUMMYFUNCTION("""COMPUTED_VALUE"""),0.158798)</f>
        <v>0.158798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IFERROR(__xludf.DUMMYFUNCTION("""COMPUTED_VALUE"""),82.91)</f>
        <v>82.91</v>
      </c>
      <c r="C74">
        <f>IFERROR(__xludf.DUMMYFUNCTION("""COMPUTED_VALUE"""),83.66)</f>
        <v>83.66</v>
      </c>
      <c r="D74" s="88">
        <f>IFERROR(__xludf.DUMMYFUNCTION("""COMPUTED_VALUE"""),82.57)</f>
        <v>82.57</v>
      </c>
      <c r="E74" s="88">
        <f>IFERROR(__xludf.DUMMYFUNCTION("""COMPUTED_VALUE"""),83.37)</f>
        <v>83.37</v>
      </c>
      <c r="F74" s="88">
        <f>IFERROR(__xludf.DUMMYFUNCTION("""COMPUTED_VALUE"""),4.8720022E7)</f>
        <v>48720022</v>
      </c>
      <c r="G74" s="88">
        <f>IFERROR(__xludf.DUMMYFUNCTION("""COMPUTED_VALUE"""),71.0583175649023)</f>
        <v>71.05831756</v>
      </c>
      <c r="H74" s="88">
        <f>IFERROR(__xludf.DUMMYFUNCTION("""COMPUTED_VALUE"""),71.7011077973674)</f>
        <v>71.7011078</v>
      </c>
      <c r="I74" s="88">
        <f>IFERROR(__xludf.DUMMYFUNCTION("""COMPUTED_VALUE"""),70.7669193261849)</f>
        <v>70.76691933</v>
      </c>
      <c r="J74" s="88">
        <f>IFERROR(__xludf.DUMMYFUNCTION("""COMPUTED_VALUE"""),71.4525622408142)</f>
        <v>71.45256224</v>
      </c>
      <c r="K74" s="88">
        <f>IFERROR(__xludf.DUMMYFUNCTION("""COMPUTED_VALUE"""),4.8720022E7)</f>
        <v>48720022</v>
      </c>
      <c r="L74" s="88">
        <f>IFERROR(__xludf.DUMMYFUNCTION("""COMPUTED_VALUE"""),0.190568)</f>
        <v>0.190568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IFERROR(__xludf.DUMMYFUNCTION("""COMPUTED_VALUE"""),83.37)</f>
        <v>83.37</v>
      </c>
      <c r="C75">
        <f>IFERROR(__xludf.DUMMYFUNCTION("""COMPUTED_VALUE"""),83.6)</f>
        <v>83.6</v>
      </c>
      <c r="D75" s="88">
        <f>IFERROR(__xludf.DUMMYFUNCTION("""COMPUTED_VALUE"""),82.03)</f>
        <v>82.03</v>
      </c>
      <c r="E75" s="88">
        <f>IFERROR(__xludf.DUMMYFUNCTION("""COMPUTED_VALUE"""),82.96)</f>
        <v>82.96</v>
      </c>
      <c r="F75" s="88">
        <f>IFERROR(__xludf.DUMMYFUNCTION("""COMPUTED_VALUE"""),5.8961794E7)</f>
        <v>58961794</v>
      </c>
      <c r="G75" s="88">
        <f>IFERROR(__xludf.DUMMYFUNCTION("""COMPUTED_VALUE"""),71.289880287675)</f>
        <v>71.28988029</v>
      </c>
      <c r="H75" s="88">
        <f>IFERROR(__xludf.DUMMYFUNCTION("""COMPUTED_VALUE"""),71.4865538209143)</f>
        <v>71.48655382</v>
      </c>
      <c r="I75" s="88">
        <f>IFERROR(__xludf.DUMMYFUNCTION("""COMPUTED_VALUE"""),70.1440431809761)</f>
        <v>70.14404318</v>
      </c>
      <c r="J75" s="88">
        <f>IFERROR(__xludf.DUMMYFUNCTION("""COMPUTED_VALUE"""),70.9392883371178)</f>
        <v>70.93928834</v>
      </c>
      <c r="K75" s="88">
        <f>IFERROR(__xludf.DUMMYFUNCTION("""COMPUTED_VALUE"""),5.8961794E7)</f>
        <v>58961794</v>
      </c>
      <c r="L75" s="88">
        <f>IFERROR(__xludf.DUMMYFUNCTION("""COMPUTED_VALUE"""),0.161928)</f>
        <v>0.161928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IFERROR(__xludf.DUMMYFUNCTION("""COMPUTED_VALUE"""),83.08)</f>
        <v>83.08</v>
      </c>
      <c r="C76">
        <f>IFERROR(__xludf.DUMMYFUNCTION("""COMPUTED_VALUE"""),84.18)</f>
        <v>84.18</v>
      </c>
      <c r="D76" s="88">
        <f>IFERROR(__xludf.DUMMYFUNCTION("""COMPUTED_VALUE"""),82.44)</f>
        <v>82.44</v>
      </c>
      <c r="E76" s="88">
        <f>IFERROR(__xludf.DUMMYFUNCTION("""COMPUTED_VALUE"""),83.95)</f>
        <v>83.95</v>
      </c>
      <c r="F76" s="88">
        <f>IFERROR(__xludf.DUMMYFUNCTION("""COMPUTED_VALUE"""),5.7846161E7)</f>
        <v>57846161</v>
      </c>
      <c r="G76" s="88">
        <f>IFERROR(__xludf.DUMMYFUNCTION("""COMPUTED_VALUE"""),70.9029873795113)</f>
        <v>70.90298738</v>
      </c>
      <c r="H76" s="88">
        <f>IFERROR(__xludf.DUMMYFUNCTION("""COMPUTED_VALUE"""),71.8417606837658)</f>
        <v>71.84176068</v>
      </c>
      <c r="I76" s="88">
        <f>IFERROR(__xludf.DUMMYFUNCTION("""COMPUTED_VALUE"""),70.3567920024905)</f>
        <v>70.356792</v>
      </c>
      <c r="J76" s="88">
        <f>IFERROR(__xludf.DUMMYFUNCTION("""COMPUTED_VALUE"""),71.6454717201489)</f>
        <v>71.64547172</v>
      </c>
      <c r="K76" s="88">
        <f>IFERROR(__xludf.DUMMYFUNCTION("""COMPUTED_VALUE"""),5.7846161E7)</f>
        <v>57846161</v>
      </c>
      <c r="L76" s="88">
        <f>IFERROR(__xludf.DUMMYFUNCTION("""COMPUTED_VALUE"""),0.170067)</f>
        <v>0.170067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IFERROR(__xludf.DUMMYFUNCTION("""COMPUTED_VALUE"""),84.35)</f>
        <v>84.35</v>
      </c>
      <c r="C77">
        <f>IFERROR(__xludf.DUMMYFUNCTION("""COMPUTED_VALUE"""),84.35)</f>
        <v>84.35</v>
      </c>
      <c r="D77" s="88">
        <f>IFERROR(__xludf.DUMMYFUNCTION("""COMPUTED_VALUE"""),82.42)</f>
        <v>82.42</v>
      </c>
      <c r="E77" s="88">
        <f>IFERROR(__xludf.DUMMYFUNCTION("""COMPUTED_VALUE"""),82.43)</f>
        <v>82.43</v>
      </c>
      <c r="F77" s="88">
        <f>IFERROR(__xludf.DUMMYFUNCTION("""COMPUTED_VALUE"""),7.1128316E7)</f>
        <v>71128316</v>
      </c>
      <c r="G77" s="88">
        <f>IFERROR(__xludf.DUMMYFUNCTION("""COMPUTED_VALUE"""),71.8415313461123)</f>
        <v>71.84153135</v>
      </c>
      <c r="H77" s="88">
        <f>IFERROR(__xludf.DUMMYFUNCTION("""COMPUTED_VALUE"""),71.8415313461123)</f>
        <v>71.84153135</v>
      </c>
      <c r="I77" s="88">
        <f>IFERROR(__xludf.DUMMYFUNCTION("""COMPUTED_VALUE"""),70.1977357859701)</f>
        <v>70.19773579</v>
      </c>
      <c r="J77" s="88">
        <f>IFERROR(__xludf.DUMMYFUNCTION("""COMPUTED_VALUE"""),70.2062528614113)</f>
        <v>70.20625286</v>
      </c>
      <c r="K77" s="88">
        <f>IFERROR(__xludf.DUMMYFUNCTION("""COMPUTED_VALUE"""),7.1128316E7)</f>
        <v>71128316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IFERROR(__xludf.DUMMYFUNCTION("""COMPUTED_VALUE"""),82.37)</f>
        <v>82.37</v>
      </c>
      <c r="C78">
        <f>IFERROR(__xludf.DUMMYFUNCTION("""COMPUTED_VALUE"""),82.98)</f>
        <v>82.98</v>
      </c>
      <c r="D78" s="88">
        <f>IFERROR(__xludf.DUMMYFUNCTION("""COMPUTED_VALUE"""),81.85)</f>
        <v>81.85</v>
      </c>
      <c r="E78" s="88">
        <f>IFERROR(__xludf.DUMMYFUNCTION("""COMPUTED_VALUE"""),82.81)</f>
        <v>82.81</v>
      </c>
      <c r="F78" s="88">
        <f>IFERROR(__xludf.DUMMYFUNCTION("""COMPUTED_VALUE"""),8.0151094E7)</f>
        <v>80151094</v>
      </c>
      <c r="G78" s="88">
        <f>IFERROR(__xludf.DUMMYFUNCTION("""COMPUTED_VALUE"""),70.1551504087644)</f>
        <v>70.15515041</v>
      </c>
      <c r="H78" s="88">
        <f>IFERROR(__xludf.DUMMYFUNCTION("""COMPUTED_VALUE"""),70.3476300010454)</f>
        <v>70.34763</v>
      </c>
      <c r="I78" s="88">
        <f>IFERROR(__xludf.DUMMYFUNCTION("""COMPUTED_VALUE"""),69.6694171304641)</f>
        <v>69.66941713</v>
      </c>
      <c r="J78" s="88">
        <f>IFERROR(__xludf.DUMMYFUNCTION("""COMPUTED_VALUE"""),70.2035097660469)</f>
        <v>70.20350977</v>
      </c>
      <c r="K78" s="88">
        <f>IFERROR(__xludf.DUMMYFUNCTION("""COMPUTED_VALUE"""),8.0151094E7)</f>
        <v>80151094</v>
      </c>
      <c r="L78" s="88">
        <f>IFERROR(__xludf.DUMMYFUNCTION("""COMPUTED_VALUE"""),0.547712)</f>
        <v>0.547712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IFERROR(__xludf.DUMMYFUNCTION("""COMPUTED_VALUE"""),82.87)</f>
        <v>82.87</v>
      </c>
      <c r="C79">
        <f>IFERROR(__xludf.DUMMYFUNCTION("""COMPUTED_VALUE"""),82.9)</f>
        <v>82.9</v>
      </c>
      <c r="D79" s="88">
        <f>IFERROR(__xludf.DUMMYFUNCTION("""COMPUTED_VALUE"""),82.01)</f>
        <v>82.01</v>
      </c>
      <c r="E79" s="88">
        <f>IFERROR(__xludf.DUMMYFUNCTION("""COMPUTED_VALUE"""),82.2)</f>
        <v>82.2</v>
      </c>
      <c r="F79" s="88">
        <f>IFERROR(__xludf.DUMMYFUNCTION("""COMPUTED_VALUE"""),3.3373866E7)</f>
        <v>33373866</v>
      </c>
      <c r="G79" s="88">
        <f>IFERROR(__xludf.DUMMYFUNCTION("""COMPUTED_VALUE"""),70.1130721652544)</f>
        <v>70.11307217</v>
      </c>
      <c r="H79" s="88">
        <f>IFERROR(__xludf.DUMMYFUNCTION("""COMPUTED_VALUE"""),70.1384539942028)</f>
        <v>70.13845399</v>
      </c>
      <c r="I79" s="88">
        <f>IFERROR(__xludf.DUMMYFUNCTION("""COMPUTED_VALUE"""),69.385459735399)</f>
        <v>69.38545974</v>
      </c>
      <c r="J79" s="88">
        <f>IFERROR(__xludf.DUMMYFUNCTION("""COMPUTED_VALUE"""),69.5462113187391)</f>
        <v>69.54621132</v>
      </c>
      <c r="K79" s="88">
        <f>IFERROR(__xludf.DUMMYFUNCTION("""COMPUTED_VALUE"""),3.3373866E7)</f>
        <v>33373866</v>
      </c>
      <c r="L79" s="88">
        <f>IFERROR(__xludf.DUMMYFUNCTION("""COMPUTED_VALUE"""),0.17263)</f>
        <v>0.17263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IFERROR(__xludf.DUMMYFUNCTION("""COMPUTED_VALUE"""),82.1874)</f>
        <v>82.1874</v>
      </c>
      <c r="C80">
        <f>IFERROR(__xludf.DUMMYFUNCTION("""COMPUTED_VALUE"""),84.07)</f>
        <v>84.07</v>
      </c>
      <c r="D80" s="88">
        <f>IFERROR(__xludf.DUMMYFUNCTION("""COMPUTED_VALUE"""),81.92)</f>
        <v>81.92</v>
      </c>
      <c r="E80" s="88">
        <f>IFERROR(__xludf.DUMMYFUNCTION("""COMPUTED_VALUE"""),81.97)</f>
        <v>81.97</v>
      </c>
      <c r="F80" s="88">
        <f>IFERROR(__xludf.DUMMYFUNCTION("""COMPUTED_VALUE"""),7.1537063E7)</f>
        <v>71537063</v>
      </c>
      <c r="G80" s="88">
        <f>IFERROR(__xludf.DUMMYFUNCTION("""COMPUTED_VALUE"""),69.3897353691228)</f>
        <v>69.38973537</v>
      </c>
      <c r="H80" s="88">
        <f>IFERROR(__xludf.DUMMYFUNCTION("""COMPUTED_VALUE"""),70.9791896626752)</f>
        <v>70.97918966</v>
      </c>
      <c r="I80" s="88">
        <f>IFERROR(__xludf.DUMMYFUNCTION("""COMPUTED_VALUE"""),69.1639730839343)</f>
        <v>69.16397308</v>
      </c>
      <c r="J80" s="88">
        <f>IFERROR(__xludf.DUMMYFUNCTION("""COMPUTED_VALUE"""),69.2061874229748)</f>
        <v>69.20618742</v>
      </c>
      <c r="K80" s="88">
        <f>IFERROR(__xludf.DUMMYFUNCTION("""COMPUTED_VALUE"""),7.1537063E7)</f>
        <v>71537063</v>
      </c>
      <c r="L80" s="88">
        <f>IFERROR(__xludf.DUMMYFUNCTION("""COMPUTED_VALUE"""),0.161171)</f>
        <v>0.161171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IFERROR(__xludf.DUMMYFUNCTION("""COMPUTED_VALUE"""),81.93)</f>
        <v>81.93</v>
      </c>
      <c r="C81">
        <f>IFERROR(__xludf.DUMMYFUNCTION("""COMPUTED_VALUE"""),82.26)</f>
        <v>82.26</v>
      </c>
      <c r="D81" s="88">
        <f>IFERROR(__xludf.DUMMYFUNCTION("""COMPUTED_VALUE"""),81.41)</f>
        <v>81.41</v>
      </c>
      <c r="E81" s="88">
        <f>IFERROR(__xludf.DUMMYFUNCTION("""COMPUTED_VALUE"""),82.25)</f>
        <v>82.25</v>
      </c>
      <c r="F81" s="88">
        <f>IFERROR(__xludf.DUMMYFUNCTION("""COMPUTED_VALUE"""),5.6552516E7)</f>
        <v>56552516</v>
      </c>
      <c r="G81" s="88">
        <f>IFERROR(__xludf.DUMMYFUNCTION("""COMPUTED_VALUE"""),69.0369221648181)</f>
        <v>69.03692216</v>
      </c>
      <c r="H81" s="88">
        <f>IFERROR(__xludf.DUMMYFUNCTION("""COMPUTED_VALUE"""),69.3149910567305)</f>
        <v>69.31499106</v>
      </c>
      <c r="I81" s="88">
        <f>IFERROR(__xludf.DUMMYFUNCTION("""COMPUTED_VALUE"""),68.5987530018044)</f>
        <v>68.598753</v>
      </c>
      <c r="J81" s="88">
        <f>IFERROR(__xludf.DUMMYFUNCTION("""COMPUTED_VALUE"""),69.3065647266726)</f>
        <v>69.30656473</v>
      </c>
      <c r="K81" s="88">
        <f>IFERROR(__xludf.DUMMYFUNCTION("""COMPUTED_VALUE"""),5.6552516E7)</f>
        <v>56552516</v>
      </c>
      <c r="L81" s="88">
        <f>IFERROR(__xludf.DUMMYFUNCTION("""COMPUTED_VALUE"""),0.178707)</f>
        <v>0.178707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IFERROR(__xludf.DUMMYFUNCTION("""COMPUTED_VALUE"""),82.58)</f>
        <v>82.58</v>
      </c>
      <c r="C82">
        <f>IFERROR(__xludf.DUMMYFUNCTION("""COMPUTED_VALUE"""),82.64)</f>
        <v>82.64</v>
      </c>
      <c r="D82" s="88">
        <f>IFERROR(__xludf.DUMMYFUNCTION("""COMPUTED_VALUE"""),81.8707)</f>
        <v>81.8707</v>
      </c>
      <c r="E82" s="88">
        <f>IFERROR(__xludf.DUMMYFUNCTION("""COMPUTED_VALUE"""),82.09)</f>
        <v>82.09</v>
      </c>
      <c r="F82" s="88">
        <f>IFERROR(__xludf.DUMMYFUNCTION("""COMPUTED_VALUE"""),5.37511E7)</f>
        <v>53751100</v>
      </c>
      <c r="G82" s="88">
        <f>IFERROR(__xludf.DUMMYFUNCTION("""COMPUTED_VALUE"""),69.4335345117659)</f>
        <v>69.43353451</v>
      </c>
      <c r="H82" s="88">
        <f>IFERROR(__xludf.DUMMYFUNCTION("""COMPUTED_VALUE"""),69.4839827083111)</f>
        <v>69.48398271</v>
      </c>
      <c r="I82" s="88">
        <f>IFERROR(__xludf.DUMMYFUNCTION("""COMPUTED_VALUE"""),68.8371527482735)</f>
        <v>68.83715275</v>
      </c>
      <c r="J82" s="88">
        <f>IFERROR(__xludf.DUMMYFUNCTION("""COMPUTED_VALUE"""),69.0215409066464)</f>
        <v>69.02154091</v>
      </c>
      <c r="K82" s="88">
        <f>IFERROR(__xludf.DUMMYFUNCTION("""COMPUTED_VALUE"""),5.37511E7)</f>
        <v>53751100</v>
      </c>
      <c r="L82" s="88">
        <f>IFERROR(__xludf.DUMMYFUNCTION("""COMPUTED_VALUE"""),0.171622)</f>
        <v>0.171622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IFERROR(__xludf.DUMMYFUNCTION("""COMPUTED_VALUE"""),81.82)</f>
        <v>81.82</v>
      </c>
      <c r="C83">
        <f>IFERROR(__xludf.DUMMYFUNCTION("""COMPUTED_VALUE"""),82.29)</f>
        <v>82.29</v>
      </c>
      <c r="D83" s="88">
        <f>IFERROR(__xludf.DUMMYFUNCTION("""COMPUTED_VALUE"""),81.5)</f>
        <v>81.5</v>
      </c>
      <c r="E83" s="88">
        <f>IFERROR(__xludf.DUMMYFUNCTION("""COMPUTED_VALUE"""),81.92)</f>
        <v>81.92</v>
      </c>
      <c r="F83" s="88">
        <f>IFERROR(__xludf.DUMMYFUNCTION("""COMPUTED_VALUE"""),2.9997E7)</f>
        <v>29997000</v>
      </c>
      <c r="G83" s="88">
        <f>IFERROR(__xludf.DUMMYFUNCTION("""COMPUTED_VALUE"""),68.6512943547997)</f>
        <v>68.65129435</v>
      </c>
      <c r="H83" s="88">
        <f>IFERROR(__xludf.DUMMYFUNCTION("""COMPUTED_VALUE"""),69.0456491378204)</f>
        <v>69.04564914</v>
      </c>
      <c r="I83" s="88">
        <f>IFERROR(__xludf.DUMMYFUNCTION("""COMPUTED_VALUE"""),68.3827974812536)</f>
        <v>68.38279748</v>
      </c>
      <c r="J83" s="88">
        <f>IFERROR(__xludf.DUMMYFUNCTION("""COMPUTED_VALUE"""),68.7351996277828)</f>
        <v>68.73519963</v>
      </c>
      <c r="K83" s="88">
        <f>IFERROR(__xludf.DUMMYFUNCTION("""COMPUTED_VALUE"""),2.9997E7)</f>
        <v>29997000</v>
      </c>
      <c r="L83" s="88">
        <f>IFERROR(__xludf.DUMMYFUNCTION("""COMPUTED_VALUE"""),0.172243)</f>
        <v>0.172243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IFERROR(__xludf.DUMMYFUNCTION("""COMPUTED_VALUE"""),82.22)</f>
        <v>82.22</v>
      </c>
      <c r="C84">
        <f>IFERROR(__xludf.DUMMYFUNCTION("""COMPUTED_VALUE"""),82.24)</f>
        <v>82.24</v>
      </c>
      <c r="D84" s="88">
        <f>IFERROR(__xludf.DUMMYFUNCTION("""COMPUTED_VALUE"""),81.6)</f>
        <v>81.6</v>
      </c>
      <c r="E84" s="88">
        <f>IFERROR(__xludf.DUMMYFUNCTION("""COMPUTED_VALUE"""),82.06)</f>
        <v>82.06</v>
      </c>
      <c r="F84" s="88">
        <f>IFERROR(__xludf.DUMMYFUNCTION("""COMPUTED_VALUE"""),3.00221E7)</f>
        <v>30022100</v>
      </c>
      <c r="G84" s="88">
        <f>IFERROR(__xludf.DUMMYFUNCTION("""COMPUTED_VALUE"""),68.8421166593375)</f>
        <v>68.84211666</v>
      </c>
      <c r="H84" s="88">
        <f>IFERROR(__xludf.DUMMYFUNCTION("""COMPUTED_VALUE"""),68.8588624916555)</f>
        <v>68.85886249</v>
      </c>
      <c r="I84" s="88">
        <f>IFERROR(__xludf.DUMMYFUNCTION("""COMPUTED_VALUE"""),68.3229958574792)</f>
        <v>68.32299586</v>
      </c>
      <c r="J84" s="88">
        <f>IFERROR(__xludf.DUMMYFUNCTION("""COMPUTED_VALUE"""),68.7081500007934)</f>
        <v>68.70815</v>
      </c>
      <c r="K84" s="88">
        <f>IFERROR(__xludf.DUMMYFUNCTION("""COMPUTED_VALUE"""),3.00221E7)</f>
        <v>30022100</v>
      </c>
      <c r="L84" s="88">
        <f>IFERROR(__xludf.DUMMYFUNCTION("""COMPUTED_VALUE"""),0.178551)</f>
        <v>0.178551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IFERROR(__xludf.DUMMYFUNCTION("""COMPUTED_VALUE"""),82.33)</f>
        <v>82.33</v>
      </c>
      <c r="C85">
        <f>IFERROR(__xludf.DUMMYFUNCTION("""COMPUTED_VALUE"""),82.6)</f>
        <v>82.6</v>
      </c>
      <c r="D85" s="88">
        <f>IFERROR(__xludf.DUMMYFUNCTION("""COMPUTED_VALUE"""),81.47)</f>
        <v>81.47</v>
      </c>
      <c r="E85" s="88">
        <f>IFERROR(__xludf.DUMMYFUNCTION("""COMPUTED_VALUE"""),81.5)</f>
        <v>81.5</v>
      </c>
      <c r="F85" s="88">
        <f>IFERROR(__xludf.DUMMYFUNCTION("""COMPUTED_VALUE"""),2.60812E7)</f>
        <v>26081200</v>
      </c>
      <c r="G85" s="88">
        <f>IFERROR(__xludf.DUMMYFUNCTION("""COMPUTED_VALUE"""),68.7843527825572)</f>
        <v>68.78435278</v>
      </c>
      <c r="H85" s="88">
        <f>IFERROR(__xludf.DUMMYFUNCTION("""COMPUTED_VALUE"""),69.0099300357005)</f>
        <v>69.00993004</v>
      </c>
      <c r="I85" s="88">
        <f>IFERROR(__xludf.DUMMYFUNCTION("""COMPUTED_VALUE"""),68.0658474577303)</f>
        <v>68.06584746</v>
      </c>
      <c r="J85" s="88">
        <f>IFERROR(__xludf.DUMMYFUNCTION("""COMPUTED_VALUE"""),68.0909115969684)</f>
        <v>68.0909116</v>
      </c>
      <c r="K85" s="88">
        <f>IFERROR(__xludf.DUMMYFUNCTION("""COMPUTED_VALUE"""),2.60812E7)</f>
        <v>26081200</v>
      </c>
      <c r="L85" s="88">
        <f>IFERROR(__xludf.DUMMYFUNCTION("""COMPUTED_VALUE"""),0.178343)</f>
        <v>0.178343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IFERROR(__xludf.DUMMYFUNCTION("""COMPUTED_VALUE"""),81.65)</f>
        <v>81.65</v>
      </c>
      <c r="C86">
        <f>IFERROR(__xludf.DUMMYFUNCTION("""COMPUTED_VALUE"""),81.67)</f>
        <v>81.67</v>
      </c>
      <c r="D86" s="88">
        <f>IFERROR(__xludf.DUMMYFUNCTION("""COMPUTED_VALUE"""),80.71)</f>
        <v>80.71</v>
      </c>
      <c r="E86" s="88">
        <f>IFERROR(__xludf.DUMMYFUNCTION("""COMPUTED_VALUE"""),80.94)</f>
        <v>80.94</v>
      </c>
      <c r="F86" s="88">
        <f>IFERROR(__xludf.DUMMYFUNCTION("""COMPUTED_VALUE"""),3.83816E7)</f>
        <v>38381600</v>
      </c>
      <c r="G86" s="88">
        <f>IFERROR(__xludf.DUMMYFUNCTION("""COMPUTED_VALUE"""),68.0675929063379)</f>
        <v>68.06759291</v>
      </c>
      <c r="H86" s="88">
        <f>IFERROR(__xludf.DUMMYFUNCTION("""COMPUTED_VALUE"""),68.0842659235838)</f>
        <v>68.08426592</v>
      </c>
      <c r="I86" s="88">
        <f>IFERROR(__xludf.DUMMYFUNCTION("""COMPUTED_VALUE"""),67.2839610957812)</f>
        <v>67.2839611</v>
      </c>
      <c r="J86" s="88">
        <f>IFERROR(__xludf.DUMMYFUNCTION("""COMPUTED_VALUE"""),67.4757007941089)</f>
        <v>67.47570079</v>
      </c>
      <c r="K86" s="88">
        <f>IFERROR(__xludf.DUMMYFUNCTION("""COMPUTED_VALUE"""),3.83816E7)</f>
        <v>38381600</v>
      </c>
      <c r="L86" s="88">
        <f>IFERROR(__xludf.DUMMYFUNCTION("""COMPUTED_VALUE"""),0.18977)</f>
        <v>0.18977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IFERROR(__xludf.DUMMYFUNCTION("""COMPUTED_VALUE"""),81.19)</f>
        <v>81.19</v>
      </c>
      <c r="C87">
        <f>IFERROR(__xludf.DUMMYFUNCTION("""COMPUTED_VALUE"""),81.53)</f>
        <v>81.53</v>
      </c>
      <c r="D87" s="88">
        <f>IFERROR(__xludf.DUMMYFUNCTION("""COMPUTED_VALUE"""),80.81)</f>
        <v>80.81</v>
      </c>
      <c r="E87" s="88">
        <f>IFERROR(__xludf.DUMMYFUNCTION("""COMPUTED_VALUE"""),81.44)</f>
        <v>81.44</v>
      </c>
      <c r="F87" s="88">
        <f>IFERROR(__xludf.DUMMYFUNCTION("""COMPUTED_VALUE"""),4.36971E7)</f>
        <v>43697100</v>
      </c>
      <c r="G87" s="88">
        <f>IFERROR(__xludf.DUMMYFUNCTION("""COMPUTED_VALUE"""),67.5257355732132)</f>
        <v>67.52573557</v>
      </c>
      <c r="H87" s="88">
        <f>IFERROR(__xludf.DUMMYFUNCTION("""COMPUTED_VALUE"""),67.8085136258661)</f>
        <v>67.80851363</v>
      </c>
      <c r="I87" s="88">
        <f>IFERROR(__xludf.DUMMYFUNCTION("""COMPUTED_VALUE"""),67.2096895143658)</f>
        <v>67.20968951</v>
      </c>
      <c r="J87" s="88">
        <f>IFERROR(__xludf.DUMMYFUNCTION("""COMPUTED_VALUE"""),67.7336606119286)</f>
        <v>67.73366061</v>
      </c>
      <c r="K87" s="88">
        <f>IFERROR(__xludf.DUMMYFUNCTION("""COMPUTED_VALUE"""),4.36971E7)</f>
        <v>43697100</v>
      </c>
      <c r="L87" s="88">
        <f>IFERROR(__xludf.DUMMYFUNCTION("""COMPUTED_VALUE"""),0.172077)</f>
        <v>0.172077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IFERROR(__xludf.DUMMYFUNCTION("""COMPUTED_VALUE"""),81.5)</f>
        <v>81.5</v>
      </c>
      <c r="C88">
        <f>IFERROR(__xludf.DUMMYFUNCTION("""COMPUTED_VALUE"""),81.56)</f>
        <v>81.56</v>
      </c>
      <c r="D88" s="88">
        <f>IFERROR(__xludf.DUMMYFUNCTION("""COMPUTED_VALUE"""),80.8)</f>
        <v>80.8</v>
      </c>
      <c r="E88" s="88">
        <f>IFERROR(__xludf.DUMMYFUNCTION("""COMPUTED_VALUE"""),81.12)</f>
        <v>81.12</v>
      </c>
      <c r="F88" s="88">
        <f>IFERROR(__xludf.DUMMYFUNCTION("""COMPUTED_VALUE"""),4.31636E7)</f>
        <v>43163600</v>
      </c>
      <c r="G88" s="88">
        <f>IFERROR(__xludf.DUMMYFUNCTION("""COMPUTED_VALUE"""),67.6407476894392)</f>
        <v>67.64074769</v>
      </c>
      <c r="H88" s="88">
        <f>IFERROR(__xludf.DUMMYFUNCTION("""COMPUTED_VALUE"""),67.6905445589039)</f>
        <v>67.69054456</v>
      </c>
      <c r="I88" s="88">
        <f>IFERROR(__xludf.DUMMYFUNCTION("""COMPUTED_VALUE"""),67.059784212352)</f>
        <v>67.05978421</v>
      </c>
      <c r="J88" s="88">
        <f>IFERROR(__xludf.DUMMYFUNCTION("""COMPUTED_VALUE"""),67.3253675161633)</f>
        <v>67.32536752</v>
      </c>
      <c r="K88" s="88">
        <f>IFERROR(__xludf.DUMMYFUNCTION("""COMPUTED_VALUE"""),4.31636E7)</f>
        <v>43163600</v>
      </c>
      <c r="L88" s="88">
        <f>IFERROR(__xludf.DUMMYFUNCTION("""COMPUTED_VALUE"""),0.171344)</f>
        <v>0.171344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IFERROR(__xludf.DUMMYFUNCTION("""COMPUTED_VALUE"""),81.29)</f>
        <v>81.29</v>
      </c>
      <c r="C89">
        <f>IFERROR(__xludf.DUMMYFUNCTION("""COMPUTED_VALUE"""),81.33)</f>
        <v>81.33</v>
      </c>
      <c r="D89" s="88">
        <f>IFERROR(__xludf.DUMMYFUNCTION("""COMPUTED_VALUE"""),80.04)</f>
        <v>80.04</v>
      </c>
      <c r="E89" s="88">
        <f>IFERROR(__xludf.DUMMYFUNCTION("""COMPUTED_VALUE"""),80.1)</f>
        <v>80.1</v>
      </c>
      <c r="F89" s="88">
        <f>IFERROR(__xludf.DUMMYFUNCTION("""COMPUTED_VALUE"""),4.53429E7)</f>
        <v>45342900</v>
      </c>
      <c r="G89" s="88">
        <f>IFERROR(__xludf.DUMMYFUNCTION("""COMPUTED_VALUE"""),67.3247077894505)</f>
        <v>67.32470779</v>
      </c>
      <c r="H89" s="88">
        <f>IFERROR(__xludf.DUMMYFUNCTION("""COMPUTED_VALUE"""),67.3578359517285)</f>
        <v>67.35783595</v>
      </c>
      <c r="I89" s="88">
        <f>IFERROR(__xludf.DUMMYFUNCTION("""COMPUTED_VALUE"""),66.2894527182633)</f>
        <v>66.28945272</v>
      </c>
      <c r="J89" s="88">
        <f>IFERROR(__xludf.DUMMYFUNCTION("""COMPUTED_VALUE"""),66.3391449616802)</f>
        <v>66.33914496</v>
      </c>
      <c r="K89" s="88">
        <f>IFERROR(__xludf.DUMMYFUNCTION("""COMPUTED_VALUE"""),4.53429E7)</f>
        <v>45342900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IFERROR(__xludf.DUMMYFUNCTION("""COMPUTED_VALUE"""),80.05)</f>
        <v>80.05</v>
      </c>
      <c r="C90">
        <f>IFERROR(__xludf.DUMMYFUNCTION("""COMPUTED_VALUE"""),80.74)</f>
        <v>80.74</v>
      </c>
      <c r="D90" s="88">
        <f>IFERROR(__xludf.DUMMYFUNCTION("""COMPUTED_VALUE"""),79.9)</f>
        <v>79.9</v>
      </c>
      <c r="E90" s="88">
        <f>IFERROR(__xludf.DUMMYFUNCTION("""COMPUTED_VALUE"""),80.66)</f>
        <v>80.66</v>
      </c>
      <c r="F90" s="88">
        <f>IFERROR(__xludf.DUMMYFUNCTION("""COMPUTED_VALUE"""),3.53315E7)</f>
        <v>35331500</v>
      </c>
      <c r="G90" s="88">
        <f>IFERROR(__xludf.DUMMYFUNCTION("""COMPUTED_VALUE"""),66.2977347588327)</f>
        <v>66.29773476</v>
      </c>
      <c r="H90" s="88">
        <f>IFERROR(__xludf.DUMMYFUNCTION("""COMPUTED_VALUE"""),66.6681752315868)</f>
        <v>66.66817523</v>
      </c>
      <c r="I90" s="88">
        <f>IFERROR(__xludf.DUMMYFUNCTION("""COMPUTED_VALUE"""),66.1735041502903)</f>
        <v>66.17350415</v>
      </c>
      <c r="J90" s="88">
        <f>IFERROR(__xludf.DUMMYFUNCTION("""COMPUTED_VALUE"""),66.6021180849615)</f>
        <v>66.60211808</v>
      </c>
      <c r="K90" s="88">
        <f>IFERROR(__xludf.DUMMYFUNCTION("""COMPUTED_VALUE"""),3.53315E7)</f>
        <v>35331500</v>
      </c>
      <c r="L90" s="88">
        <f>IFERROR(__xludf.DUMMYFUNCTION("""COMPUTED_VALUE"""),0.416748)</f>
        <v>0.416748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IFERROR(__xludf.DUMMYFUNCTION("""COMPUTED_VALUE"""),80.98)</f>
        <v>80.98</v>
      </c>
      <c r="C91">
        <f>IFERROR(__xludf.DUMMYFUNCTION("""COMPUTED_VALUE"""),81.19)</f>
        <v>81.19</v>
      </c>
      <c r="D91" s="88">
        <f>IFERROR(__xludf.DUMMYFUNCTION("""COMPUTED_VALUE"""),80.43)</f>
        <v>80.43</v>
      </c>
      <c r="E91" s="88">
        <f>IFERROR(__xludf.DUMMYFUNCTION("""COMPUTED_VALUE"""),81.16)</f>
        <v>81.16</v>
      </c>
      <c r="F91" s="88">
        <f>IFERROR(__xludf.DUMMYFUNCTION("""COMPUTED_VALUE"""),2.85185E7)</f>
        <v>28518500</v>
      </c>
      <c r="G91" s="88">
        <f>IFERROR(__xludf.DUMMYFUNCTION("""COMPUTED_VALUE"""),66.7210373692329)</f>
        <v>66.72103737</v>
      </c>
      <c r="H91" s="88">
        <f>IFERROR(__xludf.DUMMYFUNCTION("""COMPUTED_VALUE"""),66.8940605582616)</f>
        <v>66.89406056</v>
      </c>
      <c r="I91" s="88">
        <f>IFERROR(__xludf.DUMMYFUNCTION("""COMPUTED_VALUE"""),66.2678813979675)</f>
        <v>66.2678814</v>
      </c>
      <c r="J91" s="88">
        <f>IFERROR(__xludf.DUMMYFUNCTION("""COMPUTED_VALUE"""),66.8693429598289)</f>
        <v>66.86934296</v>
      </c>
      <c r="K91" s="88">
        <f>IFERROR(__xludf.DUMMYFUNCTION("""COMPUTED_VALUE"""),2.85185E7)</f>
        <v>28518500</v>
      </c>
      <c r="L91" s="88">
        <f>IFERROR(__xludf.DUMMYFUNCTION("""COMPUTED_VALUE"""),0.180708)</f>
        <v>0.180708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IFERROR(__xludf.DUMMYFUNCTION("""COMPUTED_VALUE"""),81.4)</f>
        <v>81.4</v>
      </c>
      <c r="C92">
        <f>IFERROR(__xludf.DUMMYFUNCTION("""COMPUTED_VALUE"""),81.59)</f>
        <v>81.59</v>
      </c>
      <c r="D92" s="88">
        <f>IFERROR(__xludf.DUMMYFUNCTION("""COMPUTED_VALUE"""),80.4707)</f>
        <v>80.4707</v>
      </c>
      <c r="E92" s="88">
        <f>IFERROR(__xludf.DUMMYFUNCTION("""COMPUTED_VALUE"""),80.65)</f>
        <v>80.65</v>
      </c>
      <c r="F92" s="88">
        <f>IFERROR(__xludf.DUMMYFUNCTION("""COMPUTED_VALUE"""),2.53148E7)</f>
        <v>25314800</v>
      </c>
      <c r="G92" s="88">
        <f>IFERROR(__xludf.DUMMYFUNCTION("""COMPUTED_VALUE"""),66.9177926303686)</f>
        <v>66.91779263</v>
      </c>
      <c r="H92" s="88">
        <f>IFERROR(__xludf.DUMMYFUNCTION("""COMPUTED_VALUE"""),67.0739889522331)</f>
        <v>67.07398895</v>
      </c>
      <c r="I92" s="88">
        <f>IFERROR(__xludf.DUMMYFUNCTION("""COMPUTED_VALUE"""),66.1538281992703)</f>
        <v>66.1538282</v>
      </c>
      <c r="J92" s="88">
        <f>IFERROR(__xludf.DUMMYFUNCTION("""COMPUTED_VALUE"""),66.3012282019561)</f>
        <v>66.3012282</v>
      </c>
      <c r="K92" s="88">
        <f>IFERROR(__xludf.DUMMYFUNCTION("""COMPUTED_VALUE"""),2.53148E7)</f>
        <v>25314800</v>
      </c>
      <c r="L92" s="88">
        <f>IFERROR(__xludf.DUMMYFUNCTION("""COMPUTED_VALUE"""),0.172346)</f>
        <v>0.172346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IFERROR(__xludf.DUMMYFUNCTION("""COMPUTED_VALUE"""),80.88)</f>
        <v>80.88</v>
      </c>
      <c r="C93">
        <f>IFERROR(__xludf.DUMMYFUNCTION("""COMPUTED_VALUE"""),80.95)</f>
        <v>80.95</v>
      </c>
      <c r="D93" s="88">
        <f>IFERROR(__xludf.DUMMYFUNCTION("""COMPUTED_VALUE"""),79.14)</f>
        <v>79.14</v>
      </c>
      <c r="E93" s="88">
        <f>IFERROR(__xludf.DUMMYFUNCTION("""COMPUTED_VALUE"""),79.89)</f>
        <v>79.89</v>
      </c>
      <c r="F93" s="88">
        <f>IFERROR(__xludf.DUMMYFUNCTION("""COMPUTED_VALUE"""),1.99635E7)</f>
        <v>19963500</v>
      </c>
      <c r="G93" s="88">
        <f>IFERROR(__xludf.DUMMYFUNCTION("""COMPUTED_VALUE"""),66.348453468482)</f>
        <v>66.34845347</v>
      </c>
      <c r="H93" s="88">
        <f>IFERROR(__xludf.DUMMYFUNCTION("""COMPUTED_VALUE"""),66.4058767096144)</f>
        <v>66.40587671</v>
      </c>
      <c r="I93" s="88">
        <f>IFERROR(__xludf.DUMMYFUNCTION("""COMPUTED_VALUE"""),64.9210757603321)</f>
        <v>64.92107576</v>
      </c>
      <c r="J93" s="88">
        <f>IFERROR(__xludf.DUMMYFUNCTION("""COMPUTED_VALUE"""),65.5363247724657)</f>
        <v>65.53632477</v>
      </c>
      <c r="K93" s="88">
        <f>IFERROR(__xludf.DUMMYFUNCTION("""COMPUTED_VALUE"""),1.99635E7)</f>
        <v>19963500</v>
      </c>
      <c r="L93" s="88">
        <f>IFERROR(__xludf.DUMMYFUNCTION("""COMPUTED_VALUE"""),0.171398)</f>
        <v>0.171398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IFERROR(__xludf.DUMMYFUNCTION("""COMPUTED_VALUE"""),80.16)</f>
        <v>80.16</v>
      </c>
      <c r="C94">
        <f>IFERROR(__xludf.DUMMYFUNCTION("""COMPUTED_VALUE"""),81.0)</f>
        <v>81</v>
      </c>
      <c r="D94" s="88">
        <f>IFERROR(__xludf.DUMMYFUNCTION("""COMPUTED_VALUE"""),79.6)</f>
        <v>79.6</v>
      </c>
      <c r="E94" s="88">
        <f>IFERROR(__xludf.DUMMYFUNCTION("""COMPUTED_VALUE"""),80.6)</f>
        <v>80.6</v>
      </c>
      <c r="F94" s="88">
        <f>IFERROR(__xludf.DUMMYFUNCTION("""COMPUTED_VALUE"""),2.08197E7)</f>
        <v>20819700</v>
      </c>
      <c r="G94" s="88">
        <f>IFERROR(__xludf.DUMMYFUNCTION("""COMPUTED_VALUE"""),65.6168971766098)</f>
        <v>65.61689718</v>
      </c>
      <c r="H94" s="88">
        <f>IFERROR(__xludf.DUMMYFUNCTION("""COMPUTED_VALUE"""),66.3044993925323)</f>
        <v>66.30449939</v>
      </c>
      <c r="I94" s="88">
        <f>IFERROR(__xludf.DUMMYFUNCTION("""COMPUTED_VALUE"""),65.1584956993281)</f>
        <v>65.1584957</v>
      </c>
      <c r="J94" s="88">
        <f>IFERROR(__xludf.DUMMYFUNCTION("""COMPUTED_VALUE"""),65.9770697659025)</f>
        <v>65.97706977</v>
      </c>
      <c r="K94" s="88">
        <f>IFERROR(__xludf.DUMMYFUNCTION("""COMPUTED_VALUE"""),2.08197E7)</f>
        <v>20819700</v>
      </c>
      <c r="L94" s="88">
        <f>IFERROR(__xludf.DUMMYFUNCTION("""COMPUTED_VALUE"""),0.165937)</f>
        <v>0.165937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IFERROR(__xludf.DUMMYFUNCTION("""COMPUTED_VALUE"""),81.02)</f>
        <v>81.02</v>
      </c>
      <c r="C95">
        <f>IFERROR(__xludf.DUMMYFUNCTION("""COMPUTED_VALUE"""),81.29)</f>
        <v>81.29</v>
      </c>
      <c r="D95" s="88">
        <f>IFERROR(__xludf.DUMMYFUNCTION("""COMPUTED_VALUE"""),79.88)</f>
        <v>79.88</v>
      </c>
      <c r="E95" s="88">
        <f>IFERROR(__xludf.DUMMYFUNCTION("""COMPUTED_VALUE"""),80.66)</f>
        <v>80.66</v>
      </c>
      <c r="F95" s="88">
        <f>IFERROR(__xludf.DUMMYFUNCTION("""COMPUTED_VALUE"""),3.16572E7)</f>
        <v>31657200</v>
      </c>
      <c r="G95" s="88">
        <f>IFERROR(__xludf.DUMMYFUNCTION("""COMPUTED_VALUE"""),66.1843752651344)</f>
        <v>66.18437527</v>
      </c>
      <c r="H95" s="88">
        <f>IFERROR(__xludf.DUMMYFUNCTION("""COMPUTED_VALUE"""),66.4049353900614)</f>
        <v>66.40493539</v>
      </c>
      <c r="I95" s="88">
        <f>IFERROR(__xludf.DUMMYFUNCTION("""COMPUTED_VALUE"""),65.2531214043315)</f>
        <v>65.2531214</v>
      </c>
      <c r="J95" s="88">
        <f>IFERROR(__xludf.DUMMYFUNCTION("""COMPUTED_VALUE"""),65.890295098565)</f>
        <v>65.8902951</v>
      </c>
      <c r="K95" s="88">
        <f>IFERROR(__xludf.DUMMYFUNCTION("""COMPUTED_VALUE"""),3.16572E7)</f>
        <v>31657200</v>
      </c>
      <c r="L95" s="88">
        <f>IFERROR(__xludf.DUMMYFUNCTION("""COMPUTED_VALUE"""),0.166912)</f>
        <v>0.166912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IFERROR(__xludf.DUMMYFUNCTION("""COMPUTED_VALUE"""),80.88)</f>
        <v>80.88</v>
      </c>
      <c r="C96">
        <f>IFERROR(__xludf.DUMMYFUNCTION("""COMPUTED_VALUE"""),82.4)</f>
        <v>82.4</v>
      </c>
      <c r="D96" s="88">
        <f>IFERROR(__xludf.DUMMYFUNCTION("""COMPUTED_VALUE"""),79.79)</f>
        <v>79.79</v>
      </c>
      <c r="E96" s="88">
        <f>IFERROR(__xludf.DUMMYFUNCTION("""COMPUTED_VALUE"""),82.1)</f>
        <v>82.1</v>
      </c>
      <c r="F96" s="88">
        <f>IFERROR(__xludf.DUMMYFUNCTION("""COMPUTED_VALUE"""),3.59231E7)</f>
        <v>35923100</v>
      </c>
      <c r="G96" s="88">
        <f>IFERROR(__xludf.DUMMYFUNCTION("""COMPUTED_VALUE"""),65.9338925385797)</f>
        <v>65.93389254</v>
      </c>
      <c r="H96" s="88">
        <f>IFERROR(__xludf.DUMMYFUNCTION("""COMPUTED_VALUE"""),67.1730062460307)</f>
        <v>67.17300625</v>
      </c>
      <c r="I96" s="88">
        <f>IFERROR(__xludf.DUMMYFUNCTION("""COMPUTED_VALUE"""),65.0453175773154)</f>
        <v>65.04531758</v>
      </c>
      <c r="J96" s="88">
        <f>IFERROR(__xludf.DUMMYFUNCTION("""COMPUTED_VALUE"""),66.9284443300864)</f>
        <v>66.92844433</v>
      </c>
      <c r="K96" s="88">
        <f>IFERROR(__xludf.DUMMYFUNCTION("""COMPUTED_VALUE"""),3.59231E7)</f>
        <v>35923100</v>
      </c>
      <c r="L96" s="88">
        <f>IFERROR(__xludf.DUMMYFUNCTION("""COMPUTED_VALUE"""),0.164664)</f>
        <v>0.164664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IFERROR(__xludf.DUMMYFUNCTION("""COMPUTED_VALUE"""),82.4)</f>
        <v>82.4</v>
      </c>
      <c r="C97">
        <f>IFERROR(__xludf.DUMMYFUNCTION("""COMPUTED_VALUE"""),84.19)</f>
        <v>84.19</v>
      </c>
      <c r="D97" s="88">
        <f>IFERROR(__xludf.DUMMYFUNCTION("""COMPUTED_VALUE"""),82.19)</f>
        <v>82.19</v>
      </c>
      <c r="E97" s="88">
        <f>IFERROR(__xludf.DUMMYFUNCTION("""COMPUTED_VALUE"""),84.1)</f>
        <v>84.1</v>
      </c>
      <c r="F97" s="88">
        <f>IFERROR(__xludf.DUMMYFUNCTION("""COMPUTED_VALUE"""),2.45223E7)</f>
        <v>24522300</v>
      </c>
      <c r="G97" s="88">
        <f>IFERROR(__xludf.DUMMYFUNCTION("""COMPUTED_VALUE"""),67.0386482618852)</f>
        <v>67.03864826</v>
      </c>
      <c r="H97" s="88">
        <f>IFERROR(__xludf.DUMMYFUNCTION("""COMPUTED_VALUE"""),68.4949489947587)</f>
        <v>68.49494899</v>
      </c>
      <c r="I97" s="88">
        <f>IFERROR(__xludf.DUMMYFUNCTION("""COMPUTED_VALUE"""),66.8677973379168)</f>
        <v>66.86779734</v>
      </c>
      <c r="J97" s="88">
        <f>IFERROR(__xludf.DUMMYFUNCTION("""COMPUTED_VALUE"""),68.4217271702008)</f>
        <v>68.42172717</v>
      </c>
      <c r="K97" s="88">
        <f>IFERROR(__xludf.DUMMYFUNCTION("""COMPUTED_VALUE"""),2.45223E7)</f>
        <v>24522300</v>
      </c>
      <c r="L97" s="88">
        <f>IFERROR(__xludf.DUMMYFUNCTION("""COMPUTED_VALUE"""),0.161955)</f>
        <v>0.161955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IFERROR(__xludf.DUMMYFUNCTION("""COMPUTED_VALUE"""),84.18)</f>
        <v>84.18</v>
      </c>
      <c r="C98">
        <f>IFERROR(__xludf.DUMMYFUNCTION("""COMPUTED_VALUE"""),84.25)</f>
        <v>84.25</v>
      </c>
      <c r="D98" s="88">
        <f>IFERROR(__xludf.DUMMYFUNCTION("""COMPUTED_VALUE"""),83.28)</f>
        <v>83.28</v>
      </c>
      <c r="E98" s="88">
        <f>IFERROR(__xludf.DUMMYFUNCTION("""COMPUTED_VALUE"""),83.28)</f>
        <v>83.28</v>
      </c>
      <c r="F98" s="88">
        <f>IFERROR(__xludf.DUMMYFUNCTION("""COMPUTED_VALUE"""),2.27833E7)</f>
        <v>22783300</v>
      </c>
      <c r="G98" s="88">
        <f>IFERROR(__xludf.DUMMYFUNCTION("""COMPUTED_VALUE"""),68.3552723840629)</f>
        <v>68.35527238</v>
      </c>
      <c r="H98" s="88">
        <f>IFERROR(__xludf.DUMMYFUNCTION("""COMPUTED_VALUE"""),68.4121133090674)</f>
        <v>68.41211331</v>
      </c>
      <c r="I98" s="88">
        <f>IFERROR(__xludf.DUMMYFUNCTION("""COMPUTED_VALUE"""),67.624460491147)</f>
        <v>67.62446049</v>
      </c>
      <c r="J98" s="88">
        <f>IFERROR(__xludf.DUMMYFUNCTION("""COMPUTED_VALUE"""),67.624460491147)</f>
        <v>67.62446049</v>
      </c>
      <c r="K98" s="88">
        <f>IFERROR(__xludf.DUMMYFUNCTION("""COMPUTED_VALUE"""),2.27833E7)</f>
        <v>22783300</v>
      </c>
      <c r="L98" s="88">
        <f>IFERROR(__xludf.DUMMYFUNCTION("""COMPUTED_VALUE"""),0.306296)</f>
        <v>0.306296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IFERROR(__xludf.DUMMYFUNCTION("""COMPUTED_VALUE"""),83.64)</f>
        <v>83.64</v>
      </c>
      <c r="C99">
        <f>IFERROR(__xludf.DUMMYFUNCTION("""COMPUTED_VALUE"""),83.67)</f>
        <v>83.67</v>
      </c>
      <c r="D99" s="88">
        <f>IFERROR(__xludf.DUMMYFUNCTION("""COMPUTED_VALUE"""),82.9)</f>
        <v>82.9</v>
      </c>
      <c r="E99" s="88">
        <f>IFERROR(__xludf.DUMMYFUNCTION("""COMPUTED_VALUE"""),83.62)</f>
        <v>83.62</v>
      </c>
      <c r="F99" s="88">
        <f>IFERROR(__xludf.DUMMYFUNCTION("""COMPUTED_VALUE"""),2.73117E7)</f>
        <v>27311700</v>
      </c>
      <c r="G99" s="88">
        <f>IFERROR(__xludf.DUMMYFUNCTION("""COMPUTED_VALUE"""),67.6682955199286)</f>
        <v>67.66829552</v>
      </c>
      <c r="H99" s="88">
        <f>IFERROR(__xludf.DUMMYFUNCTION("""COMPUTED_VALUE"""),67.6925667880491)</f>
        <v>67.69256679</v>
      </c>
      <c r="I99" s="88">
        <f>IFERROR(__xludf.DUMMYFUNCTION("""COMPUTED_VALUE"""),67.0696042396232)</f>
        <v>67.06960424</v>
      </c>
      <c r="J99" s="88">
        <f>IFERROR(__xludf.DUMMYFUNCTION("""COMPUTED_VALUE"""),67.6521146745149)</f>
        <v>67.65211467</v>
      </c>
      <c r="K99" s="88">
        <f>IFERROR(__xludf.DUMMYFUNCTION("""COMPUTED_VALUE"""),2.73117E7)</f>
        <v>27311700</v>
      </c>
      <c r="L99" s="88">
        <f>IFERROR(__xludf.DUMMYFUNCTION("""COMPUTED_VALUE"""),0.155848)</f>
        <v>0.155848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IFERROR(__xludf.DUMMYFUNCTION("""COMPUTED_VALUE"""),83.73)</f>
        <v>83.73</v>
      </c>
      <c r="C100">
        <f>IFERROR(__xludf.DUMMYFUNCTION("""COMPUTED_VALUE"""),83.8)</f>
        <v>83.8</v>
      </c>
      <c r="D100" s="88">
        <f>IFERROR(__xludf.DUMMYFUNCTION("""COMPUTED_VALUE"""),83.05)</f>
        <v>83.05</v>
      </c>
      <c r="E100" s="88">
        <f>IFERROR(__xludf.DUMMYFUNCTION("""COMPUTED_VALUE"""),83.44)</f>
        <v>83.44</v>
      </c>
      <c r="F100" s="88">
        <f>IFERROR(__xludf.DUMMYFUNCTION("""COMPUTED_VALUE"""),2.5419503E7)</f>
        <v>25419503</v>
      </c>
      <c r="G100" s="88">
        <f>IFERROR(__xludf.DUMMYFUNCTION("""COMPUTED_VALUE"""),67.6150907084478)</f>
        <v>67.61509071</v>
      </c>
      <c r="H100" s="88">
        <f>IFERROR(__xludf.DUMMYFUNCTION("""COMPUTED_VALUE"""),67.6716183132441)</f>
        <v>67.67161831</v>
      </c>
      <c r="I100" s="88">
        <f>IFERROR(__xludf.DUMMYFUNCTION("""COMPUTED_VALUE"""),67.0659654047127)</f>
        <v>67.0659654</v>
      </c>
      <c r="J100" s="88">
        <f>IFERROR(__xludf.DUMMYFUNCTION("""COMPUTED_VALUE"""),67.380904917149)</f>
        <v>67.38090492</v>
      </c>
      <c r="K100" s="88">
        <f>IFERROR(__xludf.DUMMYFUNCTION("""COMPUTED_VALUE"""),2.5419503E7)</f>
        <v>25419503</v>
      </c>
      <c r="L100" s="88">
        <f>IFERROR(__xludf.DUMMYFUNCTION("""COMPUTED_VALUE"""),0.166459)</f>
        <v>0.166459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IFERROR(__xludf.DUMMYFUNCTION("""COMPUTED_VALUE"""),83.45)</f>
        <v>83.45</v>
      </c>
      <c r="C101">
        <f>IFERROR(__xludf.DUMMYFUNCTION("""COMPUTED_VALUE"""),84.02)</f>
        <v>84.02</v>
      </c>
      <c r="D101" s="88">
        <f>IFERROR(__xludf.DUMMYFUNCTION("""COMPUTED_VALUE"""),83.25)</f>
        <v>83.25</v>
      </c>
      <c r="E101" s="88">
        <f>IFERROR(__xludf.DUMMYFUNCTION("""COMPUTED_VALUE"""),83.78)</f>
        <v>83.78</v>
      </c>
      <c r="F101" s="88">
        <f>IFERROR(__xludf.DUMMYFUNCTION("""COMPUTED_VALUE"""),2.95784E7)</f>
        <v>29578400</v>
      </c>
      <c r="G101" s="88">
        <f>IFERROR(__xludf.DUMMYFUNCTION("""COMPUTED_VALUE"""),67.2541812073892)</f>
        <v>67.25418121</v>
      </c>
      <c r="H101" s="88">
        <f>IFERROR(__xludf.DUMMYFUNCTION("""COMPUTED_VALUE"""),67.7135566811844)</f>
        <v>67.71355668</v>
      </c>
      <c r="I101" s="88">
        <f>IFERROR(__xludf.DUMMYFUNCTION("""COMPUTED_VALUE"""),67.0929968306189)</f>
        <v>67.09299683</v>
      </c>
      <c r="J101" s="88">
        <f>IFERROR(__xludf.DUMMYFUNCTION("""COMPUTED_VALUE"""),67.5201354290601)</f>
        <v>67.52013543</v>
      </c>
      <c r="K101" s="88">
        <f>IFERROR(__xludf.DUMMYFUNCTION("""COMPUTED_VALUE"""),2.95784E7)</f>
        <v>29578400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IFERROR(__xludf.DUMMYFUNCTION("""COMPUTED_VALUE"""),84.03)</f>
        <v>84.03</v>
      </c>
      <c r="C102">
        <f>IFERROR(__xludf.DUMMYFUNCTION("""COMPUTED_VALUE"""),85.04)</f>
        <v>85.04</v>
      </c>
      <c r="D102" s="88">
        <f>IFERROR(__xludf.DUMMYFUNCTION("""COMPUTED_VALUE"""),83.89)</f>
        <v>83.89</v>
      </c>
      <c r="E102" s="88">
        <f>IFERROR(__xludf.DUMMYFUNCTION("""COMPUTED_VALUE"""),84.7)</f>
        <v>84.7</v>
      </c>
      <c r="F102" s="88">
        <f>IFERROR(__xludf.DUMMYFUNCTION("""COMPUTED_VALUE"""),2.96537E7)</f>
        <v>29653700</v>
      </c>
      <c r="G102" s="88">
        <f>IFERROR(__xludf.DUMMYFUNCTION("""COMPUTED_VALUE"""),67.7216159000229)</f>
        <v>67.7216159</v>
      </c>
      <c r="H102" s="88">
        <f>IFERROR(__xludf.DUMMYFUNCTION("""COMPUTED_VALUE"""),68.0550851365561)</f>
        <v>68.05508514</v>
      </c>
      <c r="I102" s="88">
        <f>IFERROR(__xludf.DUMMYFUNCTION("""COMPUTED_VALUE"""),67.3748543937754)</f>
        <v>67.37485439</v>
      </c>
      <c r="J102" s="88">
        <f>IFERROR(__xludf.DUMMYFUNCTION("""COMPUTED_VALUE"""),67.7829928394438)</f>
        <v>67.78299284</v>
      </c>
      <c r="K102" s="88">
        <f>IFERROR(__xludf.DUMMYFUNCTION("""COMPUTED_VALUE"""),2.96537E7)</f>
        <v>29653700</v>
      </c>
      <c r="L102" s="88">
        <f>IFERROR(__xludf.DUMMYFUNCTION("""COMPUTED_VALUE"""),0.759946)</f>
        <v>0.759946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IFERROR(__xludf.DUMMYFUNCTION("IMPORTDATA(concatenate(""https://api.tiingo.com/tiingo/daily/LQD/prices?startDate=2012-12-31&amp;resampleFreq=monthly&amp;sort=-date&amp;format=csv&amp;token="",TOKEN!B1))"),"date")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IFERROR(__xludf.DUMMYFUNCTION("""COMPUTED_VALUE"""),131.02)</f>
        <v>131.02</v>
      </c>
      <c r="C2">
        <f>IFERROR(__xludf.DUMMYFUNCTION("""COMPUTED_VALUE"""),132.32)</f>
        <v>132.32</v>
      </c>
      <c r="D2" s="88">
        <f>IFERROR(__xludf.DUMMYFUNCTION("""COMPUTED_VALUE"""),129.9211)</f>
        <v>129.9211</v>
      </c>
      <c r="E2" s="88">
        <f>IFERROR(__xludf.DUMMYFUNCTION("""COMPUTED_VALUE"""),130.46)</f>
        <v>130.46</v>
      </c>
      <c r="F2" s="88">
        <f>IFERROR(__xludf.DUMMYFUNCTION("""COMPUTED_VALUE"""),2.30262304E8)</f>
        <v>230262304</v>
      </c>
      <c r="G2" s="88">
        <f>IFERROR(__xludf.DUMMYFUNCTION("""COMPUTED_VALUE"""),131.02)</f>
        <v>131.02</v>
      </c>
      <c r="H2" s="88">
        <f>IFERROR(__xludf.DUMMYFUNCTION("""COMPUTED_VALUE"""),132.32)</f>
        <v>132.32</v>
      </c>
      <c r="I2" s="88">
        <f>IFERROR(__xludf.DUMMYFUNCTION("""COMPUTED_VALUE"""),129.9211)</f>
        <v>129.9211</v>
      </c>
      <c r="J2" s="88">
        <f>IFERROR(__xludf.DUMMYFUNCTION("""COMPUTED_VALUE"""),130.46)</f>
        <v>130.46</v>
      </c>
      <c r="K2" s="88">
        <f>IFERROR(__xludf.DUMMYFUNCTION("""COMPUTED_VALUE"""),2.30262304E8)</f>
        <v>230262304</v>
      </c>
      <c r="L2" s="88">
        <f>IFERROR(__xludf.DUMMYFUNCTION("""COMPUTED_VALUE"""),0.25392)</f>
        <v>0.25392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IFERROR(__xludf.DUMMYFUNCTION("""COMPUTED_VALUE"""),130.05)</f>
        <v>130.05</v>
      </c>
      <c r="C3">
        <f>IFERROR(__xludf.DUMMYFUNCTION("""COMPUTED_VALUE"""),132.17)</f>
        <v>132.17</v>
      </c>
      <c r="D3" s="88">
        <f>IFERROR(__xludf.DUMMYFUNCTION("""COMPUTED_VALUE"""),127.91)</f>
        <v>127.91</v>
      </c>
      <c r="E3" s="88">
        <f>IFERROR(__xludf.DUMMYFUNCTION("""COMPUTED_VALUE"""),131.64)</f>
        <v>131.64</v>
      </c>
      <c r="F3" s="88">
        <f>IFERROR(__xludf.DUMMYFUNCTION("""COMPUTED_VALUE"""),4.2514826E8)</f>
        <v>425148260</v>
      </c>
      <c r="G3" s="88">
        <f>IFERROR(__xludf.DUMMYFUNCTION("""COMPUTED_VALUE"""),129.797659278432)</f>
        <v>129.7976593</v>
      </c>
      <c r="H3" s="88">
        <f>IFERROR(__xludf.DUMMYFUNCTION("""COMPUTED_VALUE"""),131.913545765708)</f>
        <v>131.9135458</v>
      </c>
      <c r="I3" s="88">
        <f>IFERROR(__xludf.DUMMYFUNCTION("""COMPUTED_VALUE"""),127.66181159788)</f>
        <v>127.6618116</v>
      </c>
      <c r="J3" s="88">
        <f>IFERROR(__xludf.DUMMYFUNCTION("""COMPUTED_VALUE"""),131.384574143889)</f>
        <v>131.3845741</v>
      </c>
      <c r="K3" s="88">
        <f>IFERROR(__xludf.DUMMYFUNCTION("""COMPUTED_VALUE"""),4.2514826E8)</f>
        <v>425148260</v>
      </c>
      <c r="L3" s="88">
        <f>IFERROR(__xludf.DUMMYFUNCTION("""COMPUTED_VALUE"""),0.269203)</f>
        <v>0.269203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IFERROR(__xludf.DUMMYFUNCTION("""COMPUTED_VALUE"""),132.27)</f>
        <v>132.27</v>
      </c>
      <c r="C4">
        <f>IFERROR(__xludf.DUMMYFUNCTION("""COMPUTED_VALUE"""),135.699)</f>
        <v>135.699</v>
      </c>
      <c r="D4" s="88">
        <f>IFERROR(__xludf.DUMMYFUNCTION("""COMPUTED_VALUE"""),129.78)</f>
        <v>129.78</v>
      </c>
      <c r="E4" s="88">
        <f>IFERROR(__xludf.DUMMYFUNCTION("""COMPUTED_VALUE"""),135.37)</f>
        <v>135.37</v>
      </c>
      <c r="F4" s="88">
        <f>IFERROR(__xludf.DUMMYFUNCTION("""COMPUTED_VALUE"""),2.97102841E8)</f>
        <v>297102841</v>
      </c>
      <c r="G4" s="88">
        <f>IFERROR(__xludf.DUMMYFUNCTION("""COMPUTED_VALUE"""),131.744933270942)</f>
        <v>131.7449333</v>
      </c>
      <c r="H4" s="88">
        <f>IFERROR(__xludf.DUMMYFUNCTION("""COMPUTED_VALUE"""),135.160321311965)</f>
        <v>135.1603213</v>
      </c>
      <c r="I4" s="88">
        <f>IFERROR(__xludf.DUMMYFUNCTION("""COMPUTED_VALUE"""),129.264817720594)</f>
        <v>129.2648177</v>
      </c>
      <c r="J4" s="88">
        <f>IFERROR(__xludf.DUMMYFUNCTION("""COMPUTED_VALUE"""),134.83262732961)</f>
        <v>134.8326273</v>
      </c>
      <c r="K4" s="88">
        <f>IFERROR(__xludf.DUMMYFUNCTION("""COMPUTED_VALUE"""),2.97102841E8)</f>
        <v>297102841</v>
      </c>
      <c r="L4" s="88">
        <f>IFERROR(__xludf.DUMMYFUNCTION("""COMPUTED_VALUE"""),0.267259)</f>
        <v>0.267259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IFERROR(__xludf.DUMMYFUNCTION("""COMPUTED_VALUE"""),135.6)</f>
        <v>135.6</v>
      </c>
      <c r="C5">
        <f>IFERROR(__xludf.DUMMYFUNCTION("""COMPUTED_VALUE"""),137.89)</f>
        <v>137.89</v>
      </c>
      <c r="D5" s="88">
        <f>IFERROR(__xludf.DUMMYFUNCTION("""COMPUTED_VALUE"""),134.7367)</f>
        <v>134.7367</v>
      </c>
      <c r="E5" s="88">
        <f>IFERROR(__xludf.DUMMYFUNCTION("""COMPUTED_VALUE"""),137.89)</f>
        <v>137.89</v>
      </c>
      <c r="F5" s="88">
        <f>IFERROR(__xludf.DUMMYFUNCTION("""COMPUTED_VALUE"""),2.93321729E8)</f>
        <v>293321729</v>
      </c>
      <c r="G5" s="88">
        <f>IFERROR(__xludf.DUMMYFUNCTION("""COMPUTED_VALUE"""),134.796039862598)</f>
        <v>134.7960399</v>
      </c>
      <c r="H5" s="88">
        <f>IFERROR(__xludf.DUMMYFUNCTION("""COMPUTED_VALUE"""),137.072462659688)</f>
        <v>137.0724627</v>
      </c>
      <c r="I5" s="88">
        <f>IFERROR(__xludf.DUMMYFUNCTION("""COMPUTED_VALUE"""),133.937858290228)</f>
        <v>133.9378583</v>
      </c>
      <c r="J5" s="88">
        <f>IFERROR(__xludf.DUMMYFUNCTION("""COMPUTED_VALUE"""),137.072462659688)</f>
        <v>137.0724627</v>
      </c>
      <c r="K5" s="88">
        <f>IFERROR(__xludf.DUMMYFUNCTION("""COMPUTED_VALUE"""),2.93321729E8)</f>
        <v>293321729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IFERROR(__xludf.DUMMYFUNCTION("""COMPUTED_VALUE"""),138.13)</f>
        <v>138.13</v>
      </c>
      <c r="C6">
        <f>IFERROR(__xludf.DUMMYFUNCTION("""COMPUTED_VALUE"""),138.27)</f>
        <v>138.27</v>
      </c>
      <c r="D6" s="88">
        <f>IFERROR(__xludf.DUMMYFUNCTION("""COMPUTED_VALUE"""),136.12)</f>
        <v>136.12</v>
      </c>
      <c r="E6" s="88">
        <f>IFERROR(__xludf.DUMMYFUNCTION("""COMPUTED_VALUE"""),138.05)</f>
        <v>138.05</v>
      </c>
      <c r="F6" s="88">
        <f>IFERROR(__xludf.DUMMYFUNCTION("""COMPUTED_VALUE"""),2.50700379E8)</f>
        <v>250700379</v>
      </c>
      <c r="G6" s="88">
        <f>IFERROR(__xludf.DUMMYFUNCTION("""COMPUTED_VALUE"""),137.311039721392)</f>
        <v>137.3110397</v>
      </c>
      <c r="H6" s="88">
        <f>IFERROR(__xludf.DUMMYFUNCTION("""COMPUTED_VALUE"""),137.395535764078)</f>
        <v>137.3955358</v>
      </c>
      <c r="I6" s="88">
        <f>IFERROR(__xludf.DUMMYFUNCTION("""COMPUTED_VALUE"""),135.037483707806)</f>
        <v>135.0374837</v>
      </c>
      <c r="J6" s="88">
        <f>IFERROR(__xludf.DUMMYFUNCTION("""COMPUTED_VALUE"""),136.952135070986)</f>
        <v>136.9521351</v>
      </c>
      <c r="K6" s="88">
        <f>IFERROR(__xludf.DUMMYFUNCTION("""COMPUTED_VALUE"""),2.50700379E8)</f>
        <v>250700379</v>
      </c>
      <c r="L6" s="88">
        <f>IFERROR(__xludf.DUMMYFUNCTION("""COMPUTED_VALUE"""),0.556034)</f>
        <v>0.556034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IFERROR(__xludf.DUMMYFUNCTION("""COMPUTED_VALUE"""),138.48)</f>
        <v>138.48</v>
      </c>
      <c r="C7">
        <f>IFERROR(__xludf.DUMMYFUNCTION("""COMPUTED_VALUE"""),138.52)</f>
        <v>138.52</v>
      </c>
      <c r="D7" s="88">
        <f>IFERROR(__xludf.DUMMYFUNCTION("""COMPUTED_VALUE"""),133.78)</f>
        <v>133.78</v>
      </c>
      <c r="E7" s="88">
        <f>IFERROR(__xludf.DUMMYFUNCTION("""COMPUTED_VALUE"""),133.96)</f>
        <v>133.96</v>
      </c>
      <c r="F7" s="88">
        <f>IFERROR(__xludf.DUMMYFUNCTION("""COMPUTED_VALUE"""),2.56806055E8)</f>
        <v>256806055</v>
      </c>
      <c r="G7" s="88">
        <f>IFERROR(__xludf.DUMMYFUNCTION("""COMPUTED_VALUE"""),137.103843530681)</f>
        <v>137.1038435</v>
      </c>
      <c r="H7" s="88">
        <f>IFERROR(__xludf.DUMMYFUNCTION("""COMPUTED_VALUE"""),137.143446027368)</f>
        <v>137.143446</v>
      </c>
      <c r="I7" s="88">
        <f>IFERROR(__xludf.DUMMYFUNCTION("""COMPUTED_VALUE"""),132.450550169948)</f>
        <v>132.4505502</v>
      </c>
      <c r="J7" s="88">
        <f>IFERROR(__xludf.DUMMYFUNCTION("""COMPUTED_VALUE"""),132.62876140504)</f>
        <v>132.6287614</v>
      </c>
      <c r="K7" s="88">
        <f>IFERROR(__xludf.DUMMYFUNCTION("""COMPUTED_VALUE"""),2.56806055E8)</f>
        <v>256806055</v>
      </c>
      <c r="L7" s="88">
        <f>IFERROR(__xludf.DUMMYFUNCTION("""COMPUTED_VALUE"""),0.282602)</f>
        <v>0.282602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IFERROR(__xludf.DUMMYFUNCTION("""COMPUTED_VALUE"""),133.73)</f>
        <v>133.73</v>
      </c>
      <c r="C8">
        <f>IFERROR(__xludf.DUMMYFUNCTION("""COMPUTED_VALUE"""),135.9)</f>
        <v>135.9</v>
      </c>
      <c r="D8" s="88">
        <f>IFERROR(__xludf.DUMMYFUNCTION("""COMPUTED_VALUE"""),133.72)</f>
        <v>133.72</v>
      </c>
      <c r="E8" s="88">
        <f>IFERROR(__xludf.DUMMYFUNCTION("""COMPUTED_VALUE"""),134.26)</f>
        <v>134.26</v>
      </c>
      <c r="F8" s="88">
        <f>IFERROR(__xludf.DUMMYFUNCTION("""COMPUTED_VALUE"""),2.60044892E8)</f>
        <v>260044892</v>
      </c>
      <c r="G8" s="88">
        <f>IFERROR(__xludf.DUMMYFUNCTION("""COMPUTED_VALUE"""),132.122342576023)</f>
        <v>132.1223426</v>
      </c>
      <c r="H8" s="88">
        <f>IFERROR(__xludf.DUMMYFUNCTION("""COMPUTED_VALUE"""),134.26625556032)</f>
        <v>134.2662556</v>
      </c>
      <c r="I8" s="88">
        <f>IFERROR(__xludf.DUMMYFUNCTION("""COMPUTED_VALUE"""),132.112462792686)</f>
        <v>132.1124628</v>
      </c>
      <c r="J8" s="88">
        <f>IFERROR(__xludf.DUMMYFUNCTION("""COMPUTED_VALUE"""),132.645971092925)</f>
        <v>132.6459711</v>
      </c>
      <c r="K8" s="88">
        <f>IFERROR(__xludf.DUMMYFUNCTION("""COMPUTED_VALUE"""),2.60044892E8)</f>
        <v>260044892</v>
      </c>
      <c r="L8" s="88">
        <f>IFERROR(__xludf.DUMMYFUNCTION("""COMPUTED_VALUE"""),0.2945)</f>
        <v>0.2945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IFERROR(__xludf.DUMMYFUNCTION("""COMPUTED_VALUE"""),134.71)</f>
        <v>134.71</v>
      </c>
      <c r="C9">
        <f>IFERROR(__xludf.DUMMYFUNCTION("""COMPUTED_VALUE"""),136.9)</f>
        <v>136.9</v>
      </c>
      <c r="D9" s="88">
        <f>IFERROR(__xludf.DUMMYFUNCTION("""COMPUTED_VALUE"""),134.04)</f>
        <v>134.04</v>
      </c>
      <c r="E9" s="88">
        <f>IFERROR(__xludf.DUMMYFUNCTION("""COMPUTED_VALUE"""),135.25)</f>
        <v>135.25</v>
      </c>
      <c r="F9" s="88">
        <f>IFERROR(__xludf.DUMMYFUNCTION("""COMPUTED_VALUE"""),2.5660684E8)</f>
        <v>256606840</v>
      </c>
      <c r="G9" s="88">
        <f>IFERROR(__xludf.DUMMYFUNCTION("""COMPUTED_VALUE"""),132.800408362468)</f>
        <v>132.8004084</v>
      </c>
      <c r="H9" s="88">
        <f>IFERROR(__xludf.DUMMYFUNCTION("""COMPUTED_VALUE"""),134.959363854368)</f>
        <v>134.9593639</v>
      </c>
      <c r="I9" s="88">
        <f>IFERROR(__xludf.DUMMYFUNCTION("""COMPUTED_VALUE"""),132.139905997366)</f>
        <v>132.139906</v>
      </c>
      <c r="J9" s="88">
        <f>IFERROR(__xludf.DUMMYFUNCTION("""COMPUTED_VALUE"""),133.332753552252)</f>
        <v>133.3327536</v>
      </c>
      <c r="K9" s="88">
        <f>IFERROR(__xludf.DUMMYFUNCTION("""COMPUTED_VALUE"""),2.5660684E8)</f>
        <v>256606840</v>
      </c>
      <c r="L9" s="88">
        <f>IFERROR(__xludf.DUMMYFUNCTION("""COMPUTED_VALUE"""),0.295152)</f>
        <v>0.295152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IFERROR(__xludf.DUMMYFUNCTION("""COMPUTED_VALUE"""),135.6)</f>
        <v>135.6</v>
      </c>
      <c r="C10">
        <f>IFERROR(__xludf.DUMMYFUNCTION("""COMPUTED_VALUE"""),139.38)</f>
        <v>139.38</v>
      </c>
      <c r="D10" s="88">
        <f>IFERROR(__xludf.DUMMYFUNCTION("""COMPUTED_VALUE"""),134.56)</f>
        <v>134.56</v>
      </c>
      <c r="E10" s="88">
        <f>IFERROR(__xludf.DUMMYFUNCTION("""COMPUTED_VALUE"""),137.95)</f>
        <v>137.95</v>
      </c>
      <c r="F10" s="88">
        <f>IFERROR(__xludf.DUMMYFUNCTION("""COMPUTED_VALUE"""),2.28050585E8)</f>
        <v>228050585</v>
      </c>
      <c r="G10" s="88">
        <f>IFERROR(__xludf.DUMMYFUNCTION("""COMPUTED_VALUE"""),133.388647520596)</f>
        <v>133.3886475</v>
      </c>
      <c r="H10" s="88">
        <f>IFERROR(__xludf.DUMMYFUNCTION("""COMPUTED_VALUE"""),137.107003624047)</f>
        <v>137.1070036</v>
      </c>
      <c r="I10" s="88">
        <f>IFERROR(__xludf.DUMMYFUNCTION("""COMPUTED_VALUE"""),132.365607746102)</f>
        <v>132.3656077</v>
      </c>
      <c r="J10" s="88">
        <f>IFERROR(__xludf.DUMMYFUNCTION("""COMPUTED_VALUE"""),135.700323934117)</f>
        <v>135.7003239</v>
      </c>
      <c r="K10" s="88">
        <f>IFERROR(__xludf.DUMMYFUNCTION("""COMPUTED_VALUE"""),2.28050585E8)</f>
        <v>228050585</v>
      </c>
      <c r="L10" s="88">
        <f>IFERROR(__xludf.DUMMYFUNCTION("""COMPUTED_VALUE"""),0.295401)</f>
        <v>0.295401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IFERROR(__xludf.DUMMYFUNCTION("""COMPUTED_VALUE"""),138.35)</f>
        <v>138.35</v>
      </c>
      <c r="C11">
        <f>IFERROR(__xludf.DUMMYFUNCTION("""COMPUTED_VALUE"""),138.52)</f>
        <v>138.52</v>
      </c>
      <c r="D11" s="88">
        <f>IFERROR(__xludf.DUMMYFUNCTION("""COMPUTED_VALUE"""),133.88)</f>
        <v>133.88</v>
      </c>
      <c r="E11" s="88">
        <f>IFERROR(__xludf.DUMMYFUNCTION("""COMPUTED_VALUE"""),134.15)</f>
        <v>134.15</v>
      </c>
      <c r="F11" s="88">
        <f>IFERROR(__xludf.DUMMYFUNCTION("""COMPUTED_VALUE"""),2.20140796E8)</f>
        <v>220140796</v>
      </c>
      <c r="G11" s="88">
        <f>IFERROR(__xludf.DUMMYFUNCTION("""COMPUTED_VALUE"""),135.803606029253)</f>
        <v>135.803606</v>
      </c>
      <c r="H11" s="88">
        <f>IFERROR(__xludf.DUMMYFUNCTION("""COMPUTED_VALUE"""),135.970477102798)</f>
        <v>135.9704771</v>
      </c>
      <c r="I11" s="88">
        <f>IFERROR(__xludf.DUMMYFUNCTION("""COMPUTED_VALUE"""),131.415878389565)</f>
        <v>131.4158784</v>
      </c>
      <c r="J11" s="88">
        <f>IFERROR(__xludf.DUMMYFUNCTION("""COMPUTED_VALUE"""),131.680908918137)</f>
        <v>131.6809089</v>
      </c>
      <c r="K11" s="88">
        <f>IFERROR(__xludf.DUMMYFUNCTION("""COMPUTED_VALUE"""),2.20140796E8)</f>
        <v>220140796</v>
      </c>
      <c r="L11" s="88">
        <f>IFERROR(__xludf.DUMMYFUNCTION("""COMPUTED_VALUE"""),0.310336)</f>
        <v>0.310336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IFERROR(__xludf.DUMMYFUNCTION("""COMPUTED_VALUE"""),134.5)</f>
        <v>134.5</v>
      </c>
      <c r="C12">
        <f>IFERROR(__xludf.DUMMYFUNCTION("""COMPUTED_VALUE"""),134.9)</f>
        <v>134.9</v>
      </c>
      <c r="D12" s="88">
        <f>IFERROR(__xludf.DUMMYFUNCTION("""COMPUTED_VALUE"""),131.13)</f>
        <v>131.13</v>
      </c>
      <c r="E12" s="88">
        <f>IFERROR(__xludf.DUMMYFUNCTION("""COMPUTED_VALUE"""),131.4)</f>
        <v>131.4</v>
      </c>
      <c r="F12" s="88">
        <f>IFERROR(__xludf.DUMMYFUNCTION("""COMPUTED_VALUE"""),3.33659874E8)</f>
        <v>333659874</v>
      </c>
      <c r="G12" s="88">
        <f>IFERROR(__xludf.DUMMYFUNCTION("""COMPUTED_VALUE"""),131.72103930546)</f>
        <v>131.7210393</v>
      </c>
      <c r="H12" s="88">
        <f>IFERROR(__xludf.DUMMYFUNCTION("""COMPUTED_VALUE"""),132.112774738339)</f>
        <v>132.1127747</v>
      </c>
      <c r="I12" s="88">
        <f>IFERROR(__xludf.DUMMYFUNCTION("""COMPUTED_VALUE"""),128.420668283457)</f>
        <v>128.4206683</v>
      </c>
      <c r="J12" s="88">
        <f>IFERROR(__xludf.DUMMYFUNCTION("""COMPUTED_VALUE"""),128.685089700651)</f>
        <v>128.6850897</v>
      </c>
      <c r="K12" s="88">
        <f>IFERROR(__xludf.DUMMYFUNCTION("""COMPUTED_VALUE"""),3.33659874E8)</f>
        <v>333659874</v>
      </c>
      <c r="L12" s="88">
        <f>IFERROR(__xludf.DUMMYFUNCTION("""COMPUTED_VALUE"""),0.321881)</f>
        <v>0.321881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IFERROR(__xludf.DUMMYFUNCTION("""COMPUTED_VALUE"""),132.02)</f>
        <v>132.02</v>
      </c>
      <c r="C13">
        <f>IFERROR(__xludf.DUMMYFUNCTION("""COMPUTED_VALUE"""),132.04)</f>
        <v>132.04</v>
      </c>
      <c r="D13" s="88">
        <f>IFERROR(__xludf.DUMMYFUNCTION("""COMPUTED_VALUE"""),125.52)</f>
        <v>125.52</v>
      </c>
      <c r="E13" s="88">
        <f>IFERROR(__xludf.DUMMYFUNCTION("""COMPUTED_VALUE"""),128.7)</f>
        <v>128.7</v>
      </c>
      <c r="F13" s="88">
        <f>IFERROR(__xludf.DUMMYFUNCTION("""COMPUTED_VALUE"""),2.62811253E8)</f>
        <v>262811253</v>
      </c>
      <c r="G13" s="88">
        <f>IFERROR(__xludf.DUMMYFUNCTION("""COMPUTED_VALUE"""),128.976910304795)</f>
        <v>128.9769103</v>
      </c>
      <c r="H13" s="88">
        <f>IFERROR(__xludf.DUMMYFUNCTION("""COMPUTED_VALUE"""),128.996449300448)</f>
        <v>128.9964493</v>
      </c>
      <c r="I13" s="88">
        <f>IFERROR(__xludf.DUMMYFUNCTION("""COMPUTED_VALUE"""),122.626736717603)</f>
        <v>122.6267367</v>
      </c>
      <c r="J13" s="88">
        <f>IFERROR(__xludf.DUMMYFUNCTION("""COMPUTED_VALUE"""),125.733437026414)</f>
        <v>125.733437</v>
      </c>
      <c r="K13" s="88">
        <f>IFERROR(__xludf.DUMMYFUNCTION("""COMPUTED_VALUE"""),2.62811253E8)</f>
        <v>262811253</v>
      </c>
      <c r="L13" s="88">
        <f>IFERROR(__xludf.DUMMYFUNCTION("""COMPUTED_VALUE"""),0.320173)</f>
        <v>0.320173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IFERROR(__xludf.DUMMYFUNCTION("""COMPUTED_VALUE"""),129.17)</f>
        <v>129.17</v>
      </c>
      <c r="C14">
        <f>IFERROR(__xludf.DUMMYFUNCTION("""COMPUTED_VALUE"""),132.0)</f>
        <v>132</v>
      </c>
      <c r="D14" s="88">
        <f>IFERROR(__xludf.DUMMYFUNCTION("""COMPUTED_VALUE"""),120.68)</f>
        <v>120.68</v>
      </c>
      <c r="E14" s="88">
        <f>IFERROR(__xludf.DUMMYFUNCTION("""COMPUTED_VALUE"""),122.55)</f>
        <v>122.55</v>
      </c>
      <c r="F14" s="88">
        <f>IFERROR(__xludf.DUMMYFUNCTION("""COMPUTED_VALUE"""),3.4112729E8)</f>
        <v>341127290</v>
      </c>
      <c r="G14" s="88">
        <f>IFERROR(__xludf.DUMMYFUNCTION("""COMPUTED_VALUE"""),125.878571012563)</f>
        <v>125.878571</v>
      </c>
      <c r="H14" s="88">
        <f>IFERROR(__xludf.DUMMYFUNCTION("""COMPUTED_VALUE"""),128.636458726162)</f>
        <v>128.6364587</v>
      </c>
      <c r="I14" s="88">
        <f>IFERROR(__xludf.DUMMYFUNCTION("""COMPUTED_VALUE"""),117.604907871767)</f>
        <v>117.6049079</v>
      </c>
      <c r="J14" s="88">
        <f>IFERROR(__xludf.DUMMYFUNCTION("""COMPUTED_VALUE"""),119.427257703721)</f>
        <v>119.4272577</v>
      </c>
      <c r="K14" s="88">
        <f>IFERROR(__xludf.DUMMYFUNCTION("""COMPUTED_VALUE"""),3.4112729E8)</f>
        <v>341127290</v>
      </c>
      <c r="L14" s="88">
        <f>IFERROR(__xludf.DUMMYFUNCTION("""COMPUTED_VALUE"""),0.310037)</f>
        <v>0.310037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IFERROR(__xludf.DUMMYFUNCTION("""COMPUTED_VALUE"""),123.51)</f>
        <v>123.51</v>
      </c>
      <c r="C15">
        <f>IFERROR(__xludf.DUMMYFUNCTION("""COMPUTED_VALUE"""),134.53)</f>
        <v>134.53</v>
      </c>
      <c r="D15" s="88">
        <f>IFERROR(__xludf.DUMMYFUNCTION("""COMPUTED_VALUE"""),104.95)</f>
        <v>104.95</v>
      </c>
      <c r="E15" s="88">
        <f>IFERROR(__xludf.DUMMYFUNCTION("""COMPUTED_VALUE"""),131.87)</f>
        <v>131.87</v>
      </c>
      <c r="F15" s="88">
        <f>IFERROR(__xludf.DUMMYFUNCTION("""COMPUTED_VALUE"""),6.38959611E8)</f>
        <v>638959611</v>
      </c>
      <c r="G15" s="88">
        <f>IFERROR(__xludf.DUMMYFUNCTION("""COMPUTED_VALUE"""),120.05621565839)</f>
        <v>120.0562157</v>
      </c>
      <c r="H15" s="88">
        <f>IFERROR(__xludf.DUMMYFUNCTION("""COMPUTED_VALUE"""),130.768056776967)</f>
        <v>130.7680568</v>
      </c>
      <c r="I15" s="88">
        <f>IFERROR(__xludf.DUMMYFUNCTION("""COMPUTED_VALUE"""),102.01522009026)</f>
        <v>102.0152201</v>
      </c>
      <c r="J15" s="88">
        <f>IFERROR(__xludf.DUMMYFUNCTION("""COMPUTED_VALUE"""),128.182439955242)</f>
        <v>128.18244</v>
      </c>
      <c r="K15" s="88">
        <f>IFERROR(__xludf.DUMMYFUNCTION("""COMPUTED_VALUE"""),6.38959611E8)</f>
        <v>638959611</v>
      </c>
      <c r="L15" s="88">
        <f>IFERROR(__xludf.DUMMYFUNCTION("""COMPUTED_VALUE"""),0.349287)</f>
        <v>0.349287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IFERROR(__xludf.DUMMYFUNCTION("""COMPUTED_VALUE"""),132.18)</f>
        <v>132.18</v>
      </c>
      <c r="C16">
        <f>IFERROR(__xludf.DUMMYFUNCTION("""COMPUTED_VALUE"""),132.29)</f>
        <v>132.29</v>
      </c>
      <c r="D16" s="88">
        <f>IFERROR(__xludf.DUMMYFUNCTION("""COMPUTED_VALUE"""),130.085)</f>
        <v>130.085</v>
      </c>
      <c r="E16" s="88">
        <f>IFERROR(__xludf.DUMMYFUNCTION("""COMPUTED_VALUE"""),130.58)</f>
        <v>130.58</v>
      </c>
      <c r="F16" s="88">
        <f>IFERROR(__xludf.DUMMYFUNCTION("""COMPUTED_VALUE"""),2.64671976E8)</f>
        <v>264671976</v>
      </c>
      <c r="G16" s="88">
        <f>IFERROR(__xludf.DUMMYFUNCTION("""COMPUTED_VALUE"""),128.143915477357)</f>
        <v>128.1439155</v>
      </c>
      <c r="H16" s="88">
        <f>IFERROR(__xludf.DUMMYFUNCTION("""COMPUTED_VALUE"""),128.250556653802)</f>
        <v>128.2505567</v>
      </c>
      <c r="I16" s="88">
        <f>IFERROR(__xludf.DUMMYFUNCTION("""COMPUTED_VALUE"""),126.112885798698)</f>
        <v>126.1128858</v>
      </c>
      <c r="J16" s="88">
        <f>IFERROR(__xludf.DUMMYFUNCTION("""COMPUTED_VALUE"""),126.592771092701)</f>
        <v>126.5927711</v>
      </c>
      <c r="K16" s="88">
        <f>IFERROR(__xludf.DUMMYFUNCTION("""COMPUTED_VALUE"""),2.64671976E8)</f>
        <v>264671976</v>
      </c>
      <c r="L16" s="88">
        <f>IFERROR(__xludf.DUMMYFUNCTION("""COMPUTED_VALUE"""),0.336795)</f>
        <v>0.336795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IFERROR(__xludf.DUMMYFUNCTION("""COMPUTED_VALUE"""),131.09)</f>
        <v>131.09</v>
      </c>
      <c r="C17">
        <f>IFERROR(__xludf.DUMMYFUNCTION("""COMPUTED_VALUE"""),131.16)</f>
        <v>131.16</v>
      </c>
      <c r="D17" s="88">
        <f>IFERROR(__xludf.DUMMYFUNCTION("""COMPUTED_VALUE"""),127.66)</f>
        <v>127.66</v>
      </c>
      <c r="E17" s="88">
        <f>IFERROR(__xludf.DUMMYFUNCTION("""COMPUTED_VALUE"""),128.34)</f>
        <v>128.34</v>
      </c>
      <c r="F17" s="88">
        <f>IFERROR(__xludf.DUMMYFUNCTION("""COMPUTED_VALUE"""),2.54892176E8)</f>
        <v>254892176</v>
      </c>
      <c r="G17" s="88">
        <f>IFERROR(__xludf.DUMMYFUNCTION("""COMPUTED_VALUE"""),126.760430060357)</f>
        <v>126.7604301</v>
      </c>
      <c r="H17" s="88">
        <f>IFERROR(__xludf.DUMMYFUNCTION("""COMPUTED_VALUE"""),126.828118138045)</f>
        <v>126.8281181</v>
      </c>
      <c r="I17" s="88">
        <f>IFERROR(__xludf.DUMMYFUNCTION("""COMPUTED_VALUE"""),123.443714253605)</f>
        <v>123.4437143</v>
      </c>
      <c r="J17" s="88">
        <f>IFERROR(__xludf.DUMMYFUNCTION("""COMPUTED_VALUE"""),124.101255579725)</f>
        <v>124.1012556</v>
      </c>
      <c r="K17" s="88">
        <f>IFERROR(__xludf.DUMMYFUNCTION("""COMPUTED_VALUE"""),2.54892176E8)</f>
        <v>254892176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IFERROR(__xludf.DUMMYFUNCTION("""COMPUTED_VALUE"""),127.96)</f>
        <v>127.96</v>
      </c>
      <c r="C18">
        <f>IFERROR(__xludf.DUMMYFUNCTION("""COMPUTED_VALUE"""),128.5)</f>
        <v>128.5</v>
      </c>
      <c r="D18" s="88">
        <f>IFERROR(__xludf.DUMMYFUNCTION("""COMPUTED_VALUE"""),126.8)</f>
        <v>126.8</v>
      </c>
      <c r="E18" s="88">
        <f>IFERROR(__xludf.DUMMYFUNCTION("""COMPUTED_VALUE"""),127.07)</f>
        <v>127.07</v>
      </c>
      <c r="F18" s="88">
        <f>IFERROR(__xludf.DUMMYFUNCTION("""COMPUTED_VALUE"""),1.67199967E8)</f>
        <v>167199967</v>
      </c>
      <c r="G18" s="88">
        <f>IFERROR(__xludf.DUMMYFUNCTION("""COMPUTED_VALUE"""),123.733806015129)</f>
        <v>123.733806</v>
      </c>
      <c r="H18" s="88">
        <f>IFERROR(__xludf.DUMMYFUNCTION("""COMPUTED_VALUE"""),124.255971185871)</f>
        <v>124.2559712</v>
      </c>
      <c r="I18" s="88">
        <f>IFERROR(__xludf.DUMMYFUNCTION("""COMPUTED_VALUE"""),122.290097495283)</f>
        <v>122.2900975</v>
      </c>
      <c r="J18" s="88">
        <f>IFERROR(__xludf.DUMMYFUNCTION("""COMPUTED_VALUE"""),122.55049439058)</f>
        <v>122.5504944</v>
      </c>
      <c r="K18" s="88">
        <f>IFERROR(__xludf.DUMMYFUNCTION("""COMPUTED_VALUE"""),1.67199967E8)</f>
        <v>167199967</v>
      </c>
      <c r="L18" s="88">
        <f>IFERROR(__xludf.DUMMYFUNCTION("""COMPUTED_VALUE"""),0.682242)</f>
        <v>0.682242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IFERROR(__xludf.DUMMYFUNCTION("""COMPUTED_VALUE"""),127.97)</f>
        <v>127.97</v>
      </c>
      <c r="C19">
        <f>IFERROR(__xludf.DUMMYFUNCTION("""COMPUTED_VALUE"""),128.33)</f>
        <v>128.33</v>
      </c>
      <c r="D19" s="88">
        <f>IFERROR(__xludf.DUMMYFUNCTION("""COMPUTED_VALUE"""),125.61)</f>
        <v>125.61</v>
      </c>
      <c r="E19" s="88">
        <f>IFERROR(__xludf.DUMMYFUNCTION("""COMPUTED_VALUE"""),127.38)</f>
        <v>127.38</v>
      </c>
      <c r="F19" s="88">
        <f>IFERROR(__xludf.DUMMYFUNCTION("""COMPUTED_VALUE"""),1.64133205E8)</f>
        <v>164133205</v>
      </c>
      <c r="G19" s="88">
        <f>IFERROR(__xludf.DUMMYFUNCTION("""COMPUTED_VALUE"""),123.083362538168)</f>
        <v>123.0833625</v>
      </c>
      <c r="H19" s="88">
        <f>IFERROR(__xludf.DUMMYFUNCTION("""COMPUTED_VALUE"""),123.42961564838)</f>
        <v>123.4296156</v>
      </c>
      <c r="I19" s="88">
        <f>IFERROR(__xludf.DUMMYFUNCTION("""COMPUTED_VALUE"""),120.813481037894)</f>
        <v>120.813481</v>
      </c>
      <c r="J19" s="88">
        <f>IFERROR(__xludf.DUMMYFUNCTION("""COMPUTED_VALUE"""),122.5158921631)</f>
        <v>122.5158922</v>
      </c>
      <c r="K19" s="88">
        <f>IFERROR(__xludf.DUMMYFUNCTION("""COMPUTED_VALUE"""),1.64133205E8)</f>
        <v>164133205</v>
      </c>
      <c r="L19" s="88">
        <f>IFERROR(__xludf.DUMMYFUNCTION("""COMPUTED_VALUE"""),0.345089)</f>
        <v>0.345089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IFERROR(__xludf.DUMMYFUNCTION("""COMPUTED_VALUE"""),127.71)</f>
        <v>127.71</v>
      </c>
      <c r="C20">
        <f>IFERROR(__xludf.DUMMYFUNCTION("""COMPUTED_VALUE"""),128.27)</f>
        <v>128.27</v>
      </c>
      <c r="D20" s="88">
        <f>IFERROR(__xludf.DUMMYFUNCTION("""COMPUTED_VALUE"""),126.05)</f>
        <v>126.05</v>
      </c>
      <c r="E20" s="88">
        <f>IFERROR(__xludf.DUMMYFUNCTION("""COMPUTED_VALUE"""),126.56)</f>
        <v>126.56</v>
      </c>
      <c r="F20" s="88">
        <f>IFERROR(__xludf.DUMMYFUNCTION("""COMPUTED_VALUE"""),2.09383674E8)</f>
        <v>209383674</v>
      </c>
      <c r="G20" s="88">
        <f>IFERROR(__xludf.DUMMYFUNCTION("""COMPUTED_VALUE"""),122.501704130254)</f>
        <v>122.5017041</v>
      </c>
      <c r="H20" s="88">
        <f>IFERROR(__xludf.DUMMYFUNCTION("""COMPUTED_VALUE"""),123.038866093397)</f>
        <v>123.0388661</v>
      </c>
      <c r="I20" s="88">
        <f>IFERROR(__xludf.DUMMYFUNCTION("""COMPUTED_VALUE"""),120.909402596653)</f>
        <v>120.9094026</v>
      </c>
      <c r="J20" s="88">
        <f>IFERROR(__xludf.DUMMYFUNCTION("""COMPUTED_VALUE"""),121.398603670229)</f>
        <v>121.3986037</v>
      </c>
      <c r="K20" s="88">
        <f>IFERROR(__xludf.DUMMYFUNCTION("""COMPUTED_VALUE"""),2.09383674E8)</f>
        <v>209383674</v>
      </c>
      <c r="L20" s="88">
        <f>IFERROR(__xludf.DUMMYFUNCTION("""COMPUTED_VALUE"""),0.335557)</f>
        <v>0.335557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IFERROR(__xludf.DUMMYFUNCTION("""COMPUTED_VALUE"""),127.48)</f>
        <v>127.48</v>
      </c>
      <c r="C21">
        <f>IFERROR(__xludf.DUMMYFUNCTION("""COMPUTED_VALUE"""),128.72)</f>
        <v>128.72</v>
      </c>
      <c r="D21" s="88">
        <f>IFERROR(__xludf.DUMMYFUNCTION("""COMPUTED_VALUE"""),124.68)</f>
        <v>124.68</v>
      </c>
      <c r="E21" s="88">
        <f>IFERROR(__xludf.DUMMYFUNCTION("""COMPUTED_VALUE"""),128.37)</f>
        <v>128.37</v>
      </c>
      <c r="F21" s="88">
        <f>IFERROR(__xludf.DUMMYFUNCTION("""COMPUTED_VALUE"""),2.21257054E8)</f>
        <v>221257054</v>
      </c>
      <c r="G21" s="88">
        <f>IFERROR(__xludf.DUMMYFUNCTION("""COMPUTED_VALUE"""),121.959578889272)</f>
        <v>121.9595789</v>
      </c>
      <c r="H21" s="88">
        <f>IFERROR(__xludf.DUMMYFUNCTION("""COMPUTED_VALUE"""),123.145881664787)</f>
        <v>123.1458817</v>
      </c>
      <c r="I21" s="88">
        <f>IFERROR(__xludf.DUMMYFUNCTION("""COMPUTED_VALUE"""),119.280830686495)</f>
        <v>119.2808307</v>
      </c>
      <c r="J21" s="88">
        <f>IFERROR(__xludf.DUMMYFUNCTION("""COMPUTED_VALUE"""),122.81103813944)</f>
        <v>122.8110381</v>
      </c>
      <c r="K21" s="88">
        <f>IFERROR(__xludf.DUMMYFUNCTION("""COMPUTED_VALUE"""),2.21257054E8)</f>
        <v>221257054</v>
      </c>
      <c r="L21" s="88">
        <f>IFERROR(__xludf.DUMMYFUNCTION("""COMPUTED_VALUE"""),0.349172)</f>
        <v>0.349172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IFERROR(__xludf.DUMMYFUNCTION("""COMPUTED_VALUE"""),128.8)</f>
        <v>128.8</v>
      </c>
      <c r="C22">
        <f>IFERROR(__xludf.DUMMYFUNCTION("""COMPUTED_VALUE"""),129.46)</f>
        <v>129.46</v>
      </c>
      <c r="D22" s="88">
        <f>IFERROR(__xludf.DUMMYFUNCTION("""COMPUTED_VALUE"""),124.22)</f>
        <v>124.22</v>
      </c>
      <c r="E22" s="88">
        <f>IFERROR(__xludf.DUMMYFUNCTION("""COMPUTED_VALUE"""),124.31)</f>
        <v>124.31</v>
      </c>
      <c r="F22" s="88">
        <f>IFERROR(__xludf.DUMMYFUNCTION("""COMPUTED_VALUE"""),2.47144097E8)</f>
        <v>247144097</v>
      </c>
      <c r="G22" s="88">
        <f>IFERROR(__xludf.DUMMYFUNCTION("""COMPUTED_VALUE"""),122.888052276764)</f>
        <v>122.8880523</v>
      </c>
      <c r="H22" s="88">
        <f>IFERROR(__xludf.DUMMYFUNCTION("""COMPUTED_VALUE"""),123.517758134704)</f>
        <v>123.5177581</v>
      </c>
      <c r="I22" s="88">
        <f>IFERROR(__xludf.DUMMYFUNCTION("""COMPUTED_VALUE"""),118.518275262575)</f>
        <v>118.5182753</v>
      </c>
      <c r="J22" s="88">
        <f>IFERROR(__xludf.DUMMYFUNCTION("""COMPUTED_VALUE"""),118.604144243203)</f>
        <v>118.6041442</v>
      </c>
      <c r="K22" s="88">
        <f>IFERROR(__xludf.DUMMYFUNCTION("""COMPUTED_VALUE"""),2.47144097E8)</f>
        <v>247144097</v>
      </c>
      <c r="L22" s="88">
        <f>IFERROR(__xludf.DUMMYFUNCTION("""COMPUTED_VALUE"""),0.347757)</f>
        <v>0.347757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IFERROR(__xludf.DUMMYFUNCTION("""COMPUTED_VALUE"""),124.33)</f>
        <v>124.33</v>
      </c>
      <c r="C23">
        <f>IFERROR(__xludf.DUMMYFUNCTION("""COMPUTED_VALUE"""),124.96)</f>
        <v>124.96</v>
      </c>
      <c r="D23" s="88">
        <f>IFERROR(__xludf.DUMMYFUNCTION("""COMPUTED_VALUE"""),122.71)</f>
        <v>122.71</v>
      </c>
      <c r="E23" s="88">
        <f>IFERROR(__xludf.DUMMYFUNCTION("""COMPUTED_VALUE"""),124.21)</f>
        <v>124.21</v>
      </c>
      <c r="F23" s="88">
        <f>IFERROR(__xludf.DUMMYFUNCTION("""COMPUTED_VALUE"""),2.1884159E8)</f>
        <v>218841590</v>
      </c>
      <c r="G23" s="88">
        <f>IFERROR(__xludf.DUMMYFUNCTION("""COMPUTED_VALUE"""),118.29409910056)</f>
        <v>118.2940991</v>
      </c>
      <c r="H23" s="88">
        <f>IFERROR(__xludf.DUMMYFUNCTION("""COMPUTED_VALUE"""),118.893514225094)</f>
        <v>118.8935142</v>
      </c>
      <c r="I23" s="88">
        <f>IFERROR(__xludf.DUMMYFUNCTION("""COMPUTED_VALUE"""),116.752745923186)</f>
        <v>116.7527459</v>
      </c>
      <c r="J23" s="88">
        <f>IFERROR(__xludf.DUMMYFUNCTION("""COMPUTED_VALUE"""),118.179924791125)</f>
        <v>118.1799248</v>
      </c>
      <c r="K23" s="88">
        <f>IFERROR(__xludf.DUMMYFUNCTION("""COMPUTED_VALUE"""),2.1884159E8)</f>
        <v>218841590</v>
      </c>
      <c r="L23" s="88">
        <f>IFERROR(__xludf.DUMMYFUNCTION("""COMPUTED_VALUE"""),0.354506)</f>
        <v>0.354506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IFERROR(__xludf.DUMMYFUNCTION("""COMPUTED_VALUE"""),124.37)</f>
        <v>124.37</v>
      </c>
      <c r="C24">
        <f>IFERROR(__xludf.DUMMYFUNCTION("""COMPUTED_VALUE"""),124.44)</f>
        <v>124.44</v>
      </c>
      <c r="D24" s="88">
        <f>IFERROR(__xludf.DUMMYFUNCTION("""COMPUTED_VALUE"""),120.41)</f>
        <v>120.41</v>
      </c>
      <c r="E24" s="88">
        <f>IFERROR(__xludf.DUMMYFUNCTION("""COMPUTED_VALUE"""),120.75)</f>
        <v>120.75</v>
      </c>
      <c r="F24" s="88">
        <f>IFERROR(__xludf.DUMMYFUNCTION("""COMPUTED_VALUE"""),2.870817E8)</f>
        <v>287081700</v>
      </c>
      <c r="G24" s="88">
        <f>IFERROR(__xludf.DUMMYFUNCTION("""COMPUTED_VALUE"""),117.995496347141)</f>
        <v>117.9954963</v>
      </c>
      <c r="H24" s="88">
        <f>IFERROR(__xludf.DUMMYFUNCTION("""COMPUTED_VALUE"""),118.061908542561)</f>
        <v>118.0619085</v>
      </c>
      <c r="I24" s="88">
        <f>IFERROR(__xludf.DUMMYFUNCTION("""COMPUTED_VALUE"""),114.238463577706)</f>
        <v>114.2384636</v>
      </c>
      <c r="J24" s="88">
        <f>IFERROR(__xludf.DUMMYFUNCTION("""COMPUTED_VALUE"""),114.561037098314)</f>
        <v>114.5610371</v>
      </c>
      <c r="K24" s="88">
        <f>IFERROR(__xludf.DUMMYFUNCTION("""COMPUTED_VALUE"""),2.870817E8)</f>
        <v>287081700</v>
      </c>
      <c r="L24" s="88">
        <f>IFERROR(__xludf.DUMMYFUNCTION("""COMPUTED_VALUE"""),0.370779)</f>
        <v>0.370779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IFERROR(__xludf.DUMMYFUNCTION("""COMPUTED_VALUE"""),120.83)</f>
        <v>120.83</v>
      </c>
      <c r="C25">
        <f>IFERROR(__xludf.DUMMYFUNCTION("""COMPUTED_VALUE"""),120.84)</f>
        <v>120.84</v>
      </c>
      <c r="D25" s="88">
        <f>IFERROR(__xludf.DUMMYFUNCTION("""COMPUTED_VALUE"""),118.29)</f>
        <v>118.29</v>
      </c>
      <c r="E25" s="88">
        <f>IFERROR(__xludf.DUMMYFUNCTION("""COMPUTED_VALUE"""),119.0)</f>
        <v>119</v>
      </c>
      <c r="F25" s="88">
        <f>IFERROR(__xludf.DUMMYFUNCTION("""COMPUTED_VALUE"""),2.11644097E8)</f>
        <v>211644097</v>
      </c>
      <c r="G25" s="88">
        <f>IFERROR(__xludf.DUMMYFUNCTION("""COMPUTED_VALUE"""),114.286237941831)</f>
        <v>114.2862379</v>
      </c>
      <c r="H25" s="88">
        <f>IFERROR(__xludf.DUMMYFUNCTION("""COMPUTED_VALUE"""),114.295696374169)</f>
        <v>114.2956964</v>
      </c>
      <c r="I25" s="88">
        <f>IFERROR(__xludf.DUMMYFUNCTION("""COMPUTED_VALUE"""),111.883796127942)</f>
        <v>111.8837961</v>
      </c>
      <c r="J25" s="88">
        <f>IFERROR(__xludf.DUMMYFUNCTION("""COMPUTED_VALUE"""),112.55534482395)</f>
        <v>112.5553448</v>
      </c>
      <c r="K25" s="88">
        <f>IFERROR(__xludf.DUMMYFUNCTION("""COMPUTED_VALUE"""),2.11644097E8)</f>
        <v>211644097</v>
      </c>
      <c r="L25" s="88">
        <f>IFERROR(__xludf.DUMMYFUNCTION("""COMPUTED_VALUE"""),0.351627)</f>
        <v>0.351627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IFERROR(__xludf.DUMMYFUNCTION("""COMPUTED_VALUE"""),119.22)</f>
        <v>119.22</v>
      </c>
      <c r="C26">
        <f>IFERROR(__xludf.DUMMYFUNCTION("""COMPUTED_VALUE"""),119.71)</f>
        <v>119.71</v>
      </c>
      <c r="D26" s="88">
        <f>IFERROR(__xludf.DUMMYFUNCTION("""COMPUTED_VALUE"""),118.11)</f>
        <v>118.11</v>
      </c>
      <c r="E26" s="88">
        <f>IFERROR(__xludf.DUMMYFUNCTION("""COMPUTED_VALUE"""),118.45)</f>
        <v>118.45</v>
      </c>
      <c r="F26" s="88">
        <f>IFERROR(__xludf.DUMMYFUNCTION("""COMPUTED_VALUE"""),1.61816727E8)</f>
        <v>161816727</v>
      </c>
      <c r="G26" s="88">
        <f>IFERROR(__xludf.DUMMYFUNCTION("""COMPUTED_VALUE"""),112.430739234281)</f>
        <v>112.4307392</v>
      </c>
      <c r="H26" s="88">
        <f>IFERROR(__xludf.DUMMYFUNCTION("""COMPUTED_VALUE"""),112.892835042239)</f>
        <v>112.892835</v>
      </c>
      <c r="I26" s="88">
        <f>IFERROR(__xludf.DUMMYFUNCTION("""COMPUTED_VALUE"""),111.383950771355)</f>
        <v>111.3839508</v>
      </c>
      <c r="J26" s="88">
        <f>IFERROR(__xludf.DUMMYFUNCTION("""COMPUTED_VALUE"""),111.704588678918)</f>
        <v>111.7045887</v>
      </c>
      <c r="K26" s="88">
        <f>IFERROR(__xludf.DUMMYFUNCTION("""COMPUTED_VALUE"""),1.61816727E8)</f>
        <v>161816727</v>
      </c>
      <c r="L26" s="88">
        <f>IFERROR(__xludf.DUMMYFUNCTION("""COMPUTED_VALUE"""),0.357954)</f>
        <v>0.357954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IFERROR(__xludf.DUMMYFUNCTION("""COMPUTED_VALUE"""),119.06)</f>
        <v>119.06</v>
      </c>
      <c r="C27">
        <f>IFERROR(__xludf.DUMMYFUNCTION("""COMPUTED_VALUE"""),119.22)</f>
        <v>119.22</v>
      </c>
      <c r="D27" s="88">
        <f>IFERROR(__xludf.DUMMYFUNCTION("""COMPUTED_VALUE"""),115.42)</f>
        <v>115.42</v>
      </c>
      <c r="E27" s="88">
        <f>IFERROR(__xludf.DUMMYFUNCTION("""COMPUTED_VALUE"""),115.74)</f>
        <v>115.74</v>
      </c>
      <c r="F27" s="88">
        <f>IFERROR(__xludf.DUMMYFUNCTION("""COMPUTED_VALUE"""),1.76562198E8)</f>
        <v>176562198</v>
      </c>
      <c r="G27" s="88">
        <f>IFERROR(__xludf.DUMMYFUNCTION("""COMPUTED_VALUE"""),111.941023333269)</f>
        <v>111.9410233</v>
      </c>
      <c r="H27" s="88">
        <f>IFERROR(__xludf.DUMMYFUNCTION("""COMPUTED_VALUE"""),112.091456423587)</f>
        <v>112.0914564</v>
      </c>
      <c r="I27" s="88">
        <f>IFERROR(__xludf.DUMMYFUNCTION("""COMPUTED_VALUE"""),108.518670528522)</f>
        <v>108.5186705</v>
      </c>
      <c r="J27" s="88">
        <f>IFERROR(__xludf.DUMMYFUNCTION("""COMPUTED_VALUE"""),108.819536709159)</f>
        <v>108.8195367</v>
      </c>
      <c r="K27" s="88">
        <f>IFERROR(__xludf.DUMMYFUNCTION("""COMPUTED_VALUE"""),1.76562198E8)</f>
        <v>176562198</v>
      </c>
      <c r="L27" s="88">
        <f>IFERROR(__xludf.DUMMYFUNCTION("""COMPUTED_VALUE"""),0.358431)</f>
        <v>0.358431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IFERROR(__xludf.DUMMYFUNCTION("""COMPUTED_VALUE"""),116.03)</f>
        <v>116.03</v>
      </c>
      <c r="C28">
        <f>IFERROR(__xludf.DUMMYFUNCTION("""COMPUTED_VALUE"""),116.59)</f>
        <v>116.59</v>
      </c>
      <c r="D28" s="88">
        <f>IFERROR(__xludf.DUMMYFUNCTION("""COMPUTED_VALUE"""),115.61)</f>
        <v>115.61</v>
      </c>
      <c r="E28" s="88">
        <f>IFERROR(__xludf.DUMMYFUNCTION("""COMPUTED_VALUE"""),116.12)</f>
        <v>116.12</v>
      </c>
      <c r="F28" s="88">
        <f>IFERROR(__xludf.DUMMYFUNCTION("""COMPUTED_VALUE"""),1.64016451E8)</f>
        <v>164016451</v>
      </c>
      <c r="G28" s="88">
        <f>IFERROR(__xludf.DUMMYFUNCTION("""COMPUTED_VALUE"""),108.754610957812)</f>
        <v>108.754611</v>
      </c>
      <c r="H28" s="88">
        <f>IFERROR(__xludf.DUMMYFUNCTION("""COMPUTED_VALUE"""),109.279497471096)</f>
        <v>109.2794975</v>
      </c>
      <c r="I28" s="88">
        <f>IFERROR(__xludf.DUMMYFUNCTION("""COMPUTED_VALUE"""),108.360946072848)</f>
        <v>108.3609461</v>
      </c>
      <c r="J28" s="88">
        <f>IFERROR(__xludf.DUMMYFUNCTION("""COMPUTED_VALUE"""),108.838967718875)</f>
        <v>108.8389677</v>
      </c>
      <c r="K28" s="88">
        <f>IFERROR(__xludf.DUMMYFUNCTION("""COMPUTED_VALUE"""),1.64016451E8)</f>
        <v>164016451</v>
      </c>
      <c r="L28" s="88">
        <f>IFERROR(__xludf.DUMMYFUNCTION("""COMPUTED_VALUE"""),0.352555)</f>
        <v>0.352555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IFERROR(__xludf.DUMMYFUNCTION("""COMPUTED_VALUE"""),116.62)</f>
        <v>116.62</v>
      </c>
      <c r="C29">
        <f>IFERROR(__xludf.DUMMYFUNCTION("""COMPUTED_VALUE"""),116.7)</f>
        <v>116.7</v>
      </c>
      <c r="D29" s="88">
        <f>IFERROR(__xludf.DUMMYFUNCTION("""COMPUTED_VALUE"""),112.78)</f>
        <v>112.78</v>
      </c>
      <c r="E29" s="88">
        <f>IFERROR(__xludf.DUMMYFUNCTION("""COMPUTED_VALUE"""),112.82)</f>
        <v>112.82</v>
      </c>
      <c r="F29" s="88">
        <f>IFERROR(__xludf.DUMMYFUNCTION("""COMPUTED_VALUE"""),2.2340045E8)</f>
        <v>223400450</v>
      </c>
      <c r="G29" s="88">
        <f>IFERROR(__xludf.DUMMYFUNCTION("""COMPUTED_VALUE"""),108.976379496259)</f>
        <v>108.9763795</v>
      </c>
      <c r="H29" s="88">
        <f>IFERROR(__xludf.DUMMYFUNCTION("""COMPUTED_VALUE"""),109.05113605911)</f>
        <v>109.0511361</v>
      </c>
      <c r="I29" s="88">
        <f>IFERROR(__xludf.DUMMYFUNCTION("""COMPUTED_VALUE"""),105.388064479403)</f>
        <v>105.3880645</v>
      </c>
      <c r="J29" s="88">
        <f>IFERROR(__xludf.DUMMYFUNCTION("""COMPUTED_VALUE"""),105.425442760829)</f>
        <v>105.4254428</v>
      </c>
      <c r="K29" s="88">
        <f>IFERROR(__xludf.DUMMYFUNCTION("""COMPUTED_VALUE"""),2.2340045E8)</f>
        <v>223400450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IFERROR(__xludf.DUMMYFUNCTION("""COMPUTED_VALUE"""),112.82)</f>
        <v>112.82</v>
      </c>
      <c r="C30">
        <f>IFERROR(__xludf.DUMMYFUNCTION("""COMPUTED_VALUE"""),113.31)</f>
        <v>113.31</v>
      </c>
      <c r="D30" s="88">
        <f>IFERROR(__xludf.DUMMYFUNCTION("""COMPUTED_VALUE"""),111.25)</f>
        <v>111.25</v>
      </c>
      <c r="E30" s="88">
        <f>IFERROR(__xludf.DUMMYFUNCTION("""COMPUTED_VALUE"""),111.31)</f>
        <v>111.31</v>
      </c>
      <c r="F30" s="88">
        <f>IFERROR(__xludf.DUMMYFUNCTION("""COMPUTED_VALUE"""),1.77314916E8)</f>
        <v>177314916</v>
      </c>
      <c r="G30" s="88">
        <f>IFERROR(__xludf.DUMMYFUNCTION("""COMPUTED_VALUE"""),105.425442760829)</f>
        <v>105.4254428</v>
      </c>
      <c r="H30" s="88">
        <f>IFERROR(__xludf.DUMMYFUNCTION("""COMPUTED_VALUE"""),105.883326708292)</f>
        <v>105.8833267</v>
      </c>
      <c r="I30" s="88">
        <f>IFERROR(__xludf.DUMMYFUNCTION("""COMPUTED_VALUE"""),103.635591487854)</f>
        <v>103.6355915</v>
      </c>
      <c r="J30" s="88">
        <f>IFERROR(__xludf.DUMMYFUNCTION("""COMPUTED_VALUE"""),103.691484840567)</f>
        <v>103.6914848</v>
      </c>
      <c r="K30" s="88">
        <f>IFERROR(__xludf.DUMMYFUNCTION("""COMPUTED_VALUE"""),1.77314916E8)</f>
        <v>177314916</v>
      </c>
      <c r="L30" s="88">
        <f>IFERROR(__xludf.DUMMYFUNCTION("""COMPUTED_VALUE"""),0.704202999999999)</f>
        <v>0.704203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IFERROR(__xludf.DUMMYFUNCTION("""COMPUTED_VALUE"""),111.46)</f>
        <v>111.46</v>
      </c>
      <c r="C31">
        <f>IFERROR(__xludf.DUMMYFUNCTION("""COMPUTED_VALUE"""),112.71)</f>
        <v>112.71</v>
      </c>
      <c r="D31" s="88">
        <f>IFERROR(__xludf.DUMMYFUNCTION("""COMPUTED_VALUE"""),111.25)</f>
        <v>111.25</v>
      </c>
      <c r="E31" s="88">
        <f>IFERROR(__xludf.DUMMYFUNCTION("""COMPUTED_VALUE"""),111.71)</f>
        <v>111.71</v>
      </c>
      <c r="F31" s="88">
        <f>IFERROR(__xludf.DUMMYFUNCTION("""COMPUTED_VALUE"""),2.10538877E8)</f>
        <v>210538877</v>
      </c>
      <c r="G31" s="88">
        <f>IFERROR(__xludf.DUMMYFUNCTION("""COMPUTED_VALUE"""),103.503965820658)</f>
        <v>103.5039658</v>
      </c>
      <c r="H31" s="88">
        <f>IFERROR(__xludf.DUMMYFUNCTION("""COMPUTED_VALUE"""),104.664740603323)</f>
        <v>104.6647406</v>
      </c>
      <c r="I31" s="88">
        <f>IFERROR(__xludf.DUMMYFUNCTION("""COMPUTED_VALUE"""),103.30895565717)</f>
        <v>103.3089557</v>
      </c>
      <c r="J31" s="88">
        <f>IFERROR(__xludf.DUMMYFUNCTION("""COMPUTED_VALUE"""),103.736120777191)</f>
        <v>103.7361208</v>
      </c>
      <c r="K31" s="88">
        <f>IFERROR(__xludf.DUMMYFUNCTION("""COMPUTED_VALUE"""),2.10538877E8)</f>
        <v>210538877</v>
      </c>
      <c r="L31" s="88">
        <f>IFERROR(__xludf.DUMMYFUNCTION("""COMPUTED_VALUE"""),0.369332)</f>
        <v>0.369332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IFERROR(__xludf.DUMMYFUNCTION("""COMPUTED_VALUE"""),112.23)</f>
        <v>112.23</v>
      </c>
      <c r="C32">
        <f>IFERROR(__xludf.DUMMYFUNCTION("""COMPUTED_VALUE"""),114.75)</f>
        <v>114.75</v>
      </c>
      <c r="D32" s="88">
        <f>IFERROR(__xludf.DUMMYFUNCTION("""COMPUTED_VALUE"""),112.23)</f>
        <v>112.23</v>
      </c>
      <c r="E32" s="88">
        <f>IFERROR(__xludf.DUMMYFUNCTION("""COMPUTED_VALUE"""),114.5)</f>
        <v>114.5</v>
      </c>
      <c r="F32" s="88">
        <f>IFERROR(__xludf.DUMMYFUNCTION("""COMPUTED_VALUE"""),1.97560135E8)</f>
        <v>197560135</v>
      </c>
      <c r="G32" s="88">
        <f>IFERROR(__xludf.DUMMYFUNCTION("""COMPUTED_VALUE"""),103.877067924119)</f>
        <v>103.8770679</v>
      </c>
      <c r="H32" s="88">
        <f>IFERROR(__xludf.DUMMYFUNCTION("""COMPUTED_VALUE"""),106.209512111669)</f>
        <v>106.2095121</v>
      </c>
      <c r="I32" s="88">
        <f>IFERROR(__xludf.DUMMYFUNCTION("""COMPUTED_VALUE"""),103.877067924119)</f>
        <v>103.8770679</v>
      </c>
      <c r="J32" s="88">
        <f>IFERROR(__xludf.DUMMYFUNCTION("""COMPUTED_VALUE"""),105.978118839095)</f>
        <v>105.9781188</v>
      </c>
      <c r="K32" s="88">
        <f>IFERROR(__xludf.DUMMYFUNCTION("""COMPUTED_VALUE"""),1.97560135E8)</f>
        <v>197560135</v>
      </c>
      <c r="L32" s="88">
        <f>IFERROR(__xludf.DUMMYFUNCTION("""COMPUTED_VALUE"""),0.351955)</f>
        <v>0.351955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IFERROR(__xludf.DUMMYFUNCTION("""COMPUTED_VALUE"""),114.93)</f>
        <v>114.93</v>
      </c>
      <c r="C33">
        <f>IFERROR(__xludf.DUMMYFUNCTION("""COMPUTED_VALUE"""),115.33)</f>
        <v>115.33</v>
      </c>
      <c r="D33" s="88">
        <f>IFERROR(__xludf.DUMMYFUNCTION("""COMPUTED_VALUE"""),114.23)</f>
        <v>114.23</v>
      </c>
      <c r="E33" s="88">
        <f>IFERROR(__xludf.DUMMYFUNCTION("""COMPUTED_VALUE"""),114.86)</f>
        <v>114.86</v>
      </c>
      <c r="F33" s="88">
        <f>IFERROR(__xludf.DUMMYFUNCTION("""COMPUTED_VALUE"""),1.23416939E8)</f>
        <v>123416939</v>
      </c>
      <c r="G33" s="88">
        <f>IFERROR(__xludf.DUMMYFUNCTION("""COMPUTED_VALUE"""),106.049906607897)</f>
        <v>106.0499066</v>
      </c>
      <c r="H33" s="88">
        <f>IFERROR(__xludf.DUMMYFUNCTION("""COMPUTED_VALUE"""),106.419000514128)</f>
        <v>106.4190005</v>
      </c>
      <c r="I33" s="88">
        <f>IFERROR(__xludf.DUMMYFUNCTION("""COMPUTED_VALUE"""),105.403992271992)</f>
        <v>105.4039923</v>
      </c>
      <c r="J33" s="88">
        <f>IFERROR(__xludf.DUMMYFUNCTION("""COMPUTED_VALUE"""),105.985315174306)</f>
        <v>105.9853152</v>
      </c>
      <c r="K33" s="88">
        <f>IFERROR(__xludf.DUMMYFUNCTION("""COMPUTED_VALUE"""),1.23416939E8)</f>
        <v>123416939</v>
      </c>
      <c r="L33" s="88">
        <f>IFERROR(__xludf.DUMMYFUNCTION("""COMPUTED_VALUE"""),0.347683)</f>
        <v>0.347683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IFERROR(__xludf.DUMMYFUNCTION("""COMPUTED_VALUE"""),115.44)</f>
        <v>115.44</v>
      </c>
      <c r="C34">
        <f>IFERROR(__xludf.DUMMYFUNCTION("""COMPUTED_VALUE"""),116.37)</f>
        <v>116.37</v>
      </c>
      <c r="D34" s="88">
        <f>IFERROR(__xludf.DUMMYFUNCTION("""COMPUTED_VALUE"""),114.85)</f>
        <v>114.85</v>
      </c>
      <c r="E34" s="88">
        <f>IFERROR(__xludf.DUMMYFUNCTION("""COMPUTED_VALUE"""),114.9)</f>
        <v>114.9</v>
      </c>
      <c r="F34" s="88">
        <f>IFERROR(__xludf.DUMMYFUNCTION("""COMPUTED_VALUE"""),1.24189227E8)</f>
        <v>124189227</v>
      </c>
      <c r="G34" s="88">
        <f>IFERROR(__xludf.DUMMYFUNCTION("""COMPUTED_VALUE"""),106.199091009655)</f>
        <v>106.199091</v>
      </c>
      <c r="H34" s="88">
        <f>IFERROR(__xludf.DUMMYFUNCTION("""COMPUTED_VALUE"""),107.054645017269)</f>
        <v>107.054645</v>
      </c>
      <c r="I34" s="88">
        <f>IFERROR(__xludf.DUMMYFUNCTION("""COMPUTED_VALUE"""),105.65632018762)</f>
        <v>105.6563202</v>
      </c>
      <c r="J34" s="88">
        <f>IFERROR(__xludf.DUMMYFUNCTION("""COMPUTED_VALUE"""),105.702317714911)</f>
        <v>105.7023177</v>
      </c>
      <c r="K34" s="88">
        <f>IFERROR(__xludf.DUMMYFUNCTION("""COMPUTED_VALUE"""),1.24189227E8)</f>
        <v>124189227</v>
      </c>
      <c r="L34" s="88">
        <f>IFERROR(__xludf.DUMMYFUNCTION("""COMPUTED_VALUE"""),0.342622)</f>
        <v>0.342622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IFERROR(__xludf.DUMMYFUNCTION("""COMPUTED_VALUE"""),115.76)</f>
        <v>115.76</v>
      </c>
      <c r="C35">
        <f>IFERROR(__xludf.DUMMYFUNCTION("""COMPUTED_VALUE"""),115.86)</f>
        <v>115.86</v>
      </c>
      <c r="D35" s="88">
        <f>IFERROR(__xludf.DUMMYFUNCTION("""COMPUTED_VALUE"""),114.16)</f>
        <v>114.16</v>
      </c>
      <c r="E35" s="88">
        <f>IFERROR(__xludf.DUMMYFUNCTION("""COMPUTED_VALUE"""),114.41)</f>
        <v>114.41</v>
      </c>
      <c r="F35" s="88">
        <f>IFERROR(__xludf.DUMMYFUNCTION("""COMPUTED_VALUE"""),1.01078967E8)</f>
        <v>101078967</v>
      </c>
      <c r="G35" s="88">
        <f>IFERROR(__xludf.DUMMYFUNCTION("""COMPUTED_VALUE"""),106.177166748307)</f>
        <v>106.1771667</v>
      </c>
      <c r="H35" s="88">
        <f>IFERROR(__xludf.DUMMYFUNCTION("""COMPUTED_VALUE"""),106.268888557868)</f>
        <v>106.2688886</v>
      </c>
      <c r="I35" s="88">
        <f>IFERROR(__xludf.DUMMYFUNCTION("""COMPUTED_VALUE"""),104.709617795324)</f>
        <v>104.7096178</v>
      </c>
      <c r="J35" s="88">
        <f>IFERROR(__xludf.DUMMYFUNCTION("""COMPUTED_VALUE"""),104.938922319228)</f>
        <v>104.9389223</v>
      </c>
      <c r="K35" s="88">
        <f>IFERROR(__xludf.DUMMYFUNCTION("""COMPUTED_VALUE"""),1.01078967E8)</f>
        <v>101078967</v>
      </c>
      <c r="L35" s="88">
        <f>IFERROR(__xludf.DUMMYFUNCTION("""COMPUTED_VALUE"""),0.345389)</f>
        <v>0.345389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IFERROR(__xludf.DUMMYFUNCTION("""COMPUTED_VALUE"""),114.57)</f>
        <v>114.57</v>
      </c>
      <c r="C36">
        <f>IFERROR(__xludf.DUMMYFUNCTION("""COMPUTED_VALUE"""),115.14)</f>
        <v>115.14</v>
      </c>
      <c r="D36" s="88">
        <f>IFERROR(__xludf.DUMMYFUNCTION("""COMPUTED_VALUE"""),113.75)</f>
        <v>113.75</v>
      </c>
      <c r="E36" s="88">
        <f>IFERROR(__xludf.DUMMYFUNCTION("""COMPUTED_VALUE"""),114.87)</f>
        <v>114.87</v>
      </c>
      <c r="F36" s="88">
        <f>IFERROR(__xludf.DUMMYFUNCTION("""COMPUTED_VALUE"""),1.25835848E8)</f>
        <v>125835848</v>
      </c>
      <c r="G36" s="88">
        <f>IFERROR(__xludf.DUMMYFUNCTION("""COMPUTED_VALUE"""),104.768922720046)</f>
        <v>104.7689227</v>
      </c>
      <c r="H36" s="88">
        <f>IFERROR(__xludf.DUMMYFUNCTION("""COMPUTED_VALUE"""),105.290161141539)</f>
        <v>105.2901611</v>
      </c>
      <c r="I36" s="88">
        <f>IFERROR(__xludf.DUMMYFUNCTION("""COMPUTED_VALUE"""),104.019070955794)</f>
        <v>104.019071</v>
      </c>
      <c r="J36" s="88">
        <f>IFERROR(__xludf.DUMMYFUNCTION("""COMPUTED_VALUE"""),105.043258731358)</f>
        <v>105.0432587</v>
      </c>
      <c r="K36" s="88">
        <f>IFERROR(__xludf.DUMMYFUNCTION("""COMPUTED_VALUE"""),1.25835848E8)</f>
        <v>125835848</v>
      </c>
      <c r="L36" s="88">
        <f>IFERROR(__xludf.DUMMYFUNCTION("""COMPUTED_VALUE"""),0.358723)</f>
        <v>0.358723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IFERROR(__xludf.DUMMYFUNCTION("""COMPUTED_VALUE"""),115.49)</f>
        <v>115.49</v>
      </c>
      <c r="C37">
        <f>IFERROR(__xludf.DUMMYFUNCTION("""COMPUTED_VALUE"""),116.21)</f>
        <v>116.21</v>
      </c>
      <c r="D37" s="88">
        <f>IFERROR(__xludf.DUMMYFUNCTION("""COMPUTED_VALUE"""),113.72)</f>
        <v>113.72</v>
      </c>
      <c r="E37" s="88">
        <f>IFERROR(__xludf.DUMMYFUNCTION("""COMPUTED_VALUE"""),114.83)</f>
        <v>114.83</v>
      </c>
      <c r="F37" s="88">
        <f>IFERROR(__xludf.DUMMYFUNCTION("""COMPUTED_VALUE"""),1.00384022E8)</f>
        <v>100384022</v>
      </c>
      <c r="G37" s="88">
        <f>IFERROR(__xludf.DUMMYFUNCTION("""COMPUTED_VALUE"""),105.281554647547)</f>
        <v>105.2815546</v>
      </c>
      <c r="H37" s="88">
        <f>IFERROR(__xludf.DUMMYFUNCTION("""COMPUTED_VALUE"""),105.93791207543)</f>
        <v>105.9379121</v>
      </c>
      <c r="I37" s="88">
        <f>IFERROR(__xludf.DUMMYFUNCTION("""COMPUTED_VALUE"""),103.668009304)</f>
        <v>103.6680093</v>
      </c>
      <c r="J37" s="88">
        <f>IFERROR(__xludf.DUMMYFUNCTION("""COMPUTED_VALUE"""),104.679893671987)</f>
        <v>104.6798937</v>
      </c>
      <c r="K37" s="88">
        <f>IFERROR(__xludf.DUMMYFUNCTION("""COMPUTED_VALUE"""),1.00384022E8)</f>
        <v>100384022</v>
      </c>
      <c r="L37" s="88">
        <f>IFERROR(__xludf.DUMMYFUNCTION("""COMPUTED_VALUE"""),0.329415)</f>
        <v>0.329415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IFERROR(__xludf.DUMMYFUNCTION("""COMPUTED_VALUE"""),115.22)</f>
        <v>115.22</v>
      </c>
      <c r="C38">
        <f>IFERROR(__xludf.DUMMYFUNCTION("""COMPUTED_VALUE"""),117.44)</f>
        <v>117.44</v>
      </c>
      <c r="D38" s="88">
        <f>IFERROR(__xludf.DUMMYFUNCTION("""COMPUTED_VALUE"""),114.55)</f>
        <v>114.55</v>
      </c>
      <c r="E38" s="88">
        <f>IFERROR(__xludf.DUMMYFUNCTION("""COMPUTED_VALUE"""),116.9)</f>
        <v>116.9</v>
      </c>
      <c r="F38" s="88">
        <f>IFERROR(__xludf.DUMMYFUNCTION("""COMPUTED_VALUE"""),9.6242242E7)</f>
        <v>96242242</v>
      </c>
      <c r="G38" s="88">
        <f>IFERROR(__xludf.DUMMYFUNCTION("""COMPUTED_VALUE"""),104.734311750985)</f>
        <v>104.7343118</v>
      </c>
      <c r="H38" s="88">
        <f>IFERROR(__xludf.DUMMYFUNCTION("""COMPUTED_VALUE"""),106.752278875505)</f>
        <v>106.7522789</v>
      </c>
      <c r="I38" s="88">
        <f>IFERROR(__xludf.DUMMYFUNCTION("""COMPUTED_VALUE"""),104.125285636828)</f>
        <v>104.1252856</v>
      </c>
      <c r="J38" s="88">
        <f>IFERROR(__xludf.DUMMYFUNCTION("""COMPUTED_VALUE"""),106.261422007379)</f>
        <v>106.261422</v>
      </c>
      <c r="K38" s="88">
        <f>IFERROR(__xludf.DUMMYFUNCTION("""COMPUTED_VALUE"""),9.6242242E7)</f>
        <v>96242242</v>
      </c>
      <c r="L38" s="88">
        <f>IFERROR(__xludf.DUMMYFUNCTION("""COMPUTED_VALUE"""),0.336847)</f>
        <v>0.336847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IFERROR(__xludf.DUMMYFUNCTION("""COMPUTED_VALUE"""),117.39)</f>
        <v>117.39</v>
      </c>
      <c r="C39">
        <f>IFERROR(__xludf.DUMMYFUNCTION("""COMPUTED_VALUE"""),117.47)</f>
        <v>117.47</v>
      </c>
      <c r="D39" s="88">
        <f>IFERROR(__xludf.DUMMYFUNCTION("""COMPUTED_VALUE"""),115.52)</f>
        <v>115.52</v>
      </c>
      <c r="E39" s="88">
        <f>IFERROR(__xludf.DUMMYFUNCTION("""COMPUTED_VALUE"""),116.56)</f>
        <v>116.56</v>
      </c>
      <c r="F39" s="88">
        <f>IFERROR(__xludf.DUMMYFUNCTION("""COMPUTED_VALUE"""),1.53260237E8)</f>
        <v>153260237</v>
      </c>
      <c r="G39" s="88">
        <f>IFERROR(__xludf.DUMMYFUNCTION("""COMPUTED_VALUE"""),106.400472383538)</f>
        <v>106.4004724</v>
      </c>
      <c r="H39" s="88">
        <f>IFERROR(__xludf.DUMMYFUNCTION("""COMPUTED_VALUE"""),106.472983140763)</f>
        <v>106.4729831</v>
      </c>
      <c r="I39" s="88">
        <f>IFERROR(__xludf.DUMMYFUNCTION("""COMPUTED_VALUE"""),104.705533433395)</f>
        <v>104.7055334</v>
      </c>
      <c r="J39" s="88">
        <f>IFERROR(__xludf.DUMMYFUNCTION("""COMPUTED_VALUE"""),105.648173277325)</f>
        <v>105.6481733</v>
      </c>
      <c r="K39" s="88">
        <f>IFERROR(__xludf.DUMMYFUNCTION("""COMPUTED_VALUE"""),1.53260237E8)</f>
        <v>153260237</v>
      </c>
      <c r="L39" s="88">
        <f>IFERROR(__xludf.DUMMYFUNCTION("""COMPUTED_VALUE"""),0.330294)</f>
        <v>0.330294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IFERROR(__xludf.DUMMYFUNCTION("""COMPUTED_VALUE"""),117.07)</f>
        <v>117.07</v>
      </c>
      <c r="C40">
        <f>IFERROR(__xludf.DUMMYFUNCTION("""COMPUTED_VALUE"""),119.96)</f>
        <v>119.96</v>
      </c>
      <c r="D40" s="88">
        <f>IFERROR(__xludf.DUMMYFUNCTION("""COMPUTED_VALUE"""),116.44)</f>
        <v>116.44</v>
      </c>
      <c r="E40" s="88">
        <f>IFERROR(__xludf.DUMMYFUNCTION("""COMPUTED_VALUE"""),119.91)</f>
        <v>119.91</v>
      </c>
      <c r="F40" s="88">
        <f>IFERROR(__xludf.DUMMYFUNCTION("""COMPUTED_VALUE"""),1.63998587E8)</f>
        <v>163998587</v>
      </c>
      <c r="G40" s="88">
        <f>IFERROR(__xludf.DUMMYFUNCTION("""COMPUTED_VALUE"""),105.810749576548)</f>
        <v>105.8107496</v>
      </c>
      <c r="H40" s="88">
        <f>IFERROR(__xludf.DUMMYFUNCTION("""COMPUTED_VALUE"""),108.422802760765)</f>
        <v>108.4228028</v>
      </c>
      <c r="I40" s="88">
        <f>IFERROR(__xludf.DUMMYFUNCTION("""COMPUTED_VALUE"""),105.241340058882)</f>
        <v>105.2413401</v>
      </c>
      <c r="J40" s="88">
        <f>IFERROR(__xludf.DUMMYFUNCTION("""COMPUTED_VALUE"""),108.377611529204)</f>
        <v>108.3776115</v>
      </c>
      <c r="K40" s="88">
        <f>IFERROR(__xludf.DUMMYFUNCTION("""COMPUTED_VALUE"""),1.63998587E8)</f>
        <v>163998587</v>
      </c>
      <c r="L40" s="88">
        <f>IFERROR(__xludf.DUMMYFUNCTION("""COMPUTED_VALUE"""),0.321358)</f>
        <v>0.321358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IFERROR(__xludf.DUMMYFUNCTION("""COMPUTED_VALUE"""),120.07)</f>
        <v>120.07</v>
      </c>
      <c r="C41">
        <f>IFERROR(__xludf.DUMMYFUNCTION("""COMPUTED_VALUE"""),121.46)</f>
        <v>121.46</v>
      </c>
      <c r="D41" s="88">
        <f>IFERROR(__xludf.DUMMYFUNCTION("""COMPUTED_VALUE"""),119.63)</f>
        <v>119.63</v>
      </c>
      <c r="E41" s="88">
        <f>IFERROR(__xludf.DUMMYFUNCTION("""COMPUTED_VALUE"""),121.32)</f>
        <v>121.32</v>
      </c>
      <c r="F41" s="88">
        <f>IFERROR(__xludf.DUMMYFUNCTION("""COMPUTED_VALUE"""),1.35730244E8)</f>
        <v>135730244</v>
      </c>
      <c r="G41" s="88">
        <f>IFERROR(__xludf.DUMMYFUNCTION("""COMPUTED_VALUE"""),108.230487745648)</f>
        <v>108.2304877</v>
      </c>
      <c r="H41" s="88">
        <f>IFERROR(__xludf.DUMMYFUNCTION("""COMPUTED_VALUE"""),109.483426680989)</f>
        <v>109.4834267</v>
      </c>
      <c r="I41" s="88">
        <f>IFERROR(__xludf.DUMMYFUNCTION("""COMPUTED_VALUE"""),107.833873981942)</f>
        <v>107.833874</v>
      </c>
      <c r="J41" s="88">
        <f>IFERROR(__xludf.DUMMYFUNCTION("""COMPUTED_VALUE"""),109.357231392537)</f>
        <v>109.3572314</v>
      </c>
      <c r="K41" s="88">
        <f>IFERROR(__xludf.DUMMYFUNCTION("""COMPUTED_VALUE"""),1.35730244E8)</f>
        <v>135730244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IFERROR(__xludf.DUMMYFUNCTION("""COMPUTED_VALUE"""),121.56)</f>
        <v>121.56</v>
      </c>
      <c r="C42">
        <f>IFERROR(__xludf.DUMMYFUNCTION("""COMPUTED_VALUE"""),121.85)</f>
        <v>121.85</v>
      </c>
      <c r="D42" s="88">
        <f>IFERROR(__xludf.DUMMYFUNCTION("""COMPUTED_VALUE"""),120.27)</f>
        <v>120.27</v>
      </c>
      <c r="E42" s="88">
        <f>IFERROR(__xludf.DUMMYFUNCTION("""COMPUTED_VALUE"""),120.81)</f>
        <v>120.81</v>
      </c>
      <c r="F42" s="88">
        <f>IFERROR(__xludf.DUMMYFUNCTION("""COMPUTED_VALUE"""),1.20147594E8)</f>
        <v>120147594</v>
      </c>
      <c r="G42" s="88">
        <f>IFERROR(__xludf.DUMMYFUNCTION("""COMPUTED_VALUE"""),109.57356617274)</f>
        <v>109.5735662</v>
      </c>
      <c r="H42" s="88">
        <f>IFERROR(__xludf.DUMMYFUNCTION("""COMPUTED_VALUE"""),109.636663816966)</f>
        <v>109.6366638</v>
      </c>
      <c r="I42" s="88">
        <f>IFERROR(__xludf.DUMMYFUNCTION("""COMPUTED_VALUE"""),108.299659106352)</f>
        <v>108.2996591</v>
      </c>
      <c r="J42" s="88">
        <f>IFERROR(__xludf.DUMMYFUNCTION("""COMPUTED_VALUE"""),108.668453626565)</f>
        <v>108.6684536</v>
      </c>
      <c r="K42" s="88">
        <f>IFERROR(__xludf.DUMMYFUNCTION("""COMPUTED_VALUE"""),1.20147594E8)</f>
        <v>120147594</v>
      </c>
      <c r="L42" s="88">
        <f>IFERROR(__xludf.DUMMYFUNCTION("""COMPUTED_VALUE"""),0.576418)</f>
        <v>0.576418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IFERROR(__xludf.DUMMYFUNCTION("""COMPUTED_VALUE"""),120.67)</f>
        <v>120.67</v>
      </c>
      <c r="C43">
        <f>IFERROR(__xludf.DUMMYFUNCTION("""COMPUTED_VALUE"""),121.39)</f>
        <v>121.39</v>
      </c>
      <c r="D43" s="88">
        <f>IFERROR(__xludf.DUMMYFUNCTION("""COMPUTED_VALUE"""),119.78)</f>
        <v>119.78</v>
      </c>
      <c r="E43" s="88">
        <f>IFERROR(__xludf.DUMMYFUNCTION("""COMPUTED_VALUE"""),121.05)</f>
        <v>121.05</v>
      </c>
      <c r="F43" s="88">
        <f>IFERROR(__xludf.DUMMYFUNCTION("""COMPUTED_VALUE"""),1.27312979E8)</f>
        <v>127312979</v>
      </c>
      <c r="G43" s="88">
        <f>IFERROR(__xludf.DUMMYFUNCTION("""COMPUTED_VALUE"""),108.253520428638)</f>
        <v>108.2535204</v>
      </c>
      <c r="H43" s="88">
        <f>IFERROR(__xludf.DUMMYFUNCTION("""COMPUTED_VALUE"""),108.899435193771)</f>
        <v>108.8994352</v>
      </c>
      <c r="I43" s="88">
        <f>IFERROR(__xludf.DUMMYFUNCTION("""COMPUTED_VALUE"""),107.455098010626)</f>
        <v>107.455098</v>
      </c>
      <c r="J43" s="88">
        <f>IFERROR(__xludf.DUMMYFUNCTION("""COMPUTED_VALUE"""),108.594419888013)</f>
        <v>108.5944199</v>
      </c>
      <c r="K43" s="88">
        <f>IFERROR(__xludf.DUMMYFUNCTION("""COMPUTED_VALUE"""),1.27312979E8)</f>
        <v>127312979</v>
      </c>
      <c r="L43" s="88">
        <f>IFERROR(__xludf.DUMMYFUNCTION("""COMPUTED_VALUE"""),0.321147)</f>
        <v>0.321147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IFERROR(__xludf.DUMMYFUNCTION("""COMPUTED_VALUE"""),121.14)</f>
        <v>121.14</v>
      </c>
      <c r="C44">
        <f>IFERROR(__xludf.DUMMYFUNCTION("""COMPUTED_VALUE"""),121.65)</f>
        <v>121.65</v>
      </c>
      <c r="D44" s="88">
        <f>IFERROR(__xludf.DUMMYFUNCTION("""COMPUTED_VALUE"""),120.4)</f>
        <v>120.4</v>
      </c>
      <c r="E44" s="88">
        <f>IFERROR(__xludf.DUMMYFUNCTION("""COMPUTED_VALUE"""),120.96)</f>
        <v>120.96</v>
      </c>
      <c r="F44" s="88">
        <f>IFERROR(__xludf.DUMMYFUNCTION("""COMPUTED_VALUE"""),1.26206057E8)</f>
        <v>126206057</v>
      </c>
      <c r="G44" s="88">
        <f>IFERROR(__xludf.DUMMYFUNCTION("""COMPUTED_VALUE"""),108.387510907357)</f>
        <v>108.3875109</v>
      </c>
      <c r="H44" s="88">
        <f>IFERROR(__xludf.DUMMYFUNCTION("""COMPUTED_VALUE"""),108.843822865114)</f>
        <v>108.8438229</v>
      </c>
      <c r="I44" s="88">
        <f>IFERROR(__xludf.DUMMYFUNCTION("""COMPUTED_VALUE"""),107.725411203944)</f>
        <v>107.7254112</v>
      </c>
      <c r="J44" s="88">
        <f>IFERROR(__xludf.DUMMYFUNCTION("""COMPUTED_VALUE"""),108.226459628148)</f>
        <v>108.2264596</v>
      </c>
      <c r="K44" s="88">
        <f>IFERROR(__xludf.DUMMYFUNCTION("""COMPUTED_VALUE"""),1.26206057E8)</f>
        <v>126206057</v>
      </c>
      <c r="L44" s="88">
        <f>IFERROR(__xludf.DUMMYFUNCTION("""COMPUTED_VALUE"""),0.322811)</f>
        <v>0.322811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IFERROR(__xludf.DUMMYFUNCTION("""COMPUTED_VALUE"""),121.23)</f>
        <v>121.23</v>
      </c>
      <c r="C45">
        <f>IFERROR(__xludf.DUMMYFUNCTION("""COMPUTED_VALUE"""),121.81)</f>
        <v>121.81</v>
      </c>
      <c r="D45" s="88">
        <f>IFERROR(__xludf.DUMMYFUNCTION("""COMPUTED_VALUE"""),120.54)</f>
        <v>120.54</v>
      </c>
      <c r="E45" s="88">
        <f>IFERROR(__xludf.DUMMYFUNCTION("""COMPUTED_VALUE"""),121.19)</f>
        <v>121.19</v>
      </c>
      <c r="F45" s="88">
        <f>IFERROR(__xludf.DUMMYFUNCTION("""COMPUTED_VALUE"""),1.18949501E8)</f>
        <v>118949501</v>
      </c>
      <c r="G45" s="88">
        <f>IFERROR(__xludf.DUMMYFUNCTION("""COMPUTED_VALUE"""),108.179476598026)</f>
        <v>108.1794766</v>
      </c>
      <c r="H45" s="88">
        <f>IFERROR(__xludf.DUMMYFUNCTION("""COMPUTED_VALUE"""),108.697039053086)</f>
        <v>108.6970391</v>
      </c>
      <c r="I45" s="88">
        <f>IFERROR(__xludf.DUMMYFUNCTION("""COMPUTED_VALUE"""),107.563755746318)</f>
        <v>107.5637557</v>
      </c>
      <c r="J45" s="88">
        <f>IFERROR(__xludf.DUMMYFUNCTION("""COMPUTED_VALUE"""),108.143782635608)</f>
        <v>108.1437826</v>
      </c>
      <c r="K45" s="88">
        <f>IFERROR(__xludf.DUMMYFUNCTION("""COMPUTED_VALUE"""),1.18949501E8)</f>
        <v>118949501</v>
      </c>
      <c r="L45" s="88">
        <f>IFERROR(__xludf.DUMMYFUNCTION("""COMPUTED_VALUE"""),0.320165)</f>
        <v>0.320165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IFERROR(__xludf.DUMMYFUNCTION("""COMPUTED_VALUE"""),121.61)</f>
        <v>121.61</v>
      </c>
      <c r="C46">
        <f>IFERROR(__xludf.DUMMYFUNCTION("""COMPUTED_VALUE"""),121.7)</f>
        <v>121.7</v>
      </c>
      <c r="D46" s="88">
        <f>IFERROR(__xludf.DUMMYFUNCTION("""COMPUTED_VALUE"""),120.06)</f>
        <v>120.06</v>
      </c>
      <c r="E46" s="88">
        <f>IFERROR(__xludf.DUMMYFUNCTION("""COMPUTED_VALUE"""),120.63)</f>
        <v>120.63</v>
      </c>
      <c r="F46" s="88">
        <f>IFERROR(__xludf.DUMMYFUNCTION("""COMPUTED_VALUE"""),1.34138427E8)</f>
        <v>134138427</v>
      </c>
      <c r="G46" s="88">
        <f>IFERROR(__xludf.DUMMYFUNCTION("""COMPUTED_VALUE"""),108.231738559959)</f>
        <v>108.2317386</v>
      </c>
      <c r="H46" s="88">
        <f>IFERROR(__xludf.DUMMYFUNCTION("""COMPUTED_VALUE"""),108.311837700412)</f>
        <v>108.3118377</v>
      </c>
      <c r="I46" s="88">
        <f>IFERROR(__xludf.DUMMYFUNCTION("""COMPUTED_VALUE"""),106.852253363282)</f>
        <v>106.8522534</v>
      </c>
      <c r="J46" s="88">
        <f>IFERROR(__xludf.DUMMYFUNCTION("""COMPUTED_VALUE"""),107.359547919479)</f>
        <v>107.3595479</v>
      </c>
      <c r="K46" s="88">
        <f>IFERROR(__xludf.DUMMYFUNCTION("""COMPUTED_VALUE"""),1.34138427E8)</f>
        <v>134138427</v>
      </c>
      <c r="L46" s="88">
        <f>IFERROR(__xludf.DUMMYFUNCTION("""COMPUTED_VALUE"""),0.317852)</f>
        <v>0.317852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IFERROR(__xludf.DUMMYFUNCTION("""COMPUTED_VALUE"""),121.11)</f>
        <v>121.11</v>
      </c>
      <c r="C47">
        <f>IFERROR(__xludf.DUMMYFUNCTION("""COMPUTED_VALUE"""),121.61)</f>
        <v>121.61</v>
      </c>
      <c r="D47" s="88">
        <f>IFERROR(__xludf.DUMMYFUNCTION("""COMPUTED_VALUE"""),119.5)</f>
        <v>119.5</v>
      </c>
      <c r="E47" s="88">
        <f>IFERROR(__xludf.DUMMYFUNCTION("""COMPUTED_VALUE"""),120.34)</f>
        <v>120.34</v>
      </c>
      <c r="F47" s="88">
        <f>IFERROR(__xludf.DUMMYFUNCTION("""COMPUTED_VALUE"""),1.03347986E8)</f>
        <v>103347986</v>
      </c>
      <c r="G47" s="88">
        <f>IFERROR(__xludf.DUMMYFUNCTION("""COMPUTED_VALUE"""),107.504877128798)</f>
        <v>107.5048771</v>
      </c>
      <c r="H47" s="88">
        <f>IFERROR(__xludf.DUMMYFUNCTION("""COMPUTED_VALUE"""),107.948708675032)</f>
        <v>107.9487087</v>
      </c>
      <c r="I47" s="88">
        <f>IFERROR(__xludf.DUMMYFUNCTION("""COMPUTED_VALUE"""),106.075739549924)</f>
        <v>106.0757395</v>
      </c>
      <c r="J47" s="88">
        <f>IFERROR(__xludf.DUMMYFUNCTION("""COMPUTED_VALUE"""),106.821376547597)</f>
        <v>106.8213765</v>
      </c>
      <c r="K47" s="88">
        <f>IFERROR(__xludf.DUMMYFUNCTION("""COMPUTED_VALUE"""),1.03347986E8)</f>
        <v>103347986</v>
      </c>
      <c r="L47" s="88">
        <f>IFERROR(__xludf.DUMMYFUNCTION("""COMPUTED_VALUE"""),0.320159)</f>
        <v>0.320159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IFERROR(__xludf.DUMMYFUNCTION("""COMPUTED_VALUE"""),120.51)</f>
        <v>120.51</v>
      </c>
      <c r="C48">
        <f>IFERROR(__xludf.DUMMYFUNCTION("""COMPUTED_VALUE"""),121.56)</f>
        <v>121.56</v>
      </c>
      <c r="D48" s="88">
        <f>IFERROR(__xludf.DUMMYFUNCTION("""COMPUTED_VALUE"""),119.67)</f>
        <v>119.67</v>
      </c>
      <c r="E48" s="88">
        <f>IFERROR(__xludf.DUMMYFUNCTION("""COMPUTED_VALUE"""),119.69)</f>
        <v>119.69</v>
      </c>
      <c r="F48" s="88">
        <f>IFERROR(__xludf.DUMMYFUNCTION("""COMPUTED_VALUE"""),1.15951467E8)</f>
        <v>115951467</v>
      </c>
      <c r="G48" s="88">
        <f>IFERROR(__xludf.DUMMYFUNCTION("""COMPUTED_VALUE"""),106.68747184982)</f>
        <v>106.6874718</v>
      </c>
      <c r="H48" s="88">
        <f>IFERROR(__xludf.DUMMYFUNCTION("""COMPUTED_VALUE"""),107.61703657841)</f>
        <v>107.6170366</v>
      </c>
      <c r="I48" s="88">
        <f>IFERROR(__xludf.DUMMYFUNCTION("""COMPUTED_VALUE"""),105.943820066949)</f>
        <v>105.9438201</v>
      </c>
      <c r="J48" s="88">
        <f>IFERROR(__xludf.DUMMYFUNCTION("""COMPUTED_VALUE"""),105.961526061779)</f>
        <v>105.9615261</v>
      </c>
      <c r="K48" s="88">
        <f>IFERROR(__xludf.DUMMYFUNCTION("""COMPUTED_VALUE"""),1.15951467E8)</f>
        <v>115951467</v>
      </c>
      <c r="L48" s="88">
        <f>IFERROR(__xludf.DUMMYFUNCTION("""COMPUTED_VALUE"""),0.31632)</f>
        <v>0.31632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IFERROR(__xludf.DUMMYFUNCTION("""COMPUTED_VALUE"""),120.25)</f>
        <v>120.25</v>
      </c>
      <c r="C49">
        <f>IFERROR(__xludf.DUMMYFUNCTION("""COMPUTED_VALUE"""),120.26)</f>
        <v>120.26</v>
      </c>
      <c r="D49" s="88">
        <f>IFERROR(__xludf.DUMMYFUNCTION("""COMPUTED_VALUE"""),118.05)</f>
        <v>118.05</v>
      </c>
      <c r="E49" s="88">
        <f>IFERROR(__xludf.DUMMYFUNCTION("""COMPUTED_VALUE"""),118.57)</f>
        <v>118.57</v>
      </c>
      <c r="F49" s="88">
        <f>IFERROR(__xludf.DUMMYFUNCTION("""COMPUTED_VALUE"""),7.9504275E7)</f>
        <v>79504275</v>
      </c>
      <c r="G49" s="88">
        <f>IFERROR(__xludf.DUMMYFUNCTION("""COMPUTED_VALUE"""),106.177317183353)</f>
        <v>106.1773172</v>
      </c>
      <c r="H49" s="88">
        <f>IFERROR(__xludf.DUMMYFUNCTION("""COMPUTED_VALUE"""),106.18614689788)</f>
        <v>106.1861469</v>
      </c>
      <c r="I49" s="88">
        <f>IFERROR(__xludf.DUMMYFUNCTION("""COMPUTED_VALUE"""),104.234779987483)</f>
        <v>104.23478</v>
      </c>
      <c r="J49" s="88">
        <f>IFERROR(__xludf.DUMMYFUNCTION("""COMPUTED_VALUE"""),104.693925142871)</f>
        <v>104.6939251</v>
      </c>
      <c r="K49" s="88">
        <f>IFERROR(__xludf.DUMMYFUNCTION("""COMPUTED_VALUE"""),7.9504275E7)</f>
        <v>79504275</v>
      </c>
      <c r="L49" s="88">
        <f>IFERROR(__xludf.DUMMYFUNCTION("""COMPUTED_VALUE"""),0.321658)</f>
        <v>0.321658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IFERROR(__xludf.DUMMYFUNCTION("""COMPUTED_VALUE"""),118.99)</f>
        <v>118.99</v>
      </c>
      <c r="C50">
        <f>IFERROR(__xludf.DUMMYFUNCTION("""COMPUTED_VALUE"""),119.66)</f>
        <v>119.66</v>
      </c>
      <c r="D50" s="88">
        <f>IFERROR(__xludf.DUMMYFUNCTION("""COMPUTED_VALUE"""),117.61)</f>
        <v>117.61</v>
      </c>
      <c r="E50" s="88">
        <f>IFERROR(__xludf.DUMMYFUNCTION("""COMPUTED_VALUE"""),117.64)</f>
        <v>117.64</v>
      </c>
      <c r="F50" s="88">
        <f>IFERROR(__xludf.DUMMYFUNCTION("""COMPUTED_VALUE"""),6.456166E7)</f>
        <v>64561660</v>
      </c>
      <c r="G50" s="88">
        <f>IFERROR(__xludf.DUMMYFUNCTION("""COMPUTED_VALUE"""),104.779876403337)</f>
        <v>104.7798764</v>
      </c>
      <c r="H50" s="88">
        <f>IFERROR(__xludf.DUMMYFUNCTION("""COMPUTED_VALUE"""),105.369863101297)</f>
        <v>105.3698631</v>
      </c>
      <c r="I50" s="88">
        <f>IFERROR(__xludf.DUMMYFUNCTION("""COMPUTED_VALUE"""),103.564679920972)</f>
        <v>103.5646799</v>
      </c>
      <c r="J50" s="88">
        <f>IFERROR(__xludf.DUMMYFUNCTION("""COMPUTED_VALUE"""),103.591097235806)</f>
        <v>103.5910972</v>
      </c>
      <c r="K50" s="88">
        <f>IFERROR(__xludf.DUMMYFUNCTION("""COMPUTED_VALUE"""),6.456166E7)</f>
        <v>64561660</v>
      </c>
      <c r="L50" s="88">
        <f>IFERROR(__xludf.DUMMYFUNCTION("""COMPUTED_VALUE"""),0.318218)</f>
        <v>0.318218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IFERROR(__xludf.DUMMYFUNCTION("""COMPUTED_VALUE"""),117.91)</f>
        <v>117.91</v>
      </c>
      <c r="C51">
        <f>IFERROR(__xludf.DUMMYFUNCTION("""COMPUTED_VALUE"""),118.1)</f>
        <v>118.1</v>
      </c>
      <c r="D51" s="88">
        <f>IFERROR(__xludf.DUMMYFUNCTION("""COMPUTED_VALUE"""),115.62)</f>
        <v>115.62</v>
      </c>
      <c r="E51" s="88">
        <f>IFERROR(__xludf.DUMMYFUNCTION("""COMPUTED_VALUE"""),117.61)</f>
        <v>117.61</v>
      </c>
      <c r="F51" s="88">
        <f>IFERROR(__xludf.DUMMYFUNCTION("""COMPUTED_VALUE"""),1.05756805E8)</f>
        <v>105756805</v>
      </c>
      <c r="G51" s="88">
        <f>IFERROR(__xludf.DUMMYFUNCTION("""COMPUTED_VALUE"""),103.549887288469)</f>
        <v>103.5498873</v>
      </c>
      <c r="H51" s="88">
        <f>IFERROR(__xludf.DUMMYFUNCTION("""COMPUTED_VALUE"""),103.716747424037)</f>
        <v>103.7167474</v>
      </c>
      <c r="I51" s="88">
        <f>IFERROR(__xludf.DUMMYFUNCTION("""COMPUTED_VALUE"""),101.538783549256)</f>
        <v>101.5387835</v>
      </c>
      <c r="J51" s="88">
        <f>IFERROR(__xludf.DUMMYFUNCTION("""COMPUTED_VALUE"""),103.28642391652)</f>
        <v>103.2864239</v>
      </c>
      <c r="K51" s="88">
        <f>IFERROR(__xludf.DUMMYFUNCTION("""COMPUTED_VALUE"""),1.05756805E8)</f>
        <v>105756805</v>
      </c>
      <c r="L51" s="88">
        <f>IFERROR(__xludf.DUMMYFUNCTION("""COMPUTED_VALUE"""),0.320823)</f>
        <v>0.320823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IFERROR(__xludf.DUMMYFUNCTION("""COMPUTED_VALUE"""),118.58)</f>
        <v>118.58</v>
      </c>
      <c r="C52">
        <f>IFERROR(__xludf.DUMMYFUNCTION("""COMPUTED_VALUE"""),118.87)</f>
        <v>118.87</v>
      </c>
      <c r="D52" s="88">
        <f>IFERROR(__xludf.DUMMYFUNCTION("""COMPUTED_VALUE"""),116.53)</f>
        <v>116.53</v>
      </c>
      <c r="E52" s="88">
        <f>IFERROR(__xludf.DUMMYFUNCTION("""COMPUTED_VALUE"""),116.78)</f>
        <v>116.78</v>
      </c>
      <c r="F52" s="88">
        <f>IFERROR(__xludf.DUMMYFUNCTION("""COMPUTED_VALUE"""),7.6149613E7)</f>
        <v>76149613</v>
      </c>
      <c r="G52" s="88">
        <f>IFERROR(__xludf.DUMMYFUNCTION("""COMPUTED_VALUE"""),103.854867331389)</f>
        <v>103.8548673</v>
      </c>
      <c r="H52" s="88">
        <f>IFERROR(__xludf.DUMMYFUNCTION("""COMPUTED_VALUE"""),104.108855453552)</f>
        <v>104.1088555</v>
      </c>
      <c r="I52" s="88">
        <f>IFERROR(__xludf.DUMMYFUNCTION("""COMPUTED_VALUE"""),102.059434054029)</f>
        <v>102.0594341</v>
      </c>
      <c r="J52" s="88">
        <f>IFERROR(__xludf.DUMMYFUNCTION("""COMPUTED_VALUE"""),102.278389331756)</f>
        <v>102.2783893</v>
      </c>
      <c r="K52" s="88">
        <f>IFERROR(__xludf.DUMMYFUNCTION("""COMPUTED_VALUE"""),7.6149613E7)</f>
        <v>76149613</v>
      </c>
      <c r="L52" s="88">
        <f>IFERROR(__xludf.DUMMYFUNCTION("""COMPUTED_VALUE"""),0.315822)</f>
        <v>0.315822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IFERROR(__xludf.DUMMYFUNCTION("""COMPUTED_VALUE"""),117.35)</f>
        <v>117.35</v>
      </c>
      <c r="C53">
        <f>IFERROR(__xludf.DUMMYFUNCTION("""COMPUTED_VALUE"""),118.54)</f>
        <v>118.54</v>
      </c>
      <c r="D53" s="88">
        <f>IFERROR(__xludf.DUMMYFUNCTION("""COMPUTED_VALUE"""),116.521)</f>
        <v>116.521</v>
      </c>
      <c r="E53" s="88">
        <f>IFERROR(__xludf.DUMMYFUNCTION("""COMPUTED_VALUE"""),116.95)</f>
        <v>116.95</v>
      </c>
      <c r="F53" s="88">
        <f>IFERROR(__xludf.DUMMYFUNCTION("""COMPUTED_VALUE"""),1.04016629E8)</f>
        <v>104016629</v>
      </c>
      <c r="G53" s="88">
        <f>IFERROR(__xludf.DUMMYFUNCTION("""COMPUTED_VALUE"""),102.500663532667)</f>
        <v>102.5006635</v>
      </c>
      <c r="H53" s="88">
        <f>IFERROR(__xludf.DUMMYFUNCTION("""COMPUTED_VALUE"""),103.540082276629)</f>
        <v>103.5400823</v>
      </c>
      <c r="I53" s="88">
        <f>IFERROR(__xludf.DUMMYFUNCTION("""COMPUTED_VALUE"""),101.776564256412)</f>
        <v>101.7765643</v>
      </c>
      <c r="J53" s="88">
        <f>IFERROR(__xludf.DUMMYFUNCTION("""COMPUTED_VALUE"""),102.151279080916)</f>
        <v>102.1512791</v>
      </c>
      <c r="K53" s="88">
        <f>IFERROR(__xludf.DUMMYFUNCTION("""COMPUTED_VALUE"""),1.04016629E8)</f>
        <v>104016629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IFERROR(__xludf.DUMMYFUNCTION("""COMPUTED_VALUE"""),117.18)</f>
        <v>117.18</v>
      </c>
      <c r="C54">
        <f>IFERROR(__xludf.DUMMYFUNCTION("""COMPUTED_VALUE"""),117.36)</f>
        <v>117.36</v>
      </c>
      <c r="D54" s="88">
        <f>IFERROR(__xludf.DUMMYFUNCTION("""COMPUTED_VALUE"""),115.55)</f>
        <v>115.55</v>
      </c>
      <c r="E54" s="88">
        <f>IFERROR(__xludf.DUMMYFUNCTION("""COMPUTED_VALUE"""),115.98)</f>
        <v>115.98</v>
      </c>
      <c r="F54" s="88">
        <f>IFERROR(__xludf.DUMMYFUNCTION("""COMPUTED_VALUE"""),1.20803667E8)</f>
        <v>120803667</v>
      </c>
      <c r="G54" s="88">
        <f>IFERROR(__xludf.DUMMYFUNCTION("""COMPUTED_VALUE"""),102.352175140673)</f>
        <v>102.3521751</v>
      </c>
      <c r="H54" s="88">
        <f>IFERROR(__xludf.DUMMYFUNCTION("""COMPUTED_VALUE"""),102.509398143961)</f>
        <v>102.5093981</v>
      </c>
      <c r="I54" s="88">
        <f>IFERROR(__xludf.DUMMYFUNCTION("""COMPUTED_VALUE"""),100.65313180253)</f>
        <v>100.6531318</v>
      </c>
      <c r="J54" s="88">
        <f>IFERROR(__xludf.DUMMYFUNCTION("""COMPUTED_VALUE"""),101.02769559894)</f>
        <v>101.0276956</v>
      </c>
      <c r="K54" s="88">
        <f>IFERROR(__xludf.DUMMYFUNCTION("""COMPUTED_VALUE"""),1.20803667E8)</f>
        <v>120803667</v>
      </c>
      <c r="L54" s="88">
        <f>IFERROR(__xludf.DUMMYFUNCTION("""COMPUTED_VALUE"""),0.63449)</f>
        <v>0.63449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IFERROR(__xludf.DUMMYFUNCTION("""COMPUTED_VALUE"""),116.84)</f>
        <v>116.84</v>
      </c>
      <c r="C55">
        <f>IFERROR(__xludf.DUMMYFUNCTION("""COMPUTED_VALUE"""),120.8967)</f>
        <v>120.8967</v>
      </c>
      <c r="D55" s="88">
        <f>IFERROR(__xludf.DUMMYFUNCTION("""COMPUTED_VALUE"""),116.04)</f>
        <v>116.04</v>
      </c>
      <c r="E55" s="88">
        <f>IFERROR(__xludf.DUMMYFUNCTION("""COMPUTED_VALUE"""),120.43)</f>
        <v>120.43</v>
      </c>
      <c r="F55" s="88">
        <f>IFERROR(__xludf.DUMMYFUNCTION("""COMPUTED_VALUE"""),1.24385725E8)</f>
        <v>124385725</v>
      </c>
      <c r="G55" s="88">
        <f>IFERROR(__xludf.DUMMYFUNCTION("""COMPUTED_VALUE"""),101.499312316291)</f>
        <v>101.4993123</v>
      </c>
      <c r="H55" s="88">
        <f>IFERROR(__xludf.DUMMYFUNCTION("""COMPUTED_VALUE"""),105.023381644205)</f>
        <v>105.0233816</v>
      </c>
      <c r="I55" s="88">
        <f>IFERROR(__xludf.DUMMYFUNCTION("""COMPUTED_VALUE"""),100.804349547949)</f>
        <v>100.8043495</v>
      </c>
      <c r="J55" s="88">
        <f>IFERROR(__xludf.DUMMYFUNCTION("""COMPUTED_VALUE"""),104.617957739223)</f>
        <v>104.6179577</v>
      </c>
      <c r="K55" s="88">
        <f>IFERROR(__xludf.DUMMYFUNCTION("""COMPUTED_VALUE"""),1.24385725E8)</f>
        <v>124385725</v>
      </c>
      <c r="L55" s="88">
        <f>IFERROR(__xludf.DUMMYFUNCTION("""COMPUTED_VALUE"""),0.318393)</f>
        <v>0.318393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IFERROR(__xludf.DUMMYFUNCTION("""COMPUTED_VALUE"""),120.98)</f>
        <v>120.98</v>
      </c>
      <c r="C56">
        <f>IFERROR(__xludf.DUMMYFUNCTION("""COMPUTED_VALUE"""),122.95)</f>
        <v>122.95</v>
      </c>
      <c r="D56" s="88">
        <f>IFERROR(__xludf.DUMMYFUNCTION("""COMPUTED_VALUE"""),120.73)</f>
        <v>120.73</v>
      </c>
      <c r="E56" s="88">
        <f>IFERROR(__xludf.DUMMYFUNCTION("""COMPUTED_VALUE"""),122.92)</f>
        <v>122.92</v>
      </c>
      <c r="F56" s="88">
        <f>IFERROR(__xludf.DUMMYFUNCTION("""COMPUTED_VALUE"""),9.9610939E7)</f>
        <v>99610939</v>
      </c>
      <c r="G56" s="88">
        <f>IFERROR(__xludf.DUMMYFUNCTION("""COMPUTED_VALUE"""),104.818808496962)</f>
        <v>104.8188085</v>
      </c>
      <c r="H56" s="88">
        <f>IFERROR(__xludf.DUMMYFUNCTION("""COMPUTED_VALUE"""),106.525644773528)</f>
        <v>106.5256448</v>
      </c>
      <c r="I56" s="88">
        <f>IFERROR(__xludf.DUMMYFUNCTION("""COMPUTED_VALUE"""),104.602204908565)</f>
        <v>104.6022049</v>
      </c>
      <c r="J56" s="88">
        <f>IFERROR(__xludf.DUMMYFUNCTION("""COMPUTED_VALUE"""),106.499652342921)</f>
        <v>106.4996523</v>
      </c>
      <c r="K56" s="88">
        <f>IFERROR(__xludf.DUMMYFUNCTION("""COMPUTED_VALUE"""),9.9610939E7)</f>
        <v>99610939</v>
      </c>
      <c r="L56" s="88">
        <f>IFERROR(__xludf.DUMMYFUNCTION("""COMPUTED_VALUE"""),0.321732)</f>
        <v>0.321732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IFERROR(__xludf.DUMMYFUNCTION("""COMPUTED_VALUE"""),123.18)</f>
        <v>123.18</v>
      </c>
      <c r="C57">
        <f>IFERROR(__xludf.DUMMYFUNCTION("""COMPUTED_VALUE"""),124.0399)</f>
        <v>124.0399</v>
      </c>
      <c r="D57" s="88">
        <f>IFERROR(__xludf.DUMMYFUNCTION("""COMPUTED_VALUE"""),121.05)</f>
        <v>121.05</v>
      </c>
      <c r="E57" s="88">
        <f>IFERROR(__xludf.DUMMYFUNCTION("""COMPUTED_VALUE"""),123.2)</f>
        <v>123.2</v>
      </c>
      <c r="F57" s="88">
        <f>IFERROR(__xludf.DUMMYFUNCTION("""COMPUTED_VALUE"""),1.2879117E8)</f>
        <v>128791170</v>
      </c>
      <c r="G57" s="88">
        <f>IFERROR(__xludf.DUMMYFUNCTION("""COMPUTED_VALUE"""),106.445376495793)</f>
        <v>106.4453765</v>
      </c>
      <c r="H57" s="88">
        <f>IFERROR(__xludf.DUMMYFUNCTION("""COMPUTED_VALUE"""),107.188454749151)</f>
        <v>107.1884547</v>
      </c>
      <c r="I57" s="88">
        <f>IFERROR(__xludf.DUMMYFUNCTION("""COMPUTED_VALUE"""),104.604747725407)</f>
        <v>104.6047477</v>
      </c>
      <c r="J57" s="88">
        <f>IFERROR(__xludf.DUMMYFUNCTION("""COMPUTED_VALUE"""),106.462659395045)</f>
        <v>106.4626594</v>
      </c>
      <c r="K57" s="88">
        <f>IFERROR(__xludf.DUMMYFUNCTION("""COMPUTED_VALUE"""),1.2879117E8)</f>
        <v>128791170</v>
      </c>
      <c r="L57" s="88">
        <f>IFERROR(__xludf.DUMMYFUNCTION("""COMPUTED_VALUE"""),0.319804)</f>
        <v>0.319804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IFERROR(__xludf.DUMMYFUNCTION("""COMPUTED_VALUE"""),123.89)</f>
        <v>123.89</v>
      </c>
      <c r="C58">
        <f>IFERROR(__xludf.DUMMYFUNCTION("""COMPUTED_VALUE"""),124.45)</f>
        <v>124.45</v>
      </c>
      <c r="D58" s="88">
        <f>IFERROR(__xludf.DUMMYFUNCTION("""COMPUTED_VALUE"""),122.11)</f>
        <v>122.11</v>
      </c>
      <c r="E58" s="88">
        <f>IFERROR(__xludf.DUMMYFUNCTION("""COMPUTED_VALUE"""),123.32)</f>
        <v>123.32</v>
      </c>
      <c r="F58" s="88">
        <f>IFERROR(__xludf.DUMMYFUNCTION("""COMPUTED_VALUE"""),1.1000219E8)</f>
        <v>110002190</v>
      </c>
      <c r="G58" s="88">
        <f>IFERROR(__xludf.DUMMYFUNCTION("""COMPUTED_VALUE"""),106.782561966417)</f>
        <v>106.782562</v>
      </c>
      <c r="H58" s="88">
        <f>IFERROR(__xludf.DUMMYFUNCTION("""COMPUTED_VALUE"""),107.265233971431)</f>
        <v>107.265234</v>
      </c>
      <c r="I58" s="88">
        <f>IFERROR(__xludf.DUMMYFUNCTION("""COMPUTED_VALUE"""),105.248354521908)</f>
        <v>105.2483545</v>
      </c>
      <c r="J58" s="88">
        <f>IFERROR(__xludf.DUMMYFUNCTION("""COMPUTED_VALUE"""),106.291270818456)</f>
        <v>106.2912708</v>
      </c>
      <c r="K58" s="88">
        <f>IFERROR(__xludf.DUMMYFUNCTION("""COMPUTED_VALUE"""),1.1000219E8)</f>
        <v>110002190</v>
      </c>
      <c r="L58" s="88">
        <f>IFERROR(__xludf.DUMMYFUNCTION("""COMPUTED_VALUE"""),0.322706)</f>
        <v>0.322706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IFERROR(__xludf.DUMMYFUNCTION("""COMPUTED_VALUE"""),123.99)</f>
        <v>123.99</v>
      </c>
      <c r="C59">
        <f>IFERROR(__xludf.DUMMYFUNCTION("""COMPUTED_VALUE"""),124.48)</f>
        <v>124.48</v>
      </c>
      <c r="D59" s="88">
        <f>IFERROR(__xludf.DUMMYFUNCTION("""COMPUTED_VALUE"""),122.755)</f>
        <v>122.755</v>
      </c>
      <c r="E59" s="88">
        <f>IFERROR(__xludf.DUMMYFUNCTION("""COMPUTED_VALUE"""),122.99)</f>
        <v>122.99</v>
      </c>
      <c r="F59" s="88">
        <f>IFERROR(__xludf.DUMMYFUNCTION("""COMPUTED_VALUE"""),9.1445963E7)</f>
        <v>91445963</v>
      </c>
      <c r="G59" s="88">
        <f>IFERROR(__xludf.DUMMYFUNCTION("""COMPUTED_VALUE"""),106.589035405645)</f>
        <v>106.5890354</v>
      </c>
      <c r="H59" s="88">
        <f>IFERROR(__xludf.DUMMYFUNCTION("""COMPUTED_VALUE"""),107.010267983666)</f>
        <v>107.010268</v>
      </c>
      <c r="I59" s="88">
        <f>IFERROR(__xludf.DUMMYFUNCTION("""COMPUTED_VALUE"""),105.527357377369)</f>
        <v>105.5273574</v>
      </c>
      <c r="J59" s="88">
        <f>IFERROR(__xludf.DUMMYFUNCTION("""COMPUTED_VALUE"""),105.729377083155)</f>
        <v>105.7293771</v>
      </c>
      <c r="K59" s="88">
        <f>IFERROR(__xludf.DUMMYFUNCTION("""COMPUTED_VALUE"""),9.1445963E7)</f>
        <v>91445963</v>
      </c>
      <c r="L59" s="88">
        <f>IFERROR(__xludf.DUMMYFUNCTION("""COMPUTED_VALUE"""),0.331456)</f>
        <v>0.331456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IFERROR(__xludf.DUMMYFUNCTION("""COMPUTED_VALUE"""),122.735)</f>
        <v>122.735</v>
      </c>
      <c r="C60">
        <f>IFERROR(__xludf.DUMMYFUNCTION("""COMPUTED_VALUE"""),122.84)</f>
        <v>122.84</v>
      </c>
      <c r="D60" s="88">
        <f>IFERROR(__xludf.DUMMYFUNCTION("""COMPUTED_VALUE"""),119.04)</f>
        <v>119.04</v>
      </c>
      <c r="E60" s="88">
        <f>IFERROR(__xludf.DUMMYFUNCTION("""COMPUTED_VALUE"""),119.28)</f>
        <v>119.28</v>
      </c>
      <c r="F60" s="88">
        <f>IFERROR(__xludf.DUMMYFUNCTION("""COMPUTED_VALUE"""),9.9978405E7)</f>
        <v>99978405</v>
      </c>
      <c r="G60" s="88">
        <f>IFERROR(__xludf.DUMMYFUNCTION("""COMPUTED_VALUE"""),105.226718236763)</f>
        <v>105.2267182</v>
      </c>
      <c r="H60" s="88">
        <f>IFERROR(__xludf.DUMMYFUNCTION("""COMPUTED_VALUE"""),105.316739872115)</f>
        <v>105.3167399</v>
      </c>
      <c r="I60" s="88">
        <f>IFERROR(__xludf.DUMMYFUNCTION("""COMPUTED_VALUE"""),102.058814021301)</f>
        <v>102.058814</v>
      </c>
      <c r="J60" s="88">
        <f>IFERROR(__xludf.DUMMYFUNCTION("""COMPUTED_VALUE"""),102.264577759247)</f>
        <v>102.2645778</v>
      </c>
      <c r="K60" s="88">
        <f>IFERROR(__xludf.DUMMYFUNCTION("""COMPUTED_VALUE"""),9.9978405E7)</f>
        <v>99978405</v>
      </c>
      <c r="L60" s="88">
        <f>IFERROR(__xludf.DUMMYFUNCTION("""COMPUTED_VALUE"""),0.334141)</f>
        <v>0.334141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IFERROR(__xludf.DUMMYFUNCTION("""COMPUTED_VALUE"""),119.39)</f>
        <v>119.39</v>
      </c>
      <c r="C61">
        <f>IFERROR(__xludf.DUMMYFUNCTION("""COMPUTED_VALUE"""),120.24)</f>
        <v>120.24</v>
      </c>
      <c r="D61" s="88">
        <f>IFERROR(__xludf.DUMMYFUNCTION("""COMPUTED_VALUE"""),118.44)</f>
        <v>118.44</v>
      </c>
      <c r="E61" s="88">
        <f>IFERROR(__xludf.DUMMYFUNCTION("""COMPUTED_VALUE"""),119.95)</f>
        <v>119.95</v>
      </c>
      <c r="F61" s="88">
        <f>IFERROR(__xludf.DUMMYFUNCTION("""COMPUTED_VALUE"""),8.8293441E7)</f>
        <v>88293441</v>
      </c>
      <c r="G61" s="88">
        <f>IFERROR(__xludf.DUMMYFUNCTION("""COMPUTED_VALUE"""),102.072612471154)</f>
        <v>102.0726125</v>
      </c>
      <c r="H61" s="88">
        <f>IFERROR(__xludf.DUMMYFUNCTION("""COMPUTED_VALUE"""),102.799320910726)</f>
        <v>102.7993209</v>
      </c>
      <c r="I61" s="88">
        <f>IFERROR(__xludf.DUMMYFUNCTION("""COMPUTED_VALUE"""),101.260408921044)</f>
        <v>101.2604089</v>
      </c>
      <c r="J61" s="88">
        <f>IFERROR(__xludf.DUMMYFUNCTION("""COMPUTED_VALUE"""),102.551385090166)</f>
        <v>102.5513851</v>
      </c>
      <c r="K61" s="88">
        <f>IFERROR(__xludf.DUMMYFUNCTION("""COMPUTED_VALUE"""),8.8293441E7)</f>
        <v>88293441</v>
      </c>
      <c r="L61" s="88">
        <f>IFERROR(__xludf.DUMMYFUNCTION("""COMPUTED_VALUE"""),0.32467)</f>
        <v>0.32467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IFERROR(__xludf.DUMMYFUNCTION("""COMPUTED_VALUE"""),120.33)</f>
        <v>120.33</v>
      </c>
      <c r="C62">
        <f>IFERROR(__xludf.DUMMYFUNCTION("""COMPUTED_VALUE"""),120.42)</f>
        <v>120.42</v>
      </c>
      <c r="D62" s="88">
        <f>IFERROR(__xludf.DUMMYFUNCTION("""COMPUTED_VALUE"""),118.19)</f>
        <v>118.19</v>
      </c>
      <c r="E62" s="88">
        <f>IFERROR(__xludf.DUMMYFUNCTION("""COMPUTED_VALUE"""),118.65)</f>
        <v>118.65</v>
      </c>
      <c r="F62" s="88">
        <f>IFERROR(__xludf.DUMMYFUNCTION("""COMPUTED_VALUE"""),7.1454146E7)</f>
        <v>71454146</v>
      </c>
      <c r="G62" s="88">
        <f>IFERROR(__xludf.DUMMYFUNCTION("""COMPUTED_VALUE"""),102.598330756794)</f>
        <v>102.5983308</v>
      </c>
      <c r="H62" s="88">
        <f>IFERROR(__xludf.DUMMYFUNCTION("""COMPUTED_VALUE"""),102.675068476134)</f>
        <v>102.6750685</v>
      </c>
      <c r="I62" s="88">
        <f>IFERROR(__xludf.DUMMYFUNCTION("""COMPUTED_VALUE"""),100.773678319168)</f>
        <v>100.7736783</v>
      </c>
      <c r="J62" s="88">
        <f>IFERROR(__xludf.DUMMYFUNCTION("""COMPUTED_VALUE"""),101.165893329125)</f>
        <v>101.1658933</v>
      </c>
      <c r="K62" s="88">
        <f>IFERROR(__xludf.DUMMYFUNCTION("""COMPUTED_VALUE"""),7.1454146E7)</f>
        <v>71454146</v>
      </c>
      <c r="L62" s="88">
        <f>IFERROR(__xludf.DUMMYFUNCTION("""COMPUTED_VALUE"""),0.332232)</f>
        <v>0.332232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IFERROR(__xludf.DUMMYFUNCTION("""COMPUTED_VALUE"""),118.82)</f>
        <v>118.82</v>
      </c>
      <c r="C63">
        <f>IFERROR(__xludf.DUMMYFUNCTION("""COMPUTED_VALUE"""),118.86)</f>
        <v>118.86</v>
      </c>
      <c r="D63" s="88">
        <f>IFERROR(__xludf.DUMMYFUNCTION("""COMPUTED_VALUE"""),113.82)</f>
        <v>113.82</v>
      </c>
      <c r="E63" s="88">
        <f>IFERROR(__xludf.DUMMYFUNCTION("""COMPUTED_VALUE"""),115.11)</f>
        <v>115.11</v>
      </c>
      <c r="F63" s="88">
        <f>IFERROR(__xludf.DUMMYFUNCTION("""COMPUTED_VALUE"""),9.0287246E7)</f>
        <v>90287246</v>
      </c>
      <c r="G63" s="88">
        <f>IFERROR(__xludf.DUMMYFUNCTION("""COMPUTED_VALUE"""),101.028475965825)</f>
        <v>101.028476</v>
      </c>
      <c r="H63" s="88">
        <f>IFERROR(__xludf.DUMMYFUNCTION("""COMPUTED_VALUE"""),101.062486562009)</f>
        <v>101.0624866</v>
      </c>
      <c r="I63" s="88">
        <f>IFERROR(__xludf.DUMMYFUNCTION("""COMPUTED_VALUE"""),96.7771514427722)</f>
        <v>96.77715144</v>
      </c>
      <c r="J63" s="88">
        <f>IFERROR(__xludf.DUMMYFUNCTION("""COMPUTED_VALUE"""),97.8739931697198)</f>
        <v>97.87399317</v>
      </c>
      <c r="K63" s="88">
        <f>IFERROR(__xludf.DUMMYFUNCTION("""COMPUTED_VALUE"""),9.0287246E7)</f>
        <v>90287246</v>
      </c>
      <c r="L63" s="88">
        <f>IFERROR(__xludf.DUMMYFUNCTION("""COMPUTED_VALUE"""),0.335004)</f>
        <v>0.335004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IFERROR(__xludf.DUMMYFUNCTION("""COMPUTED_VALUE"""),115.01)</f>
        <v>115.01</v>
      </c>
      <c r="C64">
        <f>IFERROR(__xludf.DUMMYFUNCTION("""COMPUTED_VALUE"""),115.11)</f>
        <v>115.11</v>
      </c>
      <c r="D64" s="88">
        <f>IFERROR(__xludf.DUMMYFUNCTION("""COMPUTED_VALUE"""),112.674)</f>
        <v>112.674</v>
      </c>
      <c r="E64" s="88">
        <f>IFERROR(__xludf.DUMMYFUNCTION("""COMPUTED_VALUE"""),113.49)</f>
        <v>113.49</v>
      </c>
      <c r="F64" s="88">
        <f>IFERROR(__xludf.DUMMYFUNCTION("""COMPUTED_VALUE"""),8.9233683E7)</f>
        <v>89233683</v>
      </c>
      <c r="G64" s="88">
        <f>IFERROR(__xludf.DUMMYFUNCTION("""COMPUTED_VALUE"""),97.502568166798)</f>
        <v>97.50256817</v>
      </c>
      <c r="H64" s="88">
        <f>IFERROR(__xludf.DUMMYFUNCTION("""COMPUTED_VALUE"""),97.5873456367283)</f>
        <v>97.58734564</v>
      </c>
      <c r="I64" s="88">
        <f>IFERROR(__xludf.DUMMYFUNCTION("""COMPUTED_VALUE"""),95.522166469227)</f>
        <v>95.52216647</v>
      </c>
      <c r="J64" s="88">
        <f>IFERROR(__xludf.DUMMYFUNCTION("""COMPUTED_VALUE"""),96.213950623858)</f>
        <v>96.21395062</v>
      </c>
      <c r="K64" s="88">
        <f>IFERROR(__xludf.DUMMYFUNCTION("""COMPUTED_VALUE"""),8.9233683E7)</f>
        <v>89233683</v>
      </c>
      <c r="L64" s="88">
        <f>IFERROR(__xludf.DUMMYFUNCTION("""COMPUTED_VALUE"""),0.337158)</f>
        <v>0.337158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IFERROR(__xludf.DUMMYFUNCTION("""COMPUTED_VALUE"""),114.15)</f>
        <v>114.15</v>
      </c>
      <c r="C65">
        <f>IFERROR(__xludf.DUMMYFUNCTION("""COMPUTED_VALUE"""),115.0)</f>
        <v>115</v>
      </c>
      <c r="D65" s="88">
        <f>IFERROR(__xludf.DUMMYFUNCTION("""COMPUTED_VALUE"""),113.19)</f>
        <v>113.19</v>
      </c>
      <c r="E65" s="88">
        <f>IFERROR(__xludf.DUMMYFUNCTION("""COMPUTED_VALUE"""),114.15)</f>
        <v>114.15</v>
      </c>
      <c r="F65" s="88">
        <f>IFERROR(__xludf.DUMMYFUNCTION("""COMPUTED_VALUE"""),8.1298297E7)</f>
        <v>81298297</v>
      </c>
      <c r="G65" s="88">
        <f>IFERROR(__xludf.DUMMYFUNCTION("""COMPUTED_VALUE"""),96.4867364420541)</f>
        <v>96.48673644</v>
      </c>
      <c r="H65" s="88">
        <f>IFERROR(__xludf.DUMMYFUNCTION("""COMPUTED_VALUE"""),97.205209731373)</f>
        <v>97.20520973</v>
      </c>
      <c r="I65" s="88">
        <f>IFERROR(__xludf.DUMMYFUNCTION("""COMPUTED_VALUE"""),95.6752842564705)</f>
        <v>95.67528426</v>
      </c>
      <c r="J65" s="88">
        <f>IFERROR(__xludf.DUMMYFUNCTION("""COMPUTED_VALUE"""),96.4867364420541)</f>
        <v>96.48673644</v>
      </c>
      <c r="K65" s="88">
        <f>IFERROR(__xludf.DUMMYFUNCTION("""COMPUTED_VALUE"""),8.1298297E7)</f>
        <v>81298297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IFERROR(__xludf.DUMMYFUNCTION("""COMPUTED_VALUE"""),114.01)</f>
        <v>114.01</v>
      </c>
      <c r="C66">
        <f>IFERROR(__xludf.DUMMYFUNCTION("""COMPUTED_VALUE"""),116.47)</f>
        <v>116.47</v>
      </c>
      <c r="D66" s="88">
        <f>IFERROR(__xludf.DUMMYFUNCTION("""COMPUTED_VALUE"""),113.7)</f>
        <v>113.7</v>
      </c>
      <c r="E66" s="88">
        <f>IFERROR(__xludf.DUMMYFUNCTION("""COMPUTED_VALUE"""),115.64)</f>
        <v>115.64</v>
      </c>
      <c r="F66" s="88">
        <f>IFERROR(__xludf.DUMMYFUNCTION("""COMPUTED_VALUE"""),7.692957E7)</f>
        <v>76929570</v>
      </c>
      <c r="G66" s="88">
        <f>IFERROR(__xludf.DUMMYFUNCTION("""COMPUTED_VALUE"""),96.3683996649899)</f>
        <v>96.36839966</v>
      </c>
      <c r="H66" s="88">
        <f>IFERROR(__xludf.DUMMYFUNCTION("""COMPUTED_VALUE"""),98.1716055759897)</f>
        <v>98.17160558</v>
      </c>
      <c r="I66" s="88">
        <f>IFERROR(__xludf.DUMMYFUNCTION("""COMPUTED_VALUE"""),95.8367953463556)</f>
        <v>95.83679535</v>
      </c>
      <c r="J66" s="88">
        <f>IFERROR(__xludf.DUMMYFUNCTION("""COMPUTED_VALUE"""),97.4720053988791)</f>
        <v>97.4720054</v>
      </c>
      <c r="K66" s="88">
        <f>IFERROR(__xludf.DUMMYFUNCTION("""COMPUTED_VALUE"""),7.692957E7)</f>
        <v>76929570</v>
      </c>
      <c r="L66" s="88">
        <f>IFERROR(__xludf.DUMMYFUNCTION("""COMPUTED_VALUE"""),0.650741999999999)</f>
        <v>0.650742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IFERROR(__xludf.DUMMYFUNCTION("""COMPUTED_VALUE"""),115.91)</f>
        <v>115.91</v>
      </c>
      <c r="C67">
        <f>IFERROR(__xludf.DUMMYFUNCTION("""COMPUTED_VALUE"""),116.0)</f>
        <v>116</v>
      </c>
      <c r="D67" s="88">
        <f>IFERROR(__xludf.DUMMYFUNCTION("""COMPUTED_VALUE"""),114.43)</f>
        <v>114.43</v>
      </c>
      <c r="E67" s="88">
        <f>IFERROR(__xludf.DUMMYFUNCTION("""COMPUTED_VALUE"""),115.8)</f>
        <v>115.8</v>
      </c>
      <c r="F67" s="88">
        <f>IFERROR(__xludf.DUMMYFUNCTION("""COMPUTED_VALUE"""),5.6170866E7)</f>
        <v>56170866</v>
      </c>
      <c r="G67" s="88">
        <f>IFERROR(__xludf.DUMMYFUNCTION("""COMPUTED_VALUE"""),97.424728807084)</f>
        <v>97.42472881</v>
      </c>
      <c r="H67" s="88">
        <f>IFERROR(__xludf.DUMMYFUNCTION("""COMPUTED_VALUE"""),97.5003756502609)</f>
        <v>97.50037565</v>
      </c>
      <c r="I67" s="88">
        <f>IFERROR(__xludf.DUMMYFUNCTION("""COMPUTED_VALUE"""),96.1807584970634)</f>
        <v>96.1807585</v>
      </c>
      <c r="J67" s="88">
        <f>IFERROR(__xludf.DUMMYFUNCTION("""COMPUTED_VALUE"""),97.3322715543122)</f>
        <v>97.33227155</v>
      </c>
      <c r="K67" s="88">
        <f>IFERROR(__xludf.DUMMYFUNCTION("""COMPUTED_VALUE"""),5.6170866E7)</f>
        <v>56170866</v>
      </c>
      <c r="L67" s="88">
        <f>IFERROR(__xludf.DUMMYFUNCTION("""COMPUTED_VALUE"""),0.330749)</f>
        <v>0.330749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IFERROR(__xludf.DUMMYFUNCTION("""COMPUTED_VALUE"""),116.42)</f>
        <v>116.42</v>
      </c>
      <c r="C68">
        <f>IFERROR(__xludf.DUMMYFUNCTION("""COMPUTED_VALUE"""),117.78)</f>
        <v>117.78</v>
      </c>
      <c r="D68" s="88">
        <f>IFERROR(__xludf.DUMMYFUNCTION("""COMPUTED_VALUE"""),115.57)</f>
        <v>115.57</v>
      </c>
      <c r="E68" s="88">
        <f>IFERROR(__xludf.DUMMYFUNCTION("""COMPUTED_VALUE"""),115.74)</f>
        <v>115.74</v>
      </c>
      <c r="F68" s="88">
        <f>IFERROR(__xludf.DUMMYFUNCTION("""COMPUTED_VALUE"""),7.7038771E7)</f>
        <v>77038771</v>
      </c>
      <c r="G68" s="88">
        <f>IFERROR(__xludf.DUMMYFUNCTION("""COMPUTED_VALUE"""),97.5741956391272)</f>
        <v>97.57419564</v>
      </c>
      <c r="H68" s="88">
        <f>IFERROR(__xludf.DUMMYFUNCTION("""COMPUTED_VALUE"""),98.7140419376087)</f>
        <v>98.71404194</v>
      </c>
      <c r="I68" s="88">
        <f>IFERROR(__xludf.DUMMYFUNCTION("""COMPUTED_VALUE"""),96.8617917025763)</f>
        <v>96.8617917</v>
      </c>
      <c r="J68" s="88">
        <f>IFERROR(__xludf.DUMMYFUNCTION("""COMPUTED_VALUE"""),97.0042724898865)</f>
        <v>97.00427249</v>
      </c>
      <c r="K68" s="88">
        <f>IFERROR(__xludf.DUMMYFUNCTION("""COMPUTED_VALUE"""),7.7038771E7)</f>
        <v>77038771</v>
      </c>
      <c r="L68" s="88">
        <f>IFERROR(__xludf.DUMMYFUNCTION("""COMPUTED_VALUE"""),0.334097)</f>
        <v>0.334097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IFERROR(__xludf.DUMMYFUNCTION("""COMPUTED_VALUE"""),116.09)</f>
        <v>116.09</v>
      </c>
      <c r="C69">
        <f>IFERROR(__xludf.DUMMYFUNCTION("""COMPUTED_VALUE"""),116.515)</f>
        <v>116.515</v>
      </c>
      <c r="D69" s="88">
        <f>IFERROR(__xludf.DUMMYFUNCTION("""COMPUTED_VALUE"""),114.64)</f>
        <v>114.64</v>
      </c>
      <c r="E69" s="88">
        <f>IFERROR(__xludf.DUMMYFUNCTION("""COMPUTED_VALUE"""),115.06)</f>
        <v>115.06</v>
      </c>
      <c r="F69" s="88">
        <f>IFERROR(__xludf.DUMMYFUNCTION("""COMPUTED_VALUE"""),6.86879E7)</f>
        <v>68687900</v>
      </c>
      <c r="G69" s="88">
        <f>IFERROR(__xludf.DUMMYFUNCTION("""COMPUTED_VALUE"""),97.0175386553694)</f>
        <v>97.01753866</v>
      </c>
      <c r="H69" s="88">
        <f>IFERROR(__xludf.DUMMYFUNCTION("""COMPUTED_VALUE"""),97.3727152763405)</f>
        <v>97.37271528</v>
      </c>
      <c r="I69" s="88">
        <f>IFERROR(__xludf.DUMMYFUNCTION("""COMPUTED_VALUE"""),95.8057595955858)</f>
        <v>95.8057596</v>
      </c>
      <c r="J69" s="88">
        <f>IFERROR(__xludf.DUMMYFUNCTION("""COMPUTED_VALUE"""),96.1567576680748)</f>
        <v>96.15675767</v>
      </c>
      <c r="K69" s="88">
        <f>IFERROR(__xludf.DUMMYFUNCTION("""COMPUTED_VALUE"""),6.86879E7)</f>
        <v>68687900</v>
      </c>
      <c r="L69" s="88">
        <f>IFERROR(__xludf.DUMMYFUNCTION("""COMPUTED_VALUE"""),0.334864)</f>
        <v>0.334864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IFERROR(__xludf.DUMMYFUNCTION("""COMPUTED_VALUE"""),115.06)</f>
        <v>115.06</v>
      </c>
      <c r="C70">
        <f>IFERROR(__xludf.DUMMYFUNCTION("""COMPUTED_VALUE"""),116.59)</f>
        <v>116.59</v>
      </c>
      <c r="D70" s="88">
        <f>IFERROR(__xludf.DUMMYFUNCTION("""COMPUTED_VALUE"""),114.68)</f>
        <v>114.68</v>
      </c>
      <c r="E70" s="88">
        <f>IFERROR(__xludf.DUMMYFUNCTION("""COMPUTED_VALUE"""),115.86)</f>
        <v>115.86</v>
      </c>
      <c r="F70" s="88">
        <f>IFERROR(__xludf.DUMMYFUNCTION("""COMPUTED_VALUE"""),5.7993958E7)</f>
        <v>57993958</v>
      </c>
      <c r="G70" s="88">
        <f>IFERROR(__xludf.DUMMYFUNCTION("""COMPUTED_VALUE"""),95.8785884803009)</f>
        <v>95.87858848</v>
      </c>
      <c r="H70" s="88">
        <f>IFERROR(__xludf.DUMMYFUNCTION("""COMPUTED_VALUE"""),97.1535253860445)</f>
        <v>97.15352539</v>
      </c>
      <c r="I70" s="88">
        <f>IFERROR(__xludf.DUMMYFUNCTION("""COMPUTED_VALUE"""),95.5619374841031)</f>
        <v>95.56193748</v>
      </c>
      <c r="J70" s="88">
        <f>IFERROR(__xludf.DUMMYFUNCTION("""COMPUTED_VALUE"""),96.5452221565067)</f>
        <v>96.54522216</v>
      </c>
      <c r="K70" s="88">
        <f>IFERROR(__xludf.DUMMYFUNCTION("""COMPUTED_VALUE"""),5.7993958E7)</f>
        <v>57993958</v>
      </c>
      <c r="L70" s="88">
        <f>IFERROR(__xludf.DUMMYFUNCTION("""COMPUTED_VALUE"""),0.329521)</f>
        <v>0.329521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IFERROR(__xludf.DUMMYFUNCTION("""COMPUTED_VALUE"""),116.35)</f>
        <v>116.35</v>
      </c>
      <c r="C71">
        <f>IFERROR(__xludf.DUMMYFUNCTION("""COMPUTED_VALUE"""),116.86)</f>
        <v>116.86</v>
      </c>
      <c r="D71" s="88">
        <f>IFERROR(__xludf.DUMMYFUNCTION("""COMPUTED_VALUE"""),114.58)</f>
        <v>114.58</v>
      </c>
      <c r="E71" s="88">
        <f>IFERROR(__xludf.DUMMYFUNCTION("""COMPUTED_VALUE"""),115.03)</f>
        <v>115.03</v>
      </c>
      <c r="F71" s="88">
        <f>IFERROR(__xludf.DUMMYFUNCTION("""COMPUTED_VALUE"""),6.2177106E7)</f>
        <v>62177106</v>
      </c>
      <c r="G71" s="88">
        <f>IFERROR(__xludf.DUMMYFUNCTION("""COMPUTED_VALUE"""),96.6795826410685)</f>
        <v>96.67958264</v>
      </c>
      <c r="H71" s="88">
        <f>IFERROR(__xludf.DUMMYFUNCTION("""COMPUTED_VALUE"""),97.1033607858639)</f>
        <v>97.10336079</v>
      </c>
      <c r="I71" s="88">
        <f>IFERROR(__xludf.DUMMYFUNCTION("""COMPUTED_VALUE"""),95.2088231973668)</f>
        <v>95.2088232</v>
      </c>
      <c r="J71" s="88">
        <f>IFERROR(__xludf.DUMMYFUNCTION("""COMPUTED_VALUE"""),95.5827450898334)</f>
        <v>95.58274509</v>
      </c>
      <c r="K71" s="88">
        <f>IFERROR(__xludf.DUMMYFUNCTION("""COMPUTED_VALUE"""),6.2177106E7)</f>
        <v>62177106</v>
      </c>
      <c r="L71" s="88">
        <f>IFERROR(__xludf.DUMMYFUNCTION("""COMPUTED_VALUE"""),0.330396)</f>
        <v>0.330396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IFERROR(__xludf.DUMMYFUNCTION("""COMPUTED_VALUE"""),115.72)</f>
        <v>115.72</v>
      </c>
      <c r="C72">
        <f>IFERROR(__xludf.DUMMYFUNCTION("""COMPUTED_VALUE"""),117.99)</f>
        <v>117.99</v>
      </c>
      <c r="D72" s="88">
        <f>IFERROR(__xludf.DUMMYFUNCTION("""COMPUTED_VALUE"""),114.73)</f>
        <v>114.73</v>
      </c>
      <c r="E72" s="88">
        <f>IFERROR(__xludf.DUMMYFUNCTION("""COMPUTED_VALUE"""),117.86)</f>
        <v>117.86</v>
      </c>
      <c r="F72" s="88">
        <f>IFERROR(__xludf.DUMMYFUNCTION("""COMPUTED_VALUE"""),7.4036378E7)</f>
        <v>74036378</v>
      </c>
      <c r="G72" s="88">
        <f>IFERROR(__xludf.DUMMYFUNCTION("""COMPUTED_VALUE"""),95.8806738806133)</f>
        <v>95.88067388</v>
      </c>
      <c r="H72" s="88">
        <f>IFERROR(__xludf.DUMMYFUNCTION("""COMPUTED_VALUE"""),97.761499405233)</f>
        <v>97.76149941</v>
      </c>
      <c r="I72" s="88">
        <f>IFERROR(__xludf.DUMMYFUNCTION("""COMPUTED_VALUE"""),95.0604019557792)</f>
        <v>95.06040196</v>
      </c>
      <c r="J72" s="88">
        <f>IFERROR(__xludf.DUMMYFUNCTION("""COMPUTED_VALUE"""),97.6537869302548)</f>
        <v>97.65378693</v>
      </c>
      <c r="K72" s="88">
        <f>IFERROR(__xludf.DUMMYFUNCTION("""COMPUTED_VALUE"""),7.4036378E7)</f>
        <v>74036378</v>
      </c>
      <c r="L72" s="88">
        <f>IFERROR(__xludf.DUMMYFUNCTION("""COMPUTED_VALUE"""),0.32865)</f>
        <v>0.32865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IFERROR(__xludf.DUMMYFUNCTION("""COMPUTED_VALUE"""),118.27)</f>
        <v>118.27</v>
      </c>
      <c r="C73">
        <f>IFERROR(__xludf.DUMMYFUNCTION("""COMPUTED_VALUE"""),119.47)</f>
        <v>119.47</v>
      </c>
      <c r="D73" s="88">
        <f>IFERROR(__xludf.DUMMYFUNCTION("""COMPUTED_VALUE"""),117.11)</f>
        <v>117.11</v>
      </c>
      <c r="E73" s="88">
        <f>IFERROR(__xludf.DUMMYFUNCTION("""COMPUTED_VALUE"""),119.22)</f>
        <v>119.22</v>
      </c>
      <c r="F73" s="88">
        <f>IFERROR(__xludf.DUMMYFUNCTION("""COMPUTED_VALUE"""),6.0171288E7)</f>
        <v>60171288</v>
      </c>
      <c r="G73" s="88">
        <f>IFERROR(__xludf.DUMMYFUNCTION("""COMPUTED_VALUE"""),97.7196588248247)</f>
        <v>97.71965882</v>
      </c>
      <c r="H73" s="88">
        <f>IFERROR(__xludf.DUMMYFUNCTION("""COMPUTED_VALUE"""),98.7111494022306)</f>
        <v>98.7111494</v>
      </c>
      <c r="I73" s="88">
        <f>IFERROR(__xludf.DUMMYFUNCTION("""COMPUTED_VALUE"""),96.7612179333324)</f>
        <v>96.76121793</v>
      </c>
      <c r="J73" s="88">
        <f>IFERROR(__xludf.DUMMYFUNCTION("""COMPUTED_VALUE"""),98.504588865271)</f>
        <v>98.50458887</v>
      </c>
      <c r="K73" s="88">
        <f>IFERROR(__xludf.DUMMYFUNCTION("""COMPUTED_VALUE"""),6.0171288E7)</f>
        <v>60171288</v>
      </c>
      <c r="L73" s="88">
        <f>IFERROR(__xludf.DUMMYFUNCTION("""COMPUTED_VALUE"""),0.330112)</f>
        <v>0.330112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IFERROR(__xludf.DUMMYFUNCTION("""COMPUTED_VALUE"""),119.94)</f>
        <v>119.94</v>
      </c>
      <c r="C74">
        <f>IFERROR(__xludf.DUMMYFUNCTION("""COMPUTED_VALUE"""),122.35)</f>
        <v>122.35</v>
      </c>
      <c r="D74" s="88">
        <f>IFERROR(__xludf.DUMMYFUNCTION("""COMPUTED_VALUE"""),119.1702)</f>
        <v>119.1702</v>
      </c>
      <c r="E74" s="88">
        <f>IFERROR(__xludf.DUMMYFUNCTION("""COMPUTED_VALUE"""),121.7)</f>
        <v>121.7</v>
      </c>
      <c r="F74" s="88">
        <f>IFERROR(__xludf.DUMMYFUNCTION("""COMPUTED_VALUE"""),5.4586742E7)</f>
        <v>54586742</v>
      </c>
      <c r="G74" s="88">
        <f>IFERROR(__xludf.DUMMYFUNCTION("""COMPUTED_VALUE"""),98.8252218277045)</f>
        <v>98.82522183</v>
      </c>
      <c r="H74" s="88">
        <f>IFERROR(__xludf.DUMMYFUNCTION("""COMPUTED_VALUE"""),100.81095456578)</f>
        <v>100.8109546</v>
      </c>
      <c r="I74" s="88">
        <f>IFERROR(__xludf.DUMMYFUNCTION("""COMPUTED_VALUE"""),98.1909408892106)</f>
        <v>98.19094089</v>
      </c>
      <c r="J74" s="88">
        <f>IFERROR(__xludf.DUMMYFUNCTION("""COMPUTED_VALUE"""),100.275383495345)</f>
        <v>100.2753835</v>
      </c>
      <c r="K74" s="88">
        <f>IFERROR(__xludf.DUMMYFUNCTION("""COMPUTED_VALUE"""),5.4586742E7)</f>
        <v>54586742</v>
      </c>
      <c r="L74" s="88">
        <f>IFERROR(__xludf.DUMMYFUNCTION("""COMPUTED_VALUE"""),0.329038)</f>
        <v>0.329038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IFERROR(__xludf.DUMMYFUNCTION("""COMPUTED_VALUE"""),121.71)</f>
        <v>121.71</v>
      </c>
      <c r="C75">
        <f>IFERROR(__xludf.DUMMYFUNCTION("""COMPUTED_VALUE"""),122.3)</f>
        <v>122.3</v>
      </c>
      <c r="D75" s="88">
        <f>IFERROR(__xludf.DUMMYFUNCTION("""COMPUTED_VALUE"""),119.1101)</f>
        <v>119.1101</v>
      </c>
      <c r="E75" s="88">
        <f>IFERROR(__xludf.DUMMYFUNCTION("""COMPUTED_VALUE"""),121.36)</f>
        <v>121.36</v>
      </c>
      <c r="F75" s="88">
        <f>IFERROR(__xludf.DUMMYFUNCTION("""COMPUTED_VALUE"""),6.1755367E7)</f>
        <v>61755367</v>
      </c>
      <c r="G75" s="88">
        <f>IFERROR(__xludf.DUMMYFUNCTION("""COMPUTED_VALUE"""),100.013285652062)</f>
        <v>100.0132857</v>
      </c>
      <c r="H75" s="88">
        <f>IFERROR(__xludf.DUMMYFUNCTION("""COMPUTED_VALUE"""),100.498108908448)</f>
        <v>100.4981089</v>
      </c>
      <c r="I75" s="88">
        <f>IFERROR(__xludf.DUMMYFUNCTION("""COMPUTED_VALUE"""),97.8768585600665)</f>
        <v>97.87685856</v>
      </c>
      <c r="J75" s="88">
        <f>IFERROR(__xludf.DUMMYFUNCTION("""COMPUTED_VALUE"""),99.7256786355621)</f>
        <v>99.72567864</v>
      </c>
      <c r="K75" s="88">
        <f>IFERROR(__xludf.DUMMYFUNCTION("""COMPUTED_VALUE"""),6.1755367E7)</f>
        <v>61755367</v>
      </c>
      <c r="L75" s="88">
        <f>IFERROR(__xludf.DUMMYFUNCTION("""COMPUTED_VALUE"""),0.327402)</f>
        <v>0.327402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IFERROR(__xludf.DUMMYFUNCTION("""COMPUTED_VALUE"""),121.8)</f>
        <v>121.8</v>
      </c>
      <c r="C76">
        <f>IFERROR(__xludf.DUMMYFUNCTION("""COMPUTED_VALUE"""),123.72)</f>
        <v>123.72</v>
      </c>
      <c r="D76" s="88">
        <f>IFERROR(__xludf.DUMMYFUNCTION("""COMPUTED_VALUE"""),120.06)</f>
        <v>120.06</v>
      </c>
      <c r="E76" s="88">
        <f>IFERROR(__xludf.DUMMYFUNCTION("""COMPUTED_VALUE"""),123.24)</f>
        <v>123.24</v>
      </c>
      <c r="F76" s="88">
        <f>IFERROR(__xludf.DUMMYFUNCTION("""COMPUTED_VALUE"""),5.0222836E7)</f>
        <v>50222836</v>
      </c>
      <c r="G76" s="88">
        <f>IFERROR(__xludf.DUMMYFUNCTION("""COMPUTED_VALUE"""),99.8158589828207)</f>
        <v>99.81585898</v>
      </c>
      <c r="H76" s="88">
        <f>IFERROR(__xludf.DUMMYFUNCTION("""COMPUTED_VALUE"""),101.389310947082)</f>
        <v>101.3893109</v>
      </c>
      <c r="I76" s="88">
        <f>IFERROR(__xludf.DUMMYFUNCTION("""COMPUTED_VALUE"""),98.389918140209)</f>
        <v>98.38991814</v>
      </c>
      <c r="J76" s="88">
        <f>IFERROR(__xludf.DUMMYFUNCTION("""COMPUTED_VALUE"""),100.995947956017)</f>
        <v>100.995948</v>
      </c>
      <c r="K76" s="88">
        <f>IFERROR(__xludf.DUMMYFUNCTION("""COMPUTED_VALUE"""),5.0222836E7)</f>
        <v>50222836</v>
      </c>
      <c r="L76" s="88">
        <f>IFERROR(__xludf.DUMMYFUNCTION("""COMPUTED_VALUE"""),0.335196)</f>
        <v>0.335196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IFERROR(__xludf.DUMMYFUNCTION("""COMPUTED_VALUE"""),123.89)</f>
        <v>123.89</v>
      </c>
      <c r="C77">
        <f>IFERROR(__xludf.DUMMYFUNCTION("""COMPUTED_VALUE"""),123.9)</f>
        <v>123.9</v>
      </c>
      <c r="D77" s="88">
        <f>IFERROR(__xludf.DUMMYFUNCTION("""COMPUTED_VALUE"""),119.55)</f>
        <v>119.55</v>
      </c>
      <c r="E77" s="88">
        <f>IFERROR(__xludf.DUMMYFUNCTION("""COMPUTED_VALUE"""),119.6)</f>
        <v>119.6</v>
      </c>
      <c r="F77" s="88">
        <f>IFERROR(__xludf.DUMMYFUNCTION("""COMPUTED_VALUE"""),4.2800121E7)</f>
        <v>42800121</v>
      </c>
      <c r="G77" s="88">
        <f>IFERROR(__xludf.DUMMYFUNCTION("""COMPUTED_VALUE"""),101.25418697684)</f>
        <v>101.254187</v>
      </c>
      <c r="H77" s="88">
        <f>IFERROR(__xludf.DUMMYFUNCTION("""COMPUTED_VALUE"""),101.262359887242)</f>
        <v>101.2623599</v>
      </c>
      <c r="I77" s="88">
        <f>IFERROR(__xludf.DUMMYFUNCTION("""COMPUTED_VALUE"""),97.7071438621454)</f>
        <v>97.70714386</v>
      </c>
      <c r="J77" s="88">
        <f>IFERROR(__xludf.DUMMYFUNCTION("""COMPUTED_VALUE"""),97.748008414158)</f>
        <v>97.74800841</v>
      </c>
      <c r="K77" s="88">
        <f>IFERROR(__xludf.DUMMYFUNCTION("""COMPUTED_VALUE"""),4.2800121E7)</f>
        <v>42800121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IFERROR(__xludf.DUMMYFUNCTION("""COMPUTED_VALUE"""),119.41)</f>
        <v>119.41</v>
      </c>
      <c r="C78">
        <f>IFERROR(__xludf.DUMMYFUNCTION("""COMPUTED_VALUE"""),119.89)</f>
        <v>119.89</v>
      </c>
      <c r="D78" s="88">
        <f>IFERROR(__xludf.DUMMYFUNCTION("""COMPUTED_VALUE"""),118.3)</f>
        <v>118.3</v>
      </c>
      <c r="E78" s="88">
        <f>IFERROR(__xludf.DUMMYFUNCTION("""COMPUTED_VALUE"""),119.8)</f>
        <v>119.8</v>
      </c>
      <c r="F78" s="88">
        <f>IFERROR(__xludf.DUMMYFUNCTION("""COMPUTED_VALUE"""),4.6522181E7)</f>
        <v>46522181</v>
      </c>
      <c r="G78" s="88">
        <f>IFERROR(__xludf.DUMMYFUNCTION("""COMPUTED_VALUE"""),97.5927231165101)</f>
        <v>97.59272312</v>
      </c>
      <c r="H78" s="88">
        <f>IFERROR(__xludf.DUMMYFUNCTION("""COMPUTED_VALUE"""),97.9032937118059)</f>
        <v>97.90329371</v>
      </c>
      <c r="I78" s="88">
        <f>IFERROR(__xludf.DUMMYFUNCTION("""COMPUTED_VALUE"""),96.4242730714808)</f>
        <v>96.42427307</v>
      </c>
      <c r="J78" s="88">
        <f>IFERROR(__xludf.DUMMYFUNCTION("""COMPUTED_VALUE"""),97.6468969903923)</f>
        <v>97.64689699</v>
      </c>
      <c r="K78" s="88">
        <f>IFERROR(__xludf.DUMMYFUNCTION("""COMPUTED_VALUE"""),4.6522181E7)</f>
        <v>46522181</v>
      </c>
      <c r="L78" s="88">
        <f>IFERROR(__xludf.DUMMYFUNCTION("""COMPUTED_VALUE"""),0.657312)</f>
        <v>0.657312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IFERROR(__xludf.DUMMYFUNCTION("""COMPUTED_VALUE"""),120.09)</f>
        <v>120.09</v>
      </c>
      <c r="C79">
        <f>IFERROR(__xludf.DUMMYFUNCTION("""COMPUTED_VALUE"""),120.11)</f>
        <v>120.11</v>
      </c>
      <c r="D79" s="88">
        <f>IFERROR(__xludf.DUMMYFUNCTION("""COMPUTED_VALUE"""),117.7)</f>
        <v>117.7</v>
      </c>
      <c r="E79" s="88">
        <f>IFERROR(__xludf.DUMMYFUNCTION("""COMPUTED_VALUE"""),118.78)</f>
        <v>118.78</v>
      </c>
      <c r="F79" s="88">
        <f>IFERROR(__xludf.DUMMYFUNCTION("""COMPUTED_VALUE"""),3.723674E7)</f>
        <v>37236740</v>
      </c>
      <c r="G79" s="88">
        <f>IFERROR(__xludf.DUMMYFUNCTION("""COMPUTED_VALUE"""),97.6091645551665)</f>
        <v>97.60916456</v>
      </c>
      <c r="H79" s="88">
        <f>IFERROR(__xludf.DUMMYFUNCTION("""COMPUTED_VALUE"""),97.6254205572574)</f>
        <v>97.62542056</v>
      </c>
      <c r="I79" s="88">
        <f>IFERROR(__xludf.DUMMYFUNCTION("""COMPUTED_VALUE"""),95.6665723052968)</f>
        <v>95.66657231</v>
      </c>
      <c r="J79" s="88">
        <f>IFERROR(__xludf.DUMMYFUNCTION("""COMPUTED_VALUE"""),96.5443964182086)</f>
        <v>96.54439642</v>
      </c>
      <c r="K79" s="88">
        <f>IFERROR(__xludf.DUMMYFUNCTION("""COMPUTED_VALUE"""),3.723674E7)</f>
        <v>37236740</v>
      </c>
      <c r="L79" s="88">
        <f>IFERROR(__xludf.DUMMYFUNCTION("""COMPUTED_VALUE"""),0.335024)</f>
        <v>0.335024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IFERROR(__xludf.DUMMYFUNCTION("""COMPUTED_VALUE"""),119.005)</f>
        <v>119.005</v>
      </c>
      <c r="C80">
        <f>IFERROR(__xludf.DUMMYFUNCTION("""COMPUTED_VALUE"""),122.43)</f>
        <v>122.43</v>
      </c>
      <c r="D80" s="88">
        <f>IFERROR(__xludf.DUMMYFUNCTION("""COMPUTED_VALUE"""),118.25)</f>
        <v>118.25</v>
      </c>
      <c r="E80" s="88">
        <f>IFERROR(__xludf.DUMMYFUNCTION("""COMPUTED_VALUE"""),118.31)</f>
        <v>118.31</v>
      </c>
      <c r="F80" s="88">
        <f>IFERROR(__xludf.DUMMYFUNCTION("""COMPUTED_VALUE"""),4.6590866E7)</f>
        <v>46590866</v>
      </c>
      <c r="G80" s="88">
        <f>IFERROR(__xludf.DUMMYFUNCTION("""COMPUTED_VALUE"""),96.4551975824672)</f>
        <v>96.45519758</v>
      </c>
      <c r="H80" s="88">
        <f>IFERROR(__xludf.DUMMYFUNCTION("""COMPUTED_VALUE"""),99.2312074284397)</f>
        <v>99.23120743</v>
      </c>
      <c r="I80" s="88">
        <f>IFERROR(__xludf.DUMMYFUNCTION("""COMPUTED_VALUE"""),95.8432596456178)</f>
        <v>95.84325965</v>
      </c>
      <c r="J80" s="88">
        <f>IFERROR(__xludf.DUMMYFUNCTION("""COMPUTED_VALUE"""),95.8918904750363)</f>
        <v>95.89189048</v>
      </c>
      <c r="K80" s="88">
        <f>IFERROR(__xludf.DUMMYFUNCTION("""COMPUTED_VALUE"""),4.6590866E7)</f>
        <v>46590866</v>
      </c>
      <c r="L80" s="88">
        <f>IFERROR(__xludf.DUMMYFUNCTION("""COMPUTED_VALUE"""),0.334887)</f>
        <v>0.334887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IFERROR(__xludf.DUMMYFUNCTION("""COMPUTED_VALUE"""),118.22)</f>
        <v>118.22</v>
      </c>
      <c r="C81">
        <f>IFERROR(__xludf.DUMMYFUNCTION("""COMPUTED_VALUE"""),119.88)</f>
        <v>119.88</v>
      </c>
      <c r="D81" s="88">
        <f>IFERROR(__xludf.DUMMYFUNCTION("""COMPUTED_VALUE"""),117.26)</f>
        <v>117.26</v>
      </c>
      <c r="E81" s="88">
        <f>IFERROR(__xludf.DUMMYFUNCTION("""COMPUTED_VALUE"""),119.74)</f>
        <v>119.74</v>
      </c>
      <c r="F81" s="88">
        <f>IFERROR(__xludf.DUMMYFUNCTION("""COMPUTED_VALUE"""),4.086251E7)</f>
        <v>40862510</v>
      </c>
      <c r="G81" s="88">
        <f>IFERROR(__xludf.DUMMYFUNCTION("""COMPUTED_VALUE"""),95.549145187196)</f>
        <v>95.54914519</v>
      </c>
      <c r="H81" s="88">
        <f>IFERROR(__xludf.DUMMYFUNCTION("""COMPUTED_VALUE"""),96.890809719515)</f>
        <v>96.89080972</v>
      </c>
      <c r="I81" s="88">
        <f>IFERROR(__xludf.DUMMYFUNCTION("""COMPUTED_VALUE"""),94.7732428070598)</f>
        <v>94.77324281</v>
      </c>
      <c r="J81" s="88">
        <f>IFERROR(__xludf.DUMMYFUNCTION("""COMPUTED_VALUE"""),96.7776572890784)</f>
        <v>96.77765729</v>
      </c>
      <c r="K81" s="88">
        <f>IFERROR(__xludf.DUMMYFUNCTION("""COMPUTED_VALUE"""),4.086251E7)</f>
        <v>40862510</v>
      </c>
      <c r="L81" s="88">
        <f>IFERROR(__xludf.DUMMYFUNCTION("""COMPUTED_VALUE"""),0.338006)</f>
        <v>0.338006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IFERROR(__xludf.DUMMYFUNCTION("""COMPUTED_VALUE"""),120.58)</f>
        <v>120.58</v>
      </c>
      <c r="C82">
        <f>IFERROR(__xludf.DUMMYFUNCTION("""COMPUTED_VALUE"""),120.68)</f>
        <v>120.68</v>
      </c>
      <c r="D82" s="88">
        <f>IFERROR(__xludf.DUMMYFUNCTION("""COMPUTED_VALUE"""),118.08)</f>
        <v>118.08</v>
      </c>
      <c r="E82" s="88">
        <f>IFERROR(__xludf.DUMMYFUNCTION("""COMPUTED_VALUE"""),118.13)</f>
        <v>118.13</v>
      </c>
      <c r="F82" s="88">
        <f>IFERROR(__xludf.DUMMYFUNCTION("""COMPUTED_VALUE"""),3.20849E7)</f>
        <v>32084900</v>
      </c>
      <c r="G82" s="88">
        <f>IFERROR(__xludf.DUMMYFUNCTION("""COMPUTED_VALUE"""),97.1820826344374)</f>
        <v>97.18208263</v>
      </c>
      <c r="H82" s="88">
        <f>IFERROR(__xludf.DUMMYFUNCTION("""COMPUTED_VALUE"""),97.2626781582676)</f>
        <v>97.26267816</v>
      </c>
      <c r="I82" s="88">
        <f>IFERROR(__xludf.DUMMYFUNCTION("""COMPUTED_VALUE"""),95.1671945386828)</f>
        <v>95.16719454</v>
      </c>
      <c r="J82" s="88">
        <f>IFERROR(__xludf.DUMMYFUNCTION("""COMPUTED_VALUE"""),95.2074923005979)</f>
        <v>95.2074923</v>
      </c>
      <c r="K82" s="88">
        <f>IFERROR(__xludf.DUMMYFUNCTION("""COMPUTED_VALUE"""),3.20849E7)</f>
        <v>32084900</v>
      </c>
      <c r="L82" s="88">
        <f>IFERROR(__xludf.DUMMYFUNCTION("""COMPUTED_VALUE"""),0.339098)</f>
        <v>0.339098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IFERROR(__xludf.DUMMYFUNCTION("""COMPUTED_VALUE"""),118.55)</f>
        <v>118.55</v>
      </c>
      <c r="C83">
        <f>IFERROR(__xludf.DUMMYFUNCTION("""COMPUTED_VALUE"""),119.55)</f>
        <v>119.55</v>
      </c>
      <c r="D83" s="88">
        <f>IFERROR(__xludf.DUMMYFUNCTION("""COMPUTED_VALUE"""),117.575)</f>
        <v>117.575</v>
      </c>
      <c r="E83" s="88">
        <f>IFERROR(__xludf.DUMMYFUNCTION("""COMPUTED_VALUE"""),118.71)</f>
        <v>118.71</v>
      </c>
      <c r="F83" s="88">
        <f>IFERROR(__xludf.DUMMYFUNCTION("""COMPUTED_VALUE"""),2.8786E7)</f>
        <v>28786000</v>
      </c>
      <c r="G83" s="88">
        <f>IFERROR(__xludf.DUMMYFUNCTION("""COMPUTED_VALUE"""),95.2740926903571)</f>
        <v>95.27409269</v>
      </c>
      <c r="H83" s="88">
        <f>IFERROR(__xludf.DUMMYFUNCTION("""COMPUTED_VALUE"""),96.0777543747971)</f>
        <v>96.07775437</v>
      </c>
      <c r="I83" s="88">
        <f>IFERROR(__xludf.DUMMYFUNCTION("""COMPUTED_VALUE"""),94.4905225480282)</f>
        <v>94.49052255</v>
      </c>
      <c r="J83" s="88">
        <f>IFERROR(__xludf.DUMMYFUNCTION("""COMPUTED_VALUE"""),95.4026785598675)</f>
        <v>95.40267856</v>
      </c>
      <c r="K83" s="88">
        <f>IFERROR(__xludf.DUMMYFUNCTION("""COMPUTED_VALUE"""),2.8786E7)</f>
        <v>28786000</v>
      </c>
      <c r="L83" s="88">
        <f>IFERROR(__xludf.DUMMYFUNCTION("""COMPUTED_VALUE"""),0.33009)</f>
        <v>0.33009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IFERROR(__xludf.DUMMYFUNCTION("""COMPUTED_VALUE"""),119.26)</f>
        <v>119.26</v>
      </c>
      <c r="C84">
        <f>IFERROR(__xludf.DUMMYFUNCTION("""COMPUTED_VALUE"""),119.61)</f>
        <v>119.61</v>
      </c>
      <c r="D84" s="88">
        <f>IFERROR(__xludf.DUMMYFUNCTION("""COMPUTED_VALUE"""),117.9101)</f>
        <v>117.9101</v>
      </c>
      <c r="E84" s="88">
        <f>IFERROR(__xludf.DUMMYFUNCTION("""COMPUTED_VALUE"""),118.89)</f>
        <v>118.89</v>
      </c>
      <c r="F84" s="88">
        <f>IFERROR(__xludf.DUMMYFUNCTION("""COMPUTED_VALUE"""),1.97971E7)</f>
        <v>19797100</v>
      </c>
      <c r="G84" s="88">
        <f>IFERROR(__xludf.DUMMYFUNCTION("""COMPUTED_VALUE"""),95.5783848215358)</f>
        <v>95.57838482</v>
      </c>
      <c r="H84" s="88">
        <f>IFERROR(__xludf.DUMMYFUNCTION("""COMPUTED_VALUE"""),95.858884860841)</f>
        <v>95.85888486</v>
      </c>
      <c r="I84" s="88">
        <f>IFERROR(__xludf.DUMMYFUNCTION("""COMPUTED_VALUE"""),94.4965362413699)</f>
        <v>94.49653624</v>
      </c>
      <c r="J84" s="88">
        <f>IFERROR(__xludf.DUMMYFUNCTION("""COMPUTED_VALUE"""),95.281856208556)</f>
        <v>95.28185621</v>
      </c>
      <c r="K84" s="88">
        <f>IFERROR(__xludf.DUMMYFUNCTION("""COMPUTED_VALUE"""),1.97971E7)</f>
        <v>19797100</v>
      </c>
      <c r="L84" s="88">
        <f>IFERROR(__xludf.DUMMYFUNCTION("""COMPUTED_VALUE"""),0.337552)</f>
        <v>0.337552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IFERROR(__xludf.DUMMYFUNCTION("""COMPUTED_VALUE"""),119.59)</f>
        <v>119.59</v>
      </c>
      <c r="C85">
        <f>IFERROR(__xludf.DUMMYFUNCTION("""COMPUTED_VALUE"""),120.13)</f>
        <v>120.13</v>
      </c>
      <c r="D85" s="88">
        <f>IFERROR(__xludf.DUMMYFUNCTION("""COMPUTED_VALUE"""),117.8175)</f>
        <v>117.8175</v>
      </c>
      <c r="E85" s="88">
        <f>IFERROR(__xludf.DUMMYFUNCTION("""COMPUTED_VALUE"""),117.88)</f>
        <v>117.88</v>
      </c>
      <c r="F85" s="88">
        <f>IFERROR(__xludf.DUMMYFUNCTION("""COMPUTED_VALUE"""),2.8464E7)</f>
        <v>28464000</v>
      </c>
      <c r="G85" s="88">
        <f>IFERROR(__xludf.DUMMYFUNCTION("""COMPUTED_VALUE"""),95.5708255652573)</f>
        <v>95.57082557</v>
      </c>
      <c r="H85" s="88">
        <f>IFERROR(__xludf.DUMMYFUNCTION("""COMPUTED_VALUE"""),96.002368719411)</f>
        <v>96.00236872</v>
      </c>
      <c r="I85" s="88">
        <f>IFERROR(__xludf.DUMMYFUNCTION("""COMPUTED_VALUE"""),94.1543251194473)</f>
        <v>94.15432512</v>
      </c>
      <c r="J85" s="88">
        <f>IFERROR(__xludf.DUMMYFUNCTION("""COMPUTED_VALUE"""),94.2042722437706)</f>
        <v>94.20427224</v>
      </c>
      <c r="K85" s="88">
        <f>IFERROR(__xludf.DUMMYFUNCTION("""COMPUTED_VALUE"""),2.8464E7)</f>
        <v>28464000</v>
      </c>
      <c r="L85" s="88">
        <f>IFERROR(__xludf.DUMMYFUNCTION("""COMPUTED_VALUE"""),0.34381)</f>
        <v>0.34381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IFERROR(__xludf.DUMMYFUNCTION("""COMPUTED_VALUE"""),117.8)</f>
        <v>117.8</v>
      </c>
      <c r="C86">
        <f>IFERROR(__xludf.DUMMYFUNCTION("""COMPUTED_VALUE"""),118.28)</f>
        <v>118.28</v>
      </c>
      <c r="D86" s="88">
        <f>IFERROR(__xludf.DUMMYFUNCTION("""COMPUTED_VALUE"""),116.08)</f>
        <v>116.08</v>
      </c>
      <c r="E86" s="88">
        <f>IFERROR(__xludf.DUMMYFUNCTION("""COMPUTED_VALUE"""),116.44)</f>
        <v>116.44</v>
      </c>
      <c r="F86" s="88">
        <f>IFERROR(__xludf.DUMMYFUNCTION("""COMPUTED_VALUE"""),2.80629E7)</f>
        <v>28062900</v>
      </c>
      <c r="G86" s="88">
        <f>IFERROR(__xludf.DUMMYFUNCTION("""COMPUTED_VALUE"""),93.8675368996033)</f>
        <v>93.8675369</v>
      </c>
      <c r="H86" s="88">
        <f>IFERROR(__xludf.DUMMYFUNCTION("""COMPUTED_VALUE"""),94.2500192231331)</f>
        <v>94.25001922</v>
      </c>
      <c r="I86" s="88">
        <f>IFERROR(__xludf.DUMMYFUNCTION("""COMPUTED_VALUE"""),92.4969752402882)</f>
        <v>92.49697524</v>
      </c>
      <c r="J86" s="88">
        <f>IFERROR(__xludf.DUMMYFUNCTION("""COMPUTED_VALUE"""),92.7838369829356)</f>
        <v>92.78383698</v>
      </c>
      <c r="K86" s="88">
        <f>IFERROR(__xludf.DUMMYFUNCTION("""COMPUTED_VALUE"""),2.80629E7)</f>
        <v>28062900</v>
      </c>
      <c r="L86" s="88">
        <f>IFERROR(__xludf.DUMMYFUNCTION("""COMPUTED_VALUE"""),0.33972)</f>
        <v>0.33972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IFERROR(__xludf.DUMMYFUNCTION("""COMPUTED_VALUE"""),116.6)</f>
        <v>116.6</v>
      </c>
      <c r="C87">
        <f>IFERROR(__xludf.DUMMYFUNCTION("""COMPUTED_VALUE"""),117.29)</f>
        <v>117.29</v>
      </c>
      <c r="D87" s="88">
        <f>IFERROR(__xludf.DUMMYFUNCTION("""COMPUTED_VALUE"""),115.61)</f>
        <v>115.61</v>
      </c>
      <c r="E87" s="88">
        <f>IFERROR(__xludf.DUMMYFUNCTION("""COMPUTED_VALUE"""),117.06)</f>
        <v>117.06</v>
      </c>
      <c r="F87" s="88">
        <f>IFERROR(__xludf.DUMMYFUNCTION("""COMPUTED_VALUE"""),2.6648E7)</f>
        <v>26648000</v>
      </c>
      <c r="G87" s="88">
        <f>IFERROR(__xludf.DUMMYFUNCTION("""COMPUTED_VALUE"""),92.640744608461)</f>
        <v>92.64074461</v>
      </c>
      <c r="H87" s="88">
        <f>IFERROR(__xludf.DUMMYFUNCTION("""COMPUTED_VALUE"""),93.1889617077735)</f>
        <v>93.18896171</v>
      </c>
      <c r="I87" s="88">
        <f>IFERROR(__xludf.DUMMYFUNCTION("""COMPUTED_VALUE"""),91.8541722485779)</f>
        <v>91.85417225</v>
      </c>
      <c r="J87" s="88">
        <f>IFERROR(__xludf.DUMMYFUNCTION("""COMPUTED_VALUE"""),93.0062226746694)</f>
        <v>93.00622267</v>
      </c>
      <c r="K87" s="88">
        <f>IFERROR(__xludf.DUMMYFUNCTION("""COMPUTED_VALUE"""),2.6648E7)</f>
        <v>26648000</v>
      </c>
      <c r="L87" s="88">
        <f>IFERROR(__xludf.DUMMYFUNCTION("""COMPUTED_VALUE"""),0.345666)</f>
        <v>0.345666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IFERROR(__xludf.DUMMYFUNCTION("""COMPUTED_VALUE"""),117.32)</f>
        <v>117.32</v>
      </c>
      <c r="C88">
        <f>IFERROR(__xludf.DUMMYFUNCTION("""COMPUTED_VALUE"""),117.44)</f>
        <v>117.44</v>
      </c>
      <c r="D88" s="88">
        <f>IFERROR(__xludf.DUMMYFUNCTION("""COMPUTED_VALUE"""),115.46)</f>
        <v>115.46</v>
      </c>
      <c r="E88" s="88">
        <f>IFERROR(__xludf.DUMMYFUNCTION("""COMPUTED_VALUE"""),115.89)</f>
        <v>115.89</v>
      </c>
      <c r="F88" s="88">
        <f>IFERROR(__xludf.DUMMYFUNCTION("""COMPUTED_VALUE"""),2.93325E7)</f>
        <v>29332500</v>
      </c>
      <c r="G88" s="88">
        <f>IFERROR(__xludf.DUMMYFUNCTION("""COMPUTED_VALUE"""),92.9388732182282)</f>
        <v>92.93887322</v>
      </c>
      <c r="H88" s="88">
        <f>IFERROR(__xludf.DUMMYFUNCTION("""COMPUTED_VALUE"""),93.0339351410562)</f>
        <v>93.03393514</v>
      </c>
      <c r="I88" s="88">
        <f>IFERROR(__xludf.DUMMYFUNCTION("""COMPUTED_VALUE"""),91.4654134143933)</f>
        <v>91.46541341</v>
      </c>
      <c r="J88" s="88">
        <f>IFERROR(__xludf.DUMMYFUNCTION("""COMPUTED_VALUE"""),91.8060519711939)</f>
        <v>91.80605197</v>
      </c>
      <c r="K88" s="88">
        <f>IFERROR(__xludf.DUMMYFUNCTION("""COMPUTED_VALUE"""),2.93325E7)</f>
        <v>29332500</v>
      </c>
      <c r="L88" s="88">
        <f>IFERROR(__xludf.DUMMYFUNCTION("""COMPUTED_VALUE"""),0.347888)</f>
        <v>0.347888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IFERROR(__xludf.DUMMYFUNCTION("""COMPUTED_VALUE"""),116.34)</f>
        <v>116.34</v>
      </c>
      <c r="C89">
        <f>IFERROR(__xludf.DUMMYFUNCTION("""COMPUTED_VALUE"""),116.34)</f>
        <v>116.34</v>
      </c>
      <c r="D89" s="88">
        <f>IFERROR(__xludf.DUMMYFUNCTION("""COMPUTED_VALUE"""),114.11)</f>
        <v>114.11</v>
      </c>
      <c r="E89" s="88">
        <f>IFERROR(__xludf.DUMMYFUNCTION("""COMPUTED_VALUE"""),114.285)</f>
        <v>114.285</v>
      </c>
      <c r="F89" s="88">
        <f>IFERROR(__xludf.DUMMYFUNCTION("""COMPUTED_VALUE"""),3.39698E7)</f>
        <v>33969800</v>
      </c>
      <c r="G89" s="88">
        <f>IFERROR(__xludf.DUMMYFUNCTION("""COMPUTED_VALUE"""),91.8887036410053)</f>
        <v>91.88870364</v>
      </c>
      <c r="H89" s="88">
        <f>IFERROR(__xludf.DUMMYFUNCTION("""COMPUTED_VALUE"""),91.8887036410053)</f>
        <v>91.88870364</v>
      </c>
      <c r="I89" s="88">
        <f>IFERROR(__xludf.DUMMYFUNCTION("""COMPUTED_VALUE"""),90.1273850135389)</f>
        <v>90.12738501</v>
      </c>
      <c r="J89" s="88">
        <f>IFERROR(__xludf.DUMMYFUNCTION("""COMPUTED_VALUE"""),90.265605085201)</f>
        <v>90.26560509</v>
      </c>
      <c r="K89" s="88">
        <f>IFERROR(__xludf.DUMMYFUNCTION("""COMPUTED_VALUE"""),3.39698E7)</f>
        <v>33969800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IFERROR(__xludf.DUMMYFUNCTION("""COMPUTED_VALUE"""),114.188)</f>
        <v>114.188</v>
      </c>
      <c r="C90">
        <f>IFERROR(__xludf.DUMMYFUNCTION("""COMPUTED_VALUE"""),115.04)</f>
        <v>115.04</v>
      </c>
      <c r="D90" s="88">
        <f>IFERROR(__xludf.DUMMYFUNCTION("""COMPUTED_VALUE"""),113.2382)</f>
        <v>113.2382</v>
      </c>
      <c r="E90" s="88">
        <f>IFERROR(__xludf.DUMMYFUNCTION("""COMPUTED_VALUE"""),114.1)</f>
        <v>114.1</v>
      </c>
      <c r="F90" s="88">
        <f>IFERROR(__xludf.DUMMYFUNCTION("""COMPUTED_VALUE"""),3.53789E7)</f>
        <v>35378900</v>
      </c>
      <c r="G90" s="88">
        <f>IFERROR(__xludf.DUMMYFUNCTION("""COMPUTED_VALUE"""),90.1889916740512)</f>
        <v>90.18899167</v>
      </c>
      <c r="H90" s="88">
        <f>IFERROR(__xludf.DUMMYFUNCTION("""COMPUTED_VALUE"""),90.5862271324197)</f>
        <v>90.58622713</v>
      </c>
      <c r="I90" s="88">
        <f>IFERROR(__xludf.DUMMYFUNCTION("""COMPUTED_VALUE"""),89.1674313740122)</f>
        <v>89.16743137</v>
      </c>
      <c r="J90" s="88">
        <f>IFERROR(__xludf.DUMMYFUNCTION("""COMPUTED_VALUE"""),89.846040645072)</f>
        <v>89.84604065</v>
      </c>
      <c r="K90" s="88">
        <f>IFERROR(__xludf.DUMMYFUNCTION("""COMPUTED_VALUE"""),3.53789E7)</f>
        <v>35378900</v>
      </c>
      <c r="L90" s="88">
        <f>IFERROR(__xludf.DUMMYFUNCTION("""COMPUTED_VALUE"""),0.715385)</f>
        <v>0.715385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IFERROR(__xludf.DUMMYFUNCTION("""COMPUTED_VALUE"""),114.66)</f>
        <v>114.66</v>
      </c>
      <c r="C91">
        <f>IFERROR(__xludf.DUMMYFUNCTION("""COMPUTED_VALUE"""),114.9299)</f>
        <v>114.9299</v>
      </c>
      <c r="D91" s="88">
        <f>IFERROR(__xludf.DUMMYFUNCTION("""COMPUTED_VALUE"""),113.0)</f>
        <v>113</v>
      </c>
      <c r="E91" s="88">
        <f>IFERROR(__xludf.DUMMYFUNCTION("""COMPUTED_VALUE"""),114.81)</f>
        <v>114.81</v>
      </c>
      <c r="F91" s="88">
        <f>IFERROR(__xludf.DUMMYFUNCTION("""COMPUTED_VALUE"""),3.43965E7)</f>
        <v>34396500</v>
      </c>
      <c r="G91" s="88">
        <f>IFERROR(__xludf.DUMMYFUNCTION("""COMPUTED_VALUE"""),89.9960911354296)</f>
        <v>89.99609114</v>
      </c>
      <c r="H91" s="88">
        <f>IFERROR(__xludf.DUMMYFUNCTION("""COMPUTED_VALUE"""),90.207934367572)</f>
        <v>90.20793437</v>
      </c>
      <c r="I91" s="88">
        <f>IFERROR(__xludf.DUMMYFUNCTION("""COMPUTED_VALUE"""),88.693164994798)</f>
        <v>88.69316499</v>
      </c>
      <c r="J91" s="88">
        <f>IFERROR(__xludf.DUMMYFUNCTION("""COMPUTED_VALUE"""),90.1138254252457)</f>
        <v>90.11382543</v>
      </c>
      <c r="K91" s="88">
        <f>IFERROR(__xludf.DUMMYFUNCTION("""COMPUTED_VALUE"""),3.43965E7)</f>
        <v>34396500</v>
      </c>
      <c r="L91" s="88">
        <f>IFERROR(__xludf.DUMMYFUNCTION("""COMPUTED_VALUE"""),0.379992)</f>
        <v>0.379992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IFERROR(__xludf.DUMMYFUNCTION("""COMPUTED_VALUE"""),115.2)</f>
        <v>115.2</v>
      </c>
      <c r="C92">
        <f>IFERROR(__xludf.DUMMYFUNCTION("""COMPUTED_VALUE"""),115.75)</f>
        <v>115.75</v>
      </c>
      <c r="D92" s="88">
        <f>IFERROR(__xludf.DUMMYFUNCTION("""COMPUTED_VALUE"""),112.93)</f>
        <v>112.93</v>
      </c>
      <c r="E92" s="88">
        <f>IFERROR(__xludf.DUMMYFUNCTION("""COMPUTED_VALUE"""),113.07)</f>
        <v>113.07</v>
      </c>
      <c r="F92" s="88">
        <f>IFERROR(__xludf.DUMMYFUNCTION("""COMPUTED_VALUE"""),3.56767E7)</f>
        <v>35676700</v>
      </c>
      <c r="G92" s="88">
        <f>IFERROR(__xludf.DUMMYFUNCTION("""COMPUTED_VALUE"""),90.1208758776367)</f>
        <v>90.12087588</v>
      </c>
      <c r="H92" s="88">
        <f>IFERROR(__xludf.DUMMYFUNCTION("""COMPUTED_VALUE"""),90.5511404760108)</f>
        <v>90.55114048</v>
      </c>
      <c r="I92" s="88">
        <f>IFERROR(__xludf.DUMMYFUNCTION("""COMPUTED_VALUE"""),88.3450565352562)</f>
        <v>88.34505654</v>
      </c>
      <c r="J92" s="88">
        <f>IFERROR(__xludf.DUMMYFUNCTION("""COMPUTED_VALUE"""),88.4545784330241)</f>
        <v>88.45457843</v>
      </c>
      <c r="K92" s="88">
        <f>IFERROR(__xludf.DUMMYFUNCTION("""COMPUTED_VALUE"""),3.56767E7)</f>
        <v>35676700</v>
      </c>
      <c r="L92" s="88">
        <f>IFERROR(__xludf.DUMMYFUNCTION("""COMPUTED_VALUE"""),0.365588)</f>
        <v>0.365588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IFERROR(__xludf.DUMMYFUNCTION("""COMPUTED_VALUE"""),113.52)</f>
        <v>113.52</v>
      </c>
      <c r="C93">
        <f>IFERROR(__xludf.DUMMYFUNCTION("""COMPUTED_VALUE"""),114.18)</f>
        <v>114.18</v>
      </c>
      <c r="D93" s="88">
        <f>IFERROR(__xludf.DUMMYFUNCTION("""COMPUTED_VALUE"""),110.73)</f>
        <v>110.73</v>
      </c>
      <c r="E93" s="88">
        <f>IFERROR(__xludf.DUMMYFUNCTION("""COMPUTED_VALUE"""),112.0)</f>
        <v>112</v>
      </c>
      <c r="F93" s="88">
        <f>IFERROR(__xludf.DUMMYFUNCTION("""COMPUTED_VALUE"""),4.83151E7)</f>
        <v>48315100</v>
      </c>
      <c r="G93" s="88">
        <f>IFERROR(__xludf.DUMMYFUNCTION("""COMPUTED_VALUE"""),88.5203253416733)</f>
        <v>88.52032534</v>
      </c>
      <c r="H93" s="88">
        <f>IFERROR(__xludf.DUMMYFUNCTION("""COMPUTED_VALUE"""),89.0349783959854)</f>
        <v>89.0349784</v>
      </c>
      <c r="I93" s="88">
        <f>IFERROR(__xludf.DUMMYFUNCTION("""COMPUTED_VALUE"""),86.3447465211724)</f>
        <v>86.34474652</v>
      </c>
      <c r="J93" s="88">
        <f>IFERROR(__xludf.DUMMYFUNCTION("""COMPUTED_VALUE"""),87.3350637620456)</f>
        <v>87.33506376</v>
      </c>
      <c r="K93" s="88">
        <f>IFERROR(__xludf.DUMMYFUNCTION("""COMPUTED_VALUE"""),4.83151E7)</f>
        <v>48315100</v>
      </c>
      <c r="L93" s="88">
        <f>IFERROR(__xludf.DUMMYFUNCTION("""COMPUTED_VALUE"""),0.365859)</f>
        <v>0.365859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IFERROR(__xludf.DUMMYFUNCTION("""COMPUTED_VALUE"""),113.05)</f>
        <v>113.05</v>
      </c>
      <c r="C94">
        <f>IFERROR(__xludf.DUMMYFUNCTION("""COMPUTED_VALUE"""),114.18)</f>
        <v>114.18</v>
      </c>
      <c r="D94" s="88">
        <f>IFERROR(__xludf.DUMMYFUNCTION("""COMPUTED_VALUE"""),110.89)</f>
        <v>110.89</v>
      </c>
      <c r="E94" s="88">
        <f>IFERROR(__xludf.DUMMYFUNCTION("""COMPUTED_VALUE"""),113.95)</f>
        <v>113.95</v>
      </c>
      <c r="F94" s="88">
        <f>IFERROR(__xludf.DUMMYFUNCTION("""COMPUTED_VALUE"""),4.28192E7)</f>
        <v>42819200</v>
      </c>
      <c r="G94" s="88">
        <f>IFERROR(__xludf.DUMMYFUNCTION("""COMPUTED_VALUE"""),87.8674161838738)</f>
        <v>87.86741618</v>
      </c>
      <c r="H94" s="88">
        <f>IFERROR(__xludf.DUMMYFUNCTION("""COMPUTED_VALUE"""),88.7457017237922)</f>
        <v>88.74570172</v>
      </c>
      <c r="I94" s="88">
        <f>IFERROR(__xludf.DUMMYFUNCTION("""COMPUTED_VALUE"""),86.1885694881005)</f>
        <v>86.18856949</v>
      </c>
      <c r="J94" s="88">
        <f>IFERROR(__xludf.DUMMYFUNCTION("""COMPUTED_VALUE"""),88.566935640446)</f>
        <v>88.56693564</v>
      </c>
      <c r="K94" s="88">
        <f>IFERROR(__xludf.DUMMYFUNCTION("""COMPUTED_VALUE"""),4.28192E7)</f>
        <v>42819200</v>
      </c>
      <c r="L94" s="88">
        <f>IFERROR(__xludf.DUMMYFUNCTION("""COMPUTED_VALUE"""),0.349839)</f>
        <v>0.349839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IFERROR(__xludf.DUMMYFUNCTION("""COMPUTED_VALUE"""),114.54)</f>
        <v>114.54</v>
      </c>
      <c r="C95">
        <f>IFERROR(__xludf.DUMMYFUNCTION("""COMPUTED_VALUE"""),115.47)</f>
        <v>115.47</v>
      </c>
      <c r="D95" s="88">
        <f>IFERROR(__xludf.DUMMYFUNCTION("""COMPUTED_VALUE"""),111.7)</f>
        <v>111.7</v>
      </c>
      <c r="E95" s="88">
        <f>IFERROR(__xludf.DUMMYFUNCTION("""COMPUTED_VALUE"""),113.08)</f>
        <v>113.08</v>
      </c>
      <c r="F95" s="88">
        <f>IFERROR(__xludf.DUMMYFUNCTION("""COMPUTED_VALUE"""),4.79462E7)</f>
        <v>47946200</v>
      </c>
      <c r="G95" s="88">
        <f>IFERROR(__xludf.DUMMYFUNCTION("""COMPUTED_VALUE"""),88.7514213312172)</f>
        <v>88.75142133</v>
      </c>
      <c r="H95" s="88">
        <f>IFERROR(__xludf.DUMMYFUNCTION("""COMPUTED_VALUE"""),89.4720326620888)</f>
        <v>89.47203266</v>
      </c>
      <c r="I95" s="88">
        <f>IFERROR(__xludf.DUMMYFUNCTION("""COMPUTED_VALUE"""),86.5508447939319)</f>
        <v>86.55084479</v>
      </c>
      <c r="J95" s="88">
        <f>IFERROR(__xludf.DUMMYFUNCTION("""COMPUTED_VALUE"""),87.6201390268382)</f>
        <v>87.62013903</v>
      </c>
      <c r="K95" s="88">
        <f>IFERROR(__xludf.DUMMYFUNCTION("""COMPUTED_VALUE"""),4.79462E7)</f>
        <v>47946200</v>
      </c>
      <c r="L95" s="88">
        <f>IFERROR(__xludf.DUMMYFUNCTION("""COMPUTED_VALUE"""),0.363339)</f>
        <v>0.363339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IFERROR(__xludf.DUMMYFUNCTION("""COMPUTED_VALUE"""),113.65)</f>
        <v>113.65</v>
      </c>
      <c r="C96">
        <f>IFERROR(__xludf.DUMMYFUNCTION("""COMPUTED_VALUE"""),117.75)</f>
        <v>117.75</v>
      </c>
      <c r="D96" s="88">
        <f>IFERROR(__xludf.DUMMYFUNCTION("""COMPUTED_VALUE"""),110.91)</f>
        <v>110.91</v>
      </c>
      <c r="E96" s="88">
        <f>IFERROR(__xludf.DUMMYFUNCTION("""COMPUTED_VALUE"""),117.25)</f>
        <v>117.25</v>
      </c>
      <c r="F96" s="88">
        <f>IFERROR(__xludf.DUMMYFUNCTION("""COMPUTED_VALUE"""),7.23766E7)</f>
        <v>72376600</v>
      </c>
      <c r="G96" s="88">
        <f>IFERROR(__xludf.DUMMYFUNCTION("""COMPUTED_VALUE"""),87.780995275364)</f>
        <v>87.78099528</v>
      </c>
      <c r="H96" s="88">
        <f>IFERROR(__xludf.DUMMYFUNCTION("""COMPUTED_VALUE"""),90.9477535739033)</f>
        <v>90.94775357</v>
      </c>
      <c r="I96" s="88">
        <f>IFERROR(__xludf.DUMMYFUNCTION("""COMPUTED_VALUE"""),85.6646738758524)</f>
        <v>85.66467388</v>
      </c>
      <c r="J96" s="88">
        <f>IFERROR(__xludf.DUMMYFUNCTION("""COMPUTED_VALUE"""),90.5615635374961)</f>
        <v>90.56156354</v>
      </c>
      <c r="K96" s="88">
        <f>IFERROR(__xludf.DUMMYFUNCTION("""COMPUTED_VALUE"""),7.23766E7)</f>
        <v>72376600</v>
      </c>
      <c r="L96" s="88">
        <f>IFERROR(__xludf.DUMMYFUNCTION("""COMPUTED_VALUE"""),0.361012)</f>
        <v>0.361012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IFERROR(__xludf.DUMMYFUNCTION("""COMPUTED_VALUE"""),117.85)</f>
        <v>117.85</v>
      </c>
      <c r="C97">
        <f>IFERROR(__xludf.DUMMYFUNCTION("""COMPUTED_VALUE"""),122.4)</f>
        <v>122.4</v>
      </c>
      <c r="D97" s="88">
        <f>IFERROR(__xludf.DUMMYFUNCTION("""COMPUTED_VALUE"""),117.48)</f>
        <v>117.48</v>
      </c>
      <c r="E97" s="88">
        <f>IFERROR(__xludf.DUMMYFUNCTION("""COMPUTED_VALUE"""),121.95)</f>
        <v>121.95</v>
      </c>
      <c r="F97" s="88">
        <f>IFERROR(__xludf.DUMMYFUNCTION("""COMPUTED_VALUE"""),5.31789E7)</f>
        <v>53178900</v>
      </c>
      <c r="G97" s="88">
        <f>IFERROR(__xludf.DUMMYFUNCTION("""COMPUTED_VALUE"""),90.7454201047991)</f>
        <v>90.7454201</v>
      </c>
      <c r="H97" s="88">
        <f>IFERROR(__xludf.DUMMYFUNCTION("""COMPUTED_VALUE"""),94.2489556285737)</f>
        <v>94.24895563</v>
      </c>
      <c r="I97" s="88">
        <f>IFERROR(__xludf.DUMMYFUNCTION("""COMPUTED_VALUE"""),90.4605172160526)</f>
        <v>90.46051722</v>
      </c>
      <c r="J97" s="88">
        <f>IFERROR(__xludf.DUMMYFUNCTION("""COMPUTED_VALUE"""),93.9024521152333)</f>
        <v>93.90245212</v>
      </c>
      <c r="K97" s="88">
        <f>IFERROR(__xludf.DUMMYFUNCTION("""COMPUTED_VALUE"""),5.31789E7)</f>
        <v>53178900</v>
      </c>
      <c r="L97" s="88">
        <f>IFERROR(__xludf.DUMMYFUNCTION("""COMPUTED_VALUE"""),0.362131)</f>
        <v>0.362131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IFERROR(__xludf.DUMMYFUNCTION("""COMPUTED_VALUE"""),122.13)</f>
        <v>122.13</v>
      </c>
      <c r="C98">
        <f>IFERROR(__xludf.DUMMYFUNCTION("""COMPUTED_VALUE"""),122.57)</f>
        <v>122.57</v>
      </c>
      <c r="D98" s="88">
        <f>IFERROR(__xludf.DUMMYFUNCTION("""COMPUTED_VALUE"""),119.284)</f>
        <v>119.284</v>
      </c>
      <c r="E98" s="88">
        <f>IFERROR(__xludf.DUMMYFUNCTION("""COMPUTED_VALUE"""),119.42)</f>
        <v>119.42</v>
      </c>
      <c r="F98" s="88">
        <f>IFERROR(__xludf.DUMMYFUNCTION("""COMPUTED_VALUE"""),4.14635E7)</f>
        <v>41463500</v>
      </c>
      <c r="G98" s="88">
        <f>IFERROR(__xludf.DUMMYFUNCTION("""COMPUTED_VALUE"""),93.7634421309666)</f>
        <v>93.76344213</v>
      </c>
      <c r="H98" s="88">
        <f>IFERROR(__xludf.DUMMYFUNCTION("""COMPUTED_VALUE"""),94.1012454105672)</f>
        <v>94.10124541</v>
      </c>
      <c r="I98" s="88">
        <f>IFERROR(__xludf.DUMMYFUNCTION("""COMPUTED_VALUE"""),91.5784690997316)</f>
        <v>91.5784691</v>
      </c>
      <c r="J98" s="88">
        <f>IFERROR(__xludf.DUMMYFUNCTION("""COMPUTED_VALUE"""),91.6828810225172)</f>
        <v>91.68288102</v>
      </c>
      <c r="K98" s="88">
        <f>IFERROR(__xludf.DUMMYFUNCTION("""COMPUTED_VALUE"""),4.14635E7)</f>
        <v>41463500</v>
      </c>
      <c r="L98" s="88">
        <f>IFERROR(__xludf.DUMMYFUNCTION("""COMPUTED_VALUE"""),0.368186)</f>
        <v>0.368186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IFERROR(__xludf.DUMMYFUNCTION("""COMPUTED_VALUE"""),119.9)</f>
        <v>119.9</v>
      </c>
      <c r="C99">
        <f>IFERROR(__xludf.DUMMYFUNCTION("""COMPUTED_VALUE"""),120.29)</f>
        <v>120.29</v>
      </c>
      <c r="D99" s="88">
        <f>IFERROR(__xludf.DUMMYFUNCTION("""COMPUTED_VALUE"""),118.65)</f>
        <v>118.65</v>
      </c>
      <c r="E99" s="88">
        <f>IFERROR(__xludf.DUMMYFUNCTION("""COMPUTED_VALUE"""),120.12)</f>
        <v>120.12</v>
      </c>
      <c r="F99" s="88">
        <f>IFERROR(__xludf.DUMMYFUNCTION("""COMPUTED_VALUE"""),3.41267E7)</f>
        <v>34126700</v>
      </c>
      <c r="G99" s="88">
        <f>IFERROR(__xludf.DUMMYFUNCTION("""COMPUTED_VALUE"""),91.7683188733716)</f>
        <v>91.76831887</v>
      </c>
      <c r="H99" s="88">
        <f>IFERROR(__xludf.DUMMYFUNCTION("""COMPUTED_VALUE"""),92.0668146561957)</f>
        <v>92.06681466</v>
      </c>
      <c r="I99" s="88">
        <f>IFERROR(__xludf.DUMMYFUNCTION("""COMPUTED_VALUE"""),90.8116016207301)</f>
        <v>90.81160162</v>
      </c>
      <c r="J99" s="88">
        <f>IFERROR(__xludf.DUMMYFUNCTION("""COMPUTED_VALUE"""),91.9367011098365)</f>
        <v>91.93670111</v>
      </c>
      <c r="K99" s="88">
        <f>IFERROR(__xludf.DUMMYFUNCTION("""COMPUTED_VALUE"""),3.41267E7)</f>
        <v>34126700</v>
      </c>
      <c r="L99" s="88">
        <f>IFERROR(__xludf.DUMMYFUNCTION("""COMPUTED_VALUE"""),0.374228)</f>
        <v>0.374228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IFERROR(__xludf.DUMMYFUNCTION("""COMPUTED_VALUE"""),120.33)</f>
        <v>120.33</v>
      </c>
      <c r="C100">
        <f>IFERROR(__xludf.DUMMYFUNCTION("""COMPUTED_VALUE"""),120.59)</f>
        <v>120.59</v>
      </c>
      <c r="D100" s="88">
        <f>IFERROR(__xludf.DUMMYFUNCTION("""COMPUTED_VALUE"""),118.73)</f>
        <v>118.73</v>
      </c>
      <c r="E100" s="88">
        <f>IFERROR(__xludf.DUMMYFUNCTION("""COMPUTED_VALUE"""),119.44)</f>
        <v>119.44</v>
      </c>
      <c r="F100" s="88">
        <f>IFERROR(__xludf.DUMMYFUNCTION("""COMPUTED_VALUE"""),4.03578E7)</f>
        <v>40357800</v>
      </c>
      <c r="G100" s="88">
        <f>IFERROR(__xludf.DUMMYFUNCTION("""COMPUTED_VALUE"""),91.8116565681556)</f>
        <v>91.81165657</v>
      </c>
      <c r="H100" s="88">
        <f>IFERROR(__xludf.DUMMYFUNCTION("""COMPUTED_VALUE"""),92.0100362798461)</f>
        <v>92.01003628</v>
      </c>
      <c r="I100" s="88">
        <f>IFERROR(__xludf.DUMMYFUNCTION("""COMPUTED_VALUE"""),90.5908583423678)</f>
        <v>90.59085834</v>
      </c>
      <c r="J100" s="88">
        <f>IFERROR(__xludf.DUMMYFUNCTION("""COMPUTED_VALUE"""),91.1325875550611)</f>
        <v>91.13258756</v>
      </c>
      <c r="K100" s="88">
        <f>IFERROR(__xludf.DUMMYFUNCTION("""COMPUTED_VALUE"""),4.03578E7)</f>
        <v>40357800</v>
      </c>
      <c r="L100" s="88">
        <f>IFERROR(__xludf.DUMMYFUNCTION("""COMPUTED_VALUE"""),0.370505)</f>
        <v>0.370505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IFERROR(__xludf.DUMMYFUNCTION("""COMPUTED_VALUE"""),119.42)</f>
        <v>119.42</v>
      </c>
      <c r="C101">
        <f>IFERROR(__xludf.DUMMYFUNCTION("""COMPUTED_VALUE"""),121.31)</f>
        <v>121.31</v>
      </c>
      <c r="D101" s="88">
        <f>IFERROR(__xludf.DUMMYFUNCTION("""COMPUTED_VALUE"""),119.0)</f>
        <v>119</v>
      </c>
      <c r="E101" s="88">
        <f>IFERROR(__xludf.DUMMYFUNCTION("""COMPUTED_VALUE"""),120.96)</f>
        <v>120.96</v>
      </c>
      <c r="F101" s="88">
        <f>IFERROR(__xludf.DUMMYFUNCTION("""COMPUTED_VALUE"""),5.42619E7)</f>
        <v>54261900</v>
      </c>
      <c r="G101" s="88">
        <f>IFERROR(__xludf.DUMMYFUNCTION("""COMPUTED_VALUE"""),90.833898122767)</f>
        <v>90.83389812</v>
      </c>
      <c r="H101" s="88">
        <f>IFERROR(__xludf.DUMMYFUNCTION("""COMPUTED_VALUE"""),92.2714803322129)</f>
        <v>92.27148033</v>
      </c>
      <c r="I101" s="88">
        <f>IFERROR(__xludf.DUMMYFUNCTION("""COMPUTED_VALUE"""),90.5144354095568)</f>
        <v>90.51443541</v>
      </c>
      <c r="J101" s="88">
        <f>IFERROR(__xludf.DUMMYFUNCTION("""COMPUTED_VALUE"""),92.0052614045378)</f>
        <v>92.0052614</v>
      </c>
      <c r="K101" s="88">
        <f>IFERROR(__xludf.DUMMYFUNCTION("""COMPUTED_VALUE"""),5.42619E7)</f>
        <v>54261900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IFERROR(__xludf.DUMMYFUNCTION("""COMPUTED_VALUE"""),120.99)</f>
        <v>120.99</v>
      </c>
      <c r="C102">
        <f>IFERROR(__xludf.DUMMYFUNCTION("""COMPUTED_VALUE"""),122.48)</f>
        <v>122.48</v>
      </c>
      <c r="D102" s="88">
        <f>IFERROR(__xludf.DUMMYFUNCTION("""COMPUTED_VALUE"""),120.3)</f>
        <v>120.3</v>
      </c>
      <c r="E102" s="88">
        <f>IFERROR(__xludf.DUMMYFUNCTION("""COMPUTED_VALUE"""),121.73)</f>
        <v>121.73</v>
      </c>
      <c r="F102" s="88">
        <f>IFERROR(__xludf.DUMMYFUNCTION("""COMPUTED_VALUE"""),4.78336E7)</f>
        <v>47833600</v>
      </c>
      <c r="G102" s="88">
        <f>IFERROR(__xludf.DUMMYFUNCTION("""COMPUTED_VALUE"""),92.0280801697671)</f>
        <v>92.02808017</v>
      </c>
      <c r="H102" s="88">
        <f>IFERROR(__xludf.DUMMYFUNCTION("""COMPUTED_VALUE"""),92.8834337192939)</f>
        <v>92.88343372</v>
      </c>
      <c r="I102" s="88">
        <f>IFERROR(__xludf.DUMMYFUNCTION("""COMPUTED_VALUE"""),91.2302178023437)</f>
        <v>91.2302178</v>
      </c>
      <c r="J102" s="88">
        <f>IFERROR(__xludf.DUMMYFUNCTION("""COMPUTED_VALUE"""),92.314666775389)</f>
        <v>92.31466678</v>
      </c>
      <c r="K102" s="88">
        <f>IFERROR(__xludf.DUMMYFUNCTION("""COMPUTED_VALUE"""),4.78336E7)</f>
        <v>47833600</v>
      </c>
      <c r="L102" s="88">
        <f>IFERROR(__xludf.DUMMYFUNCTION("""COMPUTED_VALUE"""),0.737521)</f>
        <v>0.737521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IFERROR(__xludf.DUMMYFUNCTION("IMPORTDATA(concatenate(""https://api.tiingo.com/tiingo/daily/IEF/prices?startDate=2012-12-31&amp;resampleFreq=monthly&amp;sort=-date&amp;format=csv&amp;token="",TOKEN!B1))"),"date")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IFERROR(__xludf.DUMMYFUNCTION("""COMPUTED_VALUE"""),113.94)</f>
        <v>113.94</v>
      </c>
      <c r="C2">
        <f>IFERROR(__xludf.DUMMYFUNCTION("""COMPUTED_VALUE"""),114.765)</f>
        <v>114.765</v>
      </c>
      <c r="D2" s="88">
        <f>IFERROR(__xludf.DUMMYFUNCTION("""COMPUTED_VALUE"""),112.8)</f>
        <v>112.8</v>
      </c>
      <c r="E2" s="88">
        <f>IFERROR(__xludf.DUMMYFUNCTION("""COMPUTED_VALUE"""),113.21)</f>
        <v>113.21</v>
      </c>
      <c r="F2" s="88">
        <f>IFERROR(__xludf.DUMMYFUNCTION("""COMPUTED_VALUE"""),1.29325053E8)</f>
        <v>129325053</v>
      </c>
      <c r="G2" s="88">
        <f>IFERROR(__xludf.DUMMYFUNCTION("""COMPUTED_VALUE"""),113.94)</f>
        <v>113.94</v>
      </c>
      <c r="H2" s="88">
        <f>IFERROR(__xludf.DUMMYFUNCTION("""COMPUTED_VALUE"""),114.765)</f>
        <v>114.765</v>
      </c>
      <c r="I2" s="88">
        <f>IFERROR(__xludf.DUMMYFUNCTION("""COMPUTED_VALUE"""),112.8)</f>
        <v>112.8</v>
      </c>
      <c r="J2" s="88">
        <f>IFERROR(__xludf.DUMMYFUNCTION("""COMPUTED_VALUE"""),113.21)</f>
        <v>113.21</v>
      </c>
      <c r="K2" s="88">
        <f>IFERROR(__xludf.DUMMYFUNCTION("""COMPUTED_VALUE"""),1.29325053E8)</f>
        <v>129325053</v>
      </c>
      <c r="L2" s="88">
        <f>IFERROR(__xludf.DUMMYFUNCTION("""COMPUTED_VALUE"""),0.069712)</f>
        <v>0.069712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IFERROR(__xludf.DUMMYFUNCTION("""COMPUTED_VALUE"""),112.93)</f>
        <v>112.93</v>
      </c>
      <c r="C3">
        <f>IFERROR(__xludf.DUMMYFUNCTION("""COMPUTED_VALUE"""),115.78)</f>
        <v>115.78</v>
      </c>
      <c r="D3" s="88">
        <f>IFERROR(__xludf.DUMMYFUNCTION("""COMPUTED_VALUE"""),112.78)</f>
        <v>112.78</v>
      </c>
      <c r="E3" s="88">
        <f>IFERROR(__xludf.DUMMYFUNCTION("""COMPUTED_VALUE"""),115.47)</f>
        <v>115.47</v>
      </c>
      <c r="F3" s="88">
        <f>IFERROR(__xludf.DUMMYFUNCTION("""COMPUTED_VALUE"""),1.80766708E8)</f>
        <v>180766708</v>
      </c>
      <c r="G3" s="88">
        <f>IFERROR(__xludf.DUMMYFUNCTION("""COMPUTED_VALUE"""),112.86059511462)</f>
        <v>112.8605951</v>
      </c>
      <c r="H3" s="88">
        <f>IFERROR(__xludf.DUMMYFUNCTION("""COMPUTED_VALUE"""),115.708843552384)</f>
        <v>115.7088436</v>
      </c>
      <c r="I3" s="88">
        <f>IFERROR(__xludf.DUMMYFUNCTION("""COMPUTED_VALUE"""),112.710687302107)</f>
        <v>112.7106873</v>
      </c>
      <c r="J3" s="88">
        <f>IFERROR(__xludf.DUMMYFUNCTION("""COMPUTED_VALUE"""),115.399034073189)</f>
        <v>115.3990341</v>
      </c>
      <c r="K3" s="88">
        <f>IFERROR(__xludf.DUMMYFUNCTION("""COMPUTED_VALUE"""),1.80766708E8)</f>
        <v>180766708</v>
      </c>
      <c r="L3" s="88">
        <f>IFERROR(__xludf.DUMMYFUNCTION("""COMPUTED_VALUE"""),0.069871)</f>
        <v>0.069871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IFERROR(__xludf.DUMMYFUNCTION("""COMPUTED_VALUE"""),115.76)</f>
        <v>115.76</v>
      </c>
      <c r="C4">
        <f>IFERROR(__xludf.DUMMYFUNCTION("""COMPUTED_VALUE"""),118.77)</f>
        <v>118.77</v>
      </c>
      <c r="D4" s="88">
        <f>IFERROR(__xludf.DUMMYFUNCTION("""COMPUTED_VALUE"""),114.1)</f>
        <v>114.1</v>
      </c>
      <c r="E4" s="88">
        <f>IFERROR(__xludf.DUMMYFUNCTION("""COMPUTED_VALUE"""),118.57)</f>
        <v>118.57</v>
      </c>
      <c r="F4" s="88">
        <f>IFERROR(__xludf.DUMMYFUNCTION("""COMPUTED_VALUE"""),1.5361552E8)</f>
        <v>153615520</v>
      </c>
      <c r="G4" s="88">
        <f>IFERROR(__xludf.DUMMYFUNCTION("""COMPUTED_VALUE"""),115.618949201615)</f>
        <v>115.6189492</v>
      </c>
      <c r="H4" s="88">
        <f>IFERROR(__xludf.DUMMYFUNCTION("""COMPUTED_VALUE"""),118.625281588423)</f>
        <v>118.6252816</v>
      </c>
      <c r="I4" s="88">
        <f>IFERROR(__xludf.DUMMYFUNCTION("""COMPUTED_VALUE"""),113.960971872014)</f>
        <v>113.9609719</v>
      </c>
      <c r="J4" s="88">
        <f>IFERROR(__xludf.DUMMYFUNCTION("""COMPUTED_VALUE"""),118.425525283652)</f>
        <v>118.4255253</v>
      </c>
      <c r="K4" s="88">
        <f>IFERROR(__xludf.DUMMYFUNCTION("""COMPUTED_VALUE"""),1.5361552E8)</f>
        <v>153615520</v>
      </c>
      <c r="L4" s="88">
        <f>IFERROR(__xludf.DUMMYFUNCTION("""COMPUTED_VALUE"""),0.077553)</f>
        <v>0.077553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IFERROR(__xludf.DUMMYFUNCTION("""COMPUTED_VALUE"""),118.64)</f>
        <v>118.64</v>
      </c>
      <c r="C5">
        <f>IFERROR(__xludf.DUMMYFUNCTION("""COMPUTED_VALUE"""),120.06)</f>
        <v>120.06</v>
      </c>
      <c r="D5" s="88">
        <f>IFERROR(__xludf.DUMMYFUNCTION("""COMPUTED_VALUE"""),117.57)</f>
        <v>117.57</v>
      </c>
      <c r="E5" s="88">
        <f>IFERROR(__xludf.DUMMYFUNCTION("""COMPUTED_VALUE"""),119.68)</f>
        <v>119.68</v>
      </c>
      <c r="F5" s="88">
        <f>IFERROR(__xludf.DUMMYFUNCTION("""COMPUTED_VALUE"""),1.16935904E8)</f>
        <v>116935904</v>
      </c>
      <c r="G5" s="88">
        <f>IFERROR(__xludf.DUMMYFUNCTION("""COMPUTED_VALUE"""),118.418077702561)</f>
        <v>118.4180777</v>
      </c>
      <c r="H5" s="88">
        <f>IFERROR(__xludf.DUMMYFUNCTION("""COMPUTED_VALUE"""),119.835421518623)</f>
        <v>119.8354215</v>
      </c>
      <c r="I5" s="88">
        <f>IFERROR(__xludf.DUMMYFUNCTION("""COMPUTED_VALUE"""),117.350079193274)</f>
        <v>117.3500792</v>
      </c>
      <c r="J5" s="88">
        <f>IFERROR(__xludf.DUMMYFUNCTION("""COMPUTED_VALUE"""),119.456132328409)</f>
        <v>119.4561323</v>
      </c>
      <c r="K5" s="88">
        <f>IFERROR(__xludf.DUMMYFUNCTION("""COMPUTED_VALUE"""),1.16935904E8)</f>
        <v>116935904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IFERROR(__xludf.DUMMYFUNCTION("""COMPUTED_VALUE"""),119.95)</f>
        <v>119.95</v>
      </c>
      <c r="C6">
        <f>IFERROR(__xludf.DUMMYFUNCTION("""COMPUTED_VALUE"""),120.27)</f>
        <v>120.27</v>
      </c>
      <c r="D6" s="88">
        <f>IFERROR(__xludf.DUMMYFUNCTION("""COMPUTED_VALUE"""),119.2)</f>
        <v>119.2</v>
      </c>
      <c r="E6" s="88">
        <f>IFERROR(__xludf.DUMMYFUNCTION("""COMPUTED_VALUE"""),119.97)</f>
        <v>119.97</v>
      </c>
      <c r="F6" s="88">
        <f>IFERROR(__xludf.DUMMYFUNCTION("""COMPUTED_VALUE"""),8.8670532E7)</f>
        <v>88670532</v>
      </c>
      <c r="G6" s="88">
        <f>IFERROR(__xludf.DUMMYFUNCTION("""COMPUTED_VALUE"""),119.725627279351)</f>
        <v>119.7256273</v>
      </c>
      <c r="H6" s="88">
        <f>IFERROR(__xludf.DUMMYFUNCTION("""COMPUTED_VALUE"""),119.97232867879)</f>
        <v>119.9723287</v>
      </c>
      <c r="I6" s="88">
        <f>IFERROR(__xludf.DUMMYFUNCTION("""COMPUTED_VALUE"""),118.904976956113)</f>
        <v>118.904977</v>
      </c>
      <c r="J6" s="88">
        <f>IFERROR(__xludf.DUMMYFUNCTION("""COMPUTED_VALUE"""),119.67307118645)</f>
        <v>119.6730712</v>
      </c>
      <c r="K6" s="88">
        <f>IFERROR(__xludf.DUMMYFUNCTION("""COMPUTED_VALUE"""),8.8670532E7)</f>
        <v>88670532</v>
      </c>
      <c r="L6" s="88">
        <f>IFERROR(__xludf.DUMMYFUNCTION("""COMPUTED_VALUE"""),0.152286)</f>
        <v>0.152286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IFERROR(__xludf.DUMMYFUNCTION("""COMPUTED_VALUE"""),120.39)</f>
        <v>120.39</v>
      </c>
      <c r="C7">
        <f>IFERROR(__xludf.DUMMYFUNCTION("""COMPUTED_VALUE"""),121.06)</f>
        <v>121.06</v>
      </c>
      <c r="D7" s="88">
        <f>IFERROR(__xludf.DUMMYFUNCTION("""COMPUTED_VALUE"""),119.19)</f>
        <v>119.19</v>
      </c>
      <c r="E7" s="88">
        <f>IFERROR(__xludf.DUMMYFUNCTION("""COMPUTED_VALUE"""),120.34)</f>
        <v>120.34</v>
      </c>
      <c r="F7" s="88">
        <f>IFERROR(__xludf.DUMMYFUNCTION("""COMPUTED_VALUE"""),1.3509781E8)</f>
        <v>135097810</v>
      </c>
      <c r="G7" s="88">
        <f>IFERROR(__xludf.DUMMYFUNCTION("""COMPUTED_VALUE"""),120.012052723467)</f>
        <v>120.0120527</v>
      </c>
      <c r="H7" s="88">
        <f>IFERROR(__xludf.DUMMYFUNCTION("""COMPUTED_VALUE"""),120.679949353791)</f>
        <v>120.6799494</v>
      </c>
      <c r="I7" s="88">
        <f>IFERROR(__xludf.DUMMYFUNCTION("""COMPUTED_VALUE"""),118.815819952737)</f>
        <v>118.81582</v>
      </c>
      <c r="J7" s="88">
        <f>IFERROR(__xludf.DUMMYFUNCTION("""COMPUTED_VALUE"""),119.962209691353)</f>
        <v>119.9622097</v>
      </c>
      <c r="K7" s="88">
        <f>IFERROR(__xludf.DUMMYFUNCTION("""COMPUTED_VALUE"""),1.3509781E8)</f>
        <v>135097810</v>
      </c>
      <c r="L7" s="88">
        <f>IFERROR(__xludf.DUMMYFUNCTION("""COMPUTED_VALUE"""),0.075943)</f>
        <v>0.075943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IFERROR(__xludf.DUMMYFUNCTION("""COMPUTED_VALUE"""),120.06)</f>
        <v>120.06</v>
      </c>
      <c r="C8">
        <f>IFERROR(__xludf.DUMMYFUNCTION("""COMPUTED_VALUE"""),121.93)</f>
        <v>121.93</v>
      </c>
      <c r="D8" s="88">
        <f>IFERROR(__xludf.DUMMYFUNCTION("""COMPUTED_VALUE"""),120.06)</f>
        <v>120.06</v>
      </c>
      <c r="E8" s="88">
        <f>IFERROR(__xludf.DUMMYFUNCTION("""COMPUTED_VALUE"""),121.53)</f>
        <v>121.53</v>
      </c>
      <c r="F8" s="88">
        <f>IFERROR(__xludf.DUMMYFUNCTION("""COMPUTED_VALUE"""),1.24035075E8)</f>
        <v>124035075</v>
      </c>
      <c r="G8" s="88">
        <f>IFERROR(__xludf.DUMMYFUNCTION("""COMPUTED_VALUE"""),119.607513760044)</f>
        <v>119.6075138</v>
      </c>
      <c r="H8" s="88">
        <f>IFERROR(__xludf.DUMMYFUNCTION("""COMPUTED_VALUE"""),121.470466039998)</f>
        <v>121.470466</v>
      </c>
      <c r="I8" s="88">
        <f>IFERROR(__xludf.DUMMYFUNCTION("""COMPUTED_VALUE"""),119.607513760044)</f>
        <v>119.6075138</v>
      </c>
      <c r="J8" s="88">
        <f>IFERROR(__xludf.DUMMYFUNCTION("""COMPUTED_VALUE"""),121.071973573698)</f>
        <v>121.0719736</v>
      </c>
      <c r="K8" s="88">
        <f>IFERROR(__xludf.DUMMYFUNCTION("""COMPUTED_VALUE"""),1.24035075E8)</f>
        <v>124035075</v>
      </c>
      <c r="L8" s="88">
        <f>IFERROR(__xludf.DUMMYFUNCTION("""COMPUTED_VALUE"""),0.079256)</f>
        <v>0.079256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IFERROR(__xludf.DUMMYFUNCTION("""COMPUTED_VALUE"""),121.82)</f>
        <v>121.82</v>
      </c>
      <c r="C9">
        <f>IFERROR(__xludf.DUMMYFUNCTION("""COMPUTED_VALUE"""),122.39)</f>
        <v>122.39</v>
      </c>
      <c r="D9" s="88">
        <f>IFERROR(__xludf.DUMMYFUNCTION("""COMPUTED_VALUE"""),121.3)</f>
        <v>121.3</v>
      </c>
      <c r="E9" s="88">
        <f>IFERROR(__xludf.DUMMYFUNCTION("""COMPUTED_VALUE"""),121.4)</f>
        <v>121.4</v>
      </c>
      <c r="F9" s="88">
        <f>IFERROR(__xludf.DUMMYFUNCTION("""COMPUTED_VALUE"""),8.2593131E7)</f>
        <v>82593131</v>
      </c>
      <c r="G9" s="88">
        <f>IFERROR(__xludf.DUMMYFUNCTION("""COMPUTED_VALUE"""),121.281968177073)</f>
        <v>121.2819682</v>
      </c>
      <c r="H9" s="88">
        <f>IFERROR(__xludf.DUMMYFUNCTION("""COMPUTED_VALUE"""),121.849450707536)</f>
        <v>121.8494507</v>
      </c>
      <c r="I9" s="88">
        <f>IFERROR(__xludf.DUMMYFUNCTION("""COMPUTED_VALUE"""),120.76426481595)</f>
        <v>120.7642648</v>
      </c>
      <c r="J9" s="88">
        <f>IFERROR(__xludf.DUMMYFUNCTION("""COMPUTED_VALUE"""),120.863823154627)</f>
        <v>120.8638232</v>
      </c>
      <c r="K9" s="88">
        <f>IFERROR(__xludf.DUMMYFUNCTION("""COMPUTED_VALUE"""),8.2593131E7)</f>
        <v>82593131</v>
      </c>
      <c r="L9" s="88">
        <f>IFERROR(__xludf.DUMMYFUNCTION("""COMPUTED_VALUE"""),0.088008)</f>
        <v>0.088008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IFERROR(__xludf.DUMMYFUNCTION("""COMPUTED_VALUE"""),121.51)</f>
        <v>121.51</v>
      </c>
      <c r="C10">
        <f>IFERROR(__xludf.DUMMYFUNCTION("""COMPUTED_VALUE"""),123.09)</f>
        <v>123.09</v>
      </c>
      <c r="D10" s="88">
        <f>IFERROR(__xludf.DUMMYFUNCTION("""COMPUTED_VALUE"""),121.18)</f>
        <v>121.18</v>
      </c>
      <c r="E10" s="88">
        <f>IFERROR(__xludf.DUMMYFUNCTION("""COMPUTED_VALUE"""),122.52)</f>
        <v>122.52</v>
      </c>
      <c r="F10" s="88">
        <f>IFERROR(__xludf.DUMMYFUNCTION("""COMPUTED_VALUE"""),7.4468643E7)</f>
        <v>74468643</v>
      </c>
      <c r="G10" s="88">
        <f>IFERROR(__xludf.DUMMYFUNCTION("""COMPUTED_VALUE"""),120.886004085935)</f>
        <v>120.8860041</v>
      </c>
      <c r="H10" s="88">
        <f>IFERROR(__xludf.DUMMYFUNCTION("""COMPUTED_VALUE"""),122.457890238974)</f>
        <v>122.4578902</v>
      </c>
      <c r="I10" s="88">
        <f>IFERROR(__xludf.DUMMYFUNCTION("""COMPUTED_VALUE"""),120.557698750173)</f>
        <v>120.5576988</v>
      </c>
      <c r="J10" s="88">
        <f>IFERROR(__xludf.DUMMYFUNCTION("""COMPUTED_VALUE"""),121.890817386295)</f>
        <v>121.8908174</v>
      </c>
      <c r="K10" s="88">
        <f>IFERROR(__xludf.DUMMYFUNCTION("""COMPUTED_VALUE"""),7.4468643E7)</f>
        <v>74468643</v>
      </c>
      <c r="L10" s="88">
        <f>IFERROR(__xludf.DUMMYFUNCTION("""COMPUTED_VALUE"""),0.099876)</f>
        <v>0.099876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IFERROR(__xludf.DUMMYFUNCTION("""COMPUTED_VALUE"""),122.8)</f>
        <v>122.8</v>
      </c>
      <c r="C11">
        <f>IFERROR(__xludf.DUMMYFUNCTION("""COMPUTED_VALUE"""),122.89)</f>
        <v>122.89</v>
      </c>
      <c r="D11" s="88">
        <f>IFERROR(__xludf.DUMMYFUNCTION("""COMPUTED_VALUE"""),121.29)</f>
        <v>121.29</v>
      </c>
      <c r="E11" s="88">
        <f>IFERROR(__xludf.DUMMYFUNCTION("""COMPUTED_VALUE"""),121.53)</f>
        <v>121.53</v>
      </c>
      <c r="F11" s="88">
        <f>IFERROR(__xludf.DUMMYFUNCTION("""COMPUTED_VALUE"""),8.8476659E7)</f>
        <v>88476659</v>
      </c>
      <c r="G11" s="88">
        <f>IFERROR(__xludf.DUMMYFUNCTION("""COMPUTED_VALUE"""),122.069967714289)</f>
        <v>122.0699677</v>
      </c>
      <c r="H11" s="88">
        <f>IFERROR(__xludf.DUMMYFUNCTION("""COMPUTED_VALUE"""),122.15943267434)</f>
        <v>122.1594327</v>
      </c>
      <c r="I11" s="88">
        <f>IFERROR(__xludf.DUMMYFUNCTION("""COMPUTED_VALUE"""),120.568944495652)</f>
        <v>120.5689445</v>
      </c>
      <c r="J11" s="88">
        <f>IFERROR(__xludf.DUMMYFUNCTION("""COMPUTED_VALUE"""),120.807517722455)</f>
        <v>120.8075177</v>
      </c>
      <c r="K11" s="88">
        <f>IFERROR(__xludf.DUMMYFUNCTION("""COMPUTED_VALUE"""),8.8476659E7)</f>
        <v>88476659</v>
      </c>
      <c r="L11" s="88">
        <f>IFERROR(__xludf.DUMMYFUNCTION("""COMPUTED_VALUE"""),0.110052)</f>
        <v>0.110052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IFERROR(__xludf.DUMMYFUNCTION("""COMPUTED_VALUE"""),121.87)</f>
        <v>121.87</v>
      </c>
      <c r="C12">
        <f>IFERROR(__xludf.DUMMYFUNCTION("""COMPUTED_VALUE"""),122.19)</f>
        <v>122.19</v>
      </c>
      <c r="D12" s="88">
        <f>IFERROR(__xludf.DUMMYFUNCTION("""COMPUTED_VALUE"""),119.35)</f>
        <v>119.35</v>
      </c>
      <c r="E12" s="88">
        <f>IFERROR(__xludf.DUMMYFUNCTION("""COMPUTED_VALUE"""),121.62)</f>
        <v>121.62</v>
      </c>
      <c r="F12" s="88">
        <f>IFERROR(__xludf.DUMMYFUNCTION("""COMPUTED_VALUE"""),1.12117524E8)</f>
        <v>112117524</v>
      </c>
      <c r="G12" s="88">
        <f>IFERROR(__xludf.DUMMYFUNCTION("""COMPUTED_VALUE"""),121.035927932493)</f>
        <v>121.0359279</v>
      </c>
      <c r="H12" s="88">
        <f>IFERROR(__xludf.DUMMYFUNCTION("""COMPUTED_VALUE"""),121.353737868806)</f>
        <v>121.3537379</v>
      </c>
      <c r="I12" s="88">
        <f>IFERROR(__xludf.DUMMYFUNCTION("""COMPUTED_VALUE"""),118.533174684033)</f>
        <v>118.5331747</v>
      </c>
      <c r="J12" s="88">
        <f>IFERROR(__xludf.DUMMYFUNCTION("""COMPUTED_VALUE"""),120.787638919749)</f>
        <v>120.7876389</v>
      </c>
      <c r="K12" s="88">
        <f>IFERROR(__xludf.DUMMYFUNCTION("""COMPUTED_VALUE"""),1.12117524E8)</f>
        <v>112117524</v>
      </c>
      <c r="L12" s="88">
        <f>IFERROR(__xludf.DUMMYFUNCTION("""COMPUTED_VALUE"""),0.122219)</f>
        <v>0.122219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IFERROR(__xludf.DUMMYFUNCTION("""COMPUTED_VALUE"""),121.94)</f>
        <v>121.94</v>
      </c>
      <c r="C13">
        <f>IFERROR(__xludf.DUMMYFUNCTION("""COMPUTED_VALUE"""),122.23)</f>
        <v>122.23</v>
      </c>
      <c r="D13" s="88">
        <f>IFERROR(__xludf.DUMMYFUNCTION("""COMPUTED_VALUE"""),120.85)</f>
        <v>120.85</v>
      </c>
      <c r="E13" s="88">
        <f>IFERROR(__xludf.DUMMYFUNCTION("""COMPUTED_VALUE"""),121.79)</f>
        <v>121.79</v>
      </c>
      <c r="F13" s="88">
        <f>IFERROR(__xludf.DUMMYFUNCTION("""COMPUTED_VALUE"""),6.4707909E7)</f>
        <v>64707909</v>
      </c>
      <c r="G13" s="88">
        <f>IFERROR(__xludf.DUMMYFUNCTION("""COMPUTED_VALUE"""),120.984018735458)</f>
        <v>120.9840187</v>
      </c>
      <c r="H13" s="88">
        <f>IFERROR(__xludf.DUMMYFUNCTION("""COMPUTED_VALUE"""),121.271745202846)</f>
        <v>121.2717452</v>
      </c>
      <c r="I13" s="88">
        <f>IFERROR(__xludf.DUMMYFUNCTION("""COMPUTED_VALUE"""),119.902564082173)</f>
        <v>119.9025641</v>
      </c>
      <c r="J13" s="88">
        <f>IFERROR(__xludf.DUMMYFUNCTION("""COMPUTED_VALUE"""),120.835194700603)</f>
        <v>120.8351947</v>
      </c>
      <c r="K13" s="88">
        <f>IFERROR(__xludf.DUMMYFUNCTION("""COMPUTED_VALUE"""),6.4707909E7)</f>
        <v>64707909</v>
      </c>
      <c r="L13" s="88">
        <f>IFERROR(__xludf.DUMMYFUNCTION("""COMPUTED_VALUE"""),0.127983)</f>
        <v>0.127983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IFERROR(__xludf.DUMMYFUNCTION("""COMPUTED_VALUE"""),121.67)</f>
        <v>121.67</v>
      </c>
      <c r="C14">
        <f>IFERROR(__xludf.DUMMYFUNCTION("""COMPUTED_VALUE"""),122.69)</f>
        <v>122.69</v>
      </c>
      <c r="D14" s="88">
        <f>IFERROR(__xludf.DUMMYFUNCTION("""COMPUTED_VALUE"""),120.27)</f>
        <v>120.27</v>
      </c>
      <c r="E14" s="88">
        <f>IFERROR(__xludf.DUMMYFUNCTION("""COMPUTED_VALUE"""),122.13)</f>
        <v>122.13</v>
      </c>
      <c r="F14" s="88">
        <f>IFERROR(__xludf.DUMMYFUNCTION("""COMPUTED_VALUE"""),7.9841822E7)</f>
        <v>79841822</v>
      </c>
      <c r="G14" s="88">
        <f>IFERROR(__xludf.DUMMYFUNCTION("""COMPUTED_VALUE"""),120.589330901715)</f>
        <v>120.5893309</v>
      </c>
      <c r="H14" s="88">
        <f>IFERROR(__xludf.DUMMYFUNCTION("""COMPUTED_VALUE"""),121.600271293921)</f>
        <v>121.6002713</v>
      </c>
      <c r="I14" s="88">
        <f>IFERROR(__xludf.DUMMYFUNCTION("""COMPUTED_VALUE"""),119.20176565751)</f>
        <v>119.2017657</v>
      </c>
      <c r="J14" s="88">
        <f>IFERROR(__xludf.DUMMYFUNCTION("""COMPUTED_VALUE"""),121.045245196239)</f>
        <v>121.0452452</v>
      </c>
      <c r="K14" s="88">
        <f>IFERROR(__xludf.DUMMYFUNCTION("""COMPUTED_VALUE"""),7.9841822E7)</f>
        <v>79841822</v>
      </c>
      <c r="L14" s="88">
        <f>IFERROR(__xludf.DUMMYFUNCTION("""COMPUTED_VALUE"""),0.144016)</f>
        <v>0.144016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IFERROR(__xludf.DUMMYFUNCTION("""COMPUTED_VALUE"""),121.48)</f>
        <v>121.48</v>
      </c>
      <c r="C15">
        <f>IFERROR(__xludf.DUMMYFUNCTION("""COMPUTED_VALUE"""),123.41)</f>
        <v>123.41</v>
      </c>
      <c r="D15" s="88">
        <f>IFERROR(__xludf.DUMMYFUNCTION("""COMPUTED_VALUE"""),114.4)</f>
        <v>114.4</v>
      </c>
      <c r="E15" s="88">
        <f>IFERROR(__xludf.DUMMYFUNCTION("""COMPUTED_VALUE"""),117.55)</f>
        <v>117.55</v>
      </c>
      <c r="F15" s="88">
        <f>IFERROR(__xludf.DUMMYFUNCTION("""COMPUTED_VALUE"""),2.12865234E8)</f>
        <v>212865234</v>
      </c>
      <c r="G15" s="88">
        <f>IFERROR(__xludf.DUMMYFUNCTION("""COMPUTED_VALUE"""),120.258859730391)</f>
        <v>120.2588597</v>
      </c>
      <c r="H15" s="88">
        <f>IFERROR(__xludf.DUMMYFUNCTION("""COMPUTED_VALUE"""),122.169459000062)</f>
        <v>122.169459</v>
      </c>
      <c r="I15" s="88">
        <f>IFERROR(__xludf.DUMMYFUNCTION("""COMPUTED_VALUE"""),113.250029248903)</f>
        <v>113.2500292</v>
      </c>
      <c r="J15" s="88">
        <f>IFERROR(__xludf.DUMMYFUNCTION("""COMPUTED_VALUE"""),116.36836484448)</f>
        <v>116.3683648</v>
      </c>
      <c r="K15" s="88">
        <f>IFERROR(__xludf.DUMMYFUNCTION("""COMPUTED_VALUE"""),2.12865234E8)</f>
        <v>212865234</v>
      </c>
      <c r="L15" s="88">
        <f>IFERROR(__xludf.DUMMYFUNCTION("""COMPUTED_VALUE"""),0.140289)</f>
        <v>0.140289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IFERROR(__xludf.DUMMYFUNCTION("""COMPUTED_VALUE"""),117.26)</f>
        <v>117.26</v>
      </c>
      <c r="C16">
        <f>IFERROR(__xludf.DUMMYFUNCTION("""COMPUTED_VALUE"""),117.45)</f>
        <v>117.45</v>
      </c>
      <c r="D16" s="88">
        <f>IFERROR(__xludf.DUMMYFUNCTION("""COMPUTED_VALUE"""),112.56)</f>
        <v>112.56</v>
      </c>
      <c r="E16" s="88">
        <f>IFERROR(__xludf.DUMMYFUNCTION("""COMPUTED_VALUE"""),113.61)</f>
        <v>113.61</v>
      </c>
      <c r="F16" s="88">
        <f>IFERROR(__xludf.DUMMYFUNCTION("""COMPUTED_VALUE"""),1.11609558E8)</f>
        <v>111609558</v>
      </c>
      <c r="G16" s="88">
        <f>IFERROR(__xludf.DUMMYFUNCTION("""COMPUTED_VALUE"""),115.942306720833)</f>
        <v>115.9423067</v>
      </c>
      <c r="H16" s="88">
        <f>IFERROR(__xludf.DUMMYFUNCTION("""COMPUTED_VALUE"""),116.130171621711)</f>
        <v>116.1301716</v>
      </c>
      <c r="I16" s="88">
        <f>IFERROR(__xludf.DUMMYFUNCTION("""COMPUTED_VALUE"""),111.295122330692)</f>
        <v>111.2951223</v>
      </c>
      <c r="J16" s="88">
        <f>IFERROR(__xludf.DUMMYFUNCTION("""COMPUTED_VALUE"""),112.333323098702)</f>
        <v>112.3333231</v>
      </c>
      <c r="K16" s="88">
        <f>IFERROR(__xludf.DUMMYFUNCTION("""COMPUTED_VALUE"""),1.11609558E8)</f>
        <v>111609558</v>
      </c>
      <c r="L16" s="88">
        <f>IFERROR(__xludf.DUMMYFUNCTION("""COMPUTED_VALUE"""),0.153292)</f>
        <v>0.153292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IFERROR(__xludf.DUMMYFUNCTION("""COMPUTED_VALUE"""),114.04)</f>
        <v>114.04</v>
      </c>
      <c r="C17">
        <f>IFERROR(__xludf.DUMMYFUNCTION("""COMPUTED_VALUE"""),114.12)</f>
        <v>114.12</v>
      </c>
      <c r="D17" s="88">
        <f>IFERROR(__xludf.DUMMYFUNCTION("""COMPUTED_VALUE"""),110.63)</f>
        <v>110.63</v>
      </c>
      <c r="E17" s="88">
        <f>IFERROR(__xludf.DUMMYFUNCTION("""COMPUTED_VALUE"""),110.69)</f>
        <v>110.69</v>
      </c>
      <c r="F17" s="88">
        <f>IFERROR(__xludf.DUMMYFUNCTION("""COMPUTED_VALUE"""),7.2903373E7)</f>
        <v>72903373</v>
      </c>
      <c r="G17" s="88">
        <f>IFERROR(__xludf.DUMMYFUNCTION("""COMPUTED_VALUE"""),112.606792987531)</f>
        <v>112.606793</v>
      </c>
      <c r="H17" s="88">
        <f>IFERROR(__xludf.DUMMYFUNCTION("""COMPUTED_VALUE"""),112.685787580999)</f>
        <v>112.6857876</v>
      </c>
      <c r="I17" s="88">
        <f>IFERROR(__xludf.DUMMYFUNCTION("""COMPUTED_VALUE"""),109.239648440991)</f>
        <v>109.2396484</v>
      </c>
      <c r="J17" s="88">
        <f>IFERROR(__xludf.DUMMYFUNCTION("""COMPUTED_VALUE"""),109.298894386091)</f>
        <v>109.2988944</v>
      </c>
      <c r="K17" s="88">
        <f>IFERROR(__xludf.DUMMYFUNCTION("""COMPUTED_VALUE"""),7.2903373E7)</f>
        <v>72903373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IFERROR(__xludf.DUMMYFUNCTION("""COMPUTED_VALUE"""),110.22)</f>
        <v>110.22</v>
      </c>
      <c r="C18">
        <f>IFERROR(__xludf.DUMMYFUNCTION("""COMPUTED_VALUE"""),112.17)</f>
        <v>112.17</v>
      </c>
      <c r="D18" s="88">
        <f>IFERROR(__xludf.DUMMYFUNCTION("""COMPUTED_VALUE"""),110.04)</f>
        <v>110.04</v>
      </c>
      <c r="E18" s="88">
        <f>IFERROR(__xludf.DUMMYFUNCTION("""COMPUTED_VALUE"""),110.87)</f>
        <v>110.87</v>
      </c>
      <c r="F18" s="88">
        <f>IFERROR(__xludf.DUMMYFUNCTION("""COMPUTED_VALUE"""),6.3400011E7)</f>
        <v>63400011</v>
      </c>
      <c r="G18" s="88">
        <f>IFERROR(__xludf.DUMMYFUNCTION("""COMPUTED_VALUE"""),108.834801149471)</f>
        <v>108.8348011</v>
      </c>
      <c r="H18" s="88">
        <f>IFERROR(__xludf.DUMMYFUNCTION("""COMPUTED_VALUE"""),110.603429657047)</f>
        <v>110.6034297</v>
      </c>
      <c r="I18" s="88">
        <f>IFERROR(__xludf.DUMMYFUNCTION("""COMPUTED_VALUE"""),108.65706331417)</f>
        <v>108.6570633</v>
      </c>
      <c r="J18" s="88">
        <f>IFERROR(__xludf.DUMMYFUNCTION("""COMPUTED_VALUE"""),109.32158550483)</f>
        <v>109.3215855</v>
      </c>
      <c r="K18" s="88">
        <f>IFERROR(__xludf.DUMMYFUNCTION("""COMPUTED_VALUE"""),6.3400011E7)</f>
        <v>63400011</v>
      </c>
      <c r="L18" s="88">
        <f>IFERROR(__xludf.DUMMYFUNCTION("""COMPUTED_VALUE"""),0.316563)</f>
        <v>0.316563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IFERROR(__xludf.DUMMYFUNCTION("""COMPUTED_VALUE"""),111.57)</f>
        <v>111.57</v>
      </c>
      <c r="C19">
        <f>IFERROR(__xludf.DUMMYFUNCTION("""COMPUTED_VALUE"""),112.42)</f>
        <v>112.42</v>
      </c>
      <c r="D19" s="88">
        <f>IFERROR(__xludf.DUMMYFUNCTION("""COMPUTED_VALUE"""),109.98)</f>
        <v>109.98</v>
      </c>
      <c r="E19" s="88">
        <f>IFERROR(__xludf.DUMMYFUNCTION("""COMPUTED_VALUE"""),112.18)</f>
        <v>112.18</v>
      </c>
      <c r="F19" s="88">
        <f>IFERROR(__xludf.DUMMYFUNCTION("""COMPUTED_VALUE"""),7.79115E7)</f>
        <v>77911500</v>
      </c>
      <c r="G19" s="88">
        <f>IFERROR(__xludf.DUMMYFUNCTION("""COMPUTED_VALUE"""),109.853321049758)</f>
        <v>109.853321</v>
      </c>
      <c r="H19" s="88">
        <f>IFERROR(__xludf.DUMMYFUNCTION("""COMPUTED_VALUE"""),110.690242470322)</f>
        <v>110.6902425</v>
      </c>
      <c r="I19" s="88">
        <f>IFERROR(__xludf.DUMMYFUNCTION("""COMPUTED_VALUE"""),108.287785686586)</f>
        <v>108.2877857</v>
      </c>
      <c r="J19" s="88">
        <f>IFERROR(__xludf.DUMMYFUNCTION("""COMPUTED_VALUE"""),110.453935245692)</f>
        <v>110.4539352</v>
      </c>
      <c r="K19" s="88">
        <f>IFERROR(__xludf.DUMMYFUNCTION("""COMPUTED_VALUE"""),7.79115E7)</f>
        <v>77911500</v>
      </c>
      <c r="L19" s="88">
        <f>IFERROR(__xludf.DUMMYFUNCTION("""COMPUTED_VALUE"""),0.168071)</f>
        <v>0.168071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IFERROR(__xludf.DUMMYFUNCTION("""COMPUTED_VALUE"""),112.51)</f>
        <v>112.51</v>
      </c>
      <c r="C20">
        <f>IFERROR(__xludf.DUMMYFUNCTION("""COMPUTED_VALUE"""),113.89)</f>
        <v>113.89</v>
      </c>
      <c r="D20" s="88">
        <f>IFERROR(__xludf.DUMMYFUNCTION("""COMPUTED_VALUE"""),111.05)</f>
        <v>111.05</v>
      </c>
      <c r="E20" s="88">
        <f>IFERROR(__xludf.DUMMYFUNCTION("""COMPUTED_VALUE"""),111.85)</f>
        <v>111.85</v>
      </c>
      <c r="F20" s="88">
        <f>IFERROR(__xludf.DUMMYFUNCTION("""COMPUTED_VALUE"""),9.6175397E7)</f>
        <v>96175397</v>
      </c>
      <c r="G20" s="88">
        <f>IFERROR(__xludf.DUMMYFUNCTION("""COMPUTED_VALUE"""),110.613060411419)</f>
        <v>110.6130604</v>
      </c>
      <c r="H20" s="88">
        <f>IFERROR(__xludf.DUMMYFUNCTION("""COMPUTED_VALUE"""),111.969793353982)</f>
        <v>111.9697934</v>
      </c>
      <c r="I20" s="88">
        <f>IFERROR(__xludf.DUMMYFUNCTION("""COMPUTED_VALUE"""),109.17767628378)</f>
        <v>109.1776763</v>
      </c>
      <c r="J20" s="88">
        <f>IFERROR(__xludf.DUMMYFUNCTION("""COMPUTED_VALUE"""),109.964188134541)</f>
        <v>109.9641881</v>
      </c>
      <c r="K20" s="88">
        <f>IFERROR(__xludf.DUMMYFUNCTION("""COMPUTED_VALUE"""),9.6175397E7)</f>
        <v>96175397</v>
      </c>
      <c r="L20" s="88">
        <f>IFERROR(__xludf.DUMMYFUNCTION("""COMPUTED_VALUE"""),0.170727)</f>
        <v>0.170727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IFERROR(__xludf.DUMMYFUNCTION("""COMPUTED_VALUE"""),112.47)</f>
        <v>112.47</v>
      </c>
      <c r="C21">
        <f>IFERROR(__xludf.DUMMYFUNCTION("""COMPUTED_VALUE"""),114.44)</f>
        <v>114.44</v>
      </c>
      <c r="D21" s="88">
        <f>IFERROR(__xludf.DUMMYFUNCTION("""COMPUTED_VALUE"""),110.5)</f>
        <v>110.5</v>
      </c>
      <c r="E21" s="88">
        <f>IFERROR(__xludf.DUMMYFUNCTION("""COMPUTED_VALUE"""),113.88)</f>
        <v>113.88</v>
      </c>
      <c r="F21" s="88">
        <f>IFERROR(__xludf.DUMMYFUNCTION("""COMPUTED_VALUE"""),1.49687103E8)</f>
        <v>149687103</v>
      </c>
      <c r="G21" s="88">
        <f>IFERROR(__xludf.DUMMYFUNCTION("""COMPUTED_VALUE"""),110.406348754554)</f>
        <v>110.4063488</v>
      </c>
      <c r="H21" s="88">
        <f>IFERROR(__xludf.DUMMYFUNCTION("""COMPUTED_VALUE"""),112.340202289243)</f>
        <v>112.3402023</v>
      </c>
      <c r="I21" s="88">
        <f>IFERROR(__xludf.DUMMYFUNCTION("""COMPUTED_VALUE"""),108.472495219865)</f>
        <v>108.4724952</v>
      </c>
      <c r="J21" s="88">
        <f>IFERROR(__xludf.DUMMYFUNCTION("""COMPUTED_VALUE"""),111.790477426591)</f>
        <v>111.7904774</v>
      </c>
      <c r="K21" s="88">
        <f>IFERROR(__xludf.DUMMYFUNCTION("""COMPUTED_VALUE"""),1.49687103E8)</f>
        <v>149687103</v>
      </c>
      <c r="L21" s="88">
        <f>IFERROR(__xludf.DUMMYFUNCTION("""COMPUTED_VALUE"""),0.190273)</f>
        <v>0.190273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IFERROR(__xludf.DUMMYFUNCTION("""COMPUTED_VALUE"""),114.01)</f>
        <v>114.01</v>
      </c>
      <c r="C22">
        <f>IFERROR(__xludf.DUMMYFUNCTION("""COMPUTED_VALUE"""),114.39)</f>
        <v>114.39</v>
      </c>
      <c r="D22" s="88">
        <f>IFERROR(__xludf.DUMMYFUNCTION("""COMPUTED_VALUE"""),109.79)</f>
        <v>109.79</v>
      </c>
      <c r="E22" s="88">
        <f>IFERROR(__xludf.DUMMYFUNCTION("""COMPUTED_VALUE"""),109.84)</f>
        <v>109.84</v>
      </c>
      <c r="F22" s="88">
        <f>IFERROR(__xludf.DUMMYFUNCTION("""COMPUTED_VALUE"""),1.3342785E8)</f>
        <v>133427850</v>
      </c>
      <c r="G22" s="88">
        <f>IFERROR(__xludf.DUMMYFUNCTION("""COMPUTED_VALUE"""),111.731719465695)</f>
        <v>111.7317195</v>
      </c>
      <c r="H22" s="88">
        <f>IFERROR(__xludf.DUMMYFUNCTION("""COMPUTED_VALUE"""),112.104125863353)</f>
        <v>112.1041259</v>
      </c>
      <c r="I22" s="88">
        <f>IFERROR(__xludf.DUMMYFUNCTION("""COMPUTED_VALUE"""),107.596048418021)</f>
        <v>107.5960484</v>
      </c>
      <c r="J22" s="88">
        <f>IFERROR(__xludf.DUMMYFUNCTION("""COMPUTED_VALUE"""),107.645049259819)</f>
        <v>107.6450493</v>
      </c>
      <c r="K22" s="88">
        <f>IFERROR(__xludf.DUMMYFUNCTION("""COMPUTED_VALUE"""),1.3342785E8)</f>
        <v>133427850</v>
      </c>
      <c r="L22" s="88">
        <f>IFERROR(__xludf.DUMMYFUNCTION("""COMPUTED_VALUE"""),0.193542)</f>
        <v>0.193542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IFERROR(__xludf.DUMMYFUNCTION("""COMPUTED_VALUE"""),109.87)</f>
        <v>109.87</v>
      </c>
      <c r="C23">
        <f>IFERROR(__xludf.DUMMYFUNCTION("""COMPUTED_VALUE"""),110.4)</f>
        <v>110.4</v>
      </c>
      <c r="D23" s="88">
        <f>IFERROR(__xludf.DUMMYFUNCTION("""COMPUTED_VALUE"""),108.83)</f>
        <v>108.83</v>
      </c>
      <c r="E23" s="88">
        <f>IFERROR(__xludf.DUMMYFUNCTION("""COMPUTED_VALUE"""),109.82)</f>
        <v>109.82</v>
      </c>
      <c r="F23" s="88">
        <f>IFERROR(__xludf.DUMMYFUNCTION("""COMPUTED_VALUE"""),7.1504164E7)</f>
        <v>71504164</v>
      </c>
      <c r="G23" s="88">
        <f>IFERROR(__xludf.DUMMYFUNCTION("""COMPUTED_VALUE"""),107.486898112944)</f>
        <v>107.4868981</v>
      </c>
      <c r="H23" s="88">
        <f>IFERROR(__xludf.DUMMYFUNCTION("""COMPUTED_VALUE"""),108.005402308811)</f>
        <v>108.0054023</v>
      </c>
      <c r="I23" s="88">
        <f>IFERROR(__xludf.DUMMYFUNCTION("""COMPUTED_VALUE"""),106.469455917282)</f>
        <v>106.4694559</v>
      </c>
      <c r="J23" s="88">
        <f>IFERROR(__xludf.DUMMYFUNCTION("""COMPUTED_VALUE"""),107.437982622768)</f>
        <v>107.4379826</v>
      </c>
      <c r="K23" s="88">
        <f>IFERROR(__xludf.DUMMYFUNCTION("""COMPUTED_VALUE"""),7.1504164E7)</f>
        <v>71504164</v>
      </c>
      <c r="L23" s="88">
        <f>IFERROR(__xludf.DUMMYFUNCTION("""COMPUTED_VALUE"""),0.192288)</f>
        <v>0.192288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IFERROR(__xludf.DUMMYFUNCTION("""COMPUTED_VALUE"""),110.02)</f>
        <v>110.02</v>
      </c>
      <c r="C24">
        <f>IFERROR(__xludf.DUMMYFUNCTION("""COMPUTED_VALUE"""),110.28)</f>
        <v>110.28</v>
      </c>
      <c r="D24" s="88">
        <f>IFERROR(__xludf.DUMMYFUNCTION("""COMPUTED_VALUE"""),108.58)</f>
        <v>108.58</v>
      </c>
      <c r="E24" s="88">
        <f>IFERROR(__xludf.DUMMYFUNCTION("""COMPUTED_VALUE"""),108.88)</f>
        <v>108.88</v>
      </c>
      <c r="F24" s="88">
        <f>IFERROR(__xludf.DUMMYFUNCTION("""COMPUTED_VALUE"""),1.01557588E8)</f>
        <v>101557588</v>
      </c>
      <c r="G24" s="88">
        <f>IFERROR(__xludf.DUMMYFUNCTION("""COMPUTED_VALUE"""),107.445291586585)</f>
        <v>107.4452916</v>
      </c>
      <c r="H24" s="88">
        <f>IFERROR(__xludf.DUMMYFUNCTION("""COMPUTED_VALUE"""),107.699207018438)</f>
        <v>107.699207</v>
      </c>
      <c r="I24" s="88">
        <f>IFERROR(__xludf.DUMMYFUNCTION("""COMPUTED_VALUE"""),106.038990733243)</f>
        <v>106.0389907</v>
      </c>
      <c r="J24" s="88">
        <f>IFERROR(__xludf.DUMMYFUNCTION("""COMPUTED_VALUE"""),106.331970077689)</f>
        <v>106.3319701</v>
      </c>
      <c r="K24" s="88">
        <f>IFERROR(__xludf.DUMMYFUNCTION("""COMPUTED_VALUE"""),1.01557588E8)</f>
        <v>101557588</v>
      </c>
      <c r="L24" s="88">
        <f>IFERROR(__xludf.DUMMYFUNCTION("""COMPUTED_VALUE"""),0.212517)</f>
        <v>0.212517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IFERROR(__xludf.DUMMYFUNCTION("""COMPUTED_VALUE"""),108.91)</f>
        <v>108.91</v>
      </c>
      <c r="C25">
        <f>IFERROR(__xludf.DUMMYFUNCTION("""COMPUTED_VALUE"""),108.95)</f>
        <v>108.95</v>
      </c>
      <c r="D25" s="88">
        <f>IFERROR(__xludf.DUMMYFUNCTION("""COMPUTED_VALUE"""),105.27)</f>
        <v>105.27</v>
      </c>
      <c r="E25" s="88">
        <f>IFERROR(__xludf.DUMMYFUNCTION("""COMPUTED_VALUE"""),105.7)</f>
        <v>105.7</v>
      </c>
      <c r="F25" s="88">
        <f>IFERROR(__xludf.DUMMYFUNCTION("""COMPUTED_VALUE"""),9.0086261E7)</f>
        <v>90086261</v>
      </c>
      <c r="G25" s="88">
        <f>IFERROR(__xludf.DUMMYFUNCTION("""COMPUTED_VALUE"""),106.154715351062)</f>
        <v>106.1547154</v>
      </c>
      <c r="H25" s="88">
        <f>IFERROR(__xludf.DUMMYFUNCTION("""COMPUTED_VALUE"""),106.193703401875)</f>
        <v>106.1937034</v>
      </c>
      <c r="I25" s="88">
        <f>IFERROR(__xludf.DUMMYFUNCTION("""COMPUTED_VALUE"""),102.60680272708)</f>
        <v>102.6068027</v>
      </c>
      <c r="J25" s="88">
        <f>IFERROR(__xludf.DUMMYFUNCTION("""COMPUTED_VALUE"""),103.02592427332)</f>
        <v>103.0259243</v>
      </c>
      <c r="K25" s="88">
        <f>IFERROR(__xludf.DUMMYFUNCTION("""COMPUTED_VALUE"""),9.0086261E7)</f>
        <v>90086261</v>
      </c>
      <c r="L25" s="88">
        <f>IFERROR(__xludf.DUMMYFUNCTION("""COMPUTED_VALUE"""),0.211512)</f>
        <v>0.211512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IFERROR(__xludf.DUMMYFUNCTION("""COMPUTED_VALUE"""),105.9)</f>
        <v>105.9</v>
      </c>
      <c r="C26">
        <f>IFERROR(__xludf.DUMMYFUNCTION("""COMPUTED_VALUE"""),106.13)</f>
        <v>106.13</v>
      </c>
      <c r="D26" s="88">
        <f>IFERROR(__xludf.DUMMYFUNCTION("""COMPUTED_VALUE"""),105.0)</f>
        <v>105</v>
      </c>
      <c r="E26" s="88">
        <f>IFERROR(__xludf.DUMMYFUNCTION("""COMPUTED_VALUE"""),106.1)</f>
        <v>106.1</v>
      </c>
      <c r="F26" s="88">
        <f>IFERROR(__xludf.DUMMYFUNCTION("""COMPUTED_VALUE"""),7.6407443E7)</f>
        <v>76407443</v>
      </c>
      <c r="G26" s="88">
        <f>IFERROR(__xludf.DUMMYFUNCTION("""COMPUTED_VALUE"""),103.014609074955)</f>
        <v>103.0146091</v>
      </c>
      <c r="H26" s="88">
        <f>IFERROR(__xludf.DUMMYFUNCTION("""COMPUTED_VALUE"""),103.238342409112)</f>
        <v>103.2383424</v>
      </c>
      <c r="I26" s="88">
        <f>IFERROR(__xludf.DUMMYFUNCTION("""COMPUTED_VALUE"""),102.139130810862)</f>
        <v>102.1391308</v>
      </c>
      <c r="J26" s="88">
        <f>IFERROR(__xludf.DUMMYFUNCTION("""COMPUTED_VALUE"""),103.209159800309)</f>
        <v>103.2091598</v>
      </c>
      <c r="K26" s="88">
        <f>IFERROR(__xludf.DUMMYFUNCTION("""COMPUTED_VALUE"""),7.6407443E7)</f>
        <v>76407443</v>
      </c>
      <c r="L26" s="88">
        <f>IFERROR(__xludf.DUMMYFUNCTION("""COMPUTED_VALUE"""),0.217854)</f>
        <v>0.217854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IFERROR(__xludf.DUMMYFUNCTION("""COMPUTED_VALUE"""),106.67)</f>
        <v>106.67</v>
      </c>
      <c r="C27">
        <f>IFERROR(__xludf.DUMMYFUNCTION("""COMPUTED_VALUE"""),107.08)</f>
        <v>107.08</v>
      </c>
      <c r="D27" s="88">
        <f>IFERROR(__xludf.DUMMYFUNCTION("""COMPUTED_VALUE"""),103.57)</f>
        <v>103.57</v>
      </c>
      <c r="E27" s="88">
        <f>IFERROR(__xludf.DUMMYFUNCTION("""COMPUTED_VALUE"""),103.74)</f>
        <v>103.74</v>
      </c>
      <c r="F27" s="88">
        <f>IFERROR(__xludf.DUMMYFUNCTION("""COMPUTED_VALUE"""),9.7838131E7)</f>
        <v>97838131</v>
      </c>
      <c r="G27" s="88">
        <f>IFERROR(__xludf.DUMMYFUNCTION("""COMPUTED_VALUE"""),103.550246512822)</f>
        <v>103.5502465</v>
      </c>
      <c r="H27" s="88">
        <f>IFERROR(__xludf.DUMMYFUNCTION("""COMPUTED_VALUE"""),103.94825533508)</f>
        <v>103.9482553</v>
      </c>
      <c r="I27" s="88">
        <f>IFERROR(__xludf.DUMMYFUNCTION("""COMPUTED_VALUE"""),100.540911515261)</f>
        <v>100.5409115</v>
      </c>
      <c r="J27" s="88">
        <f>IFERROR(__xludf.DUMMYFUNCTION("""COMPUTED_VALUE"""),100.705939563515)</f>
        <v>100.7059396</v>
      </c>
      <c r="K27" s="88">
        <f>IFERROR(__xludf.DUMMYFUNCTION("""COMPUTED_VALUE"""),9.7838131E7)</f>
        <v>97838131</v>
      </c>
      <c r="L27" s="88">
        <f>IFERROR(__xludf.DUMMYFUNCTION("""COMPUTED_VALUE"""),0.199053)</f>
        <v>0.199053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IFERROR(__xludf.DUMMYFUNCTION("""COMPUTED_VALUE"""),104.11)</f>
        <v>104.11</v>
      </c>
      <c r="C28">
        <f>IFERROR(__xludf.DUMMYFUNCTION("""COMPUTED_VALUE"""),104.79)</f>
        <v>104.79</v>
      </c>
      <c r="D28" s="88">
        <f>IFERROR(__xludf.DUMMYFUNCTION("""COMPUTED_VALUE"""),103.81)</f>
        <v>103.81</v>
      </c>
      <c r="E28" s="88">
        <f>IFERROR(__xludf.DUMMYFUNCTION("""COMPUTED_VALUE"""),104.47)</f>
        <v>104.47</v>
      </c>
      <c r="F28" s="88">
        <f>IFERROR(__xludf.DUMMYFUNCTION("""COMPUTED_VALUE"""),9.3776474E7)</f>
        <v>93776474</v>
      </c>
      <c r="G28" s="88">
        <f>IFERROR(__xludf.DUMMYFUNCTION("""COMPUTED_VALUE"""),100.871252027846)</f>
        <v>100.871252</v>
      </c>
      <c r="H28" s="88">
        <f>IFERROR(__xludf.DUMMYFUNCTION("""COMPUTED_VALUE"""),101.530097973278)</f>
        <v>101.530098</v>
      </c>
      <c r="I28" s="88">
        <f>IFERROR(__xludf.DUMMYFUNCTION("""COMPUTED_VALUE"""),100.580584698978)</f>
        <v>100.5805847</v>
      </c>
      <c r="J28" s="88">
        <f>IFERROR(__xludf.DUMMYFUNCTION("""COMPUTED_VALUE"""),101.220052822486)</f>
        <v>101.2200528</v>
      </c>
      <c r="K28" s="88">
        <f>IFERROR(__xludf.DUMMYFUNCTION("""COMPUTED_VALUE"""),9.3776474E7)</f>
        <v>93776474</v>
      </c>
      <c r="L28" s="88">
        <f>IFERROR(__xludf.DUMMYFUNCTION("""COMPUTED_VALUE"""),0.220083)</f>
        <v>0.220083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IFERROR(__xludf.DUMMYFUNCTION("""COMPUTED_VALUE"""),104.88)</f>
        <v>104.88</v>
      </c>
      <c r="C29">
        <f>IFERROR(__xludf.DUMMYFUNCTION("""COMPUTED_VALUE"""),105.315)</f>
        <v>105.315</v>
      </c>
      <c r="D29" s="88">
        <f>IFERROR(__xludf.DUMMYFUNCTION("""COMPUTED_VALUE"""),103.35)</f>
        <v>103.35</v>
      </c>
      <c r="E29" s="88">
        <f>IFERROR(__xludf.DUMMYFUNCTION("""COMPUTED_VALUE"""),104.31)</f>
        <v>104.31</v>
      </c>
      <c r="F29" s="88">
        <f>IFERROR(__xludf.DUMMYFUNCTION("""COMPUTED_VALUE"""),1.33796112E8)</f>
        <v>133796112</v>
      </c>
      <c r="G29" s="88">
        <f>IFERROR(__xludf.DUMMYFUNCTION("""COMPUTED_VALUE"""),101.402917209131)</f>
        <v>101.4029172</v>
      </c>
      <c r="H29" s="88">
        <f>IFERROR(__xludf.DUMMYFUNCTION("""COMPUTED_VALUE"""),101.823495670096)</f>
        <v>101.8234957</v>
      </c>
      <c r="I29" s="88">
        <f>IFERROR(__xludf.DUMMYFUNCTION("""COMPUTED_VALUE"""),99.9236412429799)</f>
        <v>99.92364124</v>
      </c>
      <c r="J29" s="88">
        <f>IFERROR(__xludf.DUMMYFUNCTION("""COMPUTED_VALUE"""),100.851814398212)</f>
        <v>100.8518144</v>
      </c>
      <c r="K29" s="88">
        <f>IFERROR(__xludf.DUMMYFUNCTION("""COMPUTED_VALUE"""),1.33796112E8)</f>
        <v>133796112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IFERROR(__xludf.DUMMYFUNCTION("""COMPUTED_VALUE"""),104.2)</f>
        <v>104.2</v>
      </c>
      <c r="C30">
        <f>IFERROR(__xludf.DUMMYFUNCTION("""COMPUTED_VALUE"""),104.66)</f>
        <v>104.66</v>
      </c>
      <c r="D30" s="88">
        <f>IFERROR(__xludf.DUMMYFUNCTION("""COMPUTED_VALUE"""),101.41)</f>
        <v>101.41</v>
      </c>
      <c r="E30" s="88">
        <f>IFERROR(__xludf.DUMMYFUNCTION("""COMPUTED_VALUE"""),101.44)</f>
        <v>101.44</v>
      </c>
      <c r="F30" s="88">
        <f>IFERROR(__xludf.DUMMYFUNCTION("""COMPUTED_VALUE"""),1.18397811E8)</f>
        <v>118397811</v>
      </c>
      <c r="G30" s="88">
        <f>IFERROR(__xludf.DUMMYFUNCTION("""COMPUTED_VALUE"""),100.745461224175)</f>
        <v>100.7454612</v>
      </c>
      <c r="H30" s="88">
        <f>IFERROR(__xludf.DUMMYFUNCTION("""COMPUTED_VALUE"""),101.190210861057)</f>
        <v>101.1902109</v>
      </c>
      <c r="I30" s="88">
        <f>IFERROR(__xludf.DUMMYFUNCTION("""COMPUTED_VALUE"""),97.8457984927419)</f>
        <v>97.84579849</v>
      </c>
      <c r="J30" s="88">
        <f>IFERROR(__xludf.DUMMYFUNCTION("""COMPUTED_VALUE"""),97.8747440992381)</f>
        <v>97.8747441</v>
      </c>
      <c r="K30" s="88">
        <f>IFERROR(__xludf.DUMMYFUNCTION("""COMPUTED_VALUE"""),1.18397811E8)</f>
        <v>118397811</v>
      </c>
      <c r="L30" s="88">
        <f>IFERROR(__xludf.DUMMYFUNCTION("""COMPUTED_VALUE"""),0.424911)</f>
        <v>0.424911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IFERROR(__xludf.DUMMYFUNCTION("""COMPUTED_VALUE"""),101.78)</f>
        <v>101.78</v>
      </c>
      <c r="C31">
        <f>IFERROR(__xludf.DUMMYFUNCTION("""COMPUTED_VALUE"""),101.82)</f>
        <v>101.82</v>
      </c>
      <c r="D31" s="88">
        <f>IFERROR(__xludf.DUMMYFUNCTION("""COMPUTED_VALUE"""),99.75)</f>
        <v>99.75</v>
      </c>
      <c r="E31" s="88">
        <f>IFERROR(__xludf.DUMMYFUNCTION("""COMPUTED_VALUE"""),100.36)</f>
        <v>100.36</v>
      </c>
      <c r="F31" s="88">
        <f>IFERROR(__xludf.DUMMYFUNCTION("""COMPUTED_VALUE"""),6.987209E7)</f>
        <v>69872090</v>
      </c>
      <c r="G31" s="88">
        <f>IFERROR(__xludf.DUMMYFUNCTION("""COMPUTED_VALUE"""),97.9983936680063)</f>
        <v>97.99839367</v>
      </c>
      <c r="H31" s="88">
        <f>IFERROR(__xludf.DUMMYFUNCTION("""COMPUTED_VALUE"""),98.0369074796266)</f>
        <v>98.03690748</v>
      </c>
      <c r="I31" s="88">
        <f>IFERROR(__xludf.DUMMYFUNCTION("""COMPUTED_VALUE"""),96.043817728273)</f>
        <v>96.04381773</v>
      </c>
      <c r="J31" s="88">
        <f>IFERROR(__xludf.DUMMYFUNCTION("""COMPUTED_VALUE"""),96.6311533554835)</f>
        <v>96.63115336</v>
      </c>
      <c r="K31" s="88">
        <f>IFERROR(__xludf.DUMMYFUNCTION("""COMPUTED_VALUE"""),6.987209E7)</f>
        <v>69872090</v>
      </c>
      <c r="L31" s="88">
        <f>IFERROR(__xludf.DUMMYFUNCTION("""COMPUTED_VALUE"""),0.216136)</f>
        <v>0.216136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IFERROR(__xludf.DUMMYFUNCTION("""COMPUTED_VALUE"""),100.66)</f>
        <v>100.66</v>
      </c>
      <c r="C32">
        <f>IFERROR(__xludf.DUMMYFUNCTION("""COMPUTED_VALUE"""),101.3)</f>
        <v>101.3</v>
      </c>
      <c r="D32" s="88">
        <f>IFERROR(__xludf.DUMMYFUNCTION("""COMPUTED_VALUE"""),99.6)</f>
        <v>99.6</v>
      </c>
      <c r="E32" s="88">
        <f>IFERROR(__xludf.DUMMYFUNCTION("""COMPUTED_VALUE"""),100.83)</f>
        <v>100.83</v>
      </c>
      <c r="F32" s="88">
        <f>IFERROR(__xludf.DUMMYFUNCTION("""COMPUTED_VALUE"""),9.2787566E7)</f>
        <v>92787566</v>
      </c>
      <c r="G32" s="88">
        <f>IFERROR(__xludf.DUMMYFUNCTION("""COMPUTED_VALUE"""),96.7120793391343)</f>
        <v>96.71207934</v>
      </c>
      <c r="H32" s="88">
        <f>IFERROR(__xludf.DUMMYFUNCTION("""COMPUTED_VALUE"""),97.3269783136728)</f>
        <v>97.32697831</v>
      </c>
      <c r="I32" s="88">
        <f>IFERROR(__xludf.DUMMYFUNCTION("""COMPUTED_VALUE"""),95.6936529125549)</f>
        <v>95.69365291</v>
      </c>
      <c r="J32" s="88">
        <f>IFERROR(__xludf.DUMMYFUNCTION("""COMPUTED_VALUE"""),96.8754118792461)</f>
        <v>96.87541188</v>
      </c>
      <c r="K32" s="88">
        <f>IFERROR(__xludf.DUMMYFUNCTION("""COMPUTED_VALUE"""),9.2787566E7)</f>
        <v>92787566</v>
      </c>
      <c r="L32" s="88">
        <f>IFERROR(__xludf.DUMMYFUNCTION("""COMPUTED_VALUE"""),0.204227)</f>
        <v>0.204227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IFERROR(__xludf.DUMMYFUNCTION("""COMPUTED_VALUE"""),101.17)</f>
        <v>101.17</v>
      </c>
      <c r="C33">
        <f>IFERROR(__xludf.DUMMYFUNCTION("""COMPUTED_VALUE"""),102.45)</f>
        <v>102.45</v>
      </c>
      <c r="D33" s="88">
        <f>IFERROR(__xludf.DUMMYFUNCTION("""COMPUTED_VALUE"""),100.68)</f>
        <v>100.68</v>
      </c>
      <c r="E33" s="88">
        <f>IFERROR(__xludf.DUMMYFUNCTION("""COMPUTED_VALUE"""),102.26)</f>
        <v>102.26</v>
      </c>
      <c r="F33" s="88">
        <f>IFERROR(__xludf.DUMMYFUNCTION("""COMPUTED_VALUE"""),6.005583E7)</f>
        <v>60055830</v>
      </c>
      <c r="G33" s="88">
        <f>IFERROR(__xludf.DUMMYFUNCTION("""COMPUTED_VALUE"""),97.0053624905455)</f>
        <v>97.00536249</v>
      </c>
      <c r="H33" s="88">
        <f>IFERROR(__xludf.DUMMYFUNCTION("""COMPUTED_VALUE"""),98.2326716136837)</f>
        <v>98.23267161</v>
      </c>
      <c r="I33" s="88">
        <f>IFERROR(__xludf.DUMMYFUNCTION("""COMPUTED_VALUE"""),96.5355332168441)</f>
        <v>96.53553322</v>
      </c>
      <c r="J33" s="88">
        <f>IFERROR(__xludf.DUMMYFUNCTION("""COMPUTED_VALUE"""),98.0504929157179)</f>
        <v>98.05049292</v>
      </c>
      <c r="K33" s="88">
        <f>IFERROR(__xludf.DUMMYFUNCTION("""COMPUTED_VALUE"""),6.005583E7)</f>
        <v>60055830</v>
      </c>
      <c r="L33" s="88">
        <f>IFERROR(__xludf.DUMMYFUNCTION("""COMPUTED_VALUE"""),0.205728)</f>
        <v>0.205728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IFERROR(__xludf.DUMMYFUNCTION("""COMPUTED_VALUE"""),102.61)</f>
        <v>102.61</v>
      </c>
      <c r="C34">
        <f>IFERROR(__xludf.DUMMYFUNCTION("""COMPUTED_VALUE"""),102.96)</f>
        <v>102.96</v>
      </c>
      <c r="D34" s="88">
        <f>IFERROR(__xludf.DUMMYFUNCTION("""COMPUTED_VALUE"""),101.19)</f>
        <v>101.19</v>
      </c>
      <c r="E34" s="88">
        <f>IFERROR(__xludf.DUMMYFUNCTION("""COMPUTED_VALUE"""),101.26)</f>
        <v>101.26</v>
      </c>
      <c r="F34" s="88">
        <f>IFERROR(__xludf.DUMMYFUNCTION("""COMPUTED_VALUE"""),6.2762687E7)</f>
        <v>62762687</v>
      </c>
      <c r="G34" s="88">
        <f>IFERROR(__xludf.DUMMYFUNCTION("""COMPUTED_VALUE"""),98.1883745960659)</f>
        <v>98.1883746</v>
      </c>
      <c r="H34" s="88">
        <f>IFERROR(__xludf.DUMMYFUNCTION("""COMPUTED_VALUE"""),98.5232925485912)</f>
        <v>98.52329255</v>
      </c>
      <c r="I34" s="88">
        <f>IFERROR(__xludf.DUMMYFUNCTION("""COMPUTED_VALUE"""),96.8295646172489)</f>
        <v>96.82956462</v>
      </c>
      <c r="J34" s="88">
        <f>IFERROR(__xludf.DUMMYFUNCTION("""COMPUTED_VALUE"""),96.8965482077539)</f>
        <v>96.89654821</v>
      </c>
      <c r="K34" s="88">
        <f>IFERROR(__xludf.DUMMYFUNCTION("""COMPUTED_VALUE"""),6.2762687E7)</f>
        <v>62762687</v>
      </c>
      <c r="L34" s="88">
        <f>IFERROR(__xludf.DUMMYFUNCTION("""COMPUTED_VALUE"""),0.199905)</f>
        <v>0.199905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IFERROR(__xludf.DUMMYFUNCTION("""COMPUTED_VALUE"""),101.78)</f>
        <v>101.78</v>
      </c>
      <c r="C35">
        <f>IFERROR(__xludf.DUMMYFUNCTION("""COMPUTED_VALUE"""),102.71)</f>
        <v>102.71</v>
      </c>
      <c r="D35" s="88">
        <f>IFERROR(__xludf.DUMMYFUNCTION("""COMPUTED_VALUE"""),101.56)</f>
        <v>101.56</v>
      </c>
      <c r="E35" s="88">
        <f>IFERROR(__xludf.DUMMYFUNCTION("""COMPUTED_VALUE"""),102.42)</f>
        <v>102.42</v>
      </c>
      <c r="F35" s="88">
        <f>IFERROR(__xludf.DUMMYFUNCTION("""COMPUTED_VALUE"""),5.7107004E7)</f>
        <v>57107004</v>
      </c>
      <c r="G35" s="88">
        <f>IFERROR(__xludf.DUMMYFUNCTION("""COMPUTED_VALUE"""),97.2023974991186)</f>
        <v>97.2023975</v>
      </c>
      <c r="H35" s="88">
        <f>IFERROR(__xludf.DUMMYFUNCTION("""COMPUTED_VALUE"""),98.0905703196549)</f>
        <v>98.09057032</v>
      </c>
      <c r="I35" s="88">
        <f>IFERROR(__xludf.DUMMYFUNCTION("""COMPUTED_VALUE"""),96.9922921007122)</f>
        <v>96.9922921</v>
      </c>
      <c r="J35" s="88">
        <f>IFERROR(__xludf.DUMMYFUNCTION("""COMPUTED_VALUE"""),97.8136132035737)</f>
        <v>97.8136132</v>
      </c>
      <c r="K35" s="88">
        <f>IFERROR(__xludf.DUMMYFUNCTION("""COMPUTED_VALUE"""),5.7107004E7)</f>
        <v>57107004</v>
      </c>
      <c r="L35" s="88">
        <f>IFERROR(__xludf.DUMMYFUNCTION("""COMPUTED_VALUE"""),0.189658)</f>
        <v>0.189658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IFERROR(__xludf.DUMMYFUNCTION("""COMPUTED_VALUE"""),102.51)</f>
        <v>102.51</v>
      </c>
      <c r="C36">
        <f>IFERROR(__xludf.DUMMYFUNCTION("""COMPUTED_VALUE"""),102.73)</f>
        <v>102.73</v>
      </c>
      <c r="D36" s="88">
        <f>IFERROR(__xludf.DUMMYFUNCTION("""COMPUTED_VALUE"""),101.16)</f>
        <v>101.16</v>
      </c>
      <c r="E36" s="88">
        <f>IFERROR(__xludf.DUMMYFUNCTION("""COMPUTED_VALUE"""),101.85)</f>
        <v>101.85</v>
      </c>
      <c r="F36" s="88">
        <f>IFERROR(__xludf.DUMMYFUNCTION("""COMPUTED_VALUE"""),8.5549474E7)</f>
        <v>85549474</v>
      </c>
      <c r="G36" s="88">
        <f>IFERROR(__xludf.DUMMYFUNCTION("""COMPUTED_VALUE"""),97.7183129933751)</f>
        <v>97.71831299</v>
      </c>
      <c r="H36" s="88">
        <f>IFERROR(__xludf.DUMMYFUNCTION("""COMPUTED_VALUE"""),97.9280294001504)</f>
        <v>97.9280294</v>
      </c>
      <c r="I36" s="88">
        <f>IFERROR(__xludf.DUMMYFUNCTION("""COMPUTED_VALUE"""),96.4314168608899)</f>
        <v>96.43141686</v>
      </c>
      <c r="J36" s="88">
        <f>IFERROR(__xludf.DUMMYFUNCTION("""COMPUTED_VALUE"""),97.089163773049)</f>
        <v>97.08916377</v>
      </c>
      <c r="K36" s="88">
        <f>IFERROR(__xludf.DUMMYFUNCTION("""COMPUTED_VALUE"""),8.5549474E7)</f>
        <v>85549474</v>
      </c>
      <c r="L36" s="88">
        <f>IFERROR(__xludf.DUMMYFUNCTION("""COMPUTED_VALUE"""),0.202)</f>
        <v>0.202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IFERROR(__xludf.DUMMYFUNCTION("""COMPUTED_VALUE"""),102.51)</f>
        <v>102.51</v>
      </c>
      <c r="C37">
        <f>IFERROR(__xludf.DUMMYFUNCTION("""COMPUTED_VALUE"""),103.2)</f>
        <v>103.2</v>
      </c>
      <c r="D37" s="88">
        <f>IFERROR(__xludf.DUMMYFUNCTION("""COMPUTED_VALUE"""),100.33)</f>
        <v>100.33</v>
      </c>
      <c r="E37" s="88">
        <f>IFERROR(__xludf.DUMMYFUNCTION("""COMPUTED_VALUE"""),101.5)</f>
        <v>101.5</v>
      </c>
      <c r="F37" s="88">
        <f>IFERROR(__xludf.DUMMYFUNCTION("""COMPUTED_VALUE"""),8.504314E7)</f>
        <v>85043140</v>
      </c>
      <c r="G37" s="88">
        <f>IFERROR(__xludf.DUMMYFUNCTION("""COMPUTED_VALUE"""),97.5250425274617)</f>
        <v>97.52504253</v>
      </c>
      <c r="H37" s="88">
        <f>IFERROR(__xludf.DUMMYFUNCTION("""COMPUTED_VALUE"""),98.1814885263296)</f>
        <v>98.18148853</v>
      </c>
      <c r="I37" s="88">
        <f>IFERROR(__xludf.DUMMYFUNCTION("""COMPUTED_VALUE"""),95.4510537194443)</f>
        <v>95.45105372</v>
      </c>
      <c r="J37" s="88">
        <f>IFERROR(__xludf.DUMMYFUNCTION("""COMPUTED_VALUE"""),96.5641578044812)</f>
        <v>96.5641578</v>
      </c>
      <c r="K37" s="88">
        <f>IFERROR(__xludf.DUMMYFUNCTION("""COMPUTED_VALUE"""),8.504314E7)</f>
        <v>85043140</v>
      </c>
      <c r="L37" s="88">
        <f>IFERROR(__xludf.DUMMYFUNCTION("""COMPUTED_VALUE"""),0.191181)</f>
        <v>0.191181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IFERROR(__xludf.DUMMYFUNCTION("""COMPUTED_VALUE"""),101.7)</f>
        <v>101.7</v>
      </c>
      <c r="C38">
        <f>IFERROR(__xludf.DUMMYFUNCTION("""COMPUTED_VALUE"""),103.34)</f>
        <v>103.34</v>
      </c>
      <c r="D38" s="88">
        <f>IFERROR(__xludf.DUMMYFUNCTION("""COMPUTED_VALUE"""),101.06)</f>
        <v>101.06</v>
      </c>
      <c r="E38" s="88">
        <f>IFERROR(__xludf.DUMMYFUNCTION("""COMPUTED_VALUE"""),102.94)</f>
        <v>102.94</v>
      </c>
      <c r="F38" s="88">
        <f>IFERROR(__xludf.DUMMYFUNCTION("""COMPUTED_VALUE"""),5.4935719E7)</f>
        <v>54935719</v>
      </c>
      <c r="G38" s="88">
        <f>IFERROR(__xludf.DUMMYFUNCTION("""COMPUTED_VALUE"""),96.5722634633792)</f>
        <v>96.57226346</v>
      </c>
      <c r="H38" s="88">
        <f>IFERROR(__xludf.DUMMYFUNCTION("""COMPUTED_VALUE"""),98.1295742999568)</f>
        <v>98.1295743</v>
      </c>
      <c r="I38" s="88">
        <f>IFERROR(__xludf.DUMMYFUNCTION("""COMPUTED_VALUE"""),95.9645324052026)</f>
        <v>95.96453241</v>
      </c>
      <c r="J38" s="88">
        <f>IFERROR(__xludf.DUMMYFUNCTION("""COMPUTED_VALUE"""),97.7497423885964)</f>
        <v>97.74974239</v>
      </c>
      <c r="K38" s="88">
        <f>IFERROR(__xludf.DUMMYFUNCTION("""COMPUTED_VALUE"""),5.4935719E7)</f>
        <v>54935719</v>
      </c>
      <c r="L38" s="88">
        <f>IFERROR(__xludf.DUMMYFUNCTION("""COMPUTED_VALUE"""),0.175035)</f>
        <v>0.175035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IFERROR(__xludf.DUMMYFUNCTION("""COMPUTED_VALUE"""),103.19)</f>
        <v>103.19</v>
      </c>
      <c r="C39">
        <f>IFERROR(__xludf.DUMMYFUNCTION("""COMPUTED_VALUE"""),103.31)</f>
        <v>103.31</v>
      </c>
      <c r="D39" s="88">
        <f>IFERROR(__xludf.DUMMYFUNCTION("""COMPUTED_VALUE"""),101.68)</f>
        <v>101.68</v>
      </c>
      <c r="E39" s="88">
        <f>IFERROR(__xludf.DUMMYFUNCTION("""COMPUTED_VALUE"""),102.16)</f>
        <v>102.16</v>
      </c>
      <c r="F39" s="88">
        <f>IFERROR(__xludf.DUMMYFUNCTION("""COMPUTED_VALUE"""),5.8315787E7)</f>
        <v>58315787</v>
      </c>
      <c r="G39" s="88">
        <f>IFERROR(__xludf.DUMMYFUNCTION("""COMPUTED_VALUE"""),97.821096646119)</f>
        <v>97.82109665</v>
      </c>
      <c r="H39" s="88">
        <f>IFERROR(__xludf.DUMMYFUNCTION("""COMPUTED_VALUE"""),97.9348531302505)</f>
        <v>97.93485313</v>
      </c>
      <c r="I39" s="88">
        <f>IFERROR(__xludf.DUMMYFUNCTION("""COMPUTED_VALUE"""),96.3896608874637)</f>
        <v>96.38966089</v>
      </c>
      <c r="J39" s="88">
        <f>IFERROR(__xludf.DUMMYFUNCTION("""COMPUTED_VALUE"""),96.8446868239899)</f>
        <v>96.84468682</v>
      </c>
      <c r="K39" s="88">
        <f>IFERROR(__xludf.DUMMYFUNCTION("""COMPUTED_VALUE"""),5.8315787E7)</f>
        <v>58315787</v>
      </c>
      <c r="L39" s="88">
        <f>IFERROR(__xludf.DUMMYFUNCTION("""COMPUTED_VALUE"""),0.159318)</f>
        <v>0.159318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IFERROR(__xludf.DUMMYFUNCTION("""COMPUTED_VALUE"""),102.17)</f>
        <v>102.17</v>
      </c>
      <c r="C40">
        <f>IFERROR(__xludf.DUMMYFUNCTION("""COMPUTED_VALUE"""),103.31)</f>
        <v>103.31</v>
      </c>
      <c r="D40" s="88">
        <f>IFERROR(__xludf.DUMMYFUNCTION("""COMPUTED_VALUE"""),101.47)</f>
        <v>101.47</v>
      </c>
      <c r="E40" s="88">
        <f>IFERROR(__xludf.DUMMYFUNCTION("""COMPUTED_VALUE"""),103.1)</f>
        <v>103.1</v>
      </c>
      <c r="F40" s="88">
        <f>IFERROR(__xludf.DUMMYFUNCTION("""COMPUTED_VALUE"""),7.8688688E7)</f>
        <v>78688688</v>
      </c>
      <c r="G40" s="88">
        <f>IFERROR(__xludf.DUMMYFUNCTION("""COMPUTED_VALUE"""),96.7037843590485)</f>
        <v>96.70378436</v>
      </c>
      <c r="H40" s="88">
        <f>IFERROR(__xludf.DUMMYFUNCTION("""COMPUTED_VALUE"""),97.782793012952)</f>
        <v>97.78279301</v>
      </c>
      <c r="I40" s="88">
        <f>IFERROR(__xludf.DUMMYFUNCTION("""COMPUTED_VALUE"""),96.041235185599)</f>
        <v>96.04123519</v>
      </c>
      <c r="J40" s="88">
        <f>IFERROR(__xludf.DUMMYFUNCTION("""COMPUTED_VALUE"""),97.5840282609171)</f>
        <v>97.58402826</v>
      </c>
      <c r="K40" s="88">
        <f>IFERROR(__xludf.DUMMYFUNCTION("""COMPUTED_VALUE"""),7.8688688E7)</f>
        <v>78688688</v>
      </c>
      <c r="L40" s="88">
        <f>IFERROR(__xludf.DUMMYFUNCTION("""COMPUTED_VALUE"""),0.167741)</f>
        <v>0.167741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IFERROR(__xludf.DUMMYFUNCTION("""COMPUTED_VALUE"""),103.3)</f>
        <v>103.3</v>
      </c>
      <c r="C41">
        <f>IFERROR(__xludf.DUMMYFUNCTION("""COMPUTED_VALUE"""),105.47)</f>
        <v>105.47</v>
      </c>
      <c r="D41" s="88">
        <f>IFERROR(__xludf.DUMMYFUNCTION("""COMPUTED_VALUE"""),103.02)</f>
        <v>103.02</v>
      </c>
      <c r="E41" s="88">
        <f>IFERROR(__xludf.DUMMYFUNCTION("""COMPUTED_VALUE"""),105.44)</f>
        <v>105.44</v>
      </c>
      <c r="F41" s="88">
        <f>IFERROR(__xludf.DUMMYFUNCTION("""COMPUTED_VALUE"""),6.4828014E7)</f>
        <v>64828014</v>
      </c>
      <c r="G41" s="88">
        <f>IFERROR(__xludf.DUMMYFUNCTION("""COMPUTED_VALUE"""),97.6137390753812)</f>
        <v>97.61373908</v>
      </c>
      <c r="H41" s="88">
        <f>IFERROR(__xludf.DUMMYFUNCTION("""COMPUTED_VALUE"""),99.6642890637024)</f>
        <v>99.66428906</v>
      </c>
      <c r="I41" s="88">
        <f>IFERROR(__xludf.DUMMYFUNCTION("""COMPUTED_VALUE"""),97.349151980114)</f>
        <v>97.34915198</v>
      </c>
      <c r="J41" s="88">
        <f>IFERROR(__xludf.DUMMYFUNCTION("""COMPUTED_VALUE"""),99.6359404463523)</f>
        <v>99.63594045</v>
      </c>
      <c r="K41" s="88">
        <f>IFERROR(__xludf.DUMMYFUNCTION("""COMPUTED_VALUE"""),6.4828014E7)</f>
        <v>64828014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IFERROR(__xludf.DUMMYFUNCTION("""COMPUTED_VALUE"""),105.57)</f>
        <v>105.57</v>
      </c>
      <c r="C42">
        <f>IFERROR(__xludf.DUMMYFUNCTION("""COMPUTED_VALUE"""),106.34)</f>
        <v>106.34</v>
      </c>
      <c r="D42" s="88">
        <f>IFERROR(__xludf.DUMMYFUNCTION("""COMPUTED_VALUE"""),104.87)</f>
        <v>104.87</v>
      </c>
      <c r="E42" s="88">
        <f>IFERROR(__xludf.DUMMYFUNCTION("""COMPUTED_VALUE"""),105.7)</f>
        <v>105.7</v>
      </c>
      <c r="F42" s="88">
        <f>IFERROR(__xludf.DUMMYFUNCTION("""COMPUTED_VALUE"""),4.2015847E7)</f>
        <v>42015847</v>
      </c>
      <c r="G42" s="88">
        <f>IFERROR(__xludf.DUMMYFUNCTION("""COMPUTED_VALUE"""),99.7587844548693)</f>
        <v>99.75878445</v>
      </c>
      <c r="H42" s="88">
        <f>IFERROR(__xludf.DUMMYFUNCTION("""COMPUTED_VALUE"""),100.329559022592)</f>
        <v>100.329559</v>
      </c>
      <c r="I42" s="88">
        <f>IFERROR(__xludf.DUMMYFUNCTION("""COMPUTED_VALUE"""),99.0973167167012)</f>
        <v>99.09731672</v>
      </c>
      <c r="J42" s="88">
        <f>IFERROR(__xludf.DUMMYFUNCTION("""COMPUTED_VALUE"""),99.7257324495766)</f>
        <v>99.72573245</v>
      </c>
      <c r="K42" s="88">
        <f>IFERROR(__xludf.DUMMYFUNCTION("""COMPUTED_VALUE"""),4.2015847E7)</f>
        <v>42015847</v>
      </c>
      <c r="L42" s="88">
        <f>IFERROR(__xludf.DUMMYFUNCTION("""COMPUTED_VALUE"""),0.323832)</f>
        <v>0.323832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IFERROR(__xludf.DUMMYFUNCTION("""COMPUTED_VALUE"""),105.7)</f>
        <v>105.7</v>
      </c>
      <c r="C43">
        <f>IFERROR(__xludf.DUMMYFUNCTION("""COMPUTED_VALUE"""),106.63)</f>
        <v>106.63</v>
      </c>
      <c r="D43" s="88">
        <f>IFERROR(__xludf.DUMMYFUNCTION("""COMPUTED_VALUE"""),105.59)</f>
        <v>105.59</v>
      </c>
      <c r="E43" s="88">
        <f>IFERROR(__xludf.DUMMYFUNCTION("""COMPUTED_VALUE"""),105.92)</f>
        <v>105.92</v>
      </c>
      <c r="F43" s="88">
        <f>IFERROR(__xludf.DUMMYFUNCTION("""COMPUTED_VALUE"""),3.2366167E7)</f>
        <v>32366167</v>
      </c>
      <c r="G43" s="88">
        <f>IFERROR(__xludf.DUMMYFUNCTION("""COMPUTED_VALUE"""),99.5756207677488)</f>
        <v>99.57562077</v>
      </c>
      <c r="H43" s="88">
        <f>IFERROR(__xludf.DUMMYFUNCTION("""COMPUTED_VALUE"""),100.451735501088)</f>
        <v>100.4517355</v>
      </c>
      <c r="I43" s="88">
        <f>IFERROR(__xludf.DUMMYFUNCTION("""COMPUTED_VALUE"""),99.4719942939129)</f>
        <v>99.47199429</v>
      </c>
      <c r="J43" s="88">
        <f>IFERROR(__xludf.DUMMYFUNCTION("""COMPUTED_VALUE"""),99.7828737154205)</f>
        <v>99.78287372</v>
      </c>
      <c r="K43" s="88">
        <f>IFERROR(__xludf.DUMMYFUNCTION("""COMPUTED_VALUE"""),3.2366167E7)</f>
        <v>32366167</v>
      </c>
      <c r="L43" s="88">
        <f>IFERROR(__xludf.DUMMYFUNCTION("""COMPUTED_VALUE"""),0.164305)</f>
        <v>0.164305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IFERROR(__xludf.DUMMYFUNCTION("""COMPUTED_VALUE"""),106.16)</f>
        <v>106.16</v>
      </c>
      <c r="C44">
        <f>IFERROR(__xludf.DUMMYFUNCTION("""COMPUTED_VALUE"""),106.92)</f>
        <v>106.92</v>
      </c>
      <c r="D44" s="88">
        <f>IFERROR(__xludf.DUMMYFUNCTION("""COMPUTED_VALUE"""),105.47)</f>
        <v>105.47</v>
      </c>
      <c r="E44" s="88">
        <f>IFERROR(__xludf.DUMMYFUNCTION("""COMPUTED_VALUE"""),106.42)</f>
        <v>106.42</v>
      </c>
      <c r="F44" s="88">
        <f>IFERROR(__xludf.DUMMYFUNCTION("""COMPUTED_VALUE"""),3.8501873E7)</f>
        <v>38501873</v>
      </c>
      <c r="G44" s="88">
        <f>IFERROR(__xludf.DUMMYFUNCTION("""COMPUTED_VALUE"""),99.8542765624747)</f>
        <v>99.85427656</v>
      </c>
      <c r="H44" s="88">
        <f>IFERROR(__xludf.DUMMYFUNCTION("""COMPUTED_VALUE"""),100.569133855122)</f>
        <v>100.5691339</v>
      </c>
      <c r="I44" s="88">
        <f>IFERROR(__xludf.DUMMYFUNCTION("""COMPUTED_VALUE"""),99.2052613888867)</f>
        <v>99.20526139</v>
      </c>
      <c r="J44" s="88">
        <f>IFERROR(__xludf.DUMMYFUNCTION("""COMPUTED_VALUE"""),100.098833004696)</f>
        <v>100.098833</v>
      </c>
      <c r="K44" s="88">
        <f>IFERROR(__xludf.DUMMYFUNCTION("""COMPUTED_VALUE"""),3.8501873E7)</f>
        <v>38501873</v>
      </c>
      <c r="L44" s="88">
        <f>IFERROR(__xludf.DUMMYFUNCTION("""COMPUTED_VALUE"""),0.158852)</f>
        <v>0.158852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IFERROR(__xludf.DUMMYFUNCTION("""COMPUTED_VALUE"""),106.52)</f>
        <v>106.52</v>
      </c>
      <c r="C45">
        <f>IFERROR(__xludf.DUMMYFUNCTION("""COMPUTED_VALUE"""),108.805)</f>
        <v>108.805</v>
      </c>
      <c r="D45" s="88">
        <f>IFERROR(__xludf.DUMMYFUNCTION("""COMPUTED_VALUE"""),106.46)</f>
        <v>106.46</v>
      </c>
      <c r="E45" s="88">
        <f>IFERROR(__xludf.DUMMYFUNCTION("""COMPUTED_VALUE"""),107.96)</f>
        <v>107.96</v>
      </c>
      <c r="F45" s="88">
        <f>IFERROR(__xludf.DUMMYFUNCTION("""COMPUTED_VALUE"""),4.3736523E7)</f>
        <v>43736523</v>
      </c>
      <c r="G45" s="88">
        <f>IFERROR(__xludf.DUMMYFUNCTION("""COMPUTED_VALUE"""),100.043306584631)</f>
        <v>100.0433066</v>
      </c>
      <c r="H45" s="88">
        <f>IFERROR(__xludf.DUMMYFUNCTION("""COMPUTED_VALUE"""),102.189372633691)</f>
        <v>102.1893726</v>
      </c>
      <c r="I45" s="88">
        <f>IFERROR(__xludf.DUMMYFUNCTION("""COMPUTED_VALUE"""),99.9869547408921)</f>
        <v>99.98695474</v>
      </c>
      <c r="J45" s="88">
        <f>IFERROR(__xludf.DUMMYFUNCTION("""COMPUTED_VALUE"""),101.395750834367)</f>
        <v>101.3957508</v>
      </c>
      <c r="K45" s="88">
        <f>IFERROR(__xludf.DUMMYFUNCTION("""COMPUTED_VALUE"""),4.3736523E7)</f>
        <v>43736523</v>
      </c>
      <c r="L45" s="88">
        <f>IFERROR(__xludf.DUMMYFUNCTION("""COMPUTED_VALUE"""),0.162455)</f>
        <v>0.162455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IFERROR(__xludf.DUMMYFUNCTION("""COMPUTED_VALUE"""),108.24)</f>
        <v>108.24</v>
      </c>
      <c r="C46">
        <f>IFERROR(__xludf.DUMMYFUNCTION("""COMPUTED_VALUE"""),108.43)</f>
        <v>108.43</v>
      </c>
      <c r="D46" s="88">
        <f>IFERROR(__xludf.DUMMYFUNCTION("""COMPUTED_VALUE"""),106.4674)</f>
        <v>106.4674</v>
      </c>
      <c r="E46" s="88">
        <f>IFERROR(__xludf.DUMMYFUNCTION("""COMPUTED_VALUE"""),106.52)</f>
        <v>106.52</v>
      </c>
      <c r="F46" s="88">
        <f>IFERROR(__xludf.DUMMYFUNCTION("""COMPUTED_VALUE"""),2.9619003E7)</f>
        <v>29619003</v>
      </c>
      <c r="G46" s="88">
        <f>IFERROR(__xludf.DUMMYFUNCTION("""COMPUTED_VALUE"""),101.50569985728)</f>
        <v>101.5056999</v>
      </c>
      <c r="H46" s="88">
        <f>IFERROR(__xludf.DUMMYFUNCTION("""COMPUTED_VALUE"""),101.683878746535)</f>
        <v>101.6838787</v>
      </c>
      <c r="I46" s="88">
        <f>IFERROR(__xludf.DUMMYFUNCTION("""COMPUTED_VALUE"""),99.8433845989008)</f>
        <v>99.8433846</v>
      </c>
      <c r="J46" s="88">
        <f>IFERROR(__xludf.DUMMYFUNCTION("""COMPUTED_VALUE"""),99.8927120177154)</f>
        <v>99.89271202</v>
      </c>
      <c r="K46" s="88">
        <f>IFERROR(__xludf.DUMMYFUNCTION("""COMPUTED_VALUE"""),2.9619003E7)</f>
        <v>29619003</v>
      </c>
      <c r="L46" s="88">
        <f>IFERROR(__xludf.DUMMYFUNCTION("""COMPUTED_VALUE"""),0.165256)</f>
        <v>0.165256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IFERROR(__xludf.DUMMYFUNCTION("""COMPUTED_VALUE"""),106.85)</f>
        <v>106.85</v>
      </c>
      <c r="C47">
        <f>IFERROR(__xludf.DUMMYFUNCTION("""COMPUTED_VALUE"""),107.27)</f>
        <v>107.27</v>
      </c>
      <c r="D47" s="88">
        <f>IFERROR(__xludf.DUMMYFUNCTION("""COMPUTED_VALUE"""),105.72)</f>
        <v>105.72</v>
      </c>
      <c r="E47" s="88">
        <f>IFERROR(__xludf.DUMMYFUNCTION("""COMPUTED_VALUE"""),106.45)</f>
        <v>106.45</v>
      </c>
      <c r="F47" s="88">
        <f>IFERROR(__xludf.DUMMYFUNCTION("""COMPUTED_VALUE"""),4.4804359E7)</f>
        <v>44804359</v>
      </c>
      <c r="G47" s="88">
        <f>IFERROR(__xludf.DUMMYFUNCTION("""COMPUTED_VALUE"""),100.047590016097)</f>
        <v>100.04759</v>
      </c>
      <c r="H47" s="88">
        <f>IFERROR(__xludf.DUMMYFUNCTION("""COMPUTED_VALUE"""),100.440851483638)</f>
        <v>100.4408515</v>
      </c>
      <c r="I47" s="88">
        <f>IFERROR(__xludf.DUMMYFUNCTION("""COMPUTED_VALUE"""),98.9895294010461)</f>
        <v>98.9895294</v>
      </c>
      <c r="J47" s="88">
        <f>IFERROR(__xludf.DUMMYFUNCTION("""COMPUTED_VALUE"""),99.6730552851055)</f>
        <v>99.67305529</v>
      </c>
      <c r="K47" s="88">
        <f>IFERROR(__xludf.DUMMYFUNCTION("""COMPUTED_VALUE"""),4.4804359E7)</f>
        <v>44804359</v>
      </c>
      <c r="L47" s="88">
        <f>IFERROR(__xludf.DUMMYFUNCTION("""COMPUTED_VALUE"""),0.159282)</f>
        <v>0.159282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IFERROR(__xludf.DUMMYFUNCTION("""COMPUTED_VALUE"""),106.61)</f>
        <v>106.61</v>
      </c>
      <c r="C48">
        <f>IFERROR(__xludf.DUMMYFUNCTION("""COMPUTED_VALUE"""),108.17)</f>
        <v>108.17</v>
      </c>
      <c r="D48" s="88">
        <f>IFERROR(__xludf.DUMMYFUNCTION("""COMPUTED_VALUE"""),106.535)</f>
        <v>106.535</v>
      </c>
      <c r="E48" s="88">
        <f>IFERROR(__xludf.DUMMYFUNCTION("""COMPUTED_VALUE"""),106.94)</f>
        <v>106.94</v>
      </c>
      <c r="F48" s="88">
        <f>IFERROR(__xludf.DUMMYFUNCTION("""COMPUTED_VALUE"""),4.1627324E7)</f>
        <v>41627324</v>
      </c>
      <c r="G48" s="88">
        <f>IFERROR(__xludf.DUMMYFUNCTION("""COMPUTED_VALUE"""),99.6731789710824)</f>
        <v>99.67317897</v>
      </c>
      <c r="H48" s="88">
        <f>IFERROR(__xludf.DUMMYFUNCTION("""COMPUTED_VALUE"""),101.131674039039)</f>
        <v>101.131674</v>
      </c>
      <c r="I48" s="88">
        <f>IFERROR(__xludf.DUMMYFUNCTION("""COMPUTED_VALUE"""),99.6030590158922)</f>
        <v>99.60305902</v>
      </c>
      <c r="J48" s="88">
        <f>IFERROR(__xludf.DUMMYFUNCTION("""COMPUTED_VALUE"""),99.9817067739195)</f>
        <v>99.98170677</v>
      </c>
      <c r="K48" s="88">
        <f>IFERROR(__xludf.DUMMYFUNCTION("""COMPUTED_VALUE"""),4.1627324E7)</f>
        <v>41627324</v>
      </c>
      <c r="L48" s="88">
        <f>IFERROR(__xludf.DUMMYFUNCTION("""COMPUTED_VALUE"""),0.163645)</f>
        <v>0.163645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IFERROR(__xludf.DUMMYFUNCTION("""COMPUTED_VALUE"""),107.32)</f>
        <v>107.32</v>
      </c>
      <c r="C49">
        <f>IFERROR(__xludf.DUMMYFUNCTION("""COMPUTED_VALUE"""),107.4)</f>
        <v>107.4</v>
      </c>
      <c r="D49" s="88">
        <f>IFERROR(__xludf.DUMMYFUNCTION("""COMPUTED_VALUE"""),105.41)</f>
        <v>105.41</v>
      </c>
      <c r="E49" s="88">
        <f>IFERROR(__xludf.DUMMYFUNCTION("""COMPUTED_VALUE"""),106.32)</f>
        <v>106.32</v>
      </c>
      <c r="F49" s="88">
        <f>IFERROR(__xludf.DUMMYFUNCTION("""COMPUTED_VALUE"""),4.3647084E7)</f>
        <v>43647084</v>
      </c>
      <c r="G49" s="88">
        <f>IFERROR(__xludf.DUMMYFUNCTION("""COMPUTED_VALUE"""),100.183903763211)</f>
        <v>100.1839038</v>
      </c>
      <c r="H49" s="88">
        <f>IFERROR(__xludf.DUMMYFUNCTION("""COMPUTED_VALUE"""),100.258584272911)</f>
        <v>100.2585843</v>
      </c>
      <c r="I49" s="88">
        <f>IFERROR(__xludf.DUMMYFUNCTION("""COMPUTED_VALUE"""),98.4009065941115)</f>
        <v>98.40090659</v>
      </c>
      <c r="J49" s="88">
        <f>IFERROR(__xludf.DUMMYFUNCTION("""COMPUTED_VALUE"""),99.2503973919546)</f>
        <v>99.25039739</v>
      </c>
      <c r="K49" s="88">
        <f>IFERROR(__xludf.DUMMYFUNCTION("""COMPUTED_VALUE"""),4.3647084E7)</f>
        <v>43647084</v>
      </c>
      <c r="L49" s="88">
        <f>IFERROR(__xludf.DUMMYFUNCTION("""COMPUTED_VALUE"""),0.160289)</f>
        <v>0.160289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IFERROR(__xludf.DUMMYFUNCTION("""COMPUTED_VALUE"""),106.6)</f>
        <v>106.6</v>
      </c>
      <c r="C50">
        <f>IFERROR(__xludf.DUMMYFUNCTION("""COMPUTED_VALUE"""),107.47)</f>
        <v>107.47</v>
      </c>
      <c r="D50" s="88">
        <f>IFERROR(__xludf.DUMMYFUNCTION("""COMPUTED_VALUE"""),105.53)</f>
        <v>105.53</v>
      </c>
      <c r="E50" s="88">
        <f>IFERROR(__xludf.DUMMYFUNCTION("""COMPUTED_VALUE"""),105.56)</f>
        <v>105.56</v>
      </c>
      <c r="F50" s="88">
        <f>IFERROR(__xludf.DUMMYFUNCTION("""COMPUTED_VALUE"""),4.2204532E7)</f>
        <v>42204532</v>
      </c>
      <c r="G50" s="88">
        <f>IFERROR(__xludf.DUMMYFUNCTION("""COMPUTED_VALUE"""),99.3618252393111)</f>
        <v>99.36182524</v>
      </c>
      <c r="H50" s="88">
        <f>IFERROR(__xludf.DUMMYFUNCTION("""COMPUTED_VALUE"""),100.172751955617)</f>
        <v>100.172752</v>
      </c>
      <c r="I50" s="88">
        <f>IFERROR(__xludf.DUMMYFUNCTION("""COMPUTED_VALUE"""),98.3644785882223)</f>
        <v>98.36447859</v>
      </c>
      <c r="J50" s="88">
        <f>IFERROR(__xludf.DUMMYFUNCTION("""COMPUTED_VALUE"""),98.3924415784397)</f>
        <v>98.39244158</v>
      </c>
      <c r="K50" s="88">
        <f>IFERROR(__xludf.DUMMYFUNCTION("""COMPUTED_VALUE"""),4.2204532E7)</f>
        <v>42204532</v>
      </c>
      <c r="L50" s="88">
        <f>IFERROR(__xludf.DUMMYFUNCTION("""COMPUTED_VALUE"""),0.158696)</f>
        <v>0.158696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IFERROR(__xludf.DUMMYFUNCTION("""COMPUTED_VALUE"""),105.59)</f>
        <v>105.59</v>
      </c>
      <c r="C51">
        <f>IFERROR(__xludf.DUMMYFUNCTION("""COMPUTED_VALUE"""),105.96)</f>
        <v>105.96</v>
      </c>
      <c r="D51" s="88">
        <f>IFERROR(__xludf.DUMMYFUNCTION("""COMPUTED_VALUE"""),103.692)</f>
        <v>103.692</v>
      </c>
      <c r="E51" s="88">
        <f>IFERROR(__xludf.DUMMYFUNCTION("""COMPUTED_VALUE"""),104.71)</f>
        <v>104.71</v>
      </c>
      <c r="F51" s="88">
        <f>IFERROR(__xludf.DUMMYFUNCTION("""COMPUTED_VALUE"""),4.4816951E7)</f>
        <v>44816951</v>
      </c>
      <c r="G51" s="88">
        <f>IFERROR(__xludf.DUMMYFUNCTION("""COMPUTED_VALUE"""),98.2732071653131)</f>
        <v>98.27320717</v>
      </c>
      <c r="H51" s="88">
        <f>IFERROR(__xludf.DUMMYFUNCTION("""COMPUTED_VALUE"""),98.6175682473394)</f>
        <v>98.61756825</v>
      </c>
      <c r="I51" s="88">
        <f>IFERROR(__xludf.DUMMYFUNCTION("""COMPUTED_VALUE"""),96.5067278850804)</f>
        <v>96.50672789</v>
      </c>
      <c r="J51" s="88">
        <f>IFERROR(__xludf.DUMMYFUNCTION("""COMPUTED_VALUE"""),97.4541862134665)</f>
        <v>97.45418621</v>
      </c>
      <c r="K51" s="88">
        <f>IFERROR(__xludf.DUMMYFUNCTION("""COMPUTED_VALUE"""),4.4816951E7)</f>
        <v>44816951</v>
      </c>
      <c r="L51" s="88">
        <f>IFERROR(__xludf.DUMMYFUNCTION("""COMPUTED_VALUE"""),0.144834)</f>
        <v>0.144834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IFERROR(__xludf.DUMMYFUNCTION("""COMPUTED_VALUE"""),105.65)</f>
        <v>105.65</v>
      </c>
      <c r="C52">
        <f>IFERROR(__xludf.DUMMYFUNCTION("""COMPUTED_VALUE"""),106.16)</f>
        <v>106.16</v>
      </c>
      <c r="D52" s="88">
        <f>IFERROR(__xludf.DUMMYFUNCTION("""COMPUTED_VALUE"""),104.32)</f>
        <v>104.32</v>
      </c>
      <c r="E52" s="88">
        <f>IFERROR(__xludf.DUMMYFUNCTION("""COMPUTED_VALUE"""),104.56)</f>
        <v>104.56</v>
      </c>
      <c r="F52" s="88">
        <f>IFERROR(__xludf.DUMMYFUNCTION("""COMPUTED_VALUE"""),4.1341562E7)</f>
        <v>41341562</v>
      </c>
      <c r="G52" s="88">
        <f>IFERROR(__xludf.DUMMYFUNCTION("""COMPUTED_VALUE"""),98.193307120163)</f>
        <v>98.19330712</v>
      </c>
      <c r="H52" s="88">
        <f>IFERROR(__xludf.DUMMYFUNCTION("""COMPUTED_VALUE"""),98.6673117262328)</f>
        <v>98.66731173</v>
      </c>
      <c r="I52" s="88">
        <f>IFERROR(__xludf.DUMMYFUNCTION("""COMPUTED_VALUE"""),96.9571774611964)</f>
        <v>96.95717746</v>
      </c>
      <c r="J52" s="88">
        <f>IFERROR(__xludf.DUMMYFUNCTION("""COMPUTED_VALUE"""),97.1802384522881)</f>
        <v>97.18023845</v>
      </c>
      <c r="K52" s="88">
        <f>IFERROR(__xludf.DUMMYFUNCTION("""COMPUTED_VALUE"""),4.1341562E7)</f>
        <v>41341562</v>
      </c>
      <c r="L52" s="88">
        <f>IFERROR(__xludf.DUMMYFUNCTION("""COMPUTED_VALUE"""),0.159282)</f>
        <v>0.159282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IFERROR(__xludf.DUMMYFUNCTION("""COMPUTED_VALUE"""),105.05)</f>
        <v>105.05</v>
      </c>
      <c r="C53">
        <f>IFERROR(__xludf.DUMMYFUNCTION("""COMPUTED_VALUE"""),106.0301)</f>
        <v>106.0301</v>
      </c>
      <c r="D53" s="88">
        <f>IFERROR(__xludf.DUMMYFUNCTION("""COMPUTED_VALUE"""),104.18)</f>
        <v>104.18</v>
      </c>
      <c r="E53" s="88">
        <f>IFERROR(__xludf.DUMMYFUNCTION("""COMPUTED_VALUE"""),104.35)</f>
        <v>104.35</v>
      </c>
      <c r="F53" s="88">
        <f>IFERROR(__xludf.DUMMYFUNCTION("""COMPUTED_VALUE"""),3.8681491E7)</f>
        <v>38681491</v>
      </c>
      <c r="G53" s="88">
        <f>IFERROR(__xludf.DUMMYFUNCTION("""COMPUTED_VALUE"""),97.4873312391055)</f>
        <v>97.48733124</v>
      </c>
      <c r="H53" s="88">
        <f>IFERROR(__xludf.DUMMYFUNCTION("""COMPUTED_VALUE"""),98.3968727274201)</f>
        <v>98.39687273</v>
      </c>
      <c r="I53" s="88">
        <f>IFERROR(__xludf.DUMMYFUNCTION("""COMPUTED_VALUE"""),96.6799635267969)</f>
        <v>96.67996353</v>
      </c>
      <c r="J53" s="88">
        <f>IFERROR(__xludf.DUMMYFUNCTION("""COMPUTED_VALUE"""),96.8377250337997)</f>
        <v>96.83772503</v>
      </c>
      <c r="K53" s="88">
        <f>IFERROR(__xludf.DUMMYFUNCTION("""COMPUTED_VALUE"""),3.8681491E7)</f>
        <v>38681491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IFERROR(__xludf.DUMMYFUNCTION("""COMPUTED_VALUE"""),104.82)</f>
        <v>104.82</v>
      </c>
      <c r="C54">
        <f>IFERROR(__xludf.DUMMYFUNCTION("""COMPUTED_VALUE"""),105.58)</f>
        <v>105.58</v>
      </c>
      <c r="D54" s="88">
        <f>IFERROR(__xludf.DUMMYFUNCTION("""COMPUTED_VALUE"""),103.43)</f>
        <v>103.43</v>
      </c>
      <c r="E54" s="88">
        <f>IFERROR(__xludf.DUMMYFUNCTION("""COMPUTED_VALUE"""),104.62)</f>
        <v>104.62</v>
      </c>
      <c r="F54" s="88">
        <f>IFERROR(__xludf.DUMMYFUNCTION("""COMPUTED_VALUE"""),3.905958E7)</f>
        <v>39059580</v>
      </c>
      <c r="G54" s="88">
        <f>IFERROR(__xludf.DUMMYFUNCTION("""COMPUTED_VALUE"""),97.2738892002193)</f>
        <v>97.2738892</v>
      </c>
      <c r="H54" s="88">
        <f>IFERROR(__xludf.DUMMYFUNCTION("""COMPUTED_VALUE"""),97.8240241717461)</f>
        <v>97.82402417</v>
      </c>
      <c r="I54" s="88">
        <f>IFERROR(__xludf.DUMMYFUNCTION("""COMPUTED_VALUE"""),95.8319645774171)</f>
        <v>95.83196458</v>
      </c>
      <c r="J54" s="88">
        <f>IFERROR(__xludf.DUMMYFUNCTION("""COMPUTED_VALUE"""),96.9345463993946)</f>
        <v>96.9345464</v>
      </c>
      <c r="K54" s="88">
        <f>IFERROR(__xludf.DUMMYFUNCTION("""COMPUTED_VALUE"""),3.905958E7)</f>
        <v>39059580</v>
      </c>
      <c r="L54" s="88">
        <f>IFERROR(__xludf.DUMMYFUNCTION("""COMPUTED_VALUE"""),0.314133)</f>
        <v>0.314133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IFERROR(__xludf.DUMMYFUNCTION("""COMPUTED_VALUE"""),105.26)</f>
        <v>105.26</v>
      </c>
      <c r="C55">
        <f>IFERROR(__xludf.DUMMYFUNCTION("""COMPUTED_VALUE"""),110.5555)</f>
        <v>110.5555</v>
      </c>
      <c r="D55" s="88">
        <f>IFERROR(__xludf.DUMMYFUNCTION("""COMPUTED_VALUE"""),105.0)</f>
        <v>105</v>
      </c>
      <c r="E55" s="88">
        <f>IFERROR(__xludf.DUMMYFUNCTION("""COMPUTED_VALUE"""),109.59)</f>
        <v>109.59</v>
      </c>
      <c r="F55" s="88">
        <f>IFERROR(__xludf.DUMMYFUNCTION("""COMPUTED_VALUE"""),5.4706335E7)</f>
        <v>54706335</v>
      </c>
      <c r="G55" s="88">
        <f>IFERROR(__xludf.DUMMYFUNCTION("""COMPUTED_VALUE"""),97.388570340227)</f>
        <v>97.38857034</v>
      </c>
      <c r="H55" s="88">
        <f>IFERROR(__xludf.DUMMYFUNCTION("""COMPUTED_VALUE"""),102.28806848042)</f>
        <v>102.2880685</v>
      </c>
      <c r="I55" s="88">
        <f>IFERROR(__xludf.DUMMYFUNCTION("""COMPUTED_VALUE"""),97.1480133547771)</f>
        <v>97.14801335</v>
      </c>
      <c r="J55" s="88">
        <f>IFERROR(__xludf.DUMMYFUNCTION("""COMPUTED_VALUE"""),101.394769367143)</f>
        <v>101.3947694</v>
      </c>
      <c r="K55" s="88">
        <f>IFERROR(__xludf.DUMMYFUNCTION("""COMPUTED_VALUE"""),5.4706335E7)</f>
        <v>54706335</v>
      </c>
      <c r="L55" s="88">
        <f>IFERROR(__xludf.DUMMYFUNCTION("""COMPUTED_VALUE"""),0.153709)</f>
        <v>0.153709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IFERROR(__xludf.DUMMYFUNCTION("""COMPUTED_VALUE"""),110.06)</f>
        <v>110.06</v>
      </c>
      <c r="C56">
        <f>IFERROR(__xludf.DUMMYFUNCTION("""COMPUTED_VALUE"""),111.73)</f>
        <v>111.73</v>
      </c>
      <c r="D56" s="88">
        <f>IFERROR(__xludf.DUMMYFUNCTION("""COMPUTED_VALUE"""),109.72)</f>
        <v>109.72</v>
      </c>
      <c r="E56" s="88">
        <f>IFERROR(__xludf.DUMMYFUNCTION("""COMPUTED_VALUE"""),111.7)</f>
        <v>111.7</v>
      </c>
      <c r="F56" s="88">
        <f>IFERROR(__xludf.DUMMYFUNCTION("""COMPUTED_VALUE"""),3.7030301E7)</f>
        <v>37030301</v>
      </c>
      <c r="G56" s="88">
        <f>IFERROR(__xludf.DUMMYFUNCTION("""COMPUTED_VALUE"""),101.687412657601)</f>
        <v>101.6874127</v>
      </c>
      <c r="H56" s="88">
        <f>IFERROR(__xludf.DUMMYFUNCTION("""COMPUTED_VALUE"""),103.230370854387)</f>
        <v>103.2303709</v>
      </c>
      <c r="I56" s="88">
        <f>IFERROR(__xludf.DUMMYFUNCTION("""COMPUTED_VALUE"""),101.37327745586)</f>
        <v>101.3732775</v>
      </c>
      <c r="J56" s="88">
        <f>IFERROR(__xludf.DUMMYFUNCTION("""COMPUTED_VALUE"""),103.202653042468)</f>
        <v>103.202653</v>
      </c>
      <c r="K56" s="88">
        <f>IFERROR(__xludf.DUMMYFUNCTION("""COMPUTED_VALUE"""),3.7030301E7)</f>
        <v>37030301</v>
      </c>
      <c r="L56" s="88">
        <f>IFERROR(__xludf.DUMMYFUNCTION("""COMPUTED_VALUE"""),0.149905)</f>
        <v>0.149905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IFERROR(__xludf.DUMMYFUNCTION("""COMPUTED_VALUE"""),111.88)</f>
        <v>111.88</v>
      </c>
      <c r="C57">
        <f>IFERROR(__xludf.DUMMYFUNCTION("""COMPUTED_VALUE"""),112.3289)</f>
        <v>112.3289</v>
      </c>
      <c r="D57" s="88">
        <f>IFERROR(__xludf.DUMMYFUNCTION("""COMPUTED_VALUE"""),110.44)</f>
        <v>110.44</v>
      </c>
      <c r="E57" s="88">
        <f>IFERROR(__xludf.DUMMYFUNCTION("""COMPUTED_VALUE"""),111.33)</f>
        <v>111.33</v>
      </c>
      <c r="F57" s="88">
        <f>IFERROR(__xludf.DUMMYFUNCTION("""COMPUTED_VALUE"""),2.5357749E7)</f>
        <v>25357749</v>
      </c>
      <c r="G57" s="88">
        <f>IFERROR(__xludf.DUMMYFUNCTION("""COMPUTED_VALUE"""),103.230135893872)</f>
        <v>103.2301359</v>
      </c>
      <c r="H57" s="88">
        <f>IFERROR(__xludf.DUMMYFUNCTION("""COMPUTED_VALUE"""),103.644329744451)</f>
        <v>103.6443297</v>
      </c>
      <c r="I57" s="88">
        <f>IFERROR(__xludf.DUMMYFUNCTION("""COMPUTED_VALUE"""),101.901467716475)</f>
        <v>101.9014677</v>
      </c>
      <c r="J57" s="88">
        <f>IFERROR(__xludf.DUMMYFUNCTION("""COMPUTED_VALUE"""),102.722658465006)</f>
        <v>102.7226585</v>
      </c>
      <c r="K57" s="88">
        <f>IFERROR(__xludf.DUMMYFUNCTION("""COMPUTED_VALUE"""),2.5357749E7)</f>
        <v>25357749</v>
      </c>
      <c r="L57" s="88">
        <f>IFERROR(__xludf.DUMMYFUNCTION("""COMPUTED_VALUE"""),0.155452)</f>
        <v>0.155452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IFERROR(__xludf.DUMMYFUNCTION("""COMPUTED_VALUE"""),111.77)</f>
        <v>111.77</v>
      </c>
      <c r="C58">
        <f>IFERROR(__xludf.DUMMYFUNCTION("""COMPUTED_VALUE"""),112.8)</f>
        <v>112.8</v>
      </c>
      <c r="D58" s="88">
        <f>IFERROR(__xludf.DUMMYFUNCTION("""COMPUTED_VALUE"""),111.37)</f>
        <v>111.37</v>
      </c>
      <c r="E58" s="88">
        <f>IFERROR(__xludf.DUMMYFUNCTION("""COMPUTED_VALUE"""),112.56)</f>
        <v>112.56</v>
      </c>
      <c r="F58" s="88">
        <f>IFERROR(__xludf.DUMMYFUNCTION("""COMPUTED_VALUE"""),3.6806752E7)</f>
        <v>36806752</v>
      </c>
      <c r="G58" s="88">
        <f>IFERROR(__xludf.DUMMYFUNCTION("""COMPUTED_VALUE"""),102.985431790667)</f>
        <v>102.9854318</v>
      </c>
      <c r="H58" s="88">
        <f>IFERROR(__xludf.DUMMYFUNCTION("""COMPUTED_VALUE"""),103.934478894044)</f>
        <v>103.9344789</v>
      </c>
      <c r="I58" s="88">
        <f>IFERROR(__xludf.DUMMYFUNCTION("""COMPUTED_VALUE"""),102.616869808773)</f>
        <v>102.6168698</v>
      </c>
      <c r="J58" s="88">
        <f>IFERROR(__xludf.DUMMYFUNCTION("""COMPUTED_VALUE"""),103.713341704907)</f>
        <v>103.7133417</v>
      </c>
      <c r="K58" s="88">
        <f>IFERROR(__xludf.DUMMYFUNCTION("""COMPUTED_VALUE"""),3.6806752E7)</f>
        <v>36806752</v>
      </c>
      <c r="L58" s="88">
        <f>IFERROR(__xludf.DUMMYFUNCTION("""COMPUTED_VALUE"""),0.158313)</f>
        <v>0.158313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IFERROR(__xludf.DUMMYFUNCTION("""COMPUTED_VALUE"""),113.07)</f>
        <v>113.07</v>
      </c>
      <c r="C59">
        <f>IFERROR(__xludf.DUMMYFUNCTION("""COMPUTED_VALUE"""),113.91)</f>
        <v>113.91</v>
      </c>
      <c r="D59" s="88">
        <f>IFERROR(__xludf.DUMMYFUNCTION("""COMPUTED_VALUE"""),111.66)</f>
        <v>111.66</v>
      </c>
      <c r="E59" s="88">
        <f>IFERROR(__xludf.DUMMYFUNCTION("""COMPUTED_VALUE"""),113.3)</f>
        <v>113.3</v>
      </c>
      <c r="F59" s="88">
        <f>IFERROR(__xludf.DUMMYFUNCTION("""COMPUTED_VALUE"""),5.0853475E7)</f>
        <v>50853475</v>
      </c>
      <c r="G59" s="88">
        <f>IFERROR(__xludf.DUMMYFUNCTION("""COMPUTED_VALUE"""),104.036880781527)</f>
        <v>104.0368808</v>
      </c>
      <c r="H59" s="88">
        <f>IFERROR(__xludf.DUMMYFUNCTION("""COMPUTED_VALUE"""),104.809773501581)</f>
        <v>104.8097735</v>
      </c>
      <c r="I59" s="88">
        <f>IFERROR(__xludf.DUMMYFUNCTION("""COMPUTED_VALUE"""),102.739525144294)</f>
        <v>102.7395251</v>
      </c>
      <c r="J59" s="88">
        <f>IFERROR(__xludf.DUMMYFUNCTION("""COMPUTED_VALUE"""),104.248506169161)</f>
        <v>104.2485062</v>
      </c>
      <c r="K59" s="88">
        <f>IFERROR(__xludf.DUMMYFUNCTION("""COMPUTED_VALUE"""),5.0853475E7)</f>
        <v>50853475</v>
      </c>
      <c r="L59" s="88">
        <f>IFERROR(__xludf.DUMMYFUNCTION("""COMPUTED_VALUE"""),0.157509)</f>
        <v>0.157509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IFERROR(__xludf.DUMMYFUNCTION("""COMPUTED_VALUE"""),112.95)</f>
        <v>112.95</v>
      </c>
      <c r="C60">
        <f>IFERROR(__xludf.DUMMYFUNCTION("""COMPUTED_VALUE"""),113.24)</f>
        <v>113.24</v>
      </c>
      <c r="D60" s="88">
        <f>IFERROR(__xludf.DUMMYFUNCTION("""COMPUTED_VALUE"""),109.48)</f>
        <v>109.48</v>
      </c>
      <c r="E60" s="88">
        <f>IFERROR(__xludf.DUMMYFUNCTION("""COMPUTED_VALUE"""),109.85)</f>
        <v>109.85</v>
      </c>
      <c r="F60" s="88">
        <f>IFERROR(__xludf.DUMMYFUNCTION("""COMPUTED_VALUE"""),5.5446934E7)</f>
        <v>55446934</v>
      </c>
      <c r="G60" s="88">
        <f>IFERROR(__xludf.DUMMYFUNCTION("""COMPUTED_VALUE"""),103.7819225995)</f>
        <v>103.7819226</v>
      </c>
      <c r="H60" s="88">
        <f>IFERROR(__xludf.DUMMYFUNCTION("""COMPUTED_VALUE"""),104.048383489751)</f>
        <v>104.0483835</v>
      </c>
      <c r="I60" s="88">
        <f>IFERROR(__xludf.DUMMYFUNCTION("""COMPUTED_VALUE"""),100.593580223048)</f>
        <v>100.5935802</v>
      </c>
      <c r="J60" s="88">
        <f>IFERROR(__xludf.DUMMYFUNCTION("""COMPUTED_VALUE"""),100.933547565782)</f>
        <v>100.9335476</v>
      </c>
      <c r="K60" s="88">
        <f>IFERROR(__xludf.DUMMYFUNCTION("""COMPUTED_VALUE"""),5.5446934E7)</f>
        <v>55446934</v>
      </c>
      <c r="L60" s="88">
        <f>IFERROR(__xludf.DUMMYFUNCTION("""COMPUTED_VALUE"""),0.163443)</f>
        <v>0.163443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IFERROR(__xludf.DUMMYFUNCTION("""COMPUTED_VALUE"""),109.73)</f>
        <v>109.73</v>
      </c>
      <c r="C61">
        <f>IFERROR(__xludf.DUMMYFUNCTION("""COMPUTED_VALUE"""),110.92)</f>
        <v>110.92</v>
      </c>
      <c r="D61" s="88">
        <f>IFERROR(__xludf.DUMMYFUNCTION("""COMPUTED_VALUE"""),109.32)</f>
        <v>109.32</v>
      </c>
      <c r="E61" s="88">
        <f>IFERROR(__xludf.DUMMYFUNCTION("""COMPUTED_VALUE"""),109.66)</f>
        <v>109.66</v>
      </c>
      <c r="F61" s="88">
        <f>IFERROR(__xludf.DUMMYFUNCTION("""COMPUTED_VALUE"""),3.5204463E7)</f>
        <v>35204463</v>
      </c>
      <c r="G61" s="88">
        <f>IFERROR(__xludf.DUMMYFUNCTION("""COMPUTED_VALUE"""),100.673061399572)</f>
        <v>100.6730614</v>
      </c>
      <c r="H61" s="88">
        <f>IFERROR(__xludf.DUMMYFUNCTION("""COMPUTED_VALUE"""),101.764840703914)</f>
        <v>101.7648407</v>
      </c>
      <c r="I61" s="88">
        <f>IFERROR(__xludf.DUMMYFUNCTION("""COMPUTED_VALUE"""),100.296902143454)</f>
        <v>100.2969021</v>
      </c>
      <c r="J61" s="88">
        <f>IFERROR(__xludf.DUMMYFUNCTION("""COMPUTED_VALUE"""),100.608839087552)</f>
        <v>100.6088391</v>
      </c>
      <c r="K61" s="88">
        <f>IFERROR(__xludf.DUMMYFUNCTION("""COMPUTED_VALUE"""),3.5204463E7)</f>
        <v>35204463</v>
      </c>
      <c r="L61" s="88">
        <f>IFERROR(__xludf.DUMMYFUNCTION("""COMPUTED_VALUE"""),0.16117)</f>
        <v>0.16117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IFERROR(__xludf.DUMMYFUNCTION("""COMPUTED_VALUE"""),110.0)</f>
        <v>110</v>
      </c>
      <c r="C62">
        <f>IFERROR(__xludf.DUMMYFUNCTION("""COMPUTED_VALUE"""),111.09)</f>
        <v>111.09</v>
      </c>
      <c r="D62" s="88">
        <f>IFERROR(__xludf.DUMMYFUNCTION("""COMPUTED_VALUE"""),109.0)</f>
        <v>109</v>
      </c>
      <c r="E62" s="88">
        <f>IFERROR(__xludf.DUMMYFUNCTION("""COMPUTED_VALUE"""),110.18)</f>
        <v>110.18</v>
      </c>
      <c r="F62" s="88">
        <f>IFERROR(__xludf.DUMMYFUNCTION("""COMPUTED_VALUE"""),3.9261997E7)</f>
        <v>39261997</v>
      </c>
      <c r="G62" s="88">
        <f>IFERROR(__xludf.DUMMYFUNCTION("""COMPUTED_VALUE"""),100.772478913074)</f>
        <v>100.7724789</v>
      </c>
      <c r="H62" s="88">
        <f>IFERROR(__xludf.DUMMYFUNCTION("""COMPUTED_VALUE"""),101.771042567758)</f>
        <v>101.7710426</v>
      </c>
      <c r="I62" s="88">
        <f>IFERROR(__xludf.DUMMYFUNCTION("""COMPUTED_VALUE"""),99.8563654684093)</f>
        <v>99.85636547</v>
      </c>
      <c r="J62" s="88">
        <f>IFERROR(__xludf.DUMMYFUNCTION("""COMPUTED_VALUE"""),100.937379333113)</f>
        <v>100.9373793</v>
      </c>
      <c r="K62" s="88">
        <f>IFERROR(__xludf.DUMMYFUNCTION("""COMPUTED_VALUE"""),3.9261997E7)</f>
        <v>39261997</v>
      </c>
      <c r="L62" s="88">
        <f>IFERROR(__xludf.DUMMYFUNCTION("""COMPUTED_VALUE"""),0.168336)</f>
        <v>0.168336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IFERROR(__xludf.DUMMYFUNCTION("""COMPUTED_VALUE"""),110.34)</f>
        <v>110.34</v>
      </c>
      <c r="C63">
        <f>IFERROR(__xludf.DUMMYFUNCTION("""COMPUTED_VALUE"""),110.96)</f>
        <v>110.96</v>
      </c>
      <c r="D63" s="88">
        <f>IFERROR(__xludf.DUMMYFUNCTION("""COMPUTED_VALUE"""),108.2)</f>
        <v>108.2</v>
      </c>
      <c r="E63" s="88">
        <f>IFERROR(__xludf.DUMMYFUNCTION("""COMPUTED_VALUE"""),110.54)</f>
        <v>110.54</v>
      </c>
      <c r="F63" s="88">
        <f>IFERROR(__xludf.DUMMYFUNCTION("""COMPUTED_VALUE"""),5.2817942E7)</f>
        <v>52817942</v>
      </c>
      <c r="G63" s="88">
        <f>IFERROR(__xludf.DUMMYFUNCTION("""COMPUTED_VALUE"""),100.92969834407)</f>
        <v>100.9296983</v>
      </c>
      <c r="H63" s="88">
        <f>IFERROR(__xludf.DUMMYFUNCTION("""COMPUTED_VALUE"""),101.496821898296)</f>
        <v>101.4968219</v>
      </c>
      <c r="I63" s="88">
        <f>IFERROR(__xludf.DUMMYFUNCTION("""COMPUTED_VALUE"""),98.9722073665796)</f>
        <v>98.97220737</v>
      </c>
      <c r="J63" s="88">
        <f>IFERROR(__xludf.DUMMYFUNCTION("""COMPUTED_VALUE"""),101.112641426079)</f>
        <v>101.1126414</v>
      </c>
      <c r="K63" s="88">
        <f>IFERROR(__xludf.DUMMYFUNCTION("""COMPUTED_VALUE"""),5.2817942E7)</f>
        <v>52817942</v>
      </c>
      <c r="L63" s="88">
        <f>IFERROR(__xludf.DUMMYFUNCTION("""COMPUTED_VALUE"""),0.157368)</f>
        <v>0.157368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IFERROR(__xludf.DUMMYFUNCTION("""COMPUTED_VALUE"""),110.57)</f>
        <v>110.57</v>
      </c>
      <c r="C64">
        <f>IFERROR(__xludf.DUMMYFUNCTION("""COMPUTED_VALUE"""),112.01)</f>
        <v>112.01</v>
      </c>
      <c r="D64" s="88">
        <f>IFERROR(__xludf.DUMMYFUNCTION("""COMPUTED_VALUE"""),108.56)</f>
        <v>108.56</v>
      </c>
      <c r="E64" s="88">
        <f>IFERROR(__xludf.DUMMYFUNCTION("""COMPUTED_VALUE"""),108.81)</f>
        <v>108.81</v>
      </c>
      <c r="F64" s="88">
        <f>IFERROR(__xludf.DUMMYFUNCTION("""COMPUTED_VALUE"""),6.8664496E7)</f>
        <v>68664496</v>
      </c>
      <c r="G64" s="88">
        <f>IFERROR(__xludf.DUMMYFUNCTION("""COMPUTED_VALUE"""),100.995004095094)</f>
        <v>100.9950041</v>
      </c>
      <c r="H64" s="88">
        <f>IFERROR(__xludf.DUMMYFUNCTION("""COMPUTED_VALUE"""),102.310304862906)</f>
        <v>102.3103049</v>
      </c>
      <c r="I64" s="88">
        <f>IFERROR(__xludf.DUMMYFUNCTION("""COMPUTED_VALUE"""),99.1590634400239)</f>
        <v>99.15906344</v>
      </c>
      <c r="J64" s="88">
        <f>IFERROR(__xludf.DUMMYFUNCTION("""COMPUTED_VALUE"""),99.3874142677689)</f>
        <v>99.38741427</v>
      </c>
      <c r="K64" s="88">
        <f>IFERROR(__xludf.DUMMYFUNCTION("""COMPUTED_VALUE"""),6.8664496E7)</f>
        <v>68664496</v>
      </c>
      <c r="L64" s="88">
        <f>IFERROR(__xludf.DUMMYFUNCTION("""COMPUTED_VALUE"""),0.159166)</f>
        <v>0.159166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IFERROR(__xludf.DUMMYFUNCTION("""COMPUTED_VALUE"""),109.11)</f>
        <v>109.11</v>
      </c>
      <c r="C65">
        <f>IFERROR(__xludf.DUMMYFUNCTION("""COMPUTED_VALUE"""),109.18)</f>
        <v>109.18</v>
      </c>
      <c r="D65" s="88">
        <f>IFERROR(__xludf.DUMMYFUNCTION("""COMPUTED_VALUE"""),105.83)</f>
        <v>105.83</v>
      </c>
      <c r="E65" s="88">
        <f>IFERROR(__xludf.DUMMYFUNCTION("""COMPUTED_VALUE"""),106.09)</f>
        <v>106.09</v>
      </c>
      <c r="F65" s="88">
        <f>IFERROR(__xludf.DUMMYFUNCTION("""COMPUTED_VALUE"""),6.2753093E7)</f>
        <v>62753093</v>
      </c>
      <c r="G65" s="88">
        <f>IFERROR(__xludf.DUMMYFUNCTION("""COMPUTED_VALUE"""),99.515717517784)</f>
        <v>99.51571752</v>
      </c>
      <c r="H65" s="88">
        <f>IFERROR(__xludf.DUMMYFUNCTION("""COMPUTED_VALUE"""),99.579562263694)</f>
        <v>99.57956226</v>
      </c>
      <c r="I65" s="88">
        <f>IFERROR(__xludf.DUMMYFUNCTION("""COMPUTED_VALUE"""),96.5241351379991)</f>
        <v>96.52413514</v>
      </c>
      <c r="J65" s="88">
        <f>IFERROR(__xludf.DUMMYFUNCTION("""COMPUTED_VALUE"""),96.761272765665)</f>
        <v>96.76127277</v>
      </c>
      <c r="K65" s="88">
        <f>IFERROR(__xludf.DUMMYFUNCTION("""COMPUTED_VALUE"""),6.2753093E7)</f>
        <v>62753093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IFERROR(__xludf.DUMMYFUNCTION("""COMPUTED_VALUE"""),105.59)</f>
        <v>105.59</v>
      </c>
      <c r="C66">
        <f>IFERROR(__xludf.DUMMYFUNCTION("""COMPUTED_VALUE"""),107.09)</f>
        <v>107.09</v>
      </c>
      <c r="D66" s="88">
        <f>IFERROR(__xludf.DUMMYFUNCTION("""COMPUTED_VALUE"""),105.17)</f>
        <v>105.17</v>
      </c>
      <c r="E66" s="88">
        <f>IFERROR(__xludf.DUMMYFUNCTION("""COMPUTED_VALUE"""),106.24)</f>
        <v>106.24</v>
      </c>
      <c r="F66" s="88">
        <f>IFERROR(__xludf.DUMMYFUNCTION("""COMPUTED_VALUE"""),4.5023197E7)</f>
        <v>45023197</v>
      </c>
      <c r="G66" s="88">
        <f>IFERROR(__xludf.DUMMYFUNCTION("""COMPUTED_VALUE"""),96.3052388663075)</f>
        <v>96.30523887</v>
      </c>
      <c r="H66" s="88">
        <f>IFERROR(__xludf.DUMMYFUNCTION("""COMPUTED_VALUE"""),97.5228055507424)</f>
        <v>97.52280555</v>
      </c>
      <c r="I66" s="88">
        <f>IFERROR(__xludf.DUMMYFUNCTION("""COMPUTED_VALUE"""),95.7743342961209)</f>
        <v>95.7743343</v>
      </c>
      <c r="J66" s="88">
        <f>IFERROR(__xludf.DUMMYFUNCTION("""COMPUTED_VALUE"""),96.7487427557277)</f>
        <v>96.74874276</v>
      </c>
      <c r="K66" s="88">
        <f>IFERROR(__xludf.DUMMYFUNCTION("""COMPUTED_VALUE"""),4.5023197E7)</f>
        <v>45023197</v>
      </c>
      <c r="L66" s="88">
        <f>IFERROR(__xludf.DUMMYFUNCTION("""COMPUTED_VALUE"""),0.328594)</f>
        <v>0.328594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IFERROR(__xludf.DUMMYFUNCTION("""COMPUTED_VALUE"""),106.4)</f>
        <v>106.4</v>
      </c>
      <c r="C67">
        <f>IFERROR(__xludf.DUMMYFUNCTION("""COMPUTED_VALUE"""),106.7)</f>
        <v>106.7</v>
      </c>
      <c r="D67" s="88">
        <f>IFERROR(__xludf.DUMMYFUNCTION("""COMPUTED_VALUE"""),105.02)</f>
        <v>105.02</v>
      </c>
      <c r="E67" s="88">
        <f>IFERROR(__xludf.DUMMYFUNCTION("""COMPUTED_VALUE"""),106.63)</f>
        <v>106.63</v>
      </c>
      <c r="F67" s="88">
        <f>IFERROR(__xludf.DUMMYFUNCTION("""COMPUTED_VALUE"""),3.8145883E7)</f>
        <v>38145883</v>
      </c>
      <c r="G67" s="88">
        <f>IFERROR(__xludf.DUMMYFUNCTION("""COMPUTED_VALUE"""),96.7449650407007)</f>
        <v>96.74496504</v>
      </c>
      <c r="H67" s="88">
        <f>IFERROR(__xludf.DUMMYFUNCTION("""COMPUTED_VALUE"""),97.0177421977703)</f>
        <v>97.0177422</v>
      </c>
      <c r="I67" s="88">
        <f>IFERROR(__xludf.DUMMYFUNCTION("""COMPUTED_VALUE"""),95.4901901181803)</f>
        <v>95.49019012</v>
      </c>
      <c r="J67" s="88">
        <f>IFERROR(__xludf.DUMMYFUNCTION("""COMPUTED_VALUE"""),96.9540941944541)</f>
        <v>96.95409419</v>
      </c>
      <c r="K67" s="88">
        <f>IFERROR(__xludf.DUMMYFUNCTION("""COMPUTED_VALUE"""),3.8145883E7)</f>
        <v>38145883</v>
      </c>
      <c r="L67" s="88">
        <f>IFERROR(__xludf.DUMMYFUNCTION("""COMPUTED_VALUE"""),0.163008)</f>
        <v>0.163008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IFERROR(__xludf.DUMMYFUNCTION("""COMPUTED_VALUE"""),107.02)</f>
        <v>107.02</v>
      </c>
      <c r="C68">
        <f>IFERROR(__xludf.DUMMYFUNCTION("""COMPUTED_VALUE"""),108.97)</f>
        <v>108.97</v>
      </c>
      <c r="D68" s="88">
        <f>IFERROR(__xludf.DUMMYFUNCTION("""COMPUTED_VALUE"""),106.79)</f>
        <v>106.79</v>
      </c>
      <c r="E68" s="88">
        <f>IFERROR(__xludf.DUMMYFUNCTION("""COMPUTED_VALUE"""),107.9)</f>
        <v>107.9</v>
      </c>
      <c r="F68" s="88">
        <f>IFERROR(__xludf.DUMMYFUNCTION("""COMPUTED_VALUE"""),5.7194882E7)</f>
        <v>57194882</v>
      </c>
      <c r="G68" s="88">
        <f>IFERROR(__xludf.DUMMYFUNCTION("""COMPUTED_VALUE"""),97.1600619142006)</f>
        <v>97.16006191</v>
      </c>
      <c r="H68" s="88">
        <f>IFERROR(__xludf.DUMMYFUNCTION("""COMPUTED_VALUE"""),98.9304050344836)</f>
        <v>98.93040503</v>
      </c>
      <c r="I68" s="88">
        <f>IFERROR(__xludf.DUMMYFUNCTION("""COMPUTED_VALUE"""),96.9512522128339)</f>
        <v>96.95125221</v>
      </c>
      <c r="J68" s="88">
        <f>IFERROR(__xludf.DUMMYFUNCTION("""COMPUTED_VALUE"""),97.958985988995)</f>
        <v>97.95898599</v>
      </c>
      <c r="K68" s="88">
        <f>IFERROR(__xludf.DUMMYFUNCTION("""COMPUTED_VALUE"""),5.7194882E7)</f>
        <v>57194882</v>
      </c>
      <c r="L68" s="88">
        <f>IFERROR(__xludf.DUMMYFUNCTION("""COMPUTED_VALUE"""),0.1643)</f>
        <v>0.1643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IFERROR(__xludf.DUMMYFUNCTION("""COMPUTED_VALUE"""),107.87)</f>
        <v>107.87</v>
      </c>
      <c r="C69">
        <f>IFERROR(__xludf.DUMMYFUNCTION("""COMPUTED_VALUE"""),107.93)</f>
        <v>107.93</v>
      </c>
      <c r="D69" s="88">
        <f>IFERROR(__xludf.DUMMYFUNCTION("""COMPUTED_VALUE"""),105.7)</f>
        <v>105.7</v>
      </c>
      <c r="E69" s="88">
        <f>IFERROR(__xludf.DUMMYFUNCTION("""COMPUTED_VALUE"""),106.49)</f>
        <v>106.49</v>
      </c>
      <c r="F69" s="88">
        <f>IFERROR(__xludf.DUMMYFUNCTION("""COMPUTED_VALUE"""),3.8000867E7)</f>
        <v>38000867</v>
      </c>
      <c r="G69" s="88">
        <f>IFERROR(__xludf.DUMMYFUNCTION("""COMPUTED_VALUE"""),97.7827036638594)</f>
        <v>97.78270366</v>
      </c>
      <c r="H69" s="88">
        <f>IFERROR(__xludf.DUMMYFUNCTION("""COMPUTED_VALUE"""),97.8370928565899)</f>
        <v>97.83709286</v>
      </c>
      <c r="I69" s="88">
        <f>IFERROR(__xludf.DUMMYFUNCTION("""COMPUTED_VALUE"""),95.8156278601088)</f>
        <v>95.81562786</v>
      </c>
      <c r="J69" s="88">
        <f>IFERROR(__xludf.DUMMYFUNCTION("""COMPUTED_VALUE"""),96.5317522310595)</f>
        <v>96.53175223</v>
      </c>
      <c r="K69" s="88">
        <f>IFERROR(__xludf.DUMMYFUNCTION("""COMPUTED_VALUE"""),3.8000867E7)</f>
        <v>38000867</v>
      </c>
      <c r="L69" s="88">
        <f>IFERROR(__xludf.DUMMYFUNCTION("""COMPUTED_VALUE"""),0.167105)</f>
        <v>0.167105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IFERROR(__xludf.DUMMYFUNCTION("""COMPUTED_VALUE"""),106.36)</f>
        <v>106.36</v>
      </c>
      <c r="C70">
        <f>IFERROR(__xludf.DUMMYFUNCTION("""COMPUTED_VALUE"""),108.76)</f>
        <v>108.76</v>
      </c>
      <c r="D70" s="88">
        <f>IFERROR(__xludf.DUMMYFUNCTION("""COMPUTED_VALUE"""),105.49)</f>
        <v>105.49</v>
      </c>
      <c r="E70" s="88">
        <f>IFERROR(__xludf.DUMMYFUNCTION("""COMPUTED_VALUE"""),106.3)</f>
        <v>106.3</v>
      </c>
      <c r="F70" s="88">
        <f>IFERROR(__xludf.DUMMYFUNCTION("""COMPUTED_VALUE"""),4.0058498E7)</f>
        <v>40058498</v>
      </c>
      <c r="G70" s="88">
        <f>IFERROR(__xludf.DUMMYFUNCTION("""COMPUTED_VALUE"""),96.2631070068017)</f>
        <v>96.26310701</v>
      </c>
      <c r="H70" s="88">
        <f>IFERROR(__xludf.DUMMYFUNCTION("""COMPUTED_VALUE"""),98.4352718884896)</f>
        <v>98.43527189</v>
      </c>
      <c r="I70" s="88">
        <f>IFERROR(__xludf.DUMMYFUNCTION("""COMPUTED_VALUE"""),95.4756972371899)</f>
        <v>95.47569724</v>
      </c>
      <c r="J70" s="88">
        <f>IFERROR(__xludf.DUMMYFUNCTION("""COMPUTED_VALUE"""),96.2088028847595)</f>
        <v>96.20880288</v>
      </c>
      <c r="K70" s="88">
        <f>IFERROR(__xludf.DUMMYFUNCTION("""COMPUTED_VALUE"""),4.0058498E7)</f>
        <v>40058498</v>
      </c>
      <c r="L70" s="88">
        <f>IFERROR(__xludf.DUMMYFUNCTION("""COMPUTED_VALUE"""),0.164209)</f>
        <v>0.164209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IFERROR(__xludf.DUMMYFUNCTION("""COMPUTED_VALUE"""),106.44)</f>
        <v>106.44</v>
      </c>
      <c r="C71">
        <f>IFERROR(__xludf.DUMMYFUNCTION("""COMPUTED_VALUE"""),106.52)</f>
        <v>106.52</v>
      </c>
      <c r="D71" s="88">
        <f>IFERROR(__xludf.DUMMYFUNCTION("""COMPUTED_VALUE"""),104.15)</f>
        <v>104.15</v>
      </c>
      <c r="E71" s="88">
        <f>IFERROR(__xludf.DUMMYFUNCTION("""COMPUTED_VALUE"""),104.4)</f>
        <v>104.4</v>
      </c>
      <c r="F71" s="88">
        <f>IFERROR(__xludf.DUMMYFUNCTION("""COMPUTED_VALUE"""),3.7671986E7)</f>
        <v>37671986</v>
      </c>
      <c r="G71" s="88">
        <f>IFERROR(__xludf.DUMMYFUNCTION("""COMPUTED_VALUE"""),96.1873433896247)</f>
        <v>96.18734339</v>
      </c>
      <c r="H71" s="88">
        <f>IFERROR(__xludf.DUMMYFUNCTION("""COMPUTED_VALUE"""),96.2596375221987)</f>
        <v>96.25963752</v>
      </c>
      <c r="I71" s="88">
        <f>IFERROR(__xludf.DUMMYFUNCTION("""COMPUTED_VALUE"""),94.1179238446957)</f>
        <v>94.11792384</v>
      </c>
      <c r="J71" s="88">
        <f>IFERROR(__xludf.DUMMYFUNCTION("""COMPUTED_VALUE"""),94.3438430089893)</f>
        <v>94.34384301</v>
      </c>
      <c r="K71" s="88">
        <f>IFERROR(__xludf.DUMMYFUNCTION("""COMPUTED_VALUE"""),3.7671986E7)</f>
        <v>37671986</v>
      </c>
      <c r="L71" s="88">
        <f>IFERROR(__xludf.DUMMYFUNCTION("""COMPUTED_VALUE"""),0.162466)</f>
        <v>0.162466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IFERROR(__xludf.DUMMYFUNCTION("""COMPUTED_VALUE"""),105.01)</f>
        <v>105.01</v>
      </c>
      <c r="C72">
        <f>IFERROR(__xludf.DUMMYFUNCTION("""COMPUTED_VALUE"""),106.81)</f>
        <v>106.81</v>
      </c>
      <c r="D72" s="88">
        <f>IFERROR(__xludf.DUMMYFUNCTION("""COMPUTED_VALUE"""),103.76)</f>
        <v>103.76</v>
      </c>
      <c r="E72" s="88">
        <f>IFERROR(__xludf.DUMMYFUNCTION("""COMPUTED_VALUE"""),106.73)</f>
        <v>106.73</v>
      </c>
      <c r="F72" s="88">
        <f>IFERROR(__xludf.DUMMYFUNCTION("""COMPUTED_VALUE"""),3.1650546E7)</f>
        <v>31650546</v>
      </c>
      <c r="G72" s="88">
        <f>IFERROR(__xludf.DUMMYFUNCTION("""COMPUTED_VALUE"""),94.747499506636)</f>
        <v>94.74749951</v>
      </c>
      <c r="H72" s="88">
        <f>IFERROR(__xludf.DUMMYFUNCTION("""COMPUTED_VALUE"""),96.371587680257)</f>
        <v>96.37158768</v>
      </c>
      <c r="I72" s="88">
        <f>IFERROR(__xludf.DUMMYFUNCTION("""COMPUTED_VALUE"""),93.619660497177)</f>
        <v>93.6196605</v>
      </c>
      <c r="J72" s="88">
        <f>IFERROR(__xludf.DUMMYFUNCTION("""COMPUTED_VALUE"""),96.2994059836517)</f>
        <v>96.29940598</v>
      </c>
      <c r="K72" s="88">
        <f>IFERROR(__xludf.DUMMYFUNCTION("""COMPUTED_VALUE"""),3.1650546E7)</f>
        <v>31650546</v>
      </c>
      <c r="L72" s="88">
        <f>IFERROR(__xludf.DUMMYFUNCTION("""COMPUTED_VALUE"""),0.169088)</f>
        <v>0.169088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IFERROR(__xludf.DUMMYFUNCTION("""COMPUTED_VALUE"""),106.92)</f>
        <v>106.92</v>
      </c>
      <c r="C73">
        <f>IFERROR(__xludf.DUMMYFUNCTION("""COMPUTED_VALUE"""),107.19)</f>
        <v>107.19</v>
      </c>
      <c r="D73" s="88">
        <f>IFERROR(__xludf.DUMMYFUNCTION("""COMPUTED_VALUE"""),105.4)</f>
        <v>105.4</v>
      </c>
      <c r="E73" s="88">
        <f>IFERROR(__xludf.DUMMYFUNCTION("""COMPUTED_VALUE"""),107.05)</f>
        <v>107.05</v>
      </c>
      <c r="F73" s="88">
        <f>IFERROR(__xludf.DUMMYFUNCTION("""COMPUTED_VALUE"""),2.7916404E7)</f>
        <v>27916404</v>
      </c>
      <c r="G73" s="88">
        <f>IFERROR(__xludf.DUMMYFUNCTION("""COMPUTED_VALUE"""),96.3175993662918)</f>
        <v>96.31759937</v>
      </c>
      <c r="H73" s="88">
        <f>IFERROR(__xludf.DUMMYFUNCTION("""COMPUTED_VALUE"""),96.5608256273178)</f>
        <v>96.56082563</v>
      </c>
      <c r="I73" s="88">
        <f>IFERROR(__xludf.DUMMYFUNCTION("""COMPUTED_VALUE"""),94.9483256005159)</f>
        <v>94.9483256</v>
      </c>
      <c r="J73" s="88">
        <f>IFERROR(__xludf.DUMMYFUNCTION("""COMPUTED_VALUE"""),96.4347083067858)</f>
        <v>96.43470831</v>
      </c>
      <c r="K73" s="88">
        <f>IFERROR(__xludf.DUMMYFUNCTION("""COMPUTED_VALUE"""),2.7916404E7)</f>
        <v>27916404</v>
      </c>
      <c r="L73" s="88">
        <f>IFERROR(__xludf.DUMMYFUNCTION("""COMPUTED_VALUE"""),0.163235)</f>
        <v>0.163235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IFERROR(__xludf.DUMMYFUNCTION("""COMPUTED_VALUE"""),107.53)</f>
        <v>107.53</v>
      </c>
      <c r="C74">
        <f>IFERROR(__xludf.DUMMYFUNCTION("""COMPUTED_VALUE"""),109.12)</f>
        <v>109.12</v>
      </c>
      <c r="D74" s="88">
        <f>IFERROR(__xludf.DUMMYFUNCTION("""COMPUTED_VALUE"""),106.96)</f>
        <v>106.96</v>
      </c>
      <c r="E74" s="88">
        <f>IFERROR(__xludf.DUMMYFUNCTION("""COMPUTED_VALUE"""),108.55)</f>
        <v>108.55</v>
      </c>
      <c r="F74" s="88">
        <f>IFERROR(__xludf.DUMMYFUNCTION("""COMPUTED_VALUE"""),2.2944077E7)</f>
        <v>22944077</v>
      </c>
      <c r="G74" s="88">
        <f>IFERROR(__xludf.DUMMYFUNCTION("""COMPUTED_VALUE"""),96.7192554478136)</f>
        <v>96.71925545</v>
      </c>
      <c r="H74" s="88">
        <f>IFERROR(__xludf.DUMMYFUNCTION("""COMPUTED_VALUE"""),98.1494016038819)</f>
        <v>98.1494016</v>
      </c>
      <c r="I74" s="88">
        <f>IFERROR(__xludf.DUMMYFUNCTION("""COMPUTED_VALUE"""),96.2065615428079)</f>
        <v>96.20656154</v>
      </c>
      <c r="J74" s="88">
        <f>IFERROR(__xludf.DUMMYFUNCTION("""COMPUTED_VALUE"""),97.6367076988762)</f>
        <v>97.6367077</v>
      </c>
      <c r="K74" s="88">
        <f>IFERROR(__xludf.DUMMYFUNCTION("""COMPUTED_VALUE"""),2.2944077E7)</f>
        <v>22944077</v>
      </c>
      <c r="L74" s="88">
        <f>IFERROR(__xludf.DUMMYFUNCTION("""COMPUTED_VALUE"""),0.174827)</f>
        <v>0.174827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IFERROR(__xludf.DUMMYFUNCTION("""COMPUTED_VALUE"""),108.39)</f>
        <v>108.39</v>
      </c>
      <c r="C75">
        <f>IFERROR(__xludf.DUMMYFUNCTION("""COMPUTED_VALUE"""),108.84)</f>
        <v>108.84</v>
      </c>
      <c r="D75" s="88">
        <f>IFERROR(__xludf.DUMMYFUNCTION("""COMPUTED_VALUE"""),105.44)</f>
        <v>105.44</v>
      </c>
      <c r="E75" s="88">
        <f>IFERROR(__xludf.DUMMYFUNCTION("""COMPUTED_VALUE"""),107.38)</f>
        <v>107.38</v>
      </c>
      <c r="F75" s="88">
        <f>IFERROR(__xludf.DUMMYFUNCTION("""COMPUTED_VALUE"""),3.8337726E7)</f>
        <v>38337726</v>
      </c>
      <c r="G75" s="88">
        <f>IFERROR(__xludf.DUMMYFUNCTION("""COMPUTED_VALUE"""),97.3362865755514)</f>
        <v>97.33628658</v>
      </c>
      <c r="H75" s="88">
        <f>IFERROR(__xludf.DUMMYFUNCTION("""COMPUTED_VALUE"""),97.7403951553004)</f>
        <v>97.74039516</v>
      </c>
      <c r="I75" s="88">
        <f>IFERROR(__xludf.DUMMYFUNCTION("""COMPUTED_VALUE"""),94.6871303305299)</f>
        <v>94.68713033</v>
      </c>
      <c r="J75" s="88">
        <f>IFERROR(__xludf.DUMMYFUNCTION("""COMPUTED_VALUE"""),96.4292873187813)</f>
        <v>96.42928732</v>
      </c>
      <c r="K75" s="88">
        <f>IFERROR(__xludf.DUMMYFUNCTION("""COMPUTED_VALUE"""),3.8337726E7)</f>
        <v>38337726</v>
      </c>
      <c r="L75" s="88">
        <f>IFERROR(__xludf.DUMMYFUNCTION("""COMPUTED_VALUE"""),0.170064)</f>
        <v>0.170064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IFERROR(__xludf.DUMMYFUNCTION("""COMPUTED_VALUE"""),107.64)</f>
        <v>107.64</v>
      </c>
      <c r="C76">
        <f>IFERROR(__xludf.DUMMYFUNCTION("""COMPUTED_VALUE"""),110.4)</f>
        <v>110.4</v>
      </c>
      <c r="D76" s="88">
        <f>IFERROR(__xludf.DUMMYFUNCTION("""COMPUTED_VALUE"""),106.25)</f>
        <v>106.25</v>
      </c>
      <c r="E76" s="88">
        <f>IFERROR(__xludf.DUMMYFUNCTION("""COMPUTED_VALUE"""),109.95)</f>
        <v>109.95</v>
      </c>
      <c r="F76" s="88">
        <f>IFERROR(__xludf.DUMMYFUNCTION("""COMPUTED_VALUE"""),4.5442187E7)</f>
        <v>45442187</v>
      </c>
      <c r="G76" s="88">
        <f>IFERROR(__xludf.DUMMYFUNCTION("""COMPUTED_VALUE"""),96.5089081065852)</f>
        <v>96.50890811</v>
      </c>
      <c r="H76" s="88">
        <f>IFERROR(__xludf.DUMMYFUNCTION("""COMPUTED_VALUE"""),98.9834954939336)</f>
        <v>98.98349549</v>
      </c>
      <c r="I76" s="88">
        <f>IFERROR(__xludf.DUMMYFUNCTION("""COMPUTED_VALUE"""),95.2626485165801)</f>
        <v>95.26264852</v>
      </c>
      <c r="J76" s="88">
        <f>IFERROR(__xludf.DUMMYFUNCTION("""COMPUTED_VALUE"""),98.5800301590398)</f>
        <v>98.58003016</v>
      </c>
      <c r="K76" s="88">
        <f>IFERROR(__xludf.DUMMYFUNCTION("""COMPUTED_VALUE"""),4.5442187E7)</f>
        <v>45442187</v>
      </c>
      <c r="L76" s="88">
        <f>IFERROR(__xludf.DUMMYFUNCTION("""COMPUTED_VALUE"""),0.181933)</f>
        <v>0.181933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IFERROR(__xludf.DUMMYFUNCTION("""COMPUTED_VALUE"""),110.55)</f>
        <v>110.55</v>
      </c>
      <c r="C77">
        <f>IFERROR(__xludf.DUMMYFUNCTION("""COMPUTED_VALUE"""),110.59)</f>
        <v>110.59</v>
      </c>
      <c r="D77" s="88">
        <f>IFERROR(__xludf.DUMMYFUNCTION("""COMPUTED_VALUE"""),106.06)</f>
        <v>106.06</v>
      </c>
      <c r="E77" s="88">
        <f>IFERROR(__xludf.DUMMYFUNCTION("""COMPUTED_VALUE"""),106.09)</f>
        <v>106.09</v>
      </c>
      <c r="F77" s="88">
        <f>IFERROR(__xludf.DUMMYFUNCTION("""COMPUTED_VALUE"""),3.3718575E7)</f>
        <v>33718575</v>
      </c>
      <c r="G77" s="88">
        <f>IFERROR(__xludf.DUMMYFUNCTION("""COMPUTED_VALUE"""),98.9546607211807)</f>
        <v>98.95466072</v>
      </c>
      <c r="H77" s="88">
        <f>IFERROR(__xludf.DUMMYFUNCTION("""COMPUTED_VALUE"""),98.9904652117176)</f>
        <v>98.99046521</v>
      </c>
      <c r="I77" s="88">
        <f>IFERROR(__xludf.DUMMYFUNCTION("""COMPUTED_VALUE"""),94.9356066584209)</f>
        <v>94.93560666</v>
      </c>
      <c r="J77" s="88">
        <f>IFERROR(__xludf.DUMMYFUNCTION("""COMPUTED_VALUE"""),94.9624600263235)</f>
        <v>94.96246003</v>
      </c>
      <c r="K77" s="88">
        <f>IFERROR(__xludf.DUMMYFUNCTION("""COMPUTED_VALUE"""),3.3718575E7)</f>
        <v>33718575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IFERROR(__xludf.DUMMYFUNCTION("""COMPUTED_VALUE"""),105.99)</f>
        <v>105.99</v>
      </c>
      <c r="C78">
        <f>IFERROR(__xludf.DUMMYFUNCTION("""COMPUTED_VALUE"""),107.28)</f>
        <v>107.28</v>
      </c>
      <c r="D78" s="88">
        <f>IFERROR(__xludf.DUMMYFUNCTION("""COMPUTED_VALUE"""),104.93)</f>
        <v>104.93</v>
      </c>
      <c r="E78" s="88">
        <f>IFERROR(__xludf.DUMMYFUNCTION("""COMPUTED_VALUE"""),106.31)</f>
        <v>106.31</v>
      </c>
      <c r="F78" s="88">
        <f>IFERROR(__xludf.DUMMYFUNCTION("""COMPUTED_VALUE"""),6.0668646E7)</f>
        <v>60668646</v>
      </c>
      <c r="G78" s="88">
        <f>IFERROR(__xludf.DUMMYFUNCTION("""COMPUTED_VALUE"""),94.8729487999814)</f>
        <v>94.8729488</v>
      </c>
      <c r="H78" s="88">
        <f>IFERROR(__xludf.DUMMYFUNCTION("""COMPUTED_VALUE"""),95.8859383239212)</f>
        <v>95.88593832</v>
      </c>
      <c r="I78" s="88">
        <f>IFERROR(__xludf.DUMMYFUNCTION("""COMPUTED_VALUE"""),93.7855286011283)</f>
        <v>93.7855286</v>
      </c>
      <c r="J78" s="88">
        <f>IFERROR(__xludf.DUMMYFUNCTION("""COMPUTED_VALUE"""),95.018960693662)</f>
        <v>95.01896069</v>
      </c>
      <c r="K78" s="88">
        <f>IFERROR(__xludf.DUMMYFUNCTION("""COMPUTED_VALUE"""),6.0668646E7)</f>
        <v>60668646</v>
      </c>
      <c r="L78" s="88">
        <f>IFERROR(__xludf.DUMMYFUNCTION("""COMPUTED_VALUE"""),0.335527)</f>
        <v>0.335527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IFERROR(__xludf.DUMMYFUNCTION("""COMPUTED_VALUE"""),106.19)</f>
        <v>106.19</v>
      </c>
      <c r="C79">
        <f>IFERROR(__xludf.DUMMYFUNCTION("""COMPUTED_VALUE"""),106.2)</f>
        <v>106.2</v>
      </c>
      <c r="D79" s="88">
        <f>IFERROR(__xludf.DUMMYFUNCTION("""COMPUTED_VALUE"""),104.45)</f>
        <v>104.45</v>
      </c>
      <c r="E79" s="88">
        <f>IFERROR(__xludf.DUMMYFUNCTION("""COMPUTED_VALUE"""),104.7)</f>
        <v>104.7</v>
      </c>
      <c r="F79" s="88">
        <f>IFERROR(__xludf.DUMMYFUNCTION("""COMPUTED_VALUE"""),3.3155327E7)</f>
        <v>33155327</v>
      </c>
      <c r="G79" s="88">
        <f>IFERROR(__xludf.DUMMYFUNCTION("""COMPUTED_VALUE"""),94.7504436100181)</f>
        <v>94.75044361</v>
      </c>
      <c r="H79" s="88">
        <f>IFERROR(__xludf.DUMMYFUNCTION("""COMPUTED_VALUE"""),94.7593663375452)</f>
        <v>94.75936634</v>
      </c>
      <c r="I79" s="88">
        <f>IFERROR(__xludf.DUMMYFUNCTION("""COMPUTED_VALUE"""),93.1978890203069)</f>
        <v>93.19788902</v>
      </c>
      <c r="J79" s="88">
        <f>IFERROR(__xludf.DUMMYFUNCTION("""COMPUTED_VALUE"""),93.4209572084838)</f>
        <v>93.42095721</v>
      </c>
      <c r="K79" s="88">
        <f>IFERROR(__xludf.DUMMYFUNCTION("""COMPUTED_VALUE"""),3.3155327E7)</f>
        <v>33155327</v>
      </c>
      <c r="L79" s="88">
        <f>IFERROR(__xludf.DUMMYFUNCTION("""COMPUTED_VALUE"""),0.18052)</f>
        <v>0.18052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IFERROR(__xludf.DUMMYFUNCTION("""COMPUTED_VALUE"""),105.02)</f>
        <v>105.02</v>
      </c>
      <c r="C80">
        <f>IFERROR(__xludf.DUMMYFUNCTION("""COMPUTED_VALUE"""),108.8818)</f>
        <v>108.8818</v>
      </c>
      <c r="D80" s="88">
        <f>IFERROR(__xludf.DUMMYFUNCTION("""COMPUTED_VALUE"""),103.61)</f>
        <v>103.61</v>
      </c>
      <c r="E80" s="88">
        <f>IFERROR(__xludf.DUMMYFUNCTION("""COMPUTED_VALUE"""),103.84)</f>
        <v>103.84</v>
      </c>
      <c r="F80" s="88">
        <f>IFERROR(__xludf.DUMMYFUNCTION("""COMPUTED_VALUE"""),4.2984069E7)</f>
        <v>42984069</v>
      </c>
      <c r="G80" s="88">
        <f>IFERROR(__xludf.DUMMYFUNCTION("""COMPUTED_VALUE"""),93.5453508373163)</f>
        <v>93.54535084</v>
      </c>
      <c r="H80" s="88">
        <f>IFERROR(__xludf.DUMMYFUNCTION("""COMPUTED_VALUE"""),96.9852045400734)</f>
        <v>96.98520454</v>
      </c>
      <c r="I80" s="88">
        <f>IFERROR(__xludf.DUMMYFUNCTION("""COMPUTED_VALUE"""),92.2894096386816)</f>
        <v>92.28940964</v>
      </c>
      <c r="J80" s="88">
        <f>IFERROR(__xludf.DUMMYFUNCTION("""COMPUTED_VALUE"""),92.4942794795937)</f>
        <v>92.49427948</v>
      </c>
      <c r="K80" s="88">
        <f>IFERROR(__xludf.DUMMYFUNCTION("""COMPUTED_VALUE"""),4.2984069E7)</f>
        <v>42984069</v>
      </c>
      <c r="L80" s="88">
        <f>IFERROR(__xludf.DUMMYFUNCTION("""COMPUTED_VALUE"""),0.188931)</f>
        <v>0.188931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IFERROR(__xludf.DUMMYFUNCTION("""COMPUTED_VALUE"""),103.62)</f>
        <v>103.62</v>
      </c>
      <c r="C81">
        <f>IFERROR(__xludf.DUMMYFUNCTION("""COMPUTED_VALUE"""),104.31)</f>
        <v>104.31</v>
      </c>
      <c r="D81" s="88">
        <f>IFERROR(__xludf.DUMMYFUNCTION("""COMPUTED_VALUE"""),102.45)</f>
        <v>102.45</v>
      </c>
      <c r="E81" s="88">
        <f>IFERROR(__xludf.DUMMYFUNCTION("""COMPUTED_VALUE"""),104.3)</f>
        <v>104.3</v>
      </c>
      <c r="F81" s="88">
        <f>IFERROR(__xludf.DUMMYFUNCTION("""COMPUTED_VALUE"""),5.2921794E7)</f>
        <v>52921794</v>
      </c>
      <c r="G81" s="88">
        <f>IFERROR(__xludf.DUMMYFUNCTION("""COMPUTED_VALUE"""),92.1314284046614)</f>
        <v>92.1314284</v>
      </c>
      <c r="H81" s="88">
        <f>IFERROR(__xludf.DUMMYFUNCTION("""COMPUTED_VALUE"""),92.7449266250747)</f>
        <v>92.74492663</v>
      </c>
      <c r="I81" s="88">
        <f>IFERROR(__xludf.DUMMYFUNCTION("""COMPUTED_VALUE"""),91.091148813526)</f>
        <v>91.09114881</v>
      </c>
      <c r="J81" s="88">
        <f>IFERROR(__xludf.DUMMYFUNCTION("""COMPUTED_VALUE"""),92.7360353465179)</f>
        <v>92.73603535</v>
      </c>
      <c r="K81" s="88">
        <f>IFERROR(__xludf.DUMMYFUNCTION("""COMPUTED_VALUE"""),5.2921794E7)</f>
        <v>52921794</v>
      </c>
      <c r="L81" s="88">
        <f>IFERROR(__xludf.DUMMYFUNCTION("""COMPUTED_VALUE"""),0.180951)</f>
        <v>0.180951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IFERROR(__xludf.DUMMYFUNCTION("""COMPUTED_VALUE"""),104.9)</f>
        <v>104.9</v>
      </c>
      <c r="C82">
        <f>IFERROR(__xludf.DUMMYFUNCTION("""COMPUTED_VALUE"""),105.23)</f>
        <v>105.23</v>
      </c>
      <c r="D82" s="88">
        <f>IFERROR(__xludf.DUMMYFUNCTION("""COMPUTED_VALUE"""),103.05)</f>
        <v>103.05</v>
      </c>
      <c r="E82" s="88">
        <f>IFERROR(__xludf.DUMMYFUNCTION("""COMPUTED_VALUE"""),103.27)</f>
        <v>103.27</v>
      </c>
      <c r="F82" s="88">
        <f>IFERROR(__xludf.DUMMYFUNCTION("""COMPUTED_VALUE"""),3.5692144E7)</f>
        <v>35692144</v>
      </c>
      <c r="G82" s="88">
        <f>IFERROR(__xludf.DUMMYFUNCTION("""COMPUTED_VALUE"""),93.1075907561733)</f>
        <v>93.10759076</v>
      </c>
      <c r="H82" s="88">
        <f>IFERROR(__xludf.DUMMYFUNCTION("""COMPUTED_VALUE"""),93.4004935678943)</f>
        <v>93.40049357</v>
      </c>
      <c r="I82" s="88">
        <f>IFERROR(__xludf.DUMMYFUNCTION("""COMPUTED_VALUE"""),91.4655598419796)</f>
        <v>91.46555984</v>
      </c>
      <c r="J82" s="88">
        <f>IFERROR(__xludf.DUMMYFUNCTION("""COMPUTED_VALUE"""),91.6608283831269)</f>
        <v>91.66082838</v>
      </c>
      <c r="K82" s="88">
        <f>IFERROR(__xludf.DUMMYFUNCTION("""COMPUTED_VALUE"""),3.5692144E7)</f>
        <v>35692144</v>
      </c>
      <c r="L82" s="88">
        <f>IFERROR(__xludf.DUMMYFUNCTION("""COMPUTED_VALUE"""),0.195573)</f>
        <v>0.195573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IFERROR(__xludf.DUMMYFUNCTION("""COMPUTED_VALUE"""),103.16)</f>
        <v>103.16</v>
      </c>
      <c r="C83">
        <f>IFERROR(__xludf.DUMMYFUNCTION("""COMPUTED_VALUE"""),104.05)</f>
        <v>104.05</v>
      </c>
      <c r="D83" s="88">
        <f>IFERROR(__xludf.DUMMYFUNCTION("""COMPUTED_VALUE"""),102.2)</f>
        <v>102.2</v>
      </c>
      <c r="E83" s="88">
        <f>IFERROR(__xludf.DUMMYFUNCTION("""COMPUTED_VALUE"""),103.14)</f>
        <v>103.14</v>
      </c>
      <c r="F83" s="88">
        <f>IFERROR(__xludf.DUMMYFUNCTION("""COMPUTED_VALUE"""),5.0969789E7)</f>
        <v>50969789</v>
      </c>
      <c r="G83" s="88">
        <f>IFERROR(__xludf.DUMMYFUNCTION("""COMPUTED_VALUE"""),91.3906196445052)</f>
        <v>91.39061964</v>
      </c>
      <c r="H83" s="88">
        <f>IFERROR(__xludf.DUMMYFUNCTION("""COMPUTED_VALUE"""),92.1790807872312)</f>
        <v>92.17908079</v>
      </c>
      <c r="I83" s="88">
        <f>IFERROR(__xludf.DUMMYFUNCTION("""COMPUTED_VALUE"""),90.5401447040368)</f>
        <v>90.5401447</v>
      </c>
      <c r="J83" s="88">
        <f>IFERROR(__xludf.DUMMYFUNCTION("""COMPUTED_VALUE"""),91.3729014165788)</f>
        <v>91.37290142</v>
      </c>
      <c r="K83" s="88">
        <f>IFERROR(__xludf.DUMMYFUNCTION("""COMPUTED_VALUE"""),5.0969789E7)</f>
        <v>50969789</v>
      </c>
      <c r="L83" s="88">
        <f>IFERROR(__xludf.DUMMYFUNCTION("""COMPUTED_VALUE"""),0.192136)</f>
        <v>0.192136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IFERROR(__xludf.DUMMYFUNCTION("""COMPUTED_VALUE"""),103.58)</f>
        <v>103.58</v>
      </c>
      <c r="C84">
        <f>IFERROR(__xludf.DUMMYFUNCTION("""COMPUTED_VALUE"""),103.73)</f>
        <v>103.73</v>
      </c>
      <c r="D84" s="88">
        <f>IFERROR(__xludf.DUMMYFUNCTION("""COMPUTED_VALUE"""),102.36)</f>
        <v>102.36</v>
      </c>
      <c r="E84" s="88">
        <f>IFERROR(__xludf.DUMMYFUNCTION("""COMPUTED_VALUE"""),103.53)</f>
        <v>103.53</v>
      </c>
      <c r="F84" s="88">
        <f>IFERROR(__xludf.DUMMYFUNCTION("""COMPUTED_VALUE"""),5.5583831E7)</f>
        <v>55583831</v>
      </c>
      <c r="G84" s="88">
        <f>IFERROR(__xludf.DUMMYFUNCTION("""COMPUTED_VALUE"""),91.5919299220083)</f>
        <v>91.59192992</v>
      </c>
      <c r="H84" s="88">
        <f>IFERROR(__xludf.DUMMYFUNCTION("""COMPUTED_VALUE"""),91.7245693262205)</f>
        <v>91.72456933</v>
      </c>
      <c r="I84" s="88">
        <f>IFERROR(__xludf.DUMMYFUNCTION("""COMPUTED_VALUE"""),90.5131294344156)</f>
        <v>90.51312943</v>
      </c>
      <c r="J84" s="88">
        <f>IFERROR(__xludf.DUMMYFUNCTION("""COMPUTED_VALUE"""),91.5477167872709)</f>
        <v>91.54771679</v>
      </c>
      <c r="K84" s="88">
        <f>IFERROR(__xludf.DUMMYFUNCTION("""COMPUTED_VALUE"""),5.5583831E7)</f>
        <v>55583831</v>
      </c>
      <c r="L84" s="88">
        <f>IFERROR(__xludf.DUMMYFUNCTION("""COMPUTED_VALUE"""),0.175425)</f>
        <v>0.175425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IFERROR(__xludf.DUMMYFUNCTION("""COMPUTED_VALUE"""),103.98)</f>
        <v>103.98</v>
      </c>
      <c r="C85">
        <f>IFERROR(__xludf.DUMMYFUNCTION("""COMPUTED_VALUE"""),104.53)</f>
        <v>104.53</v>
      </c>
      <c r="D85" s="88">
        <f>IFERROR(__xludf.DUMMYFUNCTION("""COMPUTED_VALUE"""),102.0)</f>
        <v>102</v>
      </c>
      <c r="E85" s="88">
        <f>IFERROR(__xludf.DUMMYFUNCTION("""COMPUTED_VALUE"""),102.18)</f>
        <v>102.18</v>
      </c>
      <c r="F85" s="88">
        <f>IFERROR(__xludf.DUMMYFUNCTION("""COMPUTED_VALUE"""),7.2131681E7)</f>
        <v>72131681</v>
      </c>
      <c r="G85" s="88">
        <f>IFERROR(__xludf.DUMMYFUNCTION("""COMPUTED_VALUE"""),91.7898019793691)</f>
        <v>91.78980198</v>
      </c>
      <c r="H85" s="88">
        <f>IFERROR(__xludf.DUMMYFUNCTION("""COMPUTED_VALUE"""),92.2753221860305)</f>
        <v>92.27532219</v>
      </c>
      <c r="I85" s="88">
        <f>IFERROR(__xludf.DUMMYFUNCTION("""COMPUTED_VALUE"""),90.0419292353881)</f>
        <v>90.04192924</v>
      </c>
      <c r="J85" s="88">
        <f>IFERROR(__xludf.DUMMYFUNCTION("""COMPUTED_VALUE"""),90.2008267575682)</f>
        <v>90.20082676</v>
      </c>
      <c r="K85" s="88">
        <f>IFERROR(__xludf.DUMMYFUNCTION("""COMPUTED_VALUE"""),7.2131681E7)</f>
        <v>72131681</v>
      </c>
      <c r="L85" s="88">
        <f>IFERROR(__xludf.DUMMYFUNCTION("""COMPUTED_VALUE"""),0.194078)</f>
        <v>0.194078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IFERROR(__xludf.DUMMYFUNCTION("""COMPUTED_VALUE"""),102.31)</f>
        <v>102.31</v>
      </c>
      <c r="C86">
        <f>IFERROR(__xludf.DUMMYFUNCTION("""COMPUTED_VALUE"""),102.74)</f>
        <v>102.74</v>
      </c>
      <c r="D86" s="88">
        <f>IFERROR(__xludf.DUMMYFUNCTION("""COMPUTED_VALUE"""),100.86)</f>
        <v>100.86</v>
      </c>
      <c r="E86" s="88">
        <f>IFERROR(__xludf.DUMMYFUNCTION("""COMPUTED_VALUE"""),101.4)</f>
        <v>101.4</v>
      </c>
      <c r="F86" s="88">
        <f>IFERROR(__xludf.DUMMYFUNCTION("""COMPUTED_VALUE"""),1.8640473E7)</f>
        <v>18640473</v>
      </c>
      <c r="G86" s="88">
        <f>IFERROR(__xludf.DUMMYFUNCTION("""COMPUTED_VALUE"""),90.1447520474284)</f>
        <v>90.14475205</v>
      </c>
      <c r="H86" s="88">
        <f>IFERROR(__xludf.DUMMYFUNCTION("""COMPUTED_VALUE"""),90.5236225721121)</f>
        <v>90.52362257</v>
      </c>
      <c r="I86" s="88">
        <f>IFERROR(__xludf.DUMMYFUNCTION("""COMPUTED_VALUE"""),88.867165394425)</f>
        <v>88.86716539</v>
      </c>
      <c r="J86" s="88">
        <f>IFERROR(__xludf.DUMMYFUNCTION("""COMPUTED_VALUE"""),89.3429562858884)</f>
        <v>89.34295629</v>
      </c>
      <c r="K86" s="88">
        <f>IFERROR(__xludf.DUMMYFUNCTION("""COMPUTED_VALUE"""),1.8640473E7)</f>
        <v>18640473</v>
      </c>
      <c r="L86" s="88">
        <f>IFERROR(__xludf.DUMMYFUNCTION("""COMPUTED_VALUE"""),0.189607)</f>
        <v>0.189607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IFERROR(__xludf.DUMMYFUNCTION("""COMPUTED_VALUE"""),101.73)</f>
        <v>101.73</v>
      </c>
      <c r="C87">
        <f>IFERROR(__xludf.DUMMYFUNCTION("""COMPUTED_VALUE"""),102.83)</f>
        <v>102.83</v>
      </c>
      <c r="D87" s="88">
        <f>IFERROR(__xludf.DUMMYFUNCTION("""COMPUTED_VALUE"""),101.15)</f>
        <v>101.15</v>
      </c>
      <c r="E87" s="88">
        <f>IFERROR(__xludf.DUMMYFUNCTION("""COMPUTED_VALUE"""),102.6)</f>
        <v>102.6</v>
      </c>
      <c r="F87" s="88">
        <f>IFERROR(__xludf.DUMMYFUNCTION("""COMPUTED_VALUE"""),2.3029386E7)</f>
        <v>23029386</v>
      </c>
      <c r="G87" s="88">
        <f>IFERROR(__xludf.DUMMYFUNCTION("""COMPUTED_VALUE"""),89.4663095252761)</f>
        <v>89.46630953</v>
      </c>
      <c r="H87" s="88">
        <f>IFERROR(__xludf.DUMMYFUNCTION("""COMPUTED_VALUE"""),90.4337030225513)</f>
        <v>90.43370302</v>
      </c>
      <c r="I87" s="88">
        <f>IFERROR(__xludf.DUMMYFUNCTION("""COMPUTED_VALUE"""),88.9562293176219)</f>
        <v>88.95622932</v>
      </c>
      <c r="J87" s="88">
        <f>IFERROR(__xludf.DUMMYFUNCTION("""COMPUTED_VALUE"""),90.2314298367574)</f>
        <v>90.23142984</v>
      </c>
      <c r="K87" s="88">
        <f>IFERROR(__xludf.DUMMYFUNCTION("""COMPUTED_VALUE"""),2.3029386E7)</f>
        <v>23029386</v>
      </c>
      <c r="L87" s="88">
        <f>IFERROR(__xludf.DUMMYFUNCTION("""COMPUTED_VALUE"""),0.165796)</f>
        <v>0.165796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IFERROR(__xludf.DUMMYFUNCTION("""COMPUTED_VALUE"""),102.47)</f>
        <v>102.47</v>
      </c>
      <c r="C88">
        <f>IFERROR(__xludf.DUMMYFUNCTION("""COMPUTED_VALUE"""),102.67)</f>
        <v>102.67</v>
      </c>
      <c r="D88" s="88">
        <f>IFERROR(__xludf.DUMMYFUNCTION("""COMPUTED_VALUE"""),101.28)</f>
        <v>101.28</v>
      </c>
      <c r="E88" s="88">
        <f>IFERROR(__xludf.DUMMYFUNCTION("""COMPUTED_VALUE"""),101.96)</f>
        <v>101.96</v>
      </c>
      <c r="F88" s="88">
        <f>IFERROR(__xludf.DUMMYFUNCTION("""COMPUTED_VALUE"""),2.013294E7)</f>
        <v>20132940</v>
      </c>
      <c r="G88" s="88">
        <f>IFERROR(__xludf.DUMMYFUNCTION("""COMPUTED_VALUE"""),89.9720086328883)</f>
        <v>89.97200863</v>
      </c>
      <c r="H88" s="88">
        <f>IFERROR(__xludf.DUMMYFUNCTION("""COMPUTED_VALUE"""),90.1476151687191)</f>
        <v>90.14761517</v>
      </c>
      <c r="I88" s="88">
        <f>IFERROR(__xludf.DUMMYFUNCTION("""COMPUTED_VALUE"""),88.9271497446953)</f>
        <v>88.92714974</v>
      </c>
      <c r="J88" s="88">
        <f>IFERROR(__xludf.DUMMYFUNCTION("""COMPUTED_VALUE"""),89.5242119665199)</f>
        <v>89.52421197</v>
      </c>
      <c r="K88" s="88">
        <f>IFERROR(__xludf.DUMMYFUNCTION("""COMPUTED_VALUE"""),2.013294E7)</f>
        <v>20132940</v>
      </c>
      <c r="L88" s="88">
        <f>IFERROR(__xludf.DUMMYFUNCTION("""COMPUTED_VALUE"""),0.175249)</f>
        <v>0.175249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IFERROR(__xludf.DUMMYFUNCTION("""COMPUTED_VALUE"""),102.28)</f>
        <v>102.28</v>
      </c>
      <c r="C89">
        <f>IFERROR(__xludf.DUMMYFUNCTION("""COMPUTED_VALUE"""),102.28)</f>
        <v>102.28</v>
      </c>
      <c r="D89" s="88">
        <f>IFERROR(__xludf.DUMMYFUNCTION("""COMPUTED_VALUE"""),99.38)</f>
        <v>99.38</v>
      </c>
      <c r="E89" s="88">
        <f>IFERROR(__xludf.DUMMYFUNCTION("""COMPUTED_VALUE"""),99.39)</f>
        <v>99.39</v>
      </c>
      <c r="F89" s="88">
        <f>IFERROR(__xludf.DUMMYFUNCTION("""COMPUTED_VALUE"""),1.9442108E7)</f>
        <v>19442108</v>
      </c>
      <c r="G89" s="88">
        <f>IFERROR(__xludf.DUMMYFUNCTION("""COMPUTED_VALUE"""),89.6521389045535)</f>
        <v>89.6521389</v>
      </c>
      <c r="H89" s="88">
        <f>IFERROR(__xludf.DUMMYFUNCTION("""COMPUTED_VALUE"""),89.6521389045535)</f>
        <v>89.6521389</v>
      </c>
      <c r="I89" s="88">
        <f>IFERROR(__xludf.DUMMYFUNCTION("""COMPUTED_VALUE"""),87.1101834604471)</f>
        <v>87.11018346</v>
      </c>
      <c r="J89" s="88">
        <f>IFERROR(__xludf.DUMMYFUNCTION("""COMPUTED_VALUE"""),87.1189488240475)</f>
        <v>87.11894882</v>
      </c>
      <c r="K89" s="88">
        <f>IFERROR(__xludf.DUMMYFUNCTION("""COMPUTED_VALUE"""),1.9442108E7)</f>
        <v>19442108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IFERROR(__xludf.DUMMYFUNCTION("""COMPUTED_VALUE"""),99.24)</f>
        <v>99.24</v>
      </c>
      <c r="C90">
        <f>IFERROR(__xludf.DUMMYFUNCTION("""COMPUTED_VALUE"""),101.44)</f>
        <v>101.44</v>
      </c>
      <c r="D90" s="88">
        <f>IFERROR(__xludf.DUMMYFUNCTION("""COMPUTED_VALUE"""),99.18)</f>
        <v>99.18</v>
      </c>
      <c r="E90" s="88">
        <f>IFERROR(__xludf.DUMMYFUNCTION("""COMPUTED_VALUE"""),101.3)</f>
        <v>101.3</v>
      </c>
      <c r="F90" s="88">
        <f>IFERROR(__xludf.DUMMYFUNCTION("""COMPUTED_VALUE"""),2.3034448E7)</f>
        <v>23034448</v>
      </c>
      <c r="G90" s="88">
        <f>IFERROR(__xludf.DUMMYFUNCTION("""COMPUTED_VALUE"""),86.9874683700419)</f>
        <v>86.98746837</v>
      </c>
      <c r="H90" s="88">
        <f>IFERROR(__xludf.DUMMYFUNCTION("""COMPUTED_VALUE"""),88.7696808908825)</f>
        <v>88.76968089</v>
      </c>
      <c r="I90" s="88">
        <f>IFERROR(__xludf.DUMMYFUNCTION("""COMPUTED_VALUE"""),86.9348761884397)</f>
        <v>86.93487619</v>
      </c>
      <c r="J90" s="88">
        <f>IFERROR(__xludf.DUMMYFUNCTION("""COMPUTED_VALUE"""),88.6471675300316)</f>
        <v>88.64716753</v>
      </c>
      <c r="K90" s="88">
        <f>IFERROR(__xludf.DUMMYFUNCTION("""COMPUTED_VALUE"""),2.3034448E7)</f>
        <v>23034448</v>
      </c>
      <c r="L90" s="88">
        <f>IFERROR(__xludf.DUMMYFUNCTION("""COMPUTED_VALUE"""),0.32788)</f>
        <v>0.32788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IFERROR(__xludf.DUMMYFUNCTION("""COMPUTED_VALUE"""),101.69)</f>
        <v>101.69</v>
      </c>
      <c r="C91">
        <f>IFERROR(__xludf.DUMMYFUNCTION("""COMPUTED_VALUE"""),102.42)</f>
        <v>102.42</v>
      </c>
      <c r="D91" s="88">
        <f>IFERROR(__xludf.DUMMYFUNCTION("""COMPUTED_VALUE"""),100.96)</f>
        <v>100.96</v>
      </c>
      <c r="E91" s="88">
        <f>IFERROR(__xludf.DUMMYFUNCTION("""COMPUTED_VALUE"""),102.38)</f>
        <v>102.38</v>
      </c>
      <c r="F91" s="88">
        <f>IFERROR(__xludf.DUMMYFUNCTION("""COMPUTED_VALUE"""),1.7380935E7)</f>
        <v>17380935</v>
      </c>
      <c r="G91" s="88">
        <f>IFERROR(__xludf.DUMMYFUNCTION("""COMPUTED_VALUE"""),88.8442535566395)</f>
        <v>88.84425356</v>
      </c>
      <c r="H91" s="88">
        <f>IFERROR(__xludf.DUMMYFUNCTION("""COMPUTED_VALUE"""),89.4820380496708)</f>
        <v>89.48203805</v>
      </c>
      <c r="I91" s="88">
        <f>IFERROR(__xludf.DUMMYFUNCTION("""COMPUTED_VALUE"""),88.2064690636083)</f>
        <v>88.20646906</v>
      </c>
      <c r="J91" s="88">
        <f>IFERROR(__xludf.DUMMYFUNCTION("""COMPUTED_VALUE"""),89.4470909541622)</f>
        <v>89.44709095</v>
      </c>
      <c r="K91" s="88">
        <f>IFERROR(__xludf.DUMMYFUNCTION("""COMPUTED_VALUE"""),1.7380935E7)</f>
        <v>17380935</v>
      </c>
      <c r="L91" s="88">
        <f>IFERROR(__xludf.DUMMYFUNCTION("""COMPUTED_VALUE"""),0.161459)</f>
        <v>0.161459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IFERROR(__xludf.DUMMYFUNCTION("""COMPUTED_VALUE"""),102.75)</f>
        <v>102.75</v>
      </c>
      <c r="C92">
        <f>IFERROR(__xludf.DUMMYFUNCTION("""COMPUTED_VALUE"""),103.4)</f>
        <v>103.4</v>
      </c>
      <c r="D92" s="88">
        <f>IFERROR(__xludf.DUMMYFUNCTION("""COMPUTED_VALUE"""),101.0)</f>
        <v>101</v>
      </c>
      <c r="E92" s="88">
        <f>IFERROR(__xludf.DUMMYFUNCTION("""COMPUTED_VALUE"""),101.85)</f>
        <v>101.85</v>
      </c>
      <c r="F92" s="88">
        <f>IFERROR(__xludf.DUMMYFUNCTION("""COMPUTED_VALUE"""),2.0004568E7)</f>
        <v>20004568</v>
      </c>
      <c r="G92" s="88">
        <f>IFERROR(__xludf.DUMMYFUNCTION("""COMPUTED_VALUE"""),89.6285036306697)</f>
        <v>89.62850363</v>
      </c>
      <c r="H92" s="88">
        <f>IFERROR(__xludf.DUMMYFUNCTION("""COMPUTED_VALUE"""),90.1954965976764)</f>
        <v>90.1954966</v>
      </c>
      <c r="I92" s="88">
        <f>IFERROR(__xludf.DUMMYFUNCTION("""COMPUTED_VALUE"""),88.1019841041133)</f>
        <v>88.1019841</v>
      </c>
      <c r="J92" s="88">
        <f>IFERROR(__xludf.DUMMYFUNCTION("""COMPUTED_VALUE"""),88.8434364455835)</f>
        <v>88.84343645</v>
      </c>
      <c r="K92" s="88">
        <f>IFERROR(__xludf.DUMMYFUNCTION("""COMPUTED_VALUE"""),2.0004568E7)</f>
        <v>20004568</v>
      </c>
      <c r="L92" s="88">
        <f>IFERROR(__xludf.DUMMYFUNCTION("""COMPUTED_VALUE"""),0.153328)</f>
        <v>0.153328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IFERROR(__xludf.DUMMYFUNCTION("""COMPUTED_VALUE"""),102.11)</f>
        <v>102.11</v>
      </c>
      <c r="C93">
        <f>IFERROR(__xludf.DUMMYFUNCTION("""COMPUTED_VALUE"""),102.15)</f>
        <v>102.15</v>
      </c>
      <c r="D93" s="88">
        <f>IFERROR(__xludf.DUMMYFUNCTION("""COMPUTED_VALUE"""),98.6)</f>
        <v>98.6</v>
      </c>
      <c r="E93" s="88">
        <f>IFERROR(__xludf.DUMMYFUNCTION("""COMPUTED_VALUE"""),99.83)</f>
        <v>99.83</v>
      </c>
      <c r="F93" s="88">
        <f>IFERROR(__xludf.DUMMYFUNCTION("""COMPUTED_VALUE"""),2.6361408E7)</f>
        <v>26361408</v>
      </c>
      <c r="G93" s="88">
        <f>IFERROR(__xludf.DUMMYFUNCTION("""COMPUTED_VALUE"""),88.9361885334434)</f>
        <v>88.93618853</v>
      </c>
      <c r="H93" s="88">
        <f>IFERROR(__xludf.DUMMYFUNCTION("""COMPUTED_VALUE"""),88.9710278982591)</f>
        <v>88.9710279</v>
      </c>
      <c r="I93" s="88">
        <f>IFERROR(__xludf.DUMMYFUNCTION("""COMPUTED_VALUE"""),85.87903427086)</f>
        <v>85.87903427</v>
      </c>
      <c r="J93" s="88">
        <f>IFERROR(__xludf.DUMMYFUNCTION("""COMPUTED_VALUE"""),86.9503447389448)</f>
        <v>86.95034474</v>
      </c>
      <c r="K93" s="88">
        <f>IFERROR(__xludf.DUMMYFUNCTION("""COMPUTED_VALUE"""),2.6361408E7)</f>
        <v>26361408</v>
      </c>
      <c r="L93" s="88">
        <f>IFERROR(__xludf.DUMMYFUNCTION("""COMPUTED_VALUE"""),0.15088)</f>
        <v>0.15088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IFERROR(__xludf.DUMMYFUNCTION("""COMPUTED_VALUE"""),100.41)</f>
        <v>100.41</v>
      </c>
      <c r="C94">
        <f>IFERROR(__xludf.DUMMYFUNCTION("""COMPUTED_VALUE"""),102.27)</f>
        <v>102.27</v>
      </c>
      <c r="D94" s="88">
        <f>IFERROR(__xludf.DUMMYFUNCTION("""COMPUTED_VALUE"""),99.33)</f>
        <v>99.33</v>
      </c>
      <c r="E94" s="88">
        <f>IFERROR(__xludf.DUMMYFUNCTION("""COMPUTED_VALUE"""),101.49)</f>
        <v>101.49</v>
      </c>
      <c r="F94" s="88">
        <f>IFERROR(__xludf.DUMMYFUNCTION("""COMPUTED_VALUE"""),3.5294942E7)</f>
        <v>35294942</v>
      </c>
      <c r="G94" s="88">
        <f>IFERROR(__xludf.DUMMYFUNCTION("""COMPUTED_VALUE"""),87.3233523488917)</f>
        <v>87.32335235</v>
      </c>
      <c r="H94" s="88">
        <f>IFERROR(__xludf.DUMMYFUNCTION("""COMPUTED_VALUE"""),88.9409346152889)</f>
        <v>88.94093462</v>
      </c>
      <c r="I94" s="88">
        <f>IFERROR(__xludf.DUMMYFUNCTION("""COMPUTED_VALUE"""),86.3841110329192)</f>
        <v>86.38411103</v>
      </c>
      <c r="J94" s="88">
        <f>IFERROR(__xludf.DUMMYFUNCTION("""COMPUTED_VALUE"""),88.2625936648643)</f>
        <v>88.26259366</v>
      </c>
      <c r="K94" s="88">
        <f>IFERROR(__xludf.DUMMYFUNCTION("""COMPUTED_VALUE"""),3.5294942E7)</f>
        <v>35294942</v>
      </c>
      <c r="L94" s="88">
        <f>IFERROR(__xludf.DUMMYFUNCTION("""COMPUTED_VALUE"""),0.140747)</f>
        <v>0.140747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IFERROR(__xludf.DUMMYFUNCTION("""COMPUTED_VALUE"""),102.0)</f>
        <v>102</v>
      </c>
      <c r="C95">
        <f>IFERROR(__xludf.DUMMYFUNCTION("""COMPUTED_VALUE"""),102.86)</f>
        <v>102.86</v>
      </c>
      <c r="D95" s="88">
        <f>IFERROR(__xludf.DUMMYFUNCTION("""COMPUTED_VALUE"""),100.45)</f>
        <v>100.45</v>
      </c>
      <c r="E95" s="88">
        <f>IFERROR(__xludf.DUMMYFUNCTION("""COMPUTED_VALUE"""),102.21)</f>
        <v>102.21</v>
      </c>
      <c r="F95" s="88">
        <f>IFERROR(__xludf.DUMMYFUNCTION("""COMPUTED_VALUE"""),2.977774E7)</f>
        <v>29777740</v>
      </c>
      <c r="G95" s="88">
        <f>IFERROR(__xludf.DUMMYFUNCTION("""COMPUTED_VALUE"""),88.5826324106628)</f>
        <v>88.58263241</v>
      </c>
      <c r="H95" s="88">
        <f>IFERROR(__xludf.DUMMYFUNCTION("""COMPUTED_VALUE"""),89.3295055858899)</f>
        <v>89.32950559</v>
      </c>
      <c r="I95" s="88">
        <f>IFERROR(__xludf.DUMMYFUNCTION("""COMPUTED_VALUE"""),87.2365237808929)</f>
        <v>87.23652378</v>
      </c>
      <c r="J95" s="88">
        <f>IFERROR(__xludf.DUMMYFUNCTION("""COMPUTED_VALUE"""),88.7650084185671)</f>
        <v>88.76500842</v>
      </c>
      <c r="K95" s="88">
        <f>IFERROR(__xludf.DUMMYFUNCTION("""COMPUTED_VALUE"""),2.977774E7)</f>
        <v>29777740</v>
      </c>
      <c r="L95" s="88">
        <f>IFERROR(__xludf.DUMMYFUNCTION("""COMPUTED_VALUE"""),0.13928)</f>
        <v>0.13928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IFERROR(__xludf.DUMMYFUNCTION("""COMPUTED_VALUE"""),102.5)</f>
        <v>102.5</v>
      </c>
      <c r="C96">
        <f>IFERROR(__xludf.DUMMYFUNCTION("""COMPUTED_VALUE"""),107.59)</f>
        <v>107.59</v>
      </c>
      <c r="D96" s="88">
        <f>IFERROR(__xludf.DUMMYFUNCTION("""COMPUTED_VALUE"""),101.25)</f>
        <v>101.25</v>
      </c>
      <c r="E96" s="88">
        <f>IFERROR(__xludf.DUMMYFUNCTION("""COMPUTED_VALUE"""),104.98)</f>
        <v>104.98</v>
      </c>
      <c r="F96" s="88">
        <f>IFERROR(__xludf.DUMMYFUNCTION("""COMPUTED_VALUE"""),2.5119629E7)</f>
        <v>25119629</v>
      </c>
      <c r="G96" s="88">
        <f>IFERROR(__xludf.DUMMYFUNCTION("""COMPUTED_VALUE"""),88.8959486207948)</f>
        <v>88.89594862</v>
      </c>
      <c r="H96" s="88">
        <f>IFERROR(__xludf.DUMMYFUNCTION("""COMPUTED_VALUE"""),93.3103913376714)</f>
        <v>93.31039134</v>
      </c>
      <c r="I96" s="88">
        <f>IFERROR(__xludf.DUMMYFUNCTION("""COMPUTED_VALUE"""),87.8118516863949)</f>
        <v>87.81185169</v>
      </c>
      <c r="J96" s="88">
        <f>IFERROR(__xludf.DUMMYFUNCTION("""COMPUTED_VALUE"""),91.0467969386443)</f>
        <v>91.04679694</v>
      </c>
      <c r="K96" s="88">
        <f>IFERROR(__xludf.DUMMYFUNCTION("""COMPUTED_VALUE"""),2.5119629E7)</f>
        <v>25119629</v>
      </c>
      <c r="L96" s="88">
        <f>IFERROR(__xludf.DUMMYFUNCTION("""COMPUTED_VALUE"""),0.141562)</f>
        <v>0.141562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IFERROR(__xludf.DUMMYFUNCTION("""COMPUTED_VALUE"""),105.32)</f>
        <v>105.32</v>
      </c>
      <c r="C97">
        <f>IFERROR(__xludf.DUMMYFUNCTION("""COMPUTED_VALUE"""),109.17)</f>
        <v>109.17</v>
      </c>
      <c r="D97" s="88">
        <f>IFERROR(__xludf.DUMMYFUNCTION("""COMPUTED_VALUE"""),104.83)</f>
        <v>104.83</v>
      </c>
      <c r="E97" s="88">
        <f>IFERROR(__xludf.DUMMYFUNCTION("""COMPUTED_VALUE"""),108.92)</f>
        <v>108.92</v>
      </c>
      <c r="F97" s="88">
        <f>IFERROR(__xludf.DUMMYFUNCTION("""COMPUTED_VALUE"""),1.8969971E7)</f>
        <v>18969971</v>
      </c>
      <c r="G97" s="88">
        <f>IFERROR(__xludf.DUMMYFUNCTION("""COMPUTED_VALUE"""),91.2190741854634)</f>
        <v>91.21907419</v>
      </c>
      <c r="H97" s="88">
        <f>IFERROR(__xludf.DUMMYFUNCTION("""COMPUTED_VALUE"""),94.553611173823)</f>
        <v>94.55361117</v>
      </c>
      <c r="I97" s="88">
        <f>IFERROR(__xludf.DUMMYFUNCTION("""COMPUTED_VALUE"""),90.7946785687631)</f>
        <v>90.79467857</v>
      </c>
      <c r="J97" s="88">
        <f>IFERROR(__xludf.DUMMYFUNCTION("""COMPUTED_VALUE"""),94.3370827979555)</f>
        <v>94.3370828</v>
      </c>
      <c r="K97" s="88">
        <f>IFERROR(__xludf.DUMMYFUNCTION("""COMPUTED_VALUE"""),1.8969971E7)</f>
        <v>18969971</v>
      </c>
      <c r="L97" s="88">
        <f>IFERROR(__xludf.DUMMYFUNCTION("""COMPUTED_VALUE"""),0.134933)</f>
        <v>0.134933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IFERROR(__xludf.DUMMYFUNCTION("""COMPUTED_VALUE"""),108.83)</f>
        <v>108.83</v>
      </c>
      <c r="C98">
        <f>IFERROR(__xludf.DUMMYFUNCTION("""COMPUTED_VALUE"""),109.14)</f>
        <v>109.14</v>
      </c>
      <c r="D98" s="88">
        <f>IFERROR(__xludf.DUMMYFUNCTION("""COMPUTED_VALUE"""),107.22)</f>
        <v>107.22</v>
      </c>
      <c r="E98" s="88">
        <f>IFERROR(__xludf.DUMMYFUNCTION("""COMPUTED_VALUE"""),107.22)</f>
        <v>107.22</v>
      </c>
      <c r="F98" s="88">
        <f>IFERROR(__xludf.DUMMYFUNCTION("""COMPUTED_VALUE"""),1.7261018E7)</f>
        <v>17261018</v>
      </c>
      <c r="G98" s="88">
        <f>IFERROR(__xludf.DUMMYFUNCTION("""COMPUTED_VALUE"""),94.142645195718)</f>
        <v>94.1426452</v>
      </c>
      <c r="H98" s="88">
        <f>IFERROR(__xludf.DUMMYFUNCTION("""COMPUTED_VALUE"""),94.4108085698857)</f>
        <v>94.41080857</v>
      </c>
      <c r="I98" s="88">
        <f>IFERROR(__xludf.DUMMYFUNCTION("""COMPUTED_VALUE"""),92.7499257363308)</f>
        <v>92.74992574</v>
      </c>
      <c r="J98" s="88">
        <f>IFERROR(__xludf.DUMMYFUNCTION("""COMPUTED_VALUE"""),92.7499257363308)</f>
        <v>92.74992574</v>
      </c>
      <c r="K98" s="88">
        <f>IFERROR(__xludf.DUMMYFUNCTION("""COMPUTED_VALUE"""),1.7261018E7)</f>
        <v>17261018</v>
      </c>
      <c r="L98" s="88">
        <f>IFERROR(__xludf.DUMMYFUNCTION("""COMPUTED_VALUE"""),0.144612)</f>
        <v>0.144612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IFERROR(__xludf.DUMMYFUNCTION("""COMPUTED_VALUE"""),107.34)</f>
        <v>107.34</v>
      </c>
      <c r="C99">
        <f>IFERROR(__xludf.DUMMYFUNCTION("""COMPUTED_VALUE"""),107.66)</f>
        <v>107.66</v>
      </c>
      <c r="D99" s="88">
        <f>IFERROR(__xludf.DUMMYFUNCTION("""COMPUTED_VALUE"""),105.57)</f>
        <v>105.57</v>
      </c>
      <c r="E99" s="88">
        <f>IFERROR(__xludf.DUMMYFUNCTION("""COMPUTED_VALUE"""),107.19)</f>
        <v>107.19</v>
      </c>
      <c r="F99" s="88">
        <f>IFERROR(__xludf.DUMMYFUNCTION("""COMPUTED_VALUE"""),1.5635238E7)</f>
        <v>15635238</v>
      </c>
      <c r="G99" s="88">
        <f>IFERROR(__xludf.DUMMYFUNCTION("""COMPUTED_VALUE"""),92.7289661083772)</f>
        <v>92.72896611</v>
      </c>
      <c r="H99" s="88">
        <f>IFERROR(__xludf.DUMMYFUNCTION("""COMPUTED_VALUE"""),93.0054079674668)</f>
        <v>93.00540797</v>
      </c>
      <c r="I99" s="88">
        <f>IFERROR(__xludf.DUMMYFUNCTION("""COMPUTED_VALUE"""),91.1998970752876)</f>
        <v>91.19989708</v>
      </c>
      <c r="J99" s="88">
        <f>IFERROR(__xludf.DUMMYFUNCTION("""COMPUTED_VALUE"""),92.5993839869289)</f>
        <v>92.59938399</v>
      </c>
      <c r="K99" s="88">
        <f>IFERROR(__xludf.DUMMYFUNCTION("""COMPUTED_VALUE"""),1.5635238E7)</f>
        <v>15635238</v>
      </c>
      <c r="L99" s="88">
        <f>IFERROR(__xludf.DUMMYFUNCTION("""COMPUTED_VALUE"""),0.126749)</f>
        <v>0.126749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IFERROR(__xludf.DUMMYFUNCTION("""COMPUTED_VALUE"""),107.16)</f>
        <v>107.16</v>
      </c>
      <c r="C100">
        <f>IFERROR(__xludf.DUMMYFUNCTION("""COMPUTED_VALUE"""),107.38)</f>
        <v>107.38</v>
      </c>
      <c r="D100" s="88">
        <f>IFERROR(__xludf.DUMMYFUNCTION("""COMPUTED_VALUE"""),105.56)</f>
        <v>105.56</v>
      </c>
      <c r="E100" s="88">
        <f>IFERROR(__xludf.DUMMYFUNCTION("""COMPUTED_VALUE"""),106.41)</f>
        <v>106.41</v>
      </c>
      <c r="F100" s="88">
        <f>IFERROR(__xludf.DUMMYFUNCTION("""COMPUTED_VALUE"""),1.7353954E7)</f>
        <v>17353954</v>
      </c>
      <c r="G100" s="88">
        <f>IFERROR(__xludf.DUMMYFUNCTION("""COMPUTED_VALUE"""),92.4642434210793)</f>
        <v>92.46424342</v>
      </c>
      <c r="H100" s="88">
        <f>IFERROR(__xludf.DUMMYFUNCTION("""COMPUTED_VALUE"""),92.6540729615108)</f>
        <v>92.65407296</v>
      </c>
      <c r="I100" s="88">
        <f>IFERROR(__xludf.DUMMYFUNCTION("""COMPUTED_VALUE"""),91.083664945214)</f>
        <v>91.08366495</v>
      </c>
      <c r="J100" s="88">
        <f>IFERROR(__xludf.DUMMYFUNCTION("""COMPUTED_VALUE"""),91.8170972605175)</f>
        <v>91.81709726</v>
      </c>
      <c r="K100" s="88">
        <f>IFERROR(__xludf.DUMMYFUNCTION("""COMPUTED_VALUE"""),1.7353954E7)</f>
        <v>17353954</v>
      </c>
      <c r="L100" s="88">
        <f>IFERROR(__xludf.DUMMYFUNCTION("""COMPUTED_VALUE"""),0.140073)</f>
        <v>0.140073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IFERROR(__xludf.DUMMYFUNCTION("""COMPUTED_VALUE"""),106.1)</f>
        <v>106.1</v>
      </c>
      <c r="C101">
        <f>IFERROR(__xludf.DUMMYFUNCTION("""COMPUTED_VALUE"""),107.35)</f>
        <v>107.35</v>
      </c>
      <c r="D101" s="88">
        <f>IFERROR(__xludf.DUMMYFUNCTION("""COMPUTED_VALUE"""),105.72)</f>
        <v>105.72</v>
      </c>
      <c r="E101" s="88">
        <f>IFERROR(__xludf.DUMMYFUNCTION("""COMPUTED_VALUE"""),107.0)</f>
        <v>107</v>
      </c>
      <c r="F101" s="88">
        <f>IFERROR(__xludf.DUMMYFUNCTION("""COMPUTED_VALUE"""),1.7428862E7)</f>
        <v>17428862</v>
      </c>
      <c r="G101" s="88">
        <f>IFERROR(__xludf.DUMMYFUNCTION("""COMPUTED_VALUE"""),91.4283351695288)</f>
        <v>91.42833517</v>
      </c>
      <c r="H101" s="88">
        <f>IFERROR(__xludf.DUMMYFUNCTION("""COMPUTED_VALUE"""),92.5054833218559)</f>
        <v>92.50548332</v>
      </c>
      <c r="I101" s="88">
        <f>IFERROR(__xludf.DUMMYFUNCTION("""COMPUTED_VALUE"""),91.1008821312213)</f>
        <v>91.10088213</v>
      </c>
      <c r="J101" s="88">
        <f>IFERROR(__xludf.DUMMYFUNCTION("""COMPUTED_VALUE"""),92.2038818392043)</f>
        <v>92.20388184</v>
      </c>
      <c r="K101" s="88">
        <f>IFERROR(__xludf.DUMMYFUNCTION("""COMPUTED_VALUE"""),1.7428862E7)</f>
        <v>17428862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IFERROR(__xludf.DUMMYFUNCTION("""COMPUTED_VALUE"""),107.49)</f>
        <v>107.49</v>
      </c>
      <c r="C102">
        <f>IFERROR(__xludf.DUMMYFUNCTION("""COMPUTED_VALUE"""),109.15)</f>
        <v>109.15</v>
      </c>
      <c r="D102" s="88">
        <f>IFERROR(__xludf.DUMMYFUNCTION("""COMPUTED_VALUE"""),107.0)</f>
        <v>107</v>
      </c>
      <c r="E102" s="88">
        <f>IFERROR(__xludf.DUMMYFUNCTION("""COMPUTED_VALUE"""),108.44)</f>
        <v>108.44</v>
      </c>
      <c r="F102" s="88">
        <f>IFERROR(__xludf.DUMMYFUNCTION("""COMPUTED_VALUE"""),1.4027923E7)</f>
        <v>14027923</v>
      </c>
      <c r="G102" s="88">
        <f>IFERROR(__xludf.DUMMYFUNCTION("""COMPUTED_VALUE"""),92.6261239149166)</f>
        <v>92.62612391</v>
      </c>
      <c r="H102" s="88">
        <f>IFERROR(__xludf.DUMMYFUNCTION("""COMPUTED_VALUE"""),93.9251138025546)</f>
        <v>93.9251138</v>
      </c>
      <c r="I102" s="88">
        <f>IFERROR(__xludf.DUMMYFUNCTION("""COMPUTED_VALUE"""),92.0750084917393)</f>
        <v>92.07500849</v>
      </c>
      <c r="J102" s="88">
        <f>IFERROR(__xludf.DUMMYFUNCTION("""COMPUTED_VALUE"""),93.3141487929365)</f>
        <v>93.31414879</v>
      </c>
      <c r="K102" s="88">
        <f>IFERROR(__xludf.DUMMYFUNCTION("""COMPUTED_VALUE"""),1.4027923E7)</f>
        <v>14027923</v>
      </c>
      <c r="L102" s="88">
        <f>IFERROR(__xludf.DUMMYFUNCTION("""COMPUTED_VALUE"""),0.287381)</f>
        <v>0.287381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0.57"/>
    <col customWidth="1" min="2" max="2" width="12.29"/>
    <col customWidth="1" min="3" max="3" width="12.0"/>
  </cols>
  <sheetData>
    <row r="1" ht="13.5" customHeight="1">
      <c r="A1" s="82" t="str">
        <f>IFERROR(__xludf.DUMMYFUNCTION("IMPORTDATA(concatenate(""https://api.tiingo.com/tiingo/daily/SHY/prices?startDate=2012-12-31&amp;resampleFreq=monthly&amp;sort=-date&amp;format=csv&amp;token="",TOKEN!B1))"),"date")</f>
        <v>date</v>
      </c>
      <c r="B1" s="83" t="str">
        <f>IFERROR(__xludf.DUMMYFUNCTION("""COMPUTED_VALUE"""),"close")</f>
        <v>close</v>
      </c>
      <c r="C1" s="84" t="str">
        <f>IFERROR(__xludf.DUMMYFUNCTION("""COMPUTED_VALUE"""),"high")</f>
        <v>high</v>
      </c>
      <c r="D1" s="85" t="str">
        <f>IFERROR(__xludf.DUMMYFUNCTION("""COMPUTED_VALUE"""),"low")</f>
        <v>low</v>
      </c>
      <c r="E1" s="85" t="str">
        <f>IFERROR(__xludf.DUMMYFUNCTION("""COMPUTED_VALUE"""),"open")</f>
        <v>open</v>
      </c>
      <c r="F1" s="85" t="str">
        <f>IFERROR(__xludf.DUMMYFUNCTION("""COMPUTED_VALUE"""),"volume")</f>
        <v>volume</v>
      </c>
      <c r="G1" s="85" t="str">
        <f>IFERROR(__xludf.DUMMYFUNCTION("""COMPUTED_VALUE"""),"adjClose")</f>
        <v>adjClose</v>
      </c>
      <c r="H1" s="85" t="str">
        <f>IFERROR(__xludf.DUMMYFUNCTION("""COMPUTED_VALUE"""),"adjHigh")</f>
        <v>adjHigh</v>
      </c>
      <c r="I1" s="85" t="str">
        <f>IFERROR(__xludf.DUMMYFUNCTION("""COMPUTED_VALUE"""),"adjLow")</f>
        <v>adjLow</v>
      </c>
      <c r="J1" s="85" t="str">
        <f>IFERROR(__xludf.DUMMYFUNCTION("""COMPUTED_VALUE"""),"adjOpen")</f>
        <v>adjOpen</v>
      </c>
      <c r="K1" s="85" t="str">
        <f>IFERROR(__xludf.DUMMYFUNCTION("""COMPUTED_VALUE"""),"adjVolume")</f>
        <v>adjVolume</v>
      </c>
      <c r="L1" s="85" t="str">
        <f>IFERROR(__xludf.DUMMYFUNCTION("""COMPUTED_VALUE"""),"divCash")</f>
        <v>divCash</v>
      </c>
      <c r="M1" s="85" t="str">
        <f>IFERROR(__xludf.DUMMYFUNCTION("""COMPUTED_VALUE"""),"splitFactor")</f>
        <v>splitFactor</v>
      </c>
    </row>
    <row r="2" ht="13.5" customHeight="1">
      <c r="A2" s="86">
        <f>IFERROR(__xludf.DUMMYFUNCTION("""COMPUTED_VALUE"""),44316.0)</f>
        <v>44316</v>
      </c>
      <c r="B2" s="87">
        <f>IFERROR(__xludf.DUMMYFUNCTION("""COMPUTED_VALUE"""),86.23)</f>
        <v>86.23</v>
      </c>
      <c r="C2">
        <f>IFERROR(__xludf.DUMMYFUNCTION("""COMPUTED_VALUE"""),86.29)</f>
        <v>86.29</v>
      </c>
      <c r="D2" s="88">
        <f>IFERROR(__xludf.DUMMYFUNCTION("""COMPUTED_VALUE"""),86.18)</f>
        <v>86.18</v>
      </c>
      <c r="E2" s="88">
        <f>IFERROR(__xludf.DUMMYFUNCTION("""COMPUTED_VALUE"""),86.23)</f>
        <v>86.23</v>
      </c>
      <c r="F2" s="88">
        <f>IFERROR(__xludf.DUMMYFUNCTION("""COMPUTED_VALUE"""),3.9986453E7)</f>
        <v>39986453</v>
      </c>
      <c r="G2" s="88">
        <f>IFERROR(__xludf.DUMMYFUNCTION("""COMPUTED_VALUE"""),86.23)</f>
        <v>86.23</v>
      </c>
      <c r="H2" s="88">
        <f>IFERROR(__xludf.DUMMYFUNCTION("""COMPUTED_VALUE"""),86.29)</f>
        <v>86.29</v>
      </c>
      <c r="I2" s="88">
        <f>IFERROR(__xludf.DUMMYFUNCTION("""COMPUTED_VALUE"""),86.18)</f>
        <v>86.18</v>
      </c>
      <c r="J2" s="88">
        <f>IFERROR(__xludf.DUMMYFUNCTION("""COMPUTED_VALUE"""),86.23)</f>
        <v>86.23</v>
      </c>
      <c r="K2" s="88">
        <f>IFERROR(__xludf.DUMMYFUNCTION("""COMPUTED_VALUE"""),3.9986453E7)</f>
        <v>39986453</v>
      </c>
      <c r="L2" s="88">
        <f>IFERROR(__xludf.DUMMYFUNCTION("""COMPUTED_VALUE"""),0.019313)</f>
        <v>0.019313</v>
      </c>
      <c r="M2" s="88">
        <f>IFERROR(__xludf.DUMMYFUNCTION("""COMPUTED_VALUE"""),1.0)</f>
        <v>1</v>
      </c>
    </row>
    <row r="3" ht="13.5" customHeight="1">
      <c r="A3" s="86">
        <f>IFERROR(__xludf.DUMMYFUNCTION("""COMPUTED_VALUE"""),44286.0)</f>
        <v>44286</v>
      </c>
      <c r="B3" s="87">
        <f>IFERROR(__xludf.DUMMYFUNCTION("""COMPUTED_VALUE"""),86.25)</f>
        <v>86.25</v>
      </c>
      <c r="C3">
        <f>IFERROR(__xludf.DUMMYFUNCTION("""COMPUTED_VALUE"""),86.31)</f>
        <v>86.31</v>
      </c>
      <c r="D3" s="88">
        <f>IFERROR(__xludf.DUMMYFUNCTION("""COMPUTED_VALUE"""),86.21)</f>
        <v>86.21</v>
      </c>
      <c r="E3" s="88">
        <f>IFERROR(__xludf.DUMMYFUNCTION("""COMPUTED_VALUE"""),86.29)</f>
        <v>86.29</v>
      </c>
      <c r="F3" s="88">
        <f>IFERROR(__xludf.DUMMYFUNCTION("""COMPUTED_VALUE"""),7.0428487E7)</f>
        <v>70428487</v>
      </c>
      <c r="G3" s="88">
        <f>IFERROR(__xludf.DUMMYFUNCTION("""COMPUTED_VALUE"""),86.2306868461665)</f>
        <v>86.23068685</v>
      </c>
      <c r="H3" s="88">
        <f>IFERROR(__xludf.DUMMYFUNCTION("""COMPUTED_VALUE"""),86.2906734109291)</f>
        <v>86.29067341</v>
      </c>
      <c r="I3" s="88">
        <f>IFERROR(__xludf.DUMMYFUNCTION("""COMPUTED_VALUE"""),86.1906958029915)</f>
        <v>86.1906958</v>
      </c>
      <c r="J3" s="88">
        <f>IFERROR(__xludf.DUMMYFUNCTION("""COMPUTED_VALUE"""),86.2706778893416)</f>
        <v>86.27067789</v>
      </c>
      <c r="K3" s="88">
        <f>IFERROR(__xludf.DUMMYFUNCTION("""COMPUTED_VALUE"""),7.0428487E7)</f>
        <v>70428487</v>
      </c>
      <c r="L3" s="88">
        <f>IFERROR(__xludf.DUMMYFUNCTION("""COMPUTED_VALUE"""),0.022035)</f>
        <v>0.022035</v>
      </c>
      <c r="M3" s="88">
        <f>IFERROR(__xludf.DUMMYFUNCTION("""COMPUTED_VALUE"""),1.0)</f>
        <v>1</v>
      </c>
    </row>
    <row r="4" ht="13.5" customHeight="1">
      <c r="A4" s="86">
        <f>IFERROR(__xludf.DUMMYFUNCTION("""COMPUTED_VALUE"""),44253.0)</f>
        <v>44253</v>
      </c>
      <c r="B4" s="87">
        <f>IFERROR(__xludf.DUMMYFUNCTION("""COMPUTED_VALUE"""),86.32)</f>
        <v>86.32</v>
      </c>
      <c r="C4">
        <f>IFERROR(__xludf.DUMMYFUNCTION("""COMPUTED_VALUE"""),86.38)</f>
        <v>86.38</v>
      </c>
      <c r="D4" s="88">
        <f>IFERROR(__xludf.DUMMYFUNCTION("""COMPUTED_VALUE"""),86.17)</f>
        <v>86.17</v>
      </c>
      <c r="E4" s="88">
        <f>IFERROR(__xludf.DUMMYFUNCTION("""COMPUTED_VALUE"""),86.375)</f>
        <v>86.375</v>
      </c>
      <c r="F4" s="88">
        <f>IFERROR(__xludf.DUMMYFUNCTION("""COMPUTED_VALUE"""),5.9573225E7)</f>
        <v>59573225</v>
      </c>
      <c r="G4" s="88">
        <f>IFERROR(__xludf.DUMMYFUNCTION("""COMPUTED_VALUE"""),86.2786390728473)</f>
        <v>86.27863907</v>
      </c>
      <c r="H4" s="88">
        <f>IFERROR(__xludf.DUMMYFUNCTION("""COMPUTED_VALUE"""),86.3386103233613)</f>
        <v>86.33861032</v>
      </c>
      <c r="I4" s="88">
        <f>IFERROR(__xludf.DUMMYFUNCTION("""COMPUTED_VALUE"""),86.1287109465622)</f>
        <v>86.12871095</v>
      </c>
      <c r="J4" s="88">
        <f>IFERROR(__xludf.DUMMYFUNCTION("""COMPUTED_VALUE"""),86.3336127191518)</f>
        <v>86.33361272</v>
      </c>
      <c r="K4" s="88">
        <f>IFERROR(__xludf.DUMMYFUNCTION("""COMPUTED_VALUE"""),5.9573225E7)</f>
        <v>59573225</v>
      </c>
      <c r="L4" s="88">
        <f>IFERROR(__xludf.DUMMYFUNCTION("""COMPUTED_VALUE"""),0.030107)</f>
        <v>0.030107</v>
      </c>
      <c r="M4" s="88">
        <f>IFERROR(__xludf.DUMMYFUNCTION("""COMPUTED_VALUE"""),1.0)</f>
        <v>1</v>
      </c>
    </row>
    <row r="5" ht="13.5" customHeight="1">
      <c r="A5" s="86">
        <f>IFERROR(__xludf.DUMMYFUNCTION("""COMPUTED_VALUE"""),44225.0)</f>
        <v>44225</v>
      </c>
      <c r="B5" s="87">
        <f>IFERROR(__xludf.DUMMYFUNCTION("""COMPUTED_VALUE"""),86.4)</f>
        <v>86.4</v>
      </c>
      <c r="C5">
        <f>IFERROR(__xludf.DUMMYFUNCTION("""COMPUTED_VALUE"""),86.41)</f>
        <v>86.41</v>
      </c>
      <c r="D5" s="88">
        <f>IFERROR(__xludf.DUMMYFUNCTION("""COMPUTED_VALUE"""),86.32)</f>
        <v>86.32</v>
      </c>
      <c r="E5" s="88">
        <f>IFERROR(__xludf.DUMMYFUNCTION("""COMPUTED_VALUE"""),86.37)</f>
        <v>86.37</v>
      </c>
      <c r="F5" s="88">
        <f>IFERROR(__xludf.DUMMYFUNCTION("""COMPUTED_VALUE"""),5.4266978E7)</f>
        <v>54266978</v>
      </c>
      <c r="G5" s="88">
        <f>IFERROR(__xludf.DUMMYFUNCTION("""COMPUTED_VALUE"""),86.3285116860047)</f>
        <v>86.32851169</v>
      </c>
      <c r="H5" s="88">
        <f>IFERROR(__xludf.DUMMYFUNCTION("""COMPUTED_VALUE"""),86.3385034118943)</f>
        <v>86.33850341</v>
      </c>
      <c r="I5" s="88">
        <f>IFERROR(__xludf.DUMMYFUNCTION("""COMPUTED_VALUE"""),86.248577878888)</f>
        <v>86.24857788</v>
      </c>
      <c r="J5" s="88">
        <f>IFERROR(__xludf.DUMMYFUNCTION("""COMPUTED_VALUE"""),86.298536508336)</f>
        <v>86.29853651</v>
      </c>
      <c r="K5" s="88">
        <f>IFERROR(__xludf.DUMMYFUNCTION("""COMPUTED_VALUE"""),5.4266978E7)</f>
        <v>54266978</v>
      </c>
      <c r="L5" s="88">
        <f>IFERROR(__xludf.DUMMYFUNCTION("""COMPUTED_VALUE"""),0.0)</f>
        <v>0</v>
      </c>
      <c r="M5" s="88">
        <f>IFERROR(__xludf.DUMMYFUNCTION("""COMPUTED_VALUE"""),1.0)</f>
        <v>1</v>
      </c>
    </row>
    <row r="6" ht="13.5" customHeight="1">
      <c r="A6" s="86">
        <f>IFERROR(__xludf.DUMMYFUNCTION("""COMPUTED_VALUE"""),44196.0)</f>
        <v>44196</v>
      </c>
      <c r="B6" s="87">
        <f>IFERROR(__xludf.DUMMYFUNCTION("""COMPUTED_VALUE"""),86.38)</f>
        <v>86.38</v>
      </c>
      <c r="C6">
        <f>IFERROR(__xludf.DUMMYFUNCTION("""COMPUTED_VALUE"""),86.42)</f>
        <v>86.42</v>
      </c>
      <c r="D6" s="88">
        <f>IFERROR(__xludf.DUMMYFUNCTION("""COMPUTED_VALUE"""),86.32)</f>
        <v>86.32</v>
      </c>
      <c r="E6" s="88">
        <f>IFERROR(__xludf.DUMMYFUNCTION("""COMPUTED_VALUE"""),86.34)</f>
        <v>86.34</v>
      </c>
      <c r="F6" s="88">
        <f>IFERROR(__xludf.DUMMYFUNCTION("""COMPUTED_VALUE"""),5.4277921E7)</f>
        <v>54277921</v>
      </c>
      <c r="G6" s="88">
        <f>IFERROR(__xludf.DUMMYFUNCTION("""COMPUTED_VALUE"""),86.3085282342255)</f>
        <v>86.30852823</v>
      </c>
      <c r="H6" s="88">
        <f>IFERROR(__xludf.DUMMYFUNCTION("""COMPUTED_VALUE"""),86.3185199601151)</f>
        <v>86.31851996</v>
      </c>
      <c r="I6" s="88">
        <f>IFERROR(__xludf.DUMMYFUNCTION("""COMPUTED_VALUE"""),86.2166683293802)</f>
        <v>86.21666833</v>
      </c>
      <c r="J6" s="88">
        <f>IFERROR(__xludf.DUMMYFUNCTION("""COMPUTED_VALUE"""),86.2366443878439)</f>
        <v>86.23664439</v>
      </c>
      <c r="K6" s="88">
        <f>IFERROR(__xludf.DUMMYFUNCTION("""COMPUTED_VALUE"""),5.4277921E7)</f>
        <v>54277921</v>
      </c>
      <c r="L6" s="88">
        <f>IFERROR(__xludf.DUMMYFUNCTION("""COMPUTED_VALUE"""),0.064842)</f>
        <v>0.064842</v>
      </c>
      <c r="M6" s="88">
        <f>IFERROR(__xludf.DUMMYFUNCTION("""COMPUTED_VALUE"""),1.0)</f>
        <v>1</v>
      </c>
    </row>
    <row r="7" ht="13.5" customHeight="1">
      <c r="A7" s="86">
        <f>IFERROR(__xludf.DUMMYFUNCTION("""COMPUTED_VALUE"""),44165.0)</f>
        <v>44165</v>
      </c>
      <c r="B7" s="87">
        <f>IFERROR(__xludf.DUMMYFUNCTION("""COMPUTED_VALUE"""),86.41)</f>
        <v>86.41</v>
      </c>
      <c r="C7">
        <f>IFERROR(__xludf.DUMMYFUNCTION("""COMPUTED_VALUE"""),86.41)</f>
        <v>86.41</v>
      </c>
      <c r="D7" s="88">
        <f>IFERROR(__xludf.DUMMYFUNCTION("""COMPUTED_VALUE"""),86.31)</f>
        <v>86.31</v>
      </c>
      <c r="E7" s="88">
        <f>IFERROR(__xludf.DUMMYFUNCTION("""COMPUTED_VALUE"""),86.384)</f>
        <v>86.384</v>
      </c>
      <c r="F7" s="88">
        <f>IFERROR(__xludf.DUMMYFUNCTION("""COMPUTED_VALUE"""),5.9952027E7)</f>
        <v>59952027</v>
      </c>
      <c r="G7" s="88">
        <f>IFERROR(__xludf.DUMMYFUNCTION("""COMPUTED_VALUE"""),86.2737100260823)</f>
        <v>86.27371003</v>
      </c>
      <c r="H7" s="88">
        <f>IFERROR(__xludf.DUMMYFUNCTION("""COMPUTED_VALUE"""),86.2737100260823)</f>
        <v>86.27371003</v>
      </c>
      <c r="I7" s="88">
        <f>IFERROR(__xludf.DUMMYFUNCTION("""COMPUTED_VALUE"""),86.1738677508525)</f>
        <v>86.17386775</v>
      </c>
      <c r="J7" s="88">
        <f>IFERROR(__xludf.DUMMYFUNCTION("""COMPUTED_VALUE"""),86.2477510345226)</f>
        <v>86.24775103</v>
      </c>
      <c r="K7" s="88">
        <f>IFERROR(__xludf.DUMMYFUNCTION("""COMPUTED_VALUE"""),5.9952027E7)</f>
        <v>59952027</v>
      </c>
      <c r="L7" s="88">
        <f>IFERROR(__xludf.DUMMYFUNCTION("""COMPUTED_VALUE"""),0.038605)</f>
        <v>0.038605</v>
      </c>
      <c r="M7" s="88">
        <f>IFERROR(__xludf.DUMMYFUNCTION("""COMPUTED_VALUE"""),1.0)</f>
        <v>1</v>
      </c>
    </row>
    <row r="8" ht="13.5" customHeight="1">
      <c r="A8" s="86">
        <f>IFERROR(__xludf.DUMMYFUNCTION("""COMPUTED_VALUE"""),44134.0)</f>
        <v>44134</v>
      </c>
      <c r="B8" s="87">
        <f>IFERROR(__xludf.DUMMYFUNCTION("""COMPUTED_VALUE"""),86.43)</f>
        <v>86.43</v>
      </c>
      <c r="C8">
        <f>IFERROR(__xludf.DUMMYFUNCTION("""COMPUTED_VALUE"""),86.47)</f>
        <v>86.47</v>
      </c>
      <c r="D8" s="88">
        <f>IFERROR(__xludf.DUMMYFUNCTION("""COMPUTED_VALUE"""),86.4)</f>
        <v>86.4</v>
      </c>
      <c r="E8" s="88">
        <f>IFERROR(__xludf.DUMMYFUNCTION("""COMPUTED_VALUE"""),86.45)</f>
        <v>86.45</v>
      </c>
      <c r="F8" s="88">
        <f>IFERROR(__xludf.DUMMYFUNCTION("""COMPUTED_VALUE"""),7.2432656E7)</f>
        <v>72432656</v>
      </c>
      <c r="G8" s="88">
        <f>IFERROR(__xludf.DUMMYFUNCTION("""COMPUTED_VALUE"""),86.255133748655)</f>
        <v>86.25513375</v>
      </c>
      <c r="H8" s="88">
        <f>IFERROR(__xludf.DUMMYFUNCTION("""COMPUTED_VALUE"""),86.2950528201573)</f>
        <v>86.29505282</v>
      </c>
      <c r="I8" s="88">
        <f>IFERROR(__xludf.DUMMYFUNCTION("""COMPUTED_VALUE"""),86.2251944450283)</f>
        <v>86.22519445</v>
      </c>
      <c r="J8" s="88">
        <f>IFERROR(__xludf.DUMMYFUNCTION("""COMPUTED_VALUE"""),86.2750932844062)</f>
        <v>86.27509328</v>
      </c>
      <c r="K8" s="88">
        <f>IFERROR(__xludf.DUMMYFUNCTION("""COMPUTED_VALUE"""),7.2432656E7)</f>
        <v>72432656</v>
      </c>
      <c r="L8" s="88">
        <f>IFERROR(__xludf.DUMMYFUNCTION("""COMPUTED_VALUE"""),0.040048)</f>
        <v>0.040048</v>
      </c>
      <c r="M8" s="88">
        <f>IFERROR(__xludf.DUMMYFUNCTION("""COMPUTED_VALUE"""),1.0)</f>
        <v>1</v>
      </c>
    </row>
    <row r="9" ht="13.5" customHeight="1">
      <c r="A9" s="86">
        <f>IFERROR(__xludf.DUMMYFUNCTION("""COMPUTED_VALUE"""),44104.0)</f>
        <v>44104</v>
      </c>
      <c r="B9" s="87">
        <f>IFERROR(__xludf.DUMMYFUNCTION("""COMPUTED_VALUE"""),86.51)</f>
        <v>86.51</v>
      </c>
      <c r="C9">
        <f>IFERROR(__xludf.DUMMYFUNCTION("""COMPUTED_VALUE"""),86.52)</f>
        <v>86.52</v>
      </c>
      <c r="D9" s="88">
        <f>IFERROR(__xludf.DUMMYFUNCTION("""COMPUTED_VALUE"""),86.45)</f>
        <v>86.45</v>
      </c>
      <c r="E9" s="88">
        <f>IFERROR(__xludf.DUMMYFUNCTION("""COMPUTED_VALUE"""),86.49)</f>
        <v>86.49</v>
      </c>
      <c r="F9" s="88">
        <f>IFERROR(__xludf.DUMMYFUNCTION("""COMPUTED_VALUE"""),5.6233534E7)</f>
        <v>56233534</v>
      </c>
      <c r="G9" s="88">
        <f>IFERROR(__xludf.DUMMYFUNCTION("""COMPUTED_VALUE"""),86.2949956974701)</f>
        <v>86.2949957</v>
      </c>
      <c r="H9" s="88">
        <f>IFERROR(__xludf.DUMMYFUNCTION("""COMPUTED_VALUE"""),86.3049708443545)</f>
        <v>86.30497084</v>
      </c>
      <c r="I9" s="88">
        <f>IFERROR(__xludf.DUMMYFUNCTION("""COMPUTED_VALUE"""),86.2351448161633)</f>
        <v>86.23514482</v>
      </c>
      <c r="J9" s="88">
        <f>IFERROR(__xludf.DUMMYFUNCTION("""COMPUTED_VALUE"""),86.2750454037011)</f>
        <v>86.2750454</v>
      </c>
      <c r="K9" s="88">
        <f>IFERROR(__xludf.DUMMYFUNCTION("""COMPUTED_VALUE"""),5.6233534E7)</f>
        <v>56233534</v>
      </c>
      <c r="L9" s="88">
        <f>IFERROR(__xludf.DUMMYFUNCTION("""COMPUTED_VALUE"""),0.049132)</f>
        <v>0.049132</v>
      </c>
      <c r="M9" s="88">
        <f>IFERROR(__xludf.DUMMYFUNCTION("""COMPUTED_VALUE"""),1.0)</f>
        <v>1</v>
      </c>
    </row>
    <row r="10" ht="13.5" customHeight="1">
      <c r="A10" s="86">
        <f>IFERROR(__xludf.DUMMYFUNCTION("""COMPUTED_VALUE"""),44074.0)</f>
        <v>44074</v>
      </c>
      <c r="B10" s="87">
        <f>IFERROR(__xludf.DUMMYFUNCTION("""COMPUTED_VALUE"""),86.56)</f>
        <v>86.56</v>
      </c>
      <c r="C10">
        <f>IFERROR(__xludf.DUMMYFUNCTION("""COMPUTED_VALUE"""),86.59)</f>
        <v>86.59</v>
      </c>
      <c r="D10" s="88">
        <f>IFERROR(__xludf.DUMMYFUNCTION("""COMPUTED_VALUE"""),86.48)</f>
        <v>86.48</v>
      </c>
      <c r="E10" s="88">
        <f>IFERROR(__xludf.DUMMYFUNCTION("""COMPUTED_VALUE"""),86.56)</f>
        <v>86.56</v>
      </c>
      <c r="F10" s="88">
        <f>IFERROR(__xludf.DUMMYFUNCTION("""COMPUTED_VALUE"""),5.7432237E7)</f>
        <v>57432237</v>
      </c>
      <c r="G10" s="88">
        <f>IFERROR(__xludf.DUMMYFUNCTION("""COMPUTED_VALUE"""),86.2958497220006)</f>
        <v>86.29584972</v>
      </c>
      <c r="H10" s="88">
        <f>IFERROR(__xludf.DUMMYFUNCTION("""COMPUTED_VALUE"""),86.3257581726898)</f>
        <v>86.32575817</v>
      </c>
      <c r="I10" s="88">
        <f>IFERROR(__xludf.DUMMYFUNCTION("""COMPUTED_VALUE"""),86.2160938534959)</f>
        <v>86.21609385</v>
      </c>
      <c r="J10" s="88">
        <f>IFERROR(__xludf.DUMMYFUNCTION("""COMPUTED_VALUE"""),86.2958497220006)</f>
        <v>86.29584972</v>
      </c>
      <c r="K10" s="88">
        <f>IFERROR(__xludf.DUMMYFUNCTION("""COMPUTED_VALUE"""),5.7432237E7)</f>
        <v>57432237</v>
      </c>
      <c r="L10" s="88">
        <f>IFERROR(__xludf.DUMMYFUNCTION("""COMPUTED_VALUE"""),0.050443)</f>
        <v>0.050443</v>
      </c>
      <c r="M10" s="88">
        <f>IFERROR(__xludf.DUMMYFUNCTION("""COMPUTED_VALUE"""),1.0)</f>
        <v>1</v>
      </c>
    </row>
    <row r="11" ht="13.5" customHeight="1">
      <c r="A11" s="86">
        <f>IFERROR(__xludf.DUMMYFUNCTION("""COMPUTED_VALUE"""),44043.0)</f>
        <v>44043</v>
      </c>
      <c r="B11" s="87">
        <f>IFERROR(__xludf.DUMMYFUNCTION("""COMPUTED_VALUE"""),86.63)</f>
        <v>86.63</v>
      </c>
      <c r="C11">
        <f>IFERROR(__xludf.DUMMYFUNCTION("""COMPUTED_VALUE"""),86.63)</f>
        <v>86.63</v>
      </c>
      <c r="D11" s="88">
        <f>IFERROR(__xludf.DUMMYFUNCTION("""COMPUTED_VALUE"""),86.52)</f>
        <v>86.52</v>
      </c>
      <c r="E11" s="88">
        <f>IFERROR(__xludf.DUMMYFUNCTION("""COMPUTED_VALUE"""),86.56)</f>
        <v>86.56</v>
      </c>
      <c r="F11" s="88">
        <f>IFERROR(__xludf.DUMMYFUNCTION("""COMPUTED_VALUE"""),6.547619E7)</f>
        <v>65476190</v>
      </c>
      <c r="G11" s="88">
        <f>IFERROR(__xludf.DUMMYFUNCTION("""COMPUTED_VALUE"""),86.3153472981668)</f>
        <v>86.3153473</v>
      </c>
      <c r="H11" s="88">
        <f>IFERROR(__xludf.DUMMYFUNCTION("""COMPUTED_VALUE"""),86.3153472981668)</f>
        <v>86.3153473</v>
      </c>
      <c r="I11" s="88">
        <f>IFERROR(__xludf.DUMMYFUNCTION("""COMPUTED_VALUE"""),86.2057468340921)</f>
        <v>86.20574683</v>
      </c>
      <c r="J11" s="88">
        <f>IFERROR(__xludf.DUMMYFUNCTION("""COMPUTED_VALUE"""),86.2456015483011)</f>
        <v>86.24560155</v>
      </c>
      <c r="K11" s="88">
        <f>IFERROR(__xludf.DUMMYFUNCTION("""COMPUTED_VALUE"""),6.547619E7)</f>
        <v>65476190</v>
      </c>
      <c r="L11" s="88">
        <f>IFERROR(__xludf.DUMMYFUNCTION("""COMPUTED_VALUE"""),0.060636)</f>
        <v>0.060636</v>
      </c>
      <c r="M11" s="88">
        <f>IFERROR(__xludf.DUMMYFUNCTION("""COMPUTED_VALUE"""),1.0)</f>
        <v>1</v>
      </c>
    </row>
    <row r="12" ht="13.5" customHeight="1">
      <c r="A12" s="86">
        <f>IFERROR(__xludf.DUMMYFUNCTION("""COMPUTED_VALUE"""),44012.0)</f>
        <v>44012</v>
      </c>
      <c r="B12" s="87">
        <f>IFERROR(__xludf.DUMMYFUNCTION("""COMPUTED_VALUE"""),86.61)</f>
        <v>86.61</v>
      </c>
      <c r="C12">
        <f>IFERROR(__xludf.DUMMYFUNCTION("""COMPUTED_VALUE"""),86.63)</f>
        <v>86.63</v>
      </c>
      <c r="D12" s="88">
        <f>IFERROR(__xludf.DUMMYFUNCTION("""COMPUTED_VALUE"""),86.46)</f>
        <v>86.46</v>
      </c>
      <c r="E12" s="88">
        <f>IFERROR(__xludf.DUMMYFUNCTION("""COMPUTED_VALUE"""),86.59)</f>
        <v>86.59</v>
      </c>
      <c r="F12" s="88">
        <f>IFERROR(__xludf.DUMMYFUNCTION("""COMPUTED_VALUE"""),8.3833896E7)</f>
        <v>83833896</v>
      </c>
      <c r="G12" s="88">
        <f>IFERROR(__xludf.DUMMYFUNCTION("""COMPUTED_VALUE"""),86.2349836896637)</f>
        <v>86.23498369</v>
      </c>
      <c r="H12" s="88">
        <f>IFERROR(__xludf.DUMMYFUNCTION("""COMPUTED_VALUE"""),86.254897090816)</f>
        <v>86.25489709</v>
      </c>
      <c r="I12" s="88">
        <f>IFERROR(__xludf.DUMMYFUNCTION("""COMPUTED_VALUE"""),86.0856331810221)</f>
        <v>86.08563318</v>
      </c>
      <c r="J12" s="88">
        <f>IFERROR(__xludf.DUMMYFUNCTION("""COMPUTED_VALUE"""),86.2150702885115)</f>
        <v>86.21507029</v>
      </c>
      <c r="K12" s="88">
        <f>IFERROR(__xludf.DUMMYFUNCTION("""COMPUTED_VALUE"""),8.3833896E7)</f>
        <v>83833896</v>
      </c>
      <c r="L12" s="88">
        <f>IFERROR(__xludf.DUMMYFUNCTION("""COMPUTED_VALUE"""),0.07006)</f>
        <v>0.07006</v>
      </c>
      <c r="M12" s="88">
        <f>IFERROR(__xludf.DUMMYFUNCTION("""COMPUTED_VALUE"""),1.0)</f>
        <v>1</v>
      </c>
    </row>
    <row r="13" ht="13.5" customHeight="1">
      <c r="A13" s="86">
        <f>IFERROR(__xludf.DUMMYFUNCTION("""COMPUTED_VALUE"""),43980.0)</f>
        <v>43980</v>
      </c>
      <c r="B13" s="87">
        <f>IFERROR(__xludf.DUMMYFUNCTION("""COMPUTED_VALUE"""),86.66)</f>
        <v>86.66</v>
      </c>
      <c r="C13">
        <f>IFERROR(__xludf.DUMMYFUNCTION("""COMPUTED_VALUE"""),86.73)</f>
        <v>86.73</v>
      </c>
      <c r="D13" s="88">
        <f>IFERROR(__xludf.DUMMYFUNCTION("""COMPUTED_VALUE"""),86.57)</f>
        <v>86.57</v>
      </c>
      <c r="E13" s="88">
        <f>IFERROR(__xludf.DUMMYFUNCTION("""COMPUTED_VALUE"""),86.62)</f>
        <v>86.62</v>
      </c>
      <c r="F13" s="88">
        <f>IFERROR(__xludf.DUMMYFUNCTION("""COMPUTED_VALUE"""),7.0509508E7)</f>
        <v>70509508</v>
      </c>
      <c r="G13" s="88">
        <f>IFERROR(__xludf.DUMMYFUNCTION("""COMPUTED_VALUE"""),86.2150025462242)</f>
        <v>86.21500255</v>
      </c>
      <c r="H13" s="88">
        <f>IFERROR(__xludf.DUMMYFUNCTION("""COMPUTED_VALUE"""),86.284643097554)</f>
        <v>86.2846431</v>
      </c>
      <c r="I13" s="88">
        <f>IFERROR(__xludf.DUMMYFUNCTION("""COMPUTED_VALUE"""),86.1254646945146)</f>
        <v>86.12546469</v>
      </c>
      <c r="J13" s="88">
        <f>IFERROR(__xludf.DUMMYFUNCTION("""COMPUTED_VALUE"""),86.1752079454644)</f>
        <v>86.17520795</v>
      </c>
      <c r="K13" s="88">
        <f>IFERROR(__xludf.DUMMYFUNCTION("""COMPUTED_VALUE"""),7.0509508E7)</f>
        <v>70509508</v>
      </c>
      <c r="L13" s="88">
        <f>IFERROR(__xludf.DUMMYFUNCTION("""COMPUTED_VALUE"""),0.072362)</f>
        <v>0.072362</v>
      </c>
      <c r="M13" s="88">
        <f>IFERROR(__xludf.DUMMYFUNCTION("""COMPUTED_VALUE"""),1.0)</f>
        <v>1</v>
      </c>
    </row>
    <row r="14" ht="13.5" customHeight="1">
      <c r="A14" s="86">
        <f>IFERROR(__xludf.DUMMYFUNCTION("""COMPUTED_VALUE"""),43951.0)</f>
        <v>43951</v>
      </c>
      <c r="B14" s="87">
        <f>IFERROR(__xludf.DUMMYFUNCTION("""COMPUTED_VALUE"""),86.8)</f>
        <v>86.8</v>
      </c>
      <c r="C14">
        <f>IFERROR(__xludf.DUMMYFUNCTION("""COMPUTED_VALUE"""),86.8)</f>
        <v>86.8</v>
      </c>
      <c r="D14" s="88">
        <f>IFERROR(__xludf.DUMMYFUNCTION("""COMPUTED_VALUE"""),86.49)</f>
        <v>86.49</v>
      </c>
      <c r="E14" s="88">
        <f>IFERROR(__xludf.DUMMYFUNCTION("""COMPUTED_VALUE"""),86.62)</f>
        <v>86.62</v>
      </c>
      <c r="F14" s="88">
        <f>IFERROR(__xludf.DUMMYFUNCTION("""COMPUTED_VALUE"""),1.01891605E8)</f>
        <v>101891605</v>
      </c>
      <c r="G14" s="88">
        <f>IFERROR(__xludf.DUMMYFUNCTION("""COMPUTED_VALUE"""),86.2821872097282)</f>
        <v>86.28218721</v>
      </c>
      <c r="H14" s="88">
        <f>IFERROR(__xludf.DUMMYFUNCTION("""COMPUTED_VALUE"""),86.2821872097282)</f>
        <v>86.28218721</v>
      </c>
      <c r="I14" s="88">
        <f>IFERROR(__xludf.DUMMYFUNCTION("""COMPUTED_VALUE"""),85.974036541122)</f>
        <v>85.97403654</v>
      </c>
      <c r="J14" s="88">
        <f>IFERROR(__xludf.DUMMYFUNCTION("""COMPUTED_VALUE"""),86.1032610150536)</f>
        <v>86.10326102</v>
      </c>
      <c r="K14" s="88">
        <f>IFERROR(__xludf.DUMMYFUNCTION("""COMPUTED_VALUE"""),1.01891605E8)</f>
        <v>101891605</v>
      </c>
      <c r="L14" s="88">
        <f>IFERROR(__xludf.DUMMYFUNCTION("""COMPUTED_VALUE"""),0.106006)</f>
        <v>0.106006</v>
      </c>
      <c r="M14" s="88">
        <f>IFERROR(__xludf.DUMMYFUNCTION("""COMPUTED_VALUE"""),1.0)</f>
        <v>1</v>
      </c>
    </row>
    <row r="15" ht="13.5" customHeight="1">
      <c r="A15" s="86">
        <f>IFERROR(__xludf.DUMMYFUNCTION("""COMPUTED_VALUE"""),43921.0)</f>
        <v>43921</v>
      </c>
      <c r="B15" s="87">
        <f>IFERROR(__xludf.DUMMYFUNCTION("""COMPUTED_VALUE"""),86.67)</f>
        <v>86.67</v>
      </c>
      <c r="C15">
        <f>IFERROR(__xludf.DUMMYFUNCTION("""COMPUTED_VALUE"""),86.78)</f>
        <v>86.78</v>
      </c>
      <c r="D15" s="88">
        <f>IFERROR(__xludf.DUMMYFUNCTION("""COMPUTED_VALUE"""),85.57)</f>
        <v>85.57</v>
      </c>
      <c r="E15" s="88">
        <f>IFERROR(__xludf.DUMMYFUNCTION("""COMPUTED_VALUE"""),85.72)</f>
        <v>85.72</v>
      </c>
      <c r="F15" s="88">
        <f>IFERROR(__xludf.DUMMYFUNCTION("""COMPUTED_VALUE"""),2.60889318E8)</f>
        <v>260889318</v>
      </c>
      <c r="G15" s="88">
        <f>IFERROR(__xludf.DUMMYFUNCTION("""COMPUTED_VALUE"""),86.0476571718834)</f>
        <v>86.04765717</v>
      </c>
      <c r="H15" s="88">
        <f>IFERROR(__xludf.DUMMYFUNCTION("""COMPUTED_VALUE"""),86.1568673055964)</f>
        <v>86.15686731</v>
      </c>
      <c r="I15" s="88">
        <f>IFERROR(__xludf.DUMMYFUNCTION("""COMPUTED_VALUE"""),84.9555558347532)</f>
        <v>84.95555583</v>
      </c>
      <c r="J15" s="88">
        <f>IFERROR(__xludf.DUMMYFUNCTION("""COMPUTED_VALUE"""),85.1044787443619)</f>
        <v>85.10447874</v>
      </c>
      <c r="K15" s="88">
        <f>IFERROR(__xludf.DUMMYFUNCTION("""COMPUTED_VALUE"""),2.60889318E8)</f>
        <v>260889318</v>
      </c>
      <c r="L15" s="88">
        <f>IFERROR(__xludf.DUMMYFUNCTION("""COMPUTED_VALUE"""),0.124966)</f>
        <v>0.124966</v>
      </c>
      <c r="M15" s="88">
        <f>IFERROR(__xludf.DUMMYFUNCTION("""COMPUTED_VALUE"""),1.0)</f>
        <v>1</v>
      </c>
    </row>
    <row r="16" ht="13.5" customHeight="1">
      <c r="A16" s="86">
        <f>IFERROR(__xludf.DUMMYFUNCTION("""COMPUTED_VALUE"""),43889.0)</f>
        <v>43889</v>
      </c>
      <c r="B16" s="87">
        <f>IFERROR(__xludf.DUMMYFUNCTION("""COMPUTED_VALUE"""),85.73)</f>
        <v>85.73</v>
      </c>
      <c r="C16">
        <f>IFERROR(__xludf.DUMMYFUNCTION("""COMPUTED_VALUE"""),85.77)</f>
        <v>85.77</v>
      </c>
      <c r="D16" s="88">
        <f>IFERROR(__xludf.DUMMYFUNCTION("""COMPUTED_VALUE"""),84.8)</f>
        <v>84.8</v>
      </c>
      <c r="E16" s="88">
        <f>IFERROR(__xludf.DUMMYFUNCTION("""COMPUTED_VALUE"""),84.96)</f>
        <v>84.96</v>
      </c>
      <c r="F16" s="88">
        <f>IFERROR(__xludf.DUMMYFUNCTION("""COMPUTED_VALUE"""),5.0358179E7)</f>
        <v>50358179</v>
      </c>
      <c r="G16" s="88">
        <f>IFERROR(__xludf.DUMMYFUNCTION("""COMPUTED_VALUE"""),84.9902875475018)</f>
        <v>84.99028755</v>
      </c>
      <c r="H16" s="88">
        <f>IFERROR(__xludf.DUMMYFUNCTION("""COMPUTED_VALUE"""),85.0299424116322)</f>
        <v>85.02994241</v>
      </c>
      <c r="I16" s="88">
        <f>IFERROR(__xludf.DUMMYFUNCTION("""COMPUTED_VALUE"""),84.0683119564698)</f>
        <v>84.06831196</v>
      </c>
      <c r="J16" s="88">
        <f>IFERROR(__xludf.DUMMYFUNCTION("""COMPUTED_VALUE"""),84.2269314129914)</f>
        <v>84.22693141</v>
      </c>
      <c r="K16" s="88">
        <f>IFERROR(__xludf.DUMMYFUNCTION("""COMPUTED_VALUE"""),5.0358179E7)</f>
        <v>50358179</v>
      </c>
      <c r="L16" s="88">
        <f>IFERROR(__xludf.DUMMYFUNCTION("""COMPUTED_VALUE"""),0.134865)</f>
        <v>0.134865</v>
      </c>
      <c r="M16" s="88">
        <f>IFERROR(__xludf.DUMMYFUNCTION("""COMPUTED_VALUE"""),1.0)</f>
        <v>1</v>
      </c>
    </row>
    <row r="17" ht="13.5" customHeight="1">
      <c r="A17" s="86">
        <f>IFERROR(__xludf.DUMMYFUNCTION("""COMPUTED_VALUE"""),43861.0)</f>
        <v>43861</v>
      </c>
      <c r="B17" s="87">
        <f>IFERROR(__xludf.DUMMYFUNCTION("""COMPUTED_VALUE"""),85.12)</f>
        <v>85.12</v>
      </c>
      <c r="C17">
        <f>IFERROR(__xludf.DUMMYFUNCTION("""COMPUTED_VALUE"""),85.14)</f>
        <v>85.14</v>
      </c>
      <c r="D17" s="88">
        <f>IFERROR(__xludf.DUMMYFUNCTION("""COMPUTED_VALUE"""),84.64)</f>
        <v>84.64</v>
      </c>
      <c r="E17" s="88">
        <f>IFERROR(__xludf.DUMMYFUNCTION("""COMPUTED_VALUE"""),84.67)</f>
        <v>84.67</v>
      </c>
      <c r="F17" s="88">
        <f>IFERROR(__xludf.DUMMYFUNCTION("""COMPUTED_VALUE"""),4.6299954E7)</f>
        <v>46299954</v>
      </c>
      <c r="G17" s="88">
        <f>IFERROR(__xludf.DUMMYFUNCTION("""COMPUTED_VALUE"""),84.2518100460449)</f>
        <v>84.25181005</v>
      </c>
      <c r="H17" s="88">
        <f>IFERROR(__xludf.DUMMYFUNCTION("""COMPUTED_VALUE"""),84.2716060540444)</f>
        <v>84.27160605</v>
      </c>
      <c r="I17" s="88">
        <f>IFERROR(__xludf.DUMMYFUNCTION("""COMPUTED_VALUE"""),83.7767058540559)</f>
        <v>83.77670585</v>
      </c>
      <c r="J17" s="88">
        <f>IFERROR(__xludf.DUMMYFUNCTION("""COMPUTED_VALUE"""),83.8063998660552)</f>
        <v>83.80639987</v>
      </c>
      <c r="K17" s="88">
        <f>IFERROR(__xludf.DUMMYFUNCTION("""COMPUTED_VALUE"""),4.6299954E7)</f>
        <v>46299954</v>
      </c>
      <c r="L17" s="88">
        <f>IFERROR(__xludf.DUMMYFUNCTION("""COMPUTED_VALUE"""),0.0)</f>
        <v>0</v>
      </c>
      <c r="M17" s="88">
        <f>IFERROR(__xludf.DUMMYFUNCTION("""COMPUTED_VALUE"""),1.0)</f>
        <v>1</v>
      </c>
    </row>
    <row r="18" ht="13.5" customHeight="1">
      <c r="A18" s="86">
        <f>IFERROR(__xludf.DUMMYFUNCTION("""COMPUTED_VALUE"""),43830.0)</f>
        <v>43830</v>
      </c>
      <c r="B18" s="87">
        <f>IFERROR(__xludf.DUMMYFUNCTION("""COMPUTED_VALUE"""),84.63)</f>
        <v>84.63</v>
      </c>
      <c r="C18">
        <f>IFERROR(__xludf.DUMMYFUNCTION("""COMPUTED_VALUE"""),84.78)</f>
        <v>84.78</v>
      </c>
      <c r="D18" s="88">
        <f>IFERROR(__xludf.DUMMYFUNCTION("""COMPUTED_VALUE"""),84.47)</f>
        <v>84.47</v>
      </c>
      <c r="E18" s="88">
        <f>IFERROR(__xludf.DUMMYFUNCTION("""COMPUTED_VALUE"""),84.59)</f>
        <v>84.59</v>
      </c>
      <c r="F18" s="88">
        <f>IFERROR(__xludf.DUMMYFUNCTION("""COMPUTED_VALUE"""),3.7429606E7)</f>
        <v>37429606</v>
      </c>
      <c r="G18" s="88">
        <f>IFERROR(__xludf.DUMMYFUNCTION("""COMPUTED_VALUE"""),83.7668078500561)</f>
        <v>83.76680785</v>
      </c>
      <c r="H18" s="88">
        <f>IFERROR(__xludf.DUMMYFUNCTION("""COMPUTED_VALUE"""),83.8063998660552)</f>
        <v>83.80639987</v>
      </c>
      <c r="I18" s="88">
        <f>IFERROR(__xludf.DUMMYFUNCTION("""COMPUTED_VALUE"""),83.5230242630717)</f>
        <v>83.52302426</v>
      </c>
      <c r="J18" s="88">
        <f>IFERROR(__xludf.DUMMYFUNCTION("""COMPUTED_VALUE"""),83.5921985614439)</f>
        <v>83.59219856</v>
      </c>
      <c r="K18" s="88">
        <f>IFERROR(__xludf.DUMMYFUNCTION("""COMPUTED_VALUE"""),3.7429606E7)</f>
        <v>37429606</v>
      </c>
      <c r="L18" s="88">
        <f>IFERROR(__xludf.DUMMYFUNCTION("""COMPUTED_VALUE"""),0.270667)</f>
        <v>0.270667</v>
      </c>
      <c r="M18" s="88">
        <f>IFERROR(__xludf.DUMMYFUNCTION("""COMPUTED_VALUE"""),1.0)</f>
        <v>1</v>
      </c>
    </row>
    <row r="19" ht="13.5" customHeight="1">
      <c r="A19" s="86">
        <f>IFERROR(__xludf.DUMMYFUNCTION("""COMPUTED_VALUE"""),43798.0)</f>
        <v>43798</v>
      </c>
      <c r="B19" s="87">
        <f>IFERROR(__xludf.DUMMYFUNCTION("""COMPUTED_VALUE"""),84.77)</f>
        <v>84.77</v>
      </c>
      <c r="C19">
        <f>IFERROR(__xludf.DUMMYFUNCTION("""COMPUTED_VALUE"""),84.81)</f>
        <v>84.81</v>
      </c>
      <c r="D19" s="88">
        <f>IFERROR(__xludf.DUMMYFUNCTION("""COMPUTED_VALUE"""),84.54)</f>
        <v>84.54</v>
      </c>
      <c r="E19" s="88">
        <f>IFERROR(__xludf.DUMMYFUNCTION("""COMPUTED_VALUE"""),84.78)</f>
        <v>84.78</v>
      </c>
      <c r="F19" s="88">
        <f>IFERROR(__xludf.DUMMYFUNCTION("""COMPUTED_VALUE"""),4.1328926E7)</f>
        <v>41328926</v>
      </c>
      <c r="G19" s="88">
        <f>IFERROR(__xludf.DUMMYFUNCTION("""COMPUTED_VALUE"""),83.6374820931285)</f>
        <v>83.63748209</v>
      </c>
      <c r="H19" s="88">
        <f>IFERROR(__xludf.DUMMYFUNCTION("""COMPUTED_VALUE"""),83.6769476975137)</f>
        <v>83.6769477</v>
      </c>
      <c r="I19" s="88">
        <f>IFERROR(__xludf.DUMMYFUNCTION("""COMPUTED_VALUE"""),83.4105548679142)</f>
        <v>83.41055487</v>
      </c>
      <c r="J19" s="88">
        <f>IFERROR(__xludf.DUMMYFUNCTION("""COMPUTED_VALUE"""),83.6473484942248)</f>
        <v>83.64734849</v>
      </c>
      <c r="K19" s="88">
        <f>IFERROR(__xludf.DUMMYFUNCTION("""COMPUTED_VALUE"""),4.1328926E7)</f>
        <v>41328926</v>
      </c>
      <c r="L19" s="88">
        <f>IFERROR(__xludf.DUMMYFUNCTION("""COMPUTED_VALUE"""),0.139555)</f>
        <v>0.139555</v>
      </c>
      <c r="M19" s="88">
        <f>IFERROR(__xludf.DUMMYFUNCTION("""COMPUTED_VALUE"""),1.0)</f>
        <v>1</v>
      </c>
    </row>
    <row r="20">
      <c r="A20" s="86">
        <f>IFERROR(__xludf.DUMMYFUNCTION("""COMPUTED_VALUE"""),43769.0)</f>
        <v>43769</v>
      </c>
      <c r="B20" s="87">
        <f>IFERROR(__xludf.DUMMYFUNCTION("""COMPUTED_VALUE"""),84.95)</f>
        <v>84.95</v>
      </c>
      <c r="C20">
        <f>IFERROR(__xludf.DUMMYFUNCTION("""COMPUTED_VALUE"""),85.07)</f>
        <v>85.07</v>
      </c>
      <c r="D20" s="88">
        <f>IFERROR(__xludf.DUMMYFUNCTION("""COMPUTED_VALUE"""),84.62)</f>
        <v>84.62</v>
      </c>
      <c r="E20" s="88">
        <f>IFERROR(__xludf.DUMMYFUNCTION("""COMPUTED_VALUE"""),84.62)</f>
        <v>84.62</v>
      </c>
      <c r="F20" s="88">
        <f>IFERROR(__xludf.DUMMYFUNCTION("""COMPUTED_VALUE"""),4.6536621E7)</f>
        <v>46536621</v>
      </c>
      <c r="G20" s="88">
        <f>IFERROR(__xludf.DUMMYFUNCTION("""COMPUTED_VALUE"""),83.6773049403868)</f>
        <v>83.67730494</v>
      </c>
      <c r="H20" s="88">
        <f>IFERROR(__xludf.DUMMYFUNCTION("""COMPUTED_VALUE"""),83.7955071368888)</f>
        <v>83.79550714</v>
      </c>
      <c r="I20" s="88">
        <f>IFERROR(__xludf.DUMMYFUNCTION("""COMPUTED_VALUE"""),83.3522489000063)</f>
        <v>83.3522489</v>
      </c>
      <c r="J20" s="88">
        <f>IFERROR(__xludf.DUMMYFUNCTION("""COMPUTED_VALUE"""),83.3522489000063)</f>
        <v>83.3522489</v>
      </c>
      <c r="K20" s="88">
        <f>IFERROR(__xludf.DUMMYFUNCTION("""COMPUTED_VALUE"""),4.6536621E7)</f>
        <v>46536621</v>
      </c>
      <c r="L20" s="88">
        <f>IFERROR(__xludf.DUMMYFUNCTION("""COMPUTED_VALUE"""),0.135)</f>
        <v>0.135</v>
      </c>
      <c r="M20" s="88">
        <f>IFERROR(__xludf.DUMMYFUNCTION("""COMPUTED_VALUE"""),1.0)</f>
        <v>1</v>
      </c>
    </row>
    <row r="21">
      <c r="A21" s="86">
        <f>IFERROR(__xludf.DUMMYFUNCTION("""COMPUTED_VALUE"""),43738.0)</f>
        <v>43738</v>
      </c>
      <c r="B21" s="87">
        <f>IFERROR(__xludf.DUMMYFUNCTION("""COMPUTED_VALUE"""),84.82)</f>
        <v>84.82</v>
      </c>
      <c r="C21">
        <f>IFERROR(__xludf.DUMMYFUNCTION("""COMPUTED_VALUE"""),85.07)</f>
        <v>85.07</v>
      </c>
      <c r="D21" s="88">
        <f>IFERROR(__xludf.DUMMYFUNCTION("""COMPUTED_VALUE"""),84.48)</f>
        <v>84.48</v>
      </c>
      <c r="E21" s="88">
        <f>IFERROR(__xludf.DUMMYFUNCTION("""COMPUTED_VALUE"""),84.95)</f>
        <v>84.95</v>
      </c>
      <c r="F21" s="88">
        <f>IFERROR(__xludf.DUMMYFUNCTION("""COMPUTED_VALUE"""),4.8964496E7)</f>
        <v>48964496</v>
      </c>
      <c r="G21" s="88">
        <f>IFERROR(__xludf.DUMMYFUNCTION("""COMPUTED_VALUE"""),83.4164238604282)</f>
        <v>83.41642386</v>
      </c>
      <c r="H21" s="88">
        <f>IFERROR(__xludf.DUMMYFUNCTION("""COMPUTED_VALUE"""),83.6622869347634)</f>
        <v>83.66228693</v>
      </c>
      <c r="I21" s="88">
        <f>IFERROR(__xludf.DUMMYFUNCTION("""COMPUTED_VALUE"""),83.0820500793324)</f>
        <v>83.08205008</v>
      </c>
      <c r="J21" s="88">
        <f>IFERROR(__xludf.DUMMYFUNCTION("""COMPUTED_VALUE"""),83.5442726590825)</f>
        <v>83.54427266</v>
      </c>
      <c r="K21" s="88">
        <f>IFERROR(__xludf.DUMMYFUNCTION("""COMPUTED_VALUE"""),4.8964496E7)</f>
        <v>48964496</v>
      </c>
      <c r="L21" s="88">
        <f>IFERROR(__xludf.DUMMYFUNCTION("""COMPUTED_VALUE"""),0.146225)</f>
        <v>0.146225</v>
      </c>
      <c r="M21" s="88">
        <f>IFERROR(__xludf.DUMMYFUNCTION("""COMPUTED_VALUE"""),1.0)</f>
        <v>1</v>
      </c>
    </row>
    <row r="22">
      <c r="A22" s="86">
        <f>IFERROR(__xludf.DUMMYFUNCTION("""COMPUTED_VALUE"""),43707.0)</f>
        <v>43707</v>
      </c>
      <c r="B22" s="87">
        <f>IFERROR(__xludf.DUMMYFUNCTION("""COMPUTED_VALUE"""),85.08)</f>
        <v>85.08</v>
      </c>
      <c r="C22">
        <f>IFERROR(__xludf.DUMMYFUNCTION("""COMPUTED_VALUE"""),85.12)</f>
        <v>85.12</v>
      </c>
      <c r="D22" s="88">
        <f>IFERROR(__xludf.DUMMYFUNCTION("""COMPUTED_VALUE"""),84.45)</f>
        <v>84.45</v>
      </c>
      <c r="E22" s="88">
        <f>IFERROR(__xludf.DUMMYFUNCTION("""COMPUTED_VALUE"""),84.46)</f>
        <v>84.46</v>
      </c>
      <c r="F22" s="88">
        <f>IFERROR(__xludf.DUMMYFUNCTION("""COMPUTED_VALUE"""),5.2803088E7)</f>
        <v>52803088</v>
      </c>
      <c r="G22" s="88">
        <f>IFERROR(__xludf.DUMMYFUNCTION("""COMPUTED_VALUE"""),83.5284279944017)</f>
        <v>83.52842799</v>
      </c>
      <c r="H22" s="88">
        <f>IFERROR(__xludf.DUMMYFUNCTION("""COMPUTED_VALUE"""),83.5676985294249)</f>
        <v>83.56769853</v>
      </c>
      <c r="I22" s="88">
        <f>IFERROR(__xludf.DUMMYFUNCTION("""COMPUTED_VALUE"""),82.9099170677859)</f>
        <v>82.90991707</v>
      </c>
      <c r="J22" s="88">
        <f>IFERROR(__xludf.DUMMYFUNCTION("""COMPUTED_VALUE"""),82.9197347015417)</f>
        <v>82.9197347</v>
      </c>
      <c r="K22" s="88">
        <f>IFERROR(__xludf.DUMMYFUNCTION("""COMPUTED_VALUE"""),5.2803088E7)</f>
        <v>52803088</v>
      </c>
      <c r="L22" s="88">
        <f>IFERROR(__xludf.DUMMYFUNCTION("""COMPUTED_VALUE"""),0.150023)</f>
        <v>0.150023</v>
      </c>
      <c r="M22" s="88">
        <f>IFERROR(__xludf.DUMMYFUNCTION("""COMPUTED_VALUE"""),1.0)</f>
        <v>1</v>
      </c>
    </row>
    <row r="23">
      <c r="A23" s="86">
        <f>IFERROR(__xludf.DUMMYFUNCTION("""COMPUTED_VALUE"""),43677.0)</f>
        <v>43677</v>
      </c>
      <c r="B23" s="87">
        <f>IFERROR(__xludf.DUMMYFUNCTION("""COMPUTED_VALUE"""),84.57)</f>
        <v>84.57</v>
      </c>
      <c r="C23">
        <f>IFERROR(__xludf.DUMMYFUNCTION("""COMPUTED_VALUE"""),84.7)</f>
        <v>84.7</v>
      </c>
      <c r="D23" s="88">
        <f>IFERROR(__xludf.DUMMYFUNCTION("""COMPUTED_VALUE"""),84.4)</f>
        <v>84.4</v>
      </c>
      <c r="E23" s="88">
        <f>IFERROR(__xludf.DUMMYFUNCTION("""COMPUTED_VALUE"""),84.63)</f>
        <v>84.63</v>
      </c>
      <c r="F23" s="88">
        <f>IFERROR(__xludf.DUMMYFUNCTION("""COMPUTED_VALUE"""),3.5824464E7)</f>
        <v>35824464</v>
      </c>
      <c r="G23" s="88">
        <f>IFERROR(__xludf.DUMMYFUNCTION("""COMPUTED_VALUE"""),82.8808584268861)</f>
        <v>82.88085843</v>
      </c>
      <c r="H23" s="88">
        <f>IFERROR(__xludf.DUMMYFUNCTION("""COMPUTED_VALUE"""),83.0082618985131)</f>
        <v>83.0082619</v>
      </c>
      <c r="I23" s="88">
        <f>IFERROR(__xludf.DUMMYFUNCTION("""COMPUTED_VALUE"""),82.7142538870662)</f>
        <v>82.71425389</v>
      </c>
      <c r="J23" s="88">
        <f>IFERROR(__xludf.DUMMYFUNCTION("""COMPUTED_VALUE"""),82.9396600291755)</f>
        <v>82.93966003</v>
      </c>
      <c r="K23" s="88">
        <f>IFERROR(__xludf.DUMMYFUNCTION("""COMPUTED_VALUE"""),3.5824464E7)</f>
        <v>35824464</v>
      </c>
      <c r="L23" s="88">
        <f>IFERROR(__xludf.DUMMYFUNCTION("""COMPUTED_VALUE"""),0.155947)</f>
        <v>0.155947</v>
      </c>
      <c r="M23" s="88">
        <f>IFERROR(__xludf.DUMMYFUNCTION("""COMPUTED_VALUE"""),1.0)</f>
        <v>1</v>
      </c>
    </row>
    <row r="24">
      <c r="A24" s="86">
        <f>IFERROR(__xludf.DUMMYFUNCTION("""COMPUTED_VALUE"""),43644.0)</f>
        <v>43644</v>
      </c>
      <c r="B24" s="87">
        <f>IFERROR(__xludf.DUMMYFUNCTION("""COMPUTED_VALUE"""),84.78)</f>
        <v>84.78</v>
      </c>
      <c r="C24">
        <f>IFERROR(__xludf.DUMMYFUNCTION("""COMPUTED_VALUE"""),84.85)</f>
        <v>84.85</v>
      </c>
      <c r="D24" s="88">
        <f>IFERROR(__xludf.DUMMYFUNCTION("""COMPUTED_VALUE"""),84.42)</f>
        <v>84.42</v>
      </c>
      <c r="E24" s="88">
        <f>IFERROR(__xludf.DUMMYFUNCTION("""COMPUTED_VALUE"""),84.47)</f>
        <v>84.47</v>
      </c>
      <c r="F24" s="88">
        <f>IFERROR(__xludf.DUMMYFUNCTION("""COMPUTED_VALUE"""),1.01896878E8)</f>
        <v>101896878</v>
      </c>
      <c r="G24" s="88">
        <f>IFERROR(__xludf.DUMMYFUNCTION("""COMPUTED_VALUE"""),82.9337343072885)</f>
        <v>82.93373431</v>
      </c>
      <c r="H24" s="88">
        <f>IFERROR(__xludf.DUMMYFUNCTION("""COMPUTED_VALUE"""),83.0022099076837)</f>
        <v>83.00220991</v>
      </c>
      <c r="I24" s="88">
        <f>IFERROR(__xludf.DUMMYFUNCTION("""COMPUTED_VALUE"""),82.5815740766843)</f>
        <v>82.58157408</v>
      </c>
      <c r="J24" s="88">
        <f>IFERROR(__xludf.DUMMYFUNCTION("""COMPUTED_VALUE"""),82.6304852198237)</f>
        <v>82.63048522</v>
      </c>
      <c r="K24" s="88">
        <f>IFERROR(__xludf.DUMMYFUNCTION("""COMPUTED_VALUE"""),1.01896878E8)</f>
        <v>101896878</v>
      </c>
      <c r="L24" s="88">
        <f>IFERROR(__xludf.DUMMYFUNCTION("""COMPUTED_VALUE"""),0.168676)</f>
        <v>0.168676</v>
      </c>
      <c r="M24" s="88">
        <f>IFERROR(__xludf.DUMMYFUNCTION("""COMPUTED_VALUE"""),1.0)</f>
        <v>1</v>
      </c>
    </row>
    <row r="25">
      <c r="A25" s="86">
        <f>IFERROR(__xludf.DUMMYFUNCTION("""COMPUTED_VALUE"""),43616.0)</f>
        <v>43616</v>
      </c>
      <c r="B25" s="87">
        <f>IFERROR(__xludf.DUMMYFUNCTION("""COMPUTED_VALUE"""),84.56)</f>
        <v>84.56</v>
      </c>
      <c r="C25">
        <f>IFERROR(__xludf.DUMMYFUNCTION("""COMPUTED_VALUE"""),84.59)</f>
        <v>84.59</v>
      </c>
      <c r="D25" s="88">
        <f>IFERROR(__xludf.DUMMYFUNCTION("""COMPUTED_VALUE"""),83.84)</f>
        <v>83.84</v>
      </c>
      <c r="E25" s="88">
        <f>IFERROR(__xludf.DUMMYFUNCTION("""COMPUTED_VALUE"""),83.93)</f>
        <v>83.93</v>
      </c>
      <c r="F25" s="88">
        <f>IFERROR(__xludf.DUMMYFUNCTION("""COMPUTED_VALUE"""),4.9160935E7)</f>
        <v>49160935</v>
      </c>
      <c r="G25" s="88">
        <f>IFERROR(__xludf.DUMMYFUNCTION("""COMPUTED_VALUE"""),82.5538316039133)</f>
        <v>82.5538316</v>
      </c>
      <c r="H25" s="88">
        <f>IFERROR(__xludf.DUMMYFUNCTION("""COMPUTED_VALUE"""),82.5831198601588)</f>
        <v>82.58311986</v>
      </c>
      <c r="I25" s="88">
        <f>IFERROR(__xludf.DUMMYFUNCTION("""COMPUTED_VALUE"""),81.8509134540219)</f>
        <v>81.85091345</v>
      </c>
      <c r="J25" s="88">
        <f>IFERROR(__xludf.DUMMYFUNCTION("""COMPUTED_VALUE"""),81.9387782227583)</f>
        <v>81.93877822</v>
      </c>
      <c r="K25" s="88">
        <f>IFERROR(__xludf.DUMMYFUNCTION("""COMPUTED_VALUE"""),4.9160935E7)</f>
        <v>49160935</v>
      </c>
      <c r="L25" s="88">
        <f>IFERROR(__xludf.DUMMYFUNCTION("""COMPUTED_VALUE"""),0.156364)</f>
        <v>0.156364</v>
      </c>
      <c r="M25" s="88">
        <f>IFERROR(__xludf.DUMMYFUNCTION("""COMPUTED_VALUE"""),1.0)</f>
        <v>1</v>
      </c>
    </row>
    <row r="26">
      <c r="A26" s="86">
        <f>IFERROR(__xludf.DUMMYFUNCTION("""COMPUTED_VALUE"""),43585.0)</f>
        <v>43585</v>
      </c>
      <c r="B26" s="87">
        <f>IFERROR(__xludf.DUMMYFUNCTION("""COMPUTED_VALUE"""),84.11)</f>
        <v>84.11</v>
      </c>
      <c r="C26">
        <f>IFERROR(__xludf.DUMMYFUNCTION("""COMPUTED_VALUE"""),84.11)</f>
        <v>84.11</v>
      </c>
      <c r="D26" s="88">
        <f>IFERROR(__xludf.DUMMYFUNCTION("""COMPUTED_VALUE"""),83.81)</f>
        <v>83.81</v>
      </c>
      <c r="E26" s="88">
        <f>IFERROR(__xludf.DUMMYFUNCTION("""COMPUTED_VALUE"""),83.91)</f>
        <v>83.91</v>
      </c>
      <c r="F26" s="88">
        <f>IFERROR(__xludf.DUMMYFUNCTION("""COMPUTED_VALUE"""),5.6026864E7)</f>
        <v>56026864</v>
      </c>
      <c r="G26" s="88">
        <f>IFERROR(__xludf.DUMMYFUNCTION("""COMPUTED_VALUE"""),81.9617197018209)</f>
        <v>81.9617197</v>
      </c>
      <c r="H26" s="88">
        <f>IFERROR(__xludf.DUMMYFUNCTION("""COMPUTED_VALUE"""),81.9617197018209)</f>
        <v>81.9617197</v>
      </c>
      <c r="I26" s="88">
        <f>IFERROR(__xludf.DUMMYFUNCTION("""COMPUTED_VALUE"""),81.6693820973678)</f>
        <v>81.6693821</v>
      </c>
      <c r="J26" s="88">
        <f>IFERROR(__xludf.DUMMYFUNCTION("""COMPUTED_VALUE"""),81.7668279655188)</f>
        <v>81.76682797</v>
      </c>
      <c r="K26" s="88">
        <f>IFERROR(__xludf.DUMMYFUNCTION("""COMPUTED_VALUE"""),5.6026864E7)</f>
        <v>56026864</v>
      </c>
      <c r="L26" s="88">
        <f>IFERROR(__xludf.DUMMYFUNCTION("""COMPUTED_VALUE"""),0.163781)</f>
        <v>0.163781</v>
      </c>
      <c r="M26" s="88">
        <f>IFERROR(__xludf.DUMMYFUNCTION("""COMPUTED_VALUE"""),1.0)</f>
        <v>1</v>
      </c>
    </row>
    <row r="27">
      <c r="A27" s="86">
        <f>IFERROR(__xludf.DUMMYFUNCTION("""COMPUTED_VALUE"""),43553.0)</f>
        <v>43553</v>
      </c>
      <c r="B27" s="87">
        <f>IFERROR(__xludf.DUMMYFUNCTION("""COMPUTED_VALUE"""),84.12)</f>
        <v>84.12</v>
      </c>
      <c r="C27">
        <f>IFERROR(__xludf.DUMMYFUNCTION("""COMPUTED_VALUE"""),84.21)</f>
        <v>84.21</v>
      </c>
      <c r="D27" s="88">
        <f>IFERROR(__xludf.DUMMYFUNCTION("""COMPUTED_VALUE"""),83.52)</f>
        <v>83.52</v>
      </c>
      <c r="E27" s="88">
        <f>IFERROR(__xludf.DUMMYFUNCTION("""COMPUTED_VALUE"""),83.56)</f>
        <v>83.56</v>
      </c>
      <c r="F27" s="88">
        <f>IFERROR(__xludf.DUMMYFUNCTION("""COMPUTED_VALUE"""),5.6555307E7)</f>
        <v>56555307</v>
      </c>
      <c r="G27" s="88">
        <f>IFERROR(__xludf.DUMMYFUNCTION("""COMPUTED_VALUE"""),81.811702723312)</f>
        <v>81.81170272</v>
      </c>
      <c r="H27" s="88">
        <f>IFERROR(__xludf.DUMMYFUNCTION("""COMPUTED_VALUE"""),81.8992330757263)</f>
        <v>81.89923308</v>
      </c>
      <c r="I27" s="88">
        <f>IFERROR(__xludf.DUMMYFUNCTION("""COMPUTED_VALUE"""),81.2281670405494)</f>
        <v>81.22816704</v>
      </c>
      <c r="J27" s="88">
        <f>IFERROR(__xludf.DUMMYFUNCTION("""COMPUTED_VALUE"""),81.2670694194002)</f>
        <v>81.26706942</v>
      </c>
      <c r="K27" s="88">
        <f>IFERROR(__xludf.DUMMYFUNCTION("""COMPUTED_VALUE"""),5.6555307E7)</f>
        <v>56555307</v>
      </c>
      <c r="L27" s="88">
        <f>IFERROR(__xludf.DUMMYFUNCTION("""COMPUTED_VALUE"""),0.15434)</f>
        <v>0.15434</v>
      </c>
      <c r="M27" s="88">
        <f>IFERROR(__xludf.DUMMYFUNCTION("""COMPUTED_VALUE"""),1.0)</f>
        <v>1</v>
      </c>
    </row>
    <row r="28">
      <c r="A28" s="86">
        <f>IFERROR(__xludf.DUMMYFUNCTION("""COMPUTED_VALUE"""),43524.0)</f>
        <v>43524</v>
      </c>
      <c r="B28" s="87">
        <f>IFERROR(__xludf.DUMMYFUNCTION("""COMPUTED_VALUE"""),83.75)</f>
        <v>83.75</v>
      </c>
      <c r="C28">
        <f>IFERROR(__xludf.DUMMYFUNCTION("""COMPUTED_VALUE"""),83.79)</f>
        <v>83.79</v>
      </c>
      <c r="D28" s="88">
        <f>IFERROR(__xludf.DUMMYFUNCTION("""COMPUTED_VALUE"""),83.56)</f>
        <v>83.56</v>
      </c>
      <c r="E28" s="88">
        <f>IFERROR(__xludf.DUMMYFUNCTION("""COMPUTED_VALUE"""),83.64)</f>
        <v>83.64</v>
      </c>
      <c r="F28" s="88">
        <f>IFERROR(__xludf.DUMMYFUNCTION("""COMPUTED_VALUE"""),7.545723E7)</f>
        <v>75457230</v>
      </c>
      <c r="G28" s="88">
        <f>IFERROR(__xludf.DUMMYFUNCTION("""COMPUTED_VALUE"""),81.3016510645808)</f>
        <v>81.30165106</v>
      </c>
      <c r="H28" s="88">
        <f>IFERROR(__xludf.DUMMYFUNCTION("""COMPUTED_VALUE"""),81.3404817038953)</f>
        <v>81.3404817</v>
      </c>
      <c r="I28" s="88">
        <f>IFERROR(__xludf.DUMMYFUNCTION("""COMPUTED_VALUE"""),81.1172055278373)</f>
        <v>81.11720553</v>
      </c>
      <c r="J28" s="88">
        <f>IFERROR(__xludf.DUMMYFUNCTION("""COMPUTED_VALUE"""),81.1948668064662)</f>
        <v>81.19486681</v>
      </c>
      <c r="K28" s="88">
        <f>IFERROR(__xludf.DUMMYFUNCTION("""COMPUTED_VALUE"""),7.545723E7)</f>
        <v>75457230</v>
      </c>
      <c r="L28" s="88">
        <f>IFERROR(__xludf.DUMMYFUNCTION("""COMPUTED_VALUE"""),0.152213)</f>
        <v>0.152213</v>
      </c>
      <c r="M28" s="88">
        <f>IFERROR(__xludf.DUMMYFUNCTION("""COMPUTED_VALUE"""),1.0)</f>
        <v>1</v>
      </c>
    </row>
    <row r="29">
      <c r="A29" s="86">
        <f>IFERROR(__xludf.DUMMYFUNCTION("""COMPUTED_VALUE"""),43496.0)</f>
        <v>43496</v>
      </c>
      <c r="B29" s="87">
        <f>IFERROR(__xludf.DUMMYFUNCTION("""COMPUTED_VALUE"""),83.83)</f>
        <v>83.83</v>
      </c>
      <c r="C29">
        <f>IFERROR(__xludf.DUMMYFUNCTION("""COMPUTED_VALUE"""),83.85)</f>
        <v>83.85</v>
      </c>
      <c r="D29" s="88">
        <f>IFERROR(__xludf.DUMMYFUNCTION("""COMPUTED_VALUE"""),83.43)</f>
        <v>83.43</v>
      </c>
      <c r="E29" s="88">
        <f>IFERROR(__xludf.DUMMYFUNCTION("""COMPUTED_VALUE"""),83.63)</f>
        <v>83.63</v>
      </c>
      <c r="F29" s="88">
        <f>IFERROR(__xludf.DUMMYFUNCTION("""COMPUTED_VALUE"""),8.401101E7)</f>
        <v>84011010</v>
      </c>
      <c r="G29" s="88">
        <f>IFERROR(__xludf.DUMMYFUNCTION("""COMPUTED_VALUE"""),81.2313765748132)</f>
        <v>81.23137657</v>
      </c>
      <c r="H29" s="88">
        <f>IFERROR(__xludf.DUMMYFUNCTION("""COMPUTED_VALUE"""),81.2507566002396)</f>
        <v>81.2507566</v>
      </c>
      <c r="I29" s="88">
        <f>IFERROR(__xludf.DUMMYFUNCTION("""COMPUTED_VALUE"""),80.8437760662849)</f>
        <v>80.84377607</v>
      </c>
      <c r="J29" s="88">
        <f>IFERROR(__xludf.DUMMYFUNCTION("""COMPUTED_VALUE"""),81.037576320549)</f>
        <v>81.03757632</v>
      </c>
      <c r="K29" s="88">
        <f>IFERROR(__xludf.DUMMYFUNCTION("""COMPUTED_VALUE"""),8.401101E7)</f>
        <v>84011010</v>
      </c>
      <c r="L29" s="88">
        <f>IFERROR(__xludf.DUMMYFUNCTION("""COMPUTED_VALUE"""),0.0)</f>
        <v>0</v>
      </c>
      <c r="M29" s="88">
        <f>IFERROR(__xludf.DUMMYFUNCTION("""COMPUTED_VALUE"""),1.0)</f>
        <v>1</v>
      </c>
    </row>
    <row r="30">
      <c r="A30" s="86">
        <f>IFERROR(__xludf.DUMMYFUNCTION("""COMPUTED_VALUE"""),43465.0)</f>
        <v>43465</v>
      </c>
      <c r="B30" s="87">
        <f>IFERROR(__xludf.DUMMYFUNCTION("""COMPUTED_VALUE"""),83.62)</f>
        <v>83.62</v>
      </c>
      <c r="C30">
        <f>IFERROR(__xludf.DUMMYFUNCTION("""COMPUTED_VALUE"""),83.67)</f>
        <v>83.67</v>
      </c>
      <c r="D30" s="88">
        <f>IFERROR(__xludf.DUMMYFUNCTION("""COMPUTED_VALUE"""),83.04)</f>
        <v>83.04</v>
      </c>
      <c r="E30" s="88">
        <f>IFERROR(__xludf.DUMMYFUNCTION("""COMPUTED_VALUE"""),83.06)</f>
        <v>83.06</v>
      </c>
      <c r="F30" s="88">
        <f>IFERROR(__xludf.DUMMYFUNCTION("""COMPUTED_VALUE"""),1.08534088E8)</f>
        <v>108534088</v>
      </c>
      <c r="G30" s="88">
        <f>IFERROR(__xludf.DUMMYFUNCTION("""COMPUTED_VALUE"""),81.0278863078358)</f>
        <v>81.02788631</v>
      </c>
      <c r="H30" s="88">
        <f>IFERROR(__xludf.DUMMYFUNCTION("""COMPUTED_VALUE"""),81.0763363714019)</f>
        <v>81.07633637</v>
      </c>
      <c r="I30" s="88">
        <f>IFERROR(__xludf.DUMMYFUNCTION("""COMPUTED_VALUE"""),80.3513417635671)</f>
        <v>80.35134176</v>
      </c>
      <c r="J30" s="88">
        <f>IFERROR(__xludf.DUMMYFUNCTION("""COMPUTED_VALUE"""),80.3706942061884)</f>
        <v>80.37069421</v>
      </c>
      <c r="K30" s="88">
        <f>IFERROR(__xludf.DUMMYFUNCTION("""COMPUTED_VALUE"""),1.08534088E8)</f>
        <v>108534088</v>
      </c>
      <c r="L30" s="88">
        <f>IFERROR(__xludf.DUMMYFUNCTION("""COMPUTED_VALUE"""),0.261059999999999)</f>
        <v>0.26106</v>
      </c>
      <c r="M30" s="88">
        <f>IFERROR(__xludf.DUMMYFUNCTION("""COMPUTED_VALUE"""),1.0)</f>
        <v>1</v>
      </c>
    </row>
    <row r="31">
      <c r="A31" s="86">
        <f>IFERROR(__xludf.DUMMYFUNCTION("""COMPUTED_VALUE"""),43434.0)</f>
        <v>43434</v>
      </c>
      <c r="B31" s="87">
        <f>IFERROR(__xludf.DUMMYFUNCTION("""COMPUTED_VALUE"""),83.25)</f>
        <v>83.25</v>
      </c>
      <c r="C31">
        <f>IFERROR(__xludf.DUMMYFUNCTION("""COMPUTED_VALUE"""),83.27)</f>
        <v>83.27</v>
      </c>
      <c r="D31" s="88">
        <f>IFERROR(__xludf.DUMMYFUNCTION("""COMPUTED_VALUE"""),82.83)</f>
        <v>82.83</v>
      </c>
      <c r="E31" s="88">
        <f>IFERROR(__xludf.DUMMYFUNCTION("""COMPUTED_VALUE"""),82.96)</f>
        <v>82.96</v>
      </c>
      <c r="F31" s="88">
        <f>IFERROR(__xludf.DUMMYFUNCTION("""COMPUTED_VALUE"""),5.7003792E7)</f>
        <v>57003792</v>
      </c>
      <c r="G31" s="88">
        <f>IFERROR(__xludf.DUMMYFUNCTION("""COMPUTED_VALUE"""),80.4167328834776)</f>
        <v>80.41673288</v>
      </c>
      <c r="H31" s="88">
        <f>IFERROR(__xludf.DUMMYFUNCTION("""COMPUTED_VALUE"""),80.4360522187049)</f>
        <v>80.43605222</v>
      </c>
      <c r="I31" s="88">
        <f>IFERROR(__xludf.DUMMYFUNCTION("""COMPUTED_VALUE"""),80.0110268437051)</f>
        <v>80.01102684</v>
      </c>
      <c r="J31" s="88">
        <f>IFERROR(__xludf.DUMMYFUNCTION("""COMPUTED_VALUE"""),80.1366025226823)</f>
        <v>80.13660252</v>
      </c>
      <c r="K31" s="88">
        <f>IFERROR(__xludf.DUMMYFUNCTION("""COMPUTED_VALUE"""),5.7003792E7)</f>
        <v>57003792</v>
      </c>
      <c r="L31" s="88">
        <f>IFERROR(__xludf.DUMMYFUNCTION("""COMPUTED_VALUE"""),0.145529)</f>
        <v>0.145529</v>
      </c>
      <c r="M31" s="88">
        <f>IFERROR(__xludf.DUMMYFUNCTION("""COMPUTED_VALUE"""),1.0)</f>
        <v>1</v>
      </c>
    </row>
    <row r="32">
      <c r="A32" s="86">
        <f>IFERROR(__xludf.DUMMYFUNCTION("""COMPUTED_VALUE"""),43404.0)</f>
        <v>43404</v>
      </c>
      <c r="B32" s="87">
        <f>IFERROR(__xludf.DUMMYFUNCTION("""COMPUTED_VALUE"""),83.08)</f>
        <v>83.08</v>
      </c>
      <c r="C32">
        <f>IFERROR(__xludf.DUMMYFUNCTION("""COMPUTED_VALUE"""),83.19)</f>
        <v>83.19</v>
      </c>
      <c r="D32" s="88">
        <f>IFERROR(__xludf.DUMMYFUNCTION("""COMPUTED_VALUE"""),82.86)</f>
        <v>82.86</v>
      </c>
      <c r="E32" s="88">
        <f>IFERROR(__xludf.DUMMYFUNCTION("""COMPUTED_VALUE"""),82.96)</f>
        <v>82.96</v>
      </c>
      <c r="F32" s="88">
        <f>IFERROR(__xludf.DUMMYFUNCTION("""COMPUTED_VALUE"""),6.9654372E7)</f>
        <v>69654372</v>
      </c>
      <c r="G32" s="88">
        <f>IFERROR(__xludf.DUMMYFUNCTION("""COMPUTED_VALUE"""),80.1120193527446)</f>
        <v>80.11201935</v>
      </c>
      <c r="H32" s="88">
        <f>IFERROR(__xludf.DUMMYFUNCTION("""COMPUTED_VALUE"""),80.2180896720609)</f>
        <v>80.21808967</v>
      </c>
      <c r="I32" s="88">
        <f>IFERROR(__xludf.DUMMYFUNCTION("""COMPUTED_VALUE"""),79.8998787141119)</f>
        <v>79.89987871</v>
      </c>
      <c r="J32" s="88">
        <f>IFERROR(__xludf.DUMMYFUNCTION("""COMPUTED_VALUE"""),79.9963062771267)</f>
        <v>79.99630628</v>
      </c>
      <c r="K32" s="88">
        <f>IFERROR(__xludf.DUMMYFUNCTION("""COMPUTED_VALUE"""),6.9654372E7)</f>
        <v>69654372</v>
      </c>
      <c r="L32" s="88">
        <f>IFERROR(__xludf.DUMMYFUNCTION("""COMPUTED_VALUE"""),0.136928)</f>
        <v>0.136928</v>
      </c>
      <c r="M32" s="88">
        <f>IFERROR(__xludf.DUMMYFUNCTION("""COMPUTED_VALUE"""),1.0)</f>
        <v>1</v>
      </c>
    </row>
    <row r="33">
      <c r="A33" s="86">
        <f>IFERROR(__xludf.DUMMYFUNCTION("""COMPUTED_VALUE"""),43371.0)</f>
        <v>43371</v>
      </c>
      <c r="B33" s="87">
        <f>IFERROR(__xludf.DUMMYFUNCTION("""COMPUTED_VALUE"""),83.09)</f>
        <v>83.09</v>
      </c>
      <c r="C33">
        <f>IFERROR(__xludf.DUMMYFUNCTION("""COMPUTED_VALUE"""),83.25)</f>
        <v>83.25</v>
      </c>
      <c r="D33" s="88">
        <f>IFERROR(__xludf.DUMMYFUNCTION("""COMPUTED_VALUE"""),83.0)</f>
        <v>83</v>
      </c>
      <c r="E33" s="88">
        <f>IFERROR(__xludf.DUMMYFUNCTION("""COMPUTED_VALUE"""),83.2)</f>
        <v>83.2</v>
      </c>
      <c r="F33" s="88">
        <f>IFERROR(__xludf.DUMMYFUNCTION("""COMPUTED_VALUE"""),2.4821545E7)</f>
        <v>24821545</v>
      </c>
      <c r="G33" s="88">
        <f>IFERROR(__xludf.DUMMYFUNCTION("""COMPUTED_VALUE"""),79.9895891022139)</f>
        <v>79.9895891</v>
      </c>
      <c r="H33" s="88">
        <f>IFERROR(__xludf.DUMMYFUNCTION("""COMPUTED_VALUE"""),80.143618880242)</f>
        <v>80.14361888</v>
      </c>
      <c r="I33" s="88">
        <f>IFERROR(__xludf.DUMMYFUNCTION("""COMPUTED_VALUE"""),79.9029473520731)</f>
        <v>79.90294735</v>
      </c>
      <c r="J33" s="88">
        <f>IFERROR(__xludf.DUMMYFUNCTION("""COMPUTED_VALUE"""),80.0954845746082)</f>
        <v>80.09548457</v>
      </c>
      <c r="K33" s="88">
        <f>IFERROR(__xludf.DUMMYFUNCTION("""COMPUTED_VALUE"""),2.4821545E7)</f>
        <v>24821545</v>
      </c>
      <c r="L33" s="88">
        <f>IFERROR(__xludf.DUMMYFUNCTION("""COMPUTED_VALUE"""),0.13121)</f>
        <v>0.13121</v>
      </c>
      <c r="M33" s="88">
        <f>IFERROR(__xludf.DUMMYFUNCTION("""COMPUTED_VALUE"""),1.0)</f>
        <v>1</v>
      </c>
    </row>
    <row r="34">
      <c r="A34" s="86">
        <f>IFERROR(__xludf.DUMMYFUNCTION("""COMPUTED_VALUE"""),43343.0)</f>
        <v>43343</v>
      </c>
      <c r="B34" s="87">
        <f>IFERROR(__xludf.DUMMYFUNCTION("""COMPUTED_VALUE"""),83.34)</f>
        <v>83.34</v>
      </c>
      <c r="C34">
        <f>IFERROR(__xludf.DUMMYFUNCTION("""COMPUTED_VALUE"""),83.35)</f>
        <v>83.35</v>
      </c>
      <c r="D34" s="88">
        <f>IFERROR(__xludf.DUMMYFUNCTION("""COMPUTED_VALUE"""),83.04)</f>
        <v>83.04</v>
      </c>
      <c r="E34" s="88">
        <f>IFERROR(__xludf.DUMMYFUNCTION("""COMPUTED_VALUE"""),83.05)</f>
        <v>83.05</v>
      </c>
      <c r="F34" s="88">
        <f>IFERROR(__xludf.DUMMYFUNCTION("""COMPUTED_VALUE"""),3.7461209E7)</f>
        <v>37461209</v>
      </c>
      <c r="G34" s="88">
        <f>IFERROR(__xludf.DUMMYFUNCTION("""COMPUTED_VALUE"""),80.1039181001038)</f>
        <v>80.1039181</v>
      </c>
      <c r="H34" s="88">
        <f>IFERROR(__xludf.DUMMYFUNCTION("""COMPUTED_VALUE"""),80.1135298013397)</f>
        <v>80.1135298</v>
      </c>
      <c r="I34" s="88">
        <f>IFERROR(__xludf.DUMMYFUNCTION("""COMPUTED_VALUE"""),79.8155670630264)</f>
        <v>79.81556706</v>
      </c>
      <c r="J34" s="88">
        <f>IFERROR(__xludf.DUMMYFUNCTION("""COMPUTED_VALUE"""),79.8251787642622)</f>
        <v>79.82517876</v>
      </c>
      <c r="K34" s="88">
        <f>IFERROR(__xludf.DUMMYFUNCTION("""COMPUTED_VALUE"""),3.7461209E7)</f>
        <v>37461209</v>
      </c>
      <c r="L34" s="88">
        <f>IFERROR(__xludf.DUMMYFUNCTION("""COMPUTED_VALUE"""),0.138093)</f>
        <v>0.138093</v>
      </c>
      <c r="M34" s="88">
        <f>IFERROR(__xludf.DUMMYFUNCTION("""COMPUTED_VALUE"""),1.0)</f>
        <v>1</v>
      </c>
    </row>
    <row r="35">
      <c r="A35" s="86">
        <f>IFERROR(__xludf.DUMMYFUNCTION("""COMPUTED_VALUE"""),43312.0)</f>
        <v>43312</v>
      </c>
      <c r="B35" s="87">
        <f>IFERROR(__xludf.DUMMYFUNCTION("""COMPUTED_VALUE"""),83.19)</f>
        <v>83.19</v>
      </c>
      <c r="C35">
        <f>IFERROR(__xludf.DUMMYFUNCTION("""COMPUTED_VALUE"""),83.29)</f>
        <v>83.29</v>
      </c>
      <c r="D35" s="88">
        <f>IFERROR(__xludf.DUMMYFUNCTION("""COMPUTED_VALUE"""),83.15)</f>
        <v>83.15</v>
      </c>
      <c r="E35" s="88">
        <f>IFERROR(__xludf.DUMMYFUNCTION("""COMPUTED_VALUE"""),83.26)</f>
        <v>83.26</v>
      </c>
      <c r="F35" s="88">
        <f>IFERROR(__xludf.DUMMYFUNCTION("""COMPUTED_VALUE"""),3.882698E7)</f>
        <v>38826980</v>
      </c>
      <c r="G35" s="88">
        <f>IFERROR(__xludf.DUMMYFUNCTION("""COMPUTED_VALUE"""),79.8270246269322)</f>
        <v>79.82702463</v>
      </c>
      <c r="H35" s="88">
        <f>IFERROR(__xludf.DUMMYFUNCTION("""COMPUTED_VALUE"""),79.9229821033439)</f>
        <v>79.9229821</v>
      </c>
      <c r="I35" s="88">
        <f>IFERROR(__xludf.DUMMYFUNCTION("""COMPUTED_VALUE"""),79.7886416363675)</f>
        <v>79.78864164</v>
      </c>
      <c r="J35" s="88">
        <f>IFERROR(__xludf.DUMMYFUNCTION("""COMPUTED_VALUE"""),79.8941948604204)</f>
        <v>79.89419486</v>
      </c>
      <c r="K35" s="88">
        <f>IFERROR(__xludf.DUMMYFUNCTION("""COMPUTED_VALUE"""),3.882698E7)</f>
        <v>38826980</v>
      </c>
      <c r="L35" s="88">
        <f>IFERROR(__xludf.DUMMYFUNCTION("""COMPUTED_VALUE"""),0.129876)</f>
        <v>0.129876</v>
      </c>
      <c r="M35" s="88">
        <f>IFERROR(__xludf.DUMMYFUNCTION("""COMPUTED_VALUE"""),1.0)</f>
        <v>1</v>
      </c>
    </row>
    <row r="36">
      <c r="A36" s="86">
        <f>IFERROR(__xludf.DUMMYFUNCTION("""COMPUTED_VALUE"""),43280.0)</f>
        <v>43280</v>
      </c>
      <c r="B36" s="87">
        <f>IFERROR(__xludf.DUMMYFUNCTION("""COMPUTED_VALUE"""),83.37)</f>
        <v>83.37</v>
      </c>
      <c r="C36">
        <f>IFERROR(__xludf.DUMMYFUNCTION("""COMPUTED_VALUE"""),83.41)</f>
        <v>83.41</v>
      </c>
      <c r="D36" s="88">
        <f>IFERROR(__xludf.DUMMYFUNCTION("""COMPUTED_VALUE"""),83.14)</f>
        <v>83.14</v>
      </c>
      <c r="E36" s="88">
        <f>IFERROR(__xludf.DUMMYFUNCTION("""COMPUTED_VALUE"""),83.28)</f>
        <v>83.28</v>
      </c>
      <c r="F36" s="88">
        <f>IFERROR(__xludf.DUMMYFUNCTION("""COMPUTED_VALUE"""),6.7131575E7)</f>
        <v>67131575</v>
      </c>
      <c r="G36" s="88">
        <f>IFERROR(__xludf.DUMMYFUNCTION("""COMPUTED_VALUE"""),79.8751072166988)</f>
        <v>79.87510722</v>
      </c>
      <c r="H36" s="88">
        <f>IFERROR(__xludf.DUMMYFUNCTION("""COMPUTED_VALUE"""),79.9134304059595)</f>
        <v>79.91343041</v>
      </c>
      <c r="I36" s="88">
        <f>IFERROR(__xludf.DUMMYFUNCTION("""COMPUTED_VALUE"""),79.6547488784495)</f>
        <v>79.65474888</v>
      </c>
      <c r="J36" s="88">
        <f>IFERROR(__xludf.DUMMYFUNCTION("""COMPUTED_VALUE"""),79.7888800408621)</f>
        <v>79.78888004</v>
      </c>
      <c r="K36" s="88">
        <f>IFERROR(__xludf.DUMMYFUNCTION("""COMPUTED_VALUE"""),6.7131575E7)</f>
        <v>67131575</v>
      </c>
      <c r="L36" s="88">
        <f>IFERROR(__xludf.DUMMYFUNCTION("""COMPUTED_VALUE"""),0.126)</f>
        <v>0.126</v>
      </c>
      <c r="M36" s="88">
        <f>IFERROR(__xludf.DUMMYFUNCTION("""COMPUTED_VALUE"""),1.0)</f>
        <v>1</v>
      </c>
    </row>
    <row r="37">
      <c r="A37" s="86">
        <f>IFERROR(__xludf.DUMMYFUNCTION("""COMPUTED_VALUE"""),43251.0)</f>
        <v>43251</v>
      </c>
      <c r="B37" s="87">
        <f>IFERROR(__xludf.DUMMYFUNCTION("""COMPUTED_VALUE"""),83.46)</f>
        <v>83.46</v>
      </c>
      <c r="C37">
        <f>IFERROR(__xludf.DUMMYFUNCTION("""COMPUTED_VALUE"""),83.64)</f>
        <v>83.64</v>
      </c>
      <c r="D37" s="88">
        <f>IFERROR(__xludf.DUMMYFUNCTION("""COMPUTED_VALUE"""),83.09)</f>
        <v>83.09</v>
      </c>
      <c r="E37" s="88">
        <f>IFERROR(__xludf.DUMMYFUNCTION("""COMPUTED_VALUE"""),83.17)</f>
        <v>83.17</v>
      </c>
      <c r="F37" s="88">
        <f>IFERROR(__xludf.DUMMYFUNCTION("""COMPUTED_VALUE"""),4.7551542E7)</f>
        <v>47551542</v>
      </c>
      <c r="G37" s="88">
        <f>IFERROR(__xludf.DUMMYFUNCTION("""COMPUTED_VALUE"""),79.8405237045713)</f>
        <v>79.8405237</v>
      </c>
      <c r="H37" s="88">
        <f>IFERROR(__xludf.DUMMYFUNCTION("""COMPUTED_VALUE"""),80.0127175012023)</f>
        <v>80.0127175</v>
      </c>
      <c r="I37" s="88">
        <f>IFERROR(__xludf.DUMMYFUNCTION("""COMPUTED_VALUE"""),79.4865697892742)</f>
        <v>79.48656979</v>
      </c>
      <c r="J37" s="88">
        <f>IFERROR(__xludf.DUMMYFUNCTION("""COMPUTED_VALUE"""),79.5631003655547)</f>
        <v>79.56310037</v>
      </c>
      <c r="K37" s="88">
        <f>IFERROR(__xludf.DUMMYFUNCTION("""COMPUTED_VALUE"""),4.7551542E7)</f>
        <v>47551542</v>
      </c>
      <c r="L37" s="88">
        <f>IFERROR(__xludf.DUMMYFUNCTION("""COMPUTED_VALUE"""),0.103104)</f>
        <v>0.103104</v>
      </c>
      <c r="M37" s="88">
        <f>IFERROR(__xludf.DUMMYFUNCTION("""COMPUTED_VALUE"""),1.0)</f>
        <v>1</v>
      </c>
    </row>
    <row r="38">
      <c r="A38" s="86">
        <f>IFERROR(__xludf.DUMMYFUNCTION("""COMPUTED_VALUE"""),43220.0)</f>
        <v>43220</v>
      </c>
      <c r="B38" s="87">
        <f>IFERROR(__xludf.DUMMYFUNCTION("""COMPUTED_VALUE"""),83.27)</f>
        <v>83.27</v>
      </c>
      <c r="C38">
        <f>IFERROR(__xludf.DUMMYFUNCTION("""COMPUTED_VALUE"""),83.53)</f>
        <v>83.53</v>
      </c>
      <c r="D38" s="88">
        <f>IFERROR(__xludf.DUMMYFUNCTION("""COMPUTED_VALUE"""),83.21)</f>
        <v>83.21</v>
      </c>
      <c r="E38" s="88">
        <f>IFERROR(__xludf.DUMMYFUNCTION("""COMPUTED_VALUE"""),83.45)</f>
        <v>83.45</v>
      </c>
      <c r="F38" s="88">
        <f>IFERROR(__xludf.DUMMYFUNCTION("""COMPUTED_VALUE"""),3.3464507E7)</f>
        <v>33464507</v>
      </c>
      <c r="G38" s="88">
        <f>IFERROR(__xludf.DUMMYFUNCTION("""COMPUTED_VALUE"""),79.5600872568239)</f>
        <v>79.56008726</v>
      </c>
      <c r="H38" s="88">
        <f>IFERROR(__xludf.DUMMYFUNCTION("""COMPUTED_VALUE"""),79.8085035254294)</f>
        <v>79.80850353</v>
      </c>
      <c r="I38" s="88">
        <f>IFERROR(__xludf.DUMMYFUNCTION("""COMPUTED_VALUE"""),79.5027604256073)</f>
        <v>79.50276043</v>
      </c>
      <c r="J38" s="88">
        <f>IFERROR(__xludf.DUMMYFUNCTION("""COMPUTED_VALUE"""),79.7320677504738)</f>
        <v>79.73206775</v>
      </c>
      <c r="K38" s="88">
        <f>IFERROR(__xludf.DUMMYFUNCTION("""COMPUTED_VALUE"""),3.3464507E7)</f>
        <v>33464507</v>
      </c>
      <c r="L38" s="88">
        <f>IFERROR(__xludf.DUMMYFUNCTION("""COMPUTED_VALUE"""),0.094432)</f>
        <v>0.094432</v>
      </c>
      <c r="M38" s="88">
        <f>IFERROR(__xludf.DUMMYFUNCTION("""COMPUTED_VALUE"""),1.0)</f>
        <v>1</v>
      </c>
    </row>
    <row r="39">
      <c r="A39" s="86">
        <f>IFERROR(__xludf.DUMMYFUNCTION("""COMPUTED_VALUE"""),43189.0)</f>
        <v>43189</v>
      </c>
      <c r="B39" s="87">
        <f>IFERROR(__xludf.DUMMYFUNCTION("""COMPUTED_VALUE"""),83.56)</f>
        <v>83.56</v>
      </c>
      <c r="C39">
        <f>IFERROR(__xludf.DUMMYFUNCTION("""COMPUTED_VALUE"""),83.57)</f>
        <v>83.57</v>
      </c>
      <c r="D39" s="88">
        <f>IFERROR(__xludf.DUMMYFUNCTION("""COMPUTED_VALUE"""),83.33)</f>
        <v>83.33</v>
      </c>
      <c r="E39" s="88">
        <f>IFERROR(__xludf.DUMMYFUNCTION("""COMPUTED_VALUE"""),83.39)</f>
        <v>83.39</v>
      </c>
      <c r="F39" s="88">
        <f>IFERROR(__xludf.DUMMYFUNCTION("""COMPUTED_VALUE"""),2.9358872E7)</f>
        <v>29358872</v>
      </c>
      <c r="G39" s="88">
        <f>IFERROR(__xludf.DUMMYFUNCTION("""COMPUTED_VALUE"""),79.7469685252779)</f>
        <v>79.74696853</v>
      </c>
      <c r="H39" s="88">
        <f>IFERROR(__xludf.DUMMYFUNCTION("""COMPUTED_VALUE"""),79.7565122026984)</f>
        <v>79.7565122</v>
      </c>
      <c r="I39" s="88">
        <f>IFERROR(__xludf.DUMMYFUNCTION("""COMPUTED_VALUE"""),79.5274639446076)</f>
        <v>79.52746394</v>
      </c>
      <c r="J39" s="88">
        <f>IFERROR(__xludf.DUMMYFUNCTION("""COMPUTED_VALUE"""),79.5847260091303)</f>
        <v>79.58472601</v>
      </c>
      <c r="K39" s="88">
        <f>IFERROR(__xludf.DUMMYFUNCTION("""COMPUTED_VALUE"""),2.9358872E7)</f>
        <v>29358872</v>
      </c>
      <c r="L39" s="88">
        <f>IFERROR(__xludf.DUMMYFUNCTION("""COMPUTED_VALUE"""),0.086349)</f>
        <v>0.086349</v>
      </c>
      <c r="M39" s="88">
        <f>IFERROR(__xludf.DUMMYFUNCTION("""COMPUTED_VALUE"""),1.0)</f>
        <v>1</v>
      </c>
    </row>
    <row r="40">
      <c r="A40" s="86">
        <f>IFERROR(__xludf.DUMMYFUNCTION("""COMPUTED_VALUE"""),43159.0)</f>
        <v>43159</v>
      </c>
      <c r="B40" s="87">
        <f>IFERROR(__xludf.DUMMYFUNCTION("""COMPUTED_VALUE"""),83.44)</f>
        <v>83.44</v>
      </c>
      <c r="C40">
        <f>IFERROR(__xludf.DUMMYFUNCTION("""COMPUTED_VALUE"""),83.7)</f>
        <v>83.7</v>
      </c>
      <c r="D40" s="88">
        <f>IFERROR(__xludf.DUMMYFUNCTION("""COMPUTED_VALUE"""),83.37)</f>
        <v>83.37</v>
      </c>
      <c r="E40" s="88">
        <f>IFERROR(__xludf.DUMMYFUNCTION("""COMPUTED_VALUE"""),83.52)</f>
        <v>83.52</v>
      </c>
      <c r="F40" s="88">
        <f>IFERROR(__xludf.DUMMYFUNCTION("""COMPUTED_VALUE"""),3.1490308E7)</f>
        <v>31490308</v>
      </c>
      <c r="G40" s="88">
        <f>IFERROR(__xludf.DUMMYFUNCTION("""COMPUTED_VALUE"""),79.5501504470179)</f>
        <v>79.55015045</v>
      </c>
      <c r="H40" s="88">
        <f>IFERROR(__xludf.DUMMYFUNCTION("""COMPUTED_VALUE"""),79.798029631057)</f>
        <v>79.79802963</v>
      </c>
      <c r="I40" s="88">
        <f>IFERROR(__xludf.DUMMYFUNCTION("""COMPUTED_VALUE"""),79.4834137436227)</f>
        <v>79.48341374</v>
      </c>
      <c r="J40" s="88">
        <f>IFERROR(__xludf.DUMMYFUNCTION("""COMPUTED_VALUE"""),79.6264209651838)</f>
        <v>79.62642097</v>
      </c>
      <c r="K40" s="88">
        <f>IFERROR(__xludf.DUMMYFUNCTION("""COMPUTED_VALUE"""),3.1490308E7)</f>
        <v>31490308</v>
      </c>
      <c r="L40" s="88">
        <f>IFERROR(__xludf.DUMMYFUNCTION("""COMPUTED_VALUE"""),0.086192)</f>
        <v>0.086192</v>
      </c>
      <c r="M40" s="88">
        <f>IFERROR(__xludf.DUMMYFUNCTION("""COMPUTED_VALUE"""),1.0)</f>
        <v>1</v>
      </c>
    </row>
    <row r="41">
      <c r="A41" s="86">
        <f>IFERROR(__xludf.DUMMYFUNCTION("""COMPUTED_VALUE"""),43131.0)</f>
        <v>43131</v>
      </c>
      <c r="B41" s="87">
        <f>IFERROR(__xludf.DUMMYFUNCTION("""COMPUTED_VALUE"""),83.61)</f>
        <v>83.61</v>
      </c>
      <c r="C41">
        <f>IFERROR(__xludf.DUMMYFUNCTION("""COMPUTED_VALUE"""),83.85)</f>
        <v>83.85</v>
      </c>
      <c r="D41" s="88">
        <f>IFERROR(__xludf.DUMMYFUNCTION("""COMPUTED_VALUE"""),83.56)</f>
        <v>83.56</v>
      </c>
      <c r="E41" s="88">
        <f>IFERROR(__xludf.DUMMYFUNCTION("""COMPUTED_VALUE"""),83.85)</f>
        <v>83.85</v>
      </c>
      <c r="F41" s="88">
        <f>IFERROR(__xludf.DUMMYFUNCTION("""COMPUTED_VALUE"""),2.7025638E7)</f>
        <v>27025638</v>
      </c>
      <c r="G41" s="88">
        <f>IFERROR(__xludf.DUMMYFUNCTION("""COMPUTED_VALUE"""),79.6300182011173)</f>
        <v>79.6300182</v>
      </c>
      <c r="H41" s="88">
        <f>IFERROR(__xludf.DUMMYFUNCTION("""COMPUTED_VALUE"""),79.8585937826059)</f>
        <v>79.85859378</v>
      </c>
      <c r="I41" s="88">
        <f>IFERROR(__xludf.DUMMYFUNCTION("""COMPUTED_VALUE"""),79.5823982883071)</f>
        <v>79.58239829</v>
      </c>
      <c r="J41" s="88">
        <f>IFERROR(__xludf.DUMMYFUNCTION("""COMPUTED_VALUE"""),79.8585937826059)</f>
        <v>79.85859378</v>
      </c>
      <c r="K41" s="88">
        <f>IFERROR(__xludf.DUMMYFUNCTION("""COMPUTED_VALUE"""),2.7025638E7)</f>
        <v>27025638</v>
      </c>
      <c r="L41" s="88">
        <f>IFERROR(__xludf.DUMMYFUNCTION("""COMPUTED_VALUE"""),0.0)</f>
        <v>0</v>
      </c>
      <c r="M41" s="88">
        <f>IFERROR(__xludf.DUMMYFUNCTION("""COMPUTED_VALUE"""),1.0)</f>
        <v>1</v>
      </c>
    </row>
    <row r="42">
      <c r="A42" s="86">
        <f>IFERROR(__xludf.DUMMYFUNCTION("""COMPUTED_VALUE"""),43098.0)</f>
        <v>43098</v>
      </c>
      <c r="B42" s="87">
        <f>IFERROR(__xludf.DUMMYFUNCTION("""COMPUTED_VALUE"""),83.85)</f>
        <v>83.85</v>
      </c>
      <c r="C42">
        <f>IFERROR(__xludf.DUMMYFUNCTION("""COMPUTED_VALUE"""),84.07)</f>
        <v>84.07</v>
      </c>
      <c r="D42" s="88">
        <f>IFERROR(__xludf.DUMMYFUNCTION("""COMPUTED_VALUE"""),83.77)</f>
        <v>83.77</v>
      </c>
      <c r="E42" s="88">
        <f>IFERROR(__xludf.DUMMYFUNCTION("""COMPUTED_VALUE"""),83.98)</f>
        <v>83.98</v>
      </c>
      <c r="F42" s="88">
        <f>IFERROR(__xludf.DUMMYFUNCTION("""COMPUTED_VALUE"""),2.4162856E7)</f>
        <v>24162856</v>
      </c>
      <c r="G42" s="88">
        <f>IFERROR(__xludf.DUMMYFUNCTION("""COMPUTED_VALUE"""),79.8585937826059)</f>
        <v>79.85859378</v>
      </c>
      <c r="H42" s="88">
        <f>IFERROR(__xludf.DUMMYFUNCTION("""COMPUTED_VALUE"""),79.9783475644567)</f>
        <v>79.97834756</v>
      </c>
      <c r="I42" s="88">
        <f>IFERROR(__xludf.DUMMYFUNCTION("""COMPUTED_VALUE"""),79.7824019221097)</f>
        <v>79.78240192</v>
      </c>
      <c r="J42" s="88">
        <f>IFERROR(__xludf.DUMMYFUNCTION("""COMPUTED_VALUE"""),79.8927278275612)</f>
        <v>79.89272783</v>
      </c>
      <c r="K42" s="88">
        <f>IFERROR(__xludf.DUMMYFUNCTION("""COMPUTED_VALUE"""),2.4162856E7)</f>
        <v>24162856</v>
      </c>
      <c r="L42" s="88">
        <f>IFERROR(__xludf.DUMMYFUNCTION("""COMPUTED_VALUE"""),0.172613)</f>
        <v>0.172613</v>
      </c>
      <c r="M42" s="88">
        <f>IFERROR(__xludf.DUMMYFUNCTION("""COMPUTED_VALUE"""),1.0)</f>
        <v>1</v>
      </c>
    </row>
    <row r="43">
      <c r="A43" s="86">
        <f>IFERROR(__xludf.DUMMYFUNCTION("""COMPUTED_VALUE"""),43069.0)</f>
        <v>43069</v>
      </c>
      <c r="B43" s="87">
        <f>IFERROR(__xludf.DUMMYFUNCTION("""COMPUTED_VALUE"""),84.04)</f>
        <v>84.04</v>
      </c>
      <c r="C43">
        <f>IFERROR(__xludf.DUMMYFUNCTION("""COMPUTED_VALUE"""),84.26)</f>
        <v>84.26</v>
      </c>
      <c r="D43" s="88">
        <f>IFERROR(__xludf.DUMMYFUNCTION("""COMPUTED_VALUE"""),84.02)</f>
        <v>84.02</v>
      </c>
      <c r="E43" s="88">
        <f>IFERROR(__xludf.DUMMYFUNCTION("""COMPUTED_VALUE"""),84.17)</f>
        <v>84.17</v>
      </c>
      <c r="F43" s="88">
        <f>IFERROR(__xludf.DUMMYFUNCTION("""COMPUTED_VALUE"""),2.5441546E7)</f>
        <v>25441546</v>
      </c>
      <c r="G43" s="88">
        <f>IFERROR(__xludf.DUMMYFUNCTION("""COMPUTED_VALUE"""),79.8751189945102)</f>
        <v>79.87511899</v>
      </c>
      <c r="H43" s="88">
        <f>IFERROR(__xludf.DUMMYFUNCTION("""COMPUTED_VALUE"""),80.0842161646529)</f>
        <v>80.08421616</v>
      </c>
      <c r="I43" s="88">
        <f>IFERROR(__xludf.DUMMYFUNCTION("""COMPUTED_VALUE"""),79.8561101608609)</f>
        <v>79.85611016</v>
      </c>
      <c r="J43" s="88">
        <f>IFERROR(__xludf.DUMMYFUNCTION("""COMPUTED_VALUE"""),79.9986764132309)</f>
        <v>79.99867641</v>
      </c>
      <c r="K43" s="88">
        <f>IFERROR(__xludf.DUMMYFUNCTION("""COMPUTED_VALUE"""),2.5441546E7)</f>
        <v>25441546</v>
      </c>
      <c r="L43" s="88">
        <f>IFERROR(__xludf.DUMMYFUNCTION("""COMPUTED_VALUE"""),0.078435)</f>
        <v>0.078435</v>
      </c>
      <c r="M43" s="88">
        <f>IFERROR(__xludf.DUMMYFUNCTION("""COMPUTED_VALUE"""),1.0)</f>
        <v>1</v>
      </c>
    </row>
    <row r="44">
      <c r="A44" s="86">
        <f>IFERROR(__xludf.DUMMYFUNCTION("""COMPUTED_VALUE"""),43039.0)</f>
        <v>43039</v>
      </c>
      <c r="B44" s="87">
        <f>IFERROR(__xludf.DUMMYFUNCTION("""COMPUTED_VALUE"""),84.3)</f>
        <v>84.3</v>
      </c>
      <c r="C44">
        <f>IFERROR(__xludf.DUMMYFUNCTION("""COMPUTED_VALUE"""),84.55)</f>
        <v>84.55</v>
      </c>
      <c r="D44" s="88">
        <f>IFERROR(__xludf.DUMMYFUNCTION("""COMPUTED_VALUE"""),84.24)</f>
        <v>84.24</v>
      </c>
      <c r="E44" s="88">
        <f>IFERROR(__xludf.DUMMYFUNCTION("""COMPUTED_VALUE"""),84.38)</f>
        <v>84.38</v>
      </c>
      <c r="F44" s="88">
        <f>IFERROR(__xludf.DUMMYFUNCTION("""COMPUTED_VALUE"""),2.0834857E7)</f>
        <v>20834857</v>
      </c>
      <c r="G44" s="88">
        <f>IFERROR(__xludf.DUMMYFUNCTION("""COMPUTED_VALUE"""),80.047675710062)</f>
        <v>80.04767571</v>
      </c>
      <c r="H44" s="88">
        <f>IFERROR(__xludf.DUMMYFUNCTION("""COMPUTED_VALUE"""),80.2850650211832)</f>
        <v>80.28506502</v>
      </c>
      <c r="I44" s="88">
        <f>IFERROR(__xludf.DUMMYFUNCTION("""COMPUTED_VALUE"""),79.9907022753929)</f>
        <v>79.99070228</v>
      </c>
      <c r="J44" s="88">
        <f>IFERROR(__xludf.DUMMYFUNCTION("""COMPUTED_VALUE"""),80.1236402896208)</f>
        <v>80.12364029</v>
      </c>
      <c r="K44" s="88">
        <f>IFERROR(__xludf.DUMMYFUNCTION("""COMPUTED_VALUE"""),2.0834857E7)</f>
        <v>20834857</v>
      </c>
      <c r="L44" s="88">
        <f>IFERROR(__xludf.DUMMYFUNCTION("""COMPUTED_VALUE"""),0.072561)</f>
        <v>0.072561</v>
      </c>
      <c r="M44" s="88">
        <f>IFERROR(__xludf.DUMMYFUNCTION("""COMPUTED_VALUE"""),1.0)</f>
        <v>1</v>
      </c>
    </row>
    <row r="45">
      <c r="A45" s="86">
        <f>IFERROR(__xludf.DUMMYFUNCTION("""COMPUTED_VALUE"""),43007.0)</f>
        <v>43007</v>
      </c>
      <c r="B45" s="87">
        <f>IFERROR(__xludf.DUMMYFUNCTION("""COMPUTED_VALUE"""),84.45)</f>
        <v>84.45</v>
      </c>
      <c r="C45">
        <f>IFERROR(__xludf.DUMMYFUNCTION("""COMPUTED_VALUE"""),84.72)</f>
        <v>84.72</v>
      </c>
      <c r="D45" s="88">
        <f>IFERROR(__xludf.DUMMYFUNCTION("""COMPUTED_VALUE"""),84.42)</f>
        <v>84.42</v>
      </c>
      <c r="E45" s="88">
        <f>IFERROR(__xludf.DUMMYFUNCTION("""COMPUTED_VALUE"""),84.6)</f>
        <v>84.6</v>
      </c>
      <c r="F45" s="88">
        <f>IFERROR(__xludf.DUMMYFUNCTION("""COMPUTED_VALUE"""),1.5199804E7)</f>
        <v>15199804</v>
      </c>
      <c r="G45" s="88">
        <f>IFERROR(__xludf.DUMMYFUNCTION("""COMPUTED_VALUE"""),80.1212594778222)</f>
        <v>80.12125948</v>
      </c>
      <c r="H45" s="88">
        <f>IFERROR(__xludf.DUMMYFUNCTION("""COMPUTED_VALUE"""),80.3774198100782)</f>
        <v>80.37741981</v>
      </c>
      <c r="I45" s="88">
        <f>IFERROR(__xludf.DUMMYFUNCTION("""COMPUTED_VALUE"""),80.0927972186827)</f>
        <v>80.09279722</v>
      </c>
      <c r="J45" s="88">
        <f>IFERROR(__xludf.DUMMYFUNCTION("""COMPUTED_VALUE"""),80.26357077352)</f>
        <v>80.26357077</v>
      </c>
      <c r="K45" s="88">
        <f>IFERROR(__xludf.DUMMYFUNCTION("""COMPUTED_VALUE"""),1.5199804E7)</f>
        <v>15199804</v>
      </c>
      <c r="L45" s="88">
        <f>IFERROR(__xludf.DUMMYFUNCTION("""COMPUTED_VALUE"""),0.072044)</f>
        <v>0.072044</v>
      </c>
      <c r="M45" s="88">
        <f>IFERROR(__xludf.DUMMYFUNCTION("""COMPUTED_VALUE"""),1.0)</f>
        <v>1</v>
      </c>
    </row>
    <row r="46">
      <c r="A46" s="86">
        <f>IFERROR(__xludf.DUMMYFUNCTION("""COMPUTED_VALUE"""),42978.0)</f>
        <v>42978</v>
      </c>
      <c r="B46" s="87">
        <f>IFERROR(__xludf.DUMMYFUNCTION("""COMPUTED_VALUE"""),84.68)</f>
        <v>84.68</v>
      </c>
      <c r="C46">
        <f>IFERROR(__xludf.DUMMYFUNCTION("""COMPUTED_VALUE"""),84.7)</f>
        <v>84.7</v>
      </c>
      <c r="D46" s="88">
        <f>IFERROR(__xludf.DUMMYFUNCTION("""COMPUTED_VALUE"""),84.49)</f>
        <v>84.49</v>
      </c>
      <c r="E46" s="88">
        <f>IFERROR(__xludf.DUMMYFUNCTION("""COMPUTED_VALUE"""),84.49)</f>
        <v>84.49</v>
      </c>
      <c r="F46" s="88">
        <f>IFERROR(__xludf.DUMMYFUNCTION("""COMPUTED_VALUE"""),1.7398255E7)</f>
        <v>17398255</v>
      </c>
      <c r="G46" s="88">
        <f>IFERROR(__xludf.DUMMYFUNCTION("""COMPUTED_VALUE"""),80.271104468023)</f>
        <v>80.27110447</v>
      </c>
      <c r="H46" s="88">
        <f>IFERROR(__xludf.DUMMYFUNCTION("""COMPUTED_VALUE"""),80.2900631606229)</f>
        <v>80.29006316</v>
      </c>
      <c r="I46" s="88">
        <f>IFERROR(__xludf.DUMMYFUNCTION("""COMPUTED_VALUE"""),80.0909968883238)</f>
        <v>80.09099689</v>
      </c>
      <c r="J46" s="88">
        <f>IFERROR(__xludf.DUMMYFUNCTION("""COMPUTED_VALUE"""),80.0909968883238)</f>
        <v>80.09099689</v>
      </c>
      <c r="K46" s="88">
        <f>IFERROR(__xludf.DUMMYFUNCTION("""COMPUTED_VALUE"""),1.7398255E7)</f>
        <v>17398255</v>
      </c>
      <c r="L46" s="88">
        <f>IFERROR(__xludf.DUMMYFUNCTION("""COMPUTED_VALUE"""),0.070877)</f>
        <v>0.070877</v>
      </c>
      <c r="M46" s="88">
        <f>IFERROR(__xludf.DUMMYFUNCTION("""COMPUTED_VALUE"""),1.0)</f>
        <v>1</v>
      </c>
    </row>
    <row r="47">
      <c r="A47" s="86">
        <f>IFERROR(__xludf.DUMMYFUNCTION("""COMPUTED_VALUE"""),42947.0)</f>
        <v>42947</v>
      </c>
      <c r="B47" s="87">
        <f>IFERROR(__xludf.DUMMYFUNCTION("""COMPUTED_VALUE"""),84.58)</f>
        <v>84.58</v>
      </c>
      <c r="C47">
        <f>IFERROR(__xludf.DUMMYFUNCTION("""COMPUTED_VALUE"""),84.59)</f>
        <v>84.59</v>
      </c>
      <c r="D47" s="88">
        <f>IFERROR(__xludf.DUMMYFUNCTION("""COMPUTED_VALUE"""),84.35)</f>
        <v>84.35</v>
      </c>
      <c r="E47" s="88">
        <f>IFERROR(__xludf.DUMMYFUNCTION("""COMPUTED_VALUE"""),84.42)</f>
        <v>84.42</v>
      </c>
      <c r="F47" s="88">
        <f>IFERROR(__xludf.DUMMYFUNCTION("""COMPUTED_VALUE"""),1.7700451E7)</f>
        <v>17700451</v>
      </c>
      <c r="G47" s="88">
        <f>IFERROR(__xludf.DUMMYFUNCTION("""COMPUTED_VALUE"""),80.109148760681)</f>
        <v>80.10914876</v>
      </c>
      <c r="H47" s="88">
        <f>IFERROR(__xludf.DUMMYFUNCTION("""COMPUTED_VALUE"""),80.1186201663042)</f>
        <v>80.11862017</v>
      </c>
      <c r="I47" s="88">
        <f>IFERROR(__xludf.DUMMYFUNCTION("""COMPUTED_VALUE"""),79.8913064313483)</f>
        <v>79.89130643</v>
      </c>
      <c r="J47" s="88">
        <f>IFERROR(__xludf.DUMMYFUNCTION("""COMPUTED_VALUE"""),79.9576062707104)</f>
        <v>79.95760627</v>
      </c>
      <c r="K47" s="88">
        <f>IFERROR(__xludf.DUMMYFUNCTION("""COMPUTED_VALUE"""),1.7700451E7)</f>
        <v>17700451</v>
      </c>
      <c r="L47" s="88">
        <f>IFERROR(__xludf.DUMMYFUNCTION("""COMPUTED_VALUE"""),0.066944)</f>
        <v>0.066944</v>
      </c>
      <c r="M47" s="88">
        <f>IFERROR(__xludf.DUMMYFUNCTION("""COMPUTED_VALUE"""),1.0)</f>
        <v>1</v>
      </c>
    </row>
    <row r="48">
      <c r="A48" s="86">
        <f>IFERROR(__xludf.DUMMYFUNCTION("""COMPUTED_VALUE"""),42916.0)</f>
        <v>42916</v>
      </c>
      <c r="B48" s="87">
        <f>IFERROR(__xludf.DUMMYFUNCTION("""COMPUTED_VALUE"""),84.49)</f>
        <v>84.49</v>
      </c>
      <c r="C48">
        <f>IFERROR(__xludf.DUMMYFUNCTION("""COMPUTED_VALUE"""),84.6)</f>
        <v>84.6</v>
      </c>
      <c r="D48" s="88">
        <f>IFERROR(__xludf.DUMMYFUNCTION("""COMPUTED_VALUE"""),84.45)</f>
        <v>84.45</v>
      </c>
      <c r="E48" s="88">
        <f>IFERROR(__xludf.DUMMYFUNCTION("""COMPUTED_VALUE"""),84.5)</f>
        <v>84.5</v>
      </c>
      <c r="F48" s="88">
        <f>IFERROR(__xludf.DUMMYFUNCTION("""COMPUTED_VALUE"""),2.3039669E7)</f>
        <v>23039669</v>
      </c>
      <c r="G48" s="88">
        <f>IFERROR(__xludf.DUMMYFUNCTION("""COMPUTED_VALUE"""),79.960453376658)</f>
        <v>79.96045338</v>
      </c>
      <c r="H48" s="88">
        <f>IFERROR(__xludf.DUMMYFUNCTION("""COMPUTED_VALUE"""),80.0645562275449)</f>
        <v>80.06455623</v>
      </c>
      <c r="I48" s="88">
        <f>IFERROR(__xludf.DUMMYFUNCTION("""COMPUTED_VALUE"""),79.9225977945174)</f>
        <v>79.92259779</v>
      </c>
      <c r="J48" s="88">
        <f>IFERROR(__xludf.DUMMYFUNCTION("""COMPUTED_VALUE"""),79.9699172721932)</f>
        <v>79.96991727</v>
      </c>
      <c r="K48" s="88">
        <f>IFERROR(__xludf.DUMMYFUNCTION("""COMPUTED_VALUE"""),2.3039669E7)</f>
        <v>23039669</v>
      </c>
      <c r="L48" s="88">
        <f>IFERROR(__xludf.DUMMYFUNCTION("""COMPUTED_VALUE"""),0.063585)</f>
        <v>0.063585</v>
      </c>
      <c r="M48" s="88">
        <f>IFERROR(__xludf.DUMMYFUNCTION("""COMPUTED_VALUE"""),1.0)</f>
        <v>1</v>
      </c>
    </row>
    <row r="49">
      <c r="A49" s="86">
        <f>IFERROR(__xludf.DUMMYFUNCTION("""COMPUTED_VALUE"""),42886.0)</f>
        <v>42886</v>
      </c>
      <c r="B49" s="87">
        <f>IFERROR(__xludf.DUMMYFUNCTION("""COMPUTED_VALUE"""),84.62)</f>
        <v>84.62</v>
      </c>
      <c r="C49">
        <f>IFERROR(__xludf.DUMMYFUNCTION("""COMPUTED_VALUE"""),84.64)</f>
        <v>84.64</v>
      </c>
      <c r="D49" s="88">
        <f>IFERROR(__xludf.DUMMYFUNCTION("""COMPUTED_VALUE"""),84.39)</f>
        <v>84.39</v>
      </c>
      <c r="E49" s="88">
        <f>IFERROR(__xludf.DUMMYFUNCTION("""COMPUTED_VALUE"""),84.52)</f>
        <v>84.52</v>
      </c>
      <c r="F49" s="88">
        <f>IFERROR(__xludf.DUMMYFUNCTION("""COMPUTED_VALUE"""),1.8045707E7)</f>
        <v>18045707</v>
      </c>
      <c r="G49" s="88">
        <f>IFERROR(__xludf.DUMMYFUNCTION("""COMPUTED_VALUE"""),80.0232961633214)</f>
        <v>80.02329616</v>
      </c>
      <c r="H49" s="88">
        <f>IFERROR(__xludf.DUMMYFUNCTION("""COMPUTED_VALUE"""),80.0422097289473)</f>
        <v>80.04220973</v>
      </c>
      <c r="I49" s="88">
        <f>IFERROR(__xludf.DUMMYFUNCTION("""COMPUTED_VALUE"""),79.8057901586232)</f>
        <v>79.80579016</v>
      </c>
      <c r="J49" s="88">
        <f>IFERROR(__xludf.DUMMYFUNCTION("""COMPUTED_VALUE"""),79.9287283351917)</f>
        <v>79.92872834</v>
      </c>
      <c r="K49" s="88">
        <f>IFERROR(__xludf.DUMMYFUNCTION("""COMPUTED_VALUE"""),1.8045707E7)</f>
        <v>18045707</v>
      </c>
      <c r="L49" s="88">
        <f>IFERROR(__xludf.DUMMYFUNCTION("""COMPUTED_VALUE"""),0.061868)</f>
        <v>0.061868</v>
      </c>
      <c r="M49" s="88">
        <f>IFERROR(__xludf.DUMMYFUNCTION("""COMPUTED_VALUE"""),1.0)</f>
        <v>1</v>
      </c>
    </row>
    <row r="50">
      <c r="A50" s="86">
        <f>IFERROR(__xludf.DUMMYFUNCTION("""COMPUTED_VALUE"""),42853.0)</f>
        <v>42853</v>
      </c>
      <c r="B50" s="87">
        <f>IFERROR(__xludf.DUMMYFUNCTION("""COMPUTED_VALUE"""),84.62)</f>
        <v>84.62</v>
      </c>
      <c r="C50">
        <f>IFERROR(__xludf.DUMMYFUNCTION("""COMPUTED_VALUE"""),84.7)</f>
        <v>84.7</v>
      </c>
      <c r="D50" s="88">
        <f>IFERROR(__xludf.DUMMYFUNCTION("""COMPUTED_VALUE"""),84.42)</f>
        <v>84.42</v>
      </c>
      <c r="E50" s="88">
        <f>IFERROR(__xludf.DUMMYFUNCTION("""COMPUTED_VALUE"""),84.48)</f>
        <v>84.48</v>
      </c>
      <c r="F50" s="88">
        <f>IFERROR(__xludf.DUMMYFUNCTION("""COMPUTED_VALUE"""),1.6822774E7)</f>
        <v>16822774</v>
      </c>
      <c r="G50" s="88">
        <f>IFERROR(__xludf.DUMMYFUNCTION("""COMPUTED_VALUE"""),79.9647487186619)</f>
        <v>79.96474872</v>
      </c>
      <c r="H50" s="88">
        <f>IFERROR(__xludf.DUMMYFUNCTION("""COMPUTED_VALUE"""),80.0403476302371)</f>
        <v>80.04034763</v>
      </c>
      <c r="I50" s="88">
        <f>IFERROR(__xludf.DUMMYFUNCTION("""COMPUTED_VALUE"""),79.7757514397239)</f>
        <v>79.77575144</v>
      </c>
      <c r="J50" s="88">
        <f>IFERROR(__xludf.DUMMYFUNCTION("""COMPUTED_VALUE"""),79.8324506234053)</f>
        <v>79.83245062</v>
      </c>
      <c r="K50" s="88">
        <f>IFERROR(__xludf.DUMMYFUNCTION("""COMPUTED_VALUE"""),1.6822774E7)</f>
        <v>16822774</v>
      </c>
      <c r="L50" s="88">
        <f>IFERROR(__xludf.DUMMYFUNCTION("""COMPUTED_VALUE"""),0.058486)</f>
        <v>0.058486</v>
      </c>
      <c r="M50" s="88">
        <f>IFERROR(__xludf.DUMMYFUNCTION("""COMPUTED_VALUE"""),1.0)</f>
        <v>1</v>
      </c>
    </row>
    <row r="51">
      <c r="A51" s="86">
        <f>IFERROR(__xludf.DUMMYFUNCTION("""COMPUTED_VALUE"""),42825.0)</f>
        <v>42825</v>
      </c>
      <c r="B51" s="87">
        <f>IFERROR(__xludf.DUMMYFUNCTION("""COMPUTED_VALUE"""),84.52)</f>
        <v>84.52</v>
      </c>
      <c r="C51">
        <f>IFERROR(__xludf.DUMMYFUNCTION("""COMPUTED_VALUE"""),84.57)</f>
        <v>84.57</v>
      </c>
      <c r="D51" s="88">
        <f>IFERROR(__xludf.DUMMYFUNCTION("""COMPUTED_VALUE"""),84.23)</f>
        <v>84.23</v>
      </c>
      <c r="E51" s="88">
        <f>IFERROR(__xludf.DUMMYFUNCTION("""COMPUTED_VALUE"""),84.37)</f>
        <v>84.37</v>
      </c>
      <c r="F51" s="88">
        <f>IFERROR(__xludf.DUMMYFUNCTION("""COMPUTED_VALUE"""),2.1254976E7)</f>
        <v>21254976</v>
      </c>
      <c r="G51" s="88">
        <f>IFERROR(__xludf.DUMMYFUNCTION("""COMPUTED_VALUE"""),79.8150328800798)</f>
        <v>79.81503288</v>
      </c>
      <c r="H51" s="88">
        <f>IFERROR(__xludf.DUMMYFUNCTION("""COMPUTED_VALUE"""),79.8622495346468)</f>
        <v>79.86224953</v>
      </c>
      <c r="I51" s="88">
        <f>IFERROR(__xludf.DUMMYFUNCTION("""COMPUTED_VALUE"""),79.5411762835911)</f>
        <v>79.54117628</v>
      </c>
      <c r="J51" s="88">
        <f>IFERROR(__xludf.DUMMYFUNCTION("""COMPUTED_VALUE"""),79.6733829163787)</f>
        <v>79.67338292</v>
      </c>
      <c r="K51" s="88">
        <f>IFERROR(__xludf.DUMMYFUNCTION("""COMPUTED_VALUE"""),2.1254976E7)</f>
        <v>21254976</v>
      </c>
      <c r="L51" s="88">
        <f>IFERROR(__xludf.DUMMYFUNCTION("""COMPUTED_VALUE"""),0.053507)</f>
        <v>0.053507</v>
      </c>
      <c r="M51" s="88">
        <f>IFERROR(__xludf.DUMMYFUNCTION("""COMPUTED_VALUE"""),1.0)</f>
        <v>1</v>
      </c>
    </row>
    <row r="52">
      <c r="A52" s="86">
        <f>IFERROR(__xludf.DUMMYFUNCTION("""COMPUTED_VALUE"""),42794.0)</f>
        <v>42794</v>
      </c>
      <c r="B52" s="87">
        <f>IFERROR(__xludf.DUMMYFUNCTION("""COMPUTED_VALUE"""),84.52)</f>
        <v>84.52</v>
      </c>
      <c r="C52">
        <f>IFERROR(__xludf.DUMMYFUNCTION("""COMPUTED_VALUE"""),84.67)</f>
        <v>84.67</v>
      </c>
      <c r="D52" s="88">
        <f>IFERROR(__xludf.DUMMYFUNCTION("""COMPUTED_VALUE"""),84.38)</f>
        <v>84.38</v>
      </c>
      <c r="E52" s="88">
        <f>IFERROR(__xludf.DUMMYFUNCTION("""COMPUTED_VALUE"""),84.41)</f>
        <v>84.41</v>
      </c>
      <c r="F52" s="88">
        <f>IFERROR(__xludf.DUMMYFUNCTION("""COMPUTED_VALUE"""),2.160991E7)</f>
        <v>21609910</v>
      </c>
      <c r="G52" s="88">
        <f>IFERROR(__xludf.DUMMYFUNCTION("""COMPUTED_VALUE"""),79.7644646666802)</f>
        <v>79.76446467</v>
      </c>
      <c r="H52" s="88">
        <f>IFERROR(__xludf.DUMMYFUNCTION("""COMPUTED_VALUE"""),79.9060248855634)</f>
        <v>79.90602489</v>
      </c>
      <c r="I52" s="88">
        <f>IFERROR(__xludf.DUMMYFUNCTION("""COMPUTED_VALUE"""),79.6323417957227)</f>
        <v>79.6323418</v>
      </c>
      <c r="J52" s="88">
        <f>IFERROR(__xludf.DUMMYFUNCTION("""COMPUTED_VALUE"""),79.6606538394993)</f>
        <v>79.66065384</v>
      </c>
      <c r="K52" s="88">
        <f>IFERROR(__xludf.DUMMYFUNCTION("""COMPUTED_VALUE"""),2.160991E7)</f>
        <v>21609910</v>
      </c>
      <c r="L52" s="88">
        <f>IFERROR(__xludf.DUMMYFUNCTION("""COMPUTED_VALUE"""),0.050988)</f>
        <v>0.050988</v>
      </c>
      <c r="M52" s="88">
        <f>IFERROR(__xludf.DUMMYFUNCTION("""COMPUTED_VALUE"""),1.0)</f>
        <v>1</v>
      </c>
    </row>
    <row r="53">
      <c r="A53" s="86">
        <f>IFERROR(__xludf.DUMMYFUNCTION("""COMPUTED_VALUE"""),42766.0)</f>
        <v>42766</v>
      </c>
      <c r="B53" s="87">
        <f>IFERROR(__xludf.DUMMYFUNCTION("""COMPUTED_VALUE"""),84.54)</f>
        <v>84.54</v>
      </c>
      <c r="C53">
        <f>IFERROR(__xludf.DUMMYFUNCTION("""COMPUTED_VALUE"""),84.57)</f>
        <v>84.57</v>
      </c>
      <c r="D53" s="88">
        <f>IFERROR(__xludf.DUMMYFUNCTION("""COMPUTED_VALUE"""),84.35)</f>
        <v>84.35</v>
      </c>
      <c r="E53" s="88">
        <f>IFERROR(__xludf.DUMMYFUNCTION("""COMPUTED_VALUE"""),84.37)</f>
        <v>84.37</v>
      </c>
      <c r="F53" s="88">
        <f>IFERROR(__xludf.DUMMYFUNCTION("""COMPUTED_VALUE"""),3.2630274E7)</f>
        <v>32630274</v>
      </c>
      <c r="G53" s="88">
        <f>IFERROR(__xludf.DUMMYFUNCTION("""COMPUTED_VALUE"""),79.7352036939788)</f>
        <v>79.73520369</v>
      </c>
      <c r="H53" s="88">
        <f>IFERROR(__xludf.DUMMYFUNCTION("""COMPUTED_VALUE"""),79.7634986562548)</f>
        <v>79.76349866</v>
      </c>
      <c r="I53" s="88">
        <f>IFERROR(__xludf.DUMMYFUNCTION("""COMPUTED_VALUE"""),79.5560022662303)</f>
        <v>79.55600227</v>
      </c>
      <c r="J53" s="88">
        <f>IFERROR(__xludf.DUMMYFUNCTION("""COMPUTED_VALUE"""),79.5748655744143)</f>
        <v>79.57486557</v>
      </c>
      <c r="K53" s="88">
        <f>IFERROR(__xludf.DUMMYFUNCTION("""COMPUTED_VALUE"""),3.2630274E7)</f>
        <v>32630274</v>
      </c>
      <c r="L53" s="88">
        <f>IFERROR(__xludf.DUMMYFUNCTION("""COMPUTED_VALUE"""),0.0)</f>
        <v>0</v>
      </c>
      <c r="M53" s="88">
        <f>IFERROR(__xludf.DUMMYFUNCTION("""COMPUTED_VALUE"""),1.0)</f>
        <v>1</v>
      </c>
    </row>
    <row r="54">
      <c r="A54" s="86">
        <f>IFERROR(__xludf.DUMMYFUNCTION("""COMPUTED_VALUE"""),42734.0)</f>
        <v>42734</v>
      </c>
      <c r="B54" s="87">
        <f>IFERROR(__xludf.DUMMYFUNCTION("""COMPUTED_VALUE"""),84.45)</f>
        <v>84.45</v>
      </c>
      <c r="C54">
        <f>IFERROR(__xludf.DUMMYFUNCTION("""COMPUTED_VALUE"""),84.53)</f>
        <v>84.53</v>
      </c>
      <c r="D54" s="88">
        <f>IFERROR(__xludf.DUMMYFUNCTION("""COMPUTED_VALUE"""),84.23)</f>
        <v>84.23</v>
      </c>
      <c r="E54" s="88">
        <f>IFERROR(__xludf.DUMMYFUNCTION("""COMPUTED_VALUE"""),84.4)</f>
        <v>84.4</v>
      </c>
      <c r="F54" s="88">
        <f>IFERROR(__xludf.DUMMYFUNCTION("""COMPUTED_VALUE"""),3.3143808E7)</f>
        <v>33143808</v>
      </c>
      <c r="G54" s="88">
        <f>IFERROR(__xludf.DUMMYFUNCTION("""COMPUTED_VALUE"""),79.6503188071505)</f>
        <v>79.65031881</v>
      </c>
      <c r="H54" s="88">
        <f>IFERROR(__xludf.DUMMYFUNCTION("""COMPUTED_VALUE"""),79.6685908864516)</f>
        <v>79.66859089</v>
      </c>
      <c r="I54" s="88">
        <f>IFERROR(__xludf.DUMMYFUNCTION("""COMPUTED_VALUE"""),79.3858442016541)</f>
        <v>79.3858442</v>
      </c>
      <c r="J54" s="88">
        <f>IFERROR(__xludf.DUMMYFUNCTION("""COMPUTED_VALUE"""),79.5460673230393)</f>
        <v>79.54606732</v>
      </c>
      <c r="K54" s="88">
        <f>IFERROR(__xludf.DUMMYFUNCTION("""COMPUTED_VALUE"""),3.3143808E7)</f>
        <v>33143808</v>
      </c>
      <c r="L54" s="88">
        <f>IFERROR(__xludf.DUMMYFUNCTION("""COMPUTED_VALUE"""),0.110088999999999)</f>
        <v>0.110089</v>
      </c>
      <c r="M54" s="88">
        <f>IFERROR(__xludf.DUMMYFUNCTION("""COMPUTED_VALUE"""),1.0)</f>
        <v>1</v>
      </c>
    </row>
    <row r="55">
      <c r="A55" s="86">
        <f>IFERROR(__xludf.DUMMYFUNCTION("""COMPUTED_VALUE"""),42704.0)</f>
        <v>42704</v>
      </c>
      <c r="B55" s="87">
        <f>IFERROR(__xludf.DUMMYFUNCTION("""COMPUTED_VALUE"""),84.5)</f>
        <v>84.5</v>
      </c>
      <c r="C55">
        <f>IFERROR(__xludf.DUMMYFUNCTION("""COMPUTED_VALUE"""),85.0)</f>
        <v>85</v>
      </c>
      <c r="D55" s="88">
        <f>IFERROR(__xludf.DUMMYFUNCTION("""COMPUTED_VALUE"""),84.45)</f>
        <v>84.45</v>
      </c>
      <c r="E55" s="88">
        <f>IFERROR(__xludf.DUMMYFUNCTION("""COMPUTED_VALUE"""),84.87)</f>
        <v>84.87</v>
      </c>
      <c r="F55" s="88">
        <f>IFERROR(__xludf.DUMMYFUNCTION("""COMPUTED_VALUE"""),5.9430739E7)</f>
        <v>59430739</v>
      </c>
      <c r="G55" s="88">
        <f>IFERROR(__xludf.DUMMYFUNCTION("""COMPUTED_VALUE"""),79.5935888125269)</f>
        <v>79.59358881</v>
      </c>
      <c r="H55" s="88">
        <f>IFERROR(__xludf.DUMMYFUNCTION("""COMPUTED_VALUE"""),80.0645567936661)</f>
        <v>80.06455679</v>
      </c>
      <c r="I55" s="88">
        <f>IFERROR(__xludf.DUMMYFUNCTION("""COMPUTED_VALUE"""),79.546492014413)</f>
        <v>79.54649201</v>
      </c>
      <c r="J55" s="88">
        <f>IFERROR(__xludf.DUMMYFUNCTION("""COMPUTED_VALUE"""),79.94210511857)</f>
        <v>79.94210512</v>
      </c>
      <c r="K55" s="88">
        <f>IFERROR(__xludf.DUMMYFUNCTION("""COMPUTED_VALUE"""),5.9430739E7)</f>
        <v>59430739</v>
      </c>
      <c r="L55" s="88">
        <f>IFERROR(__xludf.DUMMYFUNCTION("""COMPUTED_VALUE"""),0.050604)</f>
        <v>0.050604</v>
      </c>
      <c r="M55" s="88">
        <f>IFERROR(__xludf.DUMMYFUNCTION("""COMPUTED_VALUE"""),1.0)</f>
        <v>1</v>
      </c>
    </row>
    <row r="56">
      <c r="A56" s="86">
        <f>IFERROR(__xludf.DUMMYFUNCTION("""COMPUTED_VALUE"""),42674.0)</f>
        <v>42674</v>
      </c>
      <c r="B56" s="87">
        <f>IFERROR(__xludf.DUMMYFUNCTION("""COMPUTED_VALUE"""),84.95)</f>
        <v>84.95</v>
      </c>
      <c r="C56">
        <f>IFERROR(__xludf.DUMMYFUNCTION("""COMPUTED_VALUE"""),84.99)</f>
        <v>84.99</v>
      </c>
      <c r="D56" s="88">
        <f>IFERROR(__xludf.DUMMYFUNCTION("""COMPUTED_VALUE"""),84.8)</f>
        <v>84.8</v>
      </c>
      <c r="E56" s="88">
        <f>IFERROR(__xludf.DUMMYFUNCTION("""COMPUTED_VALUE"""),84.99)</f>
        <v>84.99</v>
      </c>
      <c r="F56" s="88">
        <f>IFERROR(__xludf.DUMMYFUNCTION("""COMPUTED_VALUE"""),3.4179178E7)</f>
        <v>34179178</v>
      </c>
      <c r="G56" s="88">
        <f>IFERROR(__xludf.DUMMYFUNCTION("""COMPUTED_VALUE"""),79.9697946070211)</f>
        <v>79.96979461</v>
      </c>
      <c r="H56" s="88">
        <f>IFERROR(__xludf.DUMMYFUNCTION("""COMPUTED_VALUE"""),80.0074496015388)</f>
        <v>80.0074496</v>
      </c>
      <c r="I56" s="88">
        <f>IFERROR(__xludf.DUMMYFUNCTION("""COMPUTED_VALUE"""),79.8285883775796)</f>
        <v>79.82858838</v>
      </c>
      <c r="J56" s="88">
        <f>IFERROR(__xludf.DUMMYFUNCTION("""COMPUTED_VALUE"""),80.0074496015388)</f>
        <v>80.0074496</v>
      </c>
      <c r="K56" s="88">
        <f>IFERROR(__xludf.DUMMYFUNCTION("""COMPUTED_VALUE"""),3.4179178E7)</f>
        <v>34179178</v>
      </c>
      <c r="L56" s="88">
        <f>IFERROR(__xludf.DUMMYFUNCTION("""COMPUTED_VALUE"""),0.048694)</f>
        <v>0.048694</v>
      </c>
      <c r="M56" s="88">
        <f>IFERROR(__xludf.DUMMYFUNCTION("""COMPUTED_VALUE"""),1.0)</f>
        <v>1</v>
      </c>
    </row>
    <row r="57">
      <c r="A57" s="86">
        <f>IFERROR(__xludf.DUMMYFUNCTION("""COMPUTED_VALUE"""),42643.0)</f>
        <v>42643</v>
      </c>
      <c r="B57" s="87">
        <f>IFERROR(__xludf.DUMMYFUNCTION("""COMPUTED_VALUE"""),85.04)</f>
        <v>85.04</v>
      </c>
      <c r="C57">
        <f>IFERROR(__xludf.DUMMYFUNCTION("""COMPUTED_VALUE"""),85.11)</f>
        <v>85.11</v>
      </c>
      <c r="D57" s="88">
        <f>IFERROR(__xludf.DUMMYFUNCTION("""COMPUTED_VALUE"""),84.89)</f>
        <v>84.89</v>
      </c>
      <c r="E57" s="88">
        <f>IFERROR(__xludf.DUMMYFUNCTION("""COMPUTED_VALUE"""),84.91)</f>
        <v>84.91</v>
      </c>
      <c r="F57" s="88">
        <f>IFERROR(__xludf.DUMMYFUNCTION("""COMPUTED_VALUE"""),3.9182704E7)</f>
        <v>39182704</v>
      </c>
      <c r="G57" s="88">
        <f>IFERROR(__xludf.DUMMYFUNCTION("""COMPUTED_VALUE"""),80.0086729420002)</f>
        <v>80.00867294</v>
      </c>
      <c r="H57" s="88">
        <f>IFERROR(__xludf.DUMMYFUNCTION("""COMPUTED_VALUE"""),80.0745314451274)</f>
        <v>80.07453145</v>
      </c>
      <c r="I57" s="88">
        <f>IFERROR(__xludf.DUMMYFUNCTION("""COMPUTED_VALUE"""),79.8675475781561)</f>
        <v>79.86754758</v>
      </c>
      <c r="J57" s="88">
        <f>IFERROR(__xludf.DUMMYFUNCTION("""COMPUTED_VALUE"""),79.8863642933353)</f>
        <v>79.88636429</v>
      </c>
      <c r="K57" s="88">
        <f>IFERROR(__xludf.DUMMYFUNCTION("""COMPUTED_VALUE"""),3.9182704E7)</f>
        <v>39182704</v>
      </c>
      <c r="L57" s="88">
        <f>IFERROR(__xludf.DUMMYFUNCTION("""COMPUTED_VALUE"""),0.050066)</f>
        <v>0.050066</v>
      </c>
      <c r="M57" s="88">
        <f>IFERROR(__xludf.DUMMYFUNCTION("""COMPUTED_VALUE"""),1.0)</f>
        <v>1</v>
      </c>
    </row>
    <row r="58">
      <c r="A58" s="86">
        <f>IFERROR(__xludf.DUMMYFUNCTION("""COMPUTED_VALUE"""),42613.0)</f>
        <v>42613</v>
      </c>
      <c r="B58" s="87">
        <f>IFERROR(__xludf.DUMMYFUNCTION("""COMPUTED_VALUE"""),84.98)</f>
        <v>84.98</v>
      </c>
      <c r="C58">
        <f>IFERROR(__xludf.DUMMYFUNCTION("""COMPUTED_VALUE"""),85.2)</f>
        <v>85.2</v>
      </c>
      <c r="D58" s="88">
        <f>IFERROR(__xludf.DUMMYFUNCTION("""COMPUTED_VALUE"""),84.93)</f>
        <v>84.93</v>
      </c>
      <c r="E58" s="88">
        <f>IFERROR(__xludf.DUMMYFUNCTION("""COMPUTED_VALUE"""),85.11)</f>
        <v>85.11</v>
      </c>
      <c r="F58" s="88">
        <f>IFERROR(__xludf.DUMMYFUNCTION("""COMPUTED_VALUE"""),2.5273265E7)</f>
        <v>25273265</v>
      </c>
      <c r="G58" s="88">
        <f>IFERROR(__xludf.DUMMYFUNCTION("""COMPUTED_VALUE"""),79.9051411112222)</f>
        <v>79.90514111</v>
      </c>
      <c r="H58" s="88">
        <f>IFERROR(__xludf.DUMMYFUNCTION("""COMPUTED_VALUE"""),80.1120030910347)</f>
        <v>80.11200309</v>
      </c>
      <c r="I58" s="88">
        <f>IFERROR(__xludf.DUMMYFUNCTION("""COMPUTED_VALUE"""),79.8581270249012)</f>
        <v>79.85812702</v>
      </c>
      <c r="J58" s="88">
        <f>IFERROR(__xludf.DUMMYFUNCTION("""COMPUTED_VALUE"""),80.0273777356569)</f>
        <v>80.02737774</v>
      </c>
      <c r="K58" s="88">
        <f>IFERROR(__xludf.DUMMYFUNCTION("""COMPUTED_VALUE"""),2.5273265E7)</f>
        <v>25273265</v>
      </c>
      <c r="L58" s="88">
        <f>IFERROR(__xludf.DUMMYFUNCTION("""COMPUTED_VALUE"""),0.051087)</f>
        <v>0.051087</v>
      </c>
      <c r="M58" s="88">
        <f>IFERROR(__xludf.DUMMYFUNCTION("""COMPUTED_VALUE"""),1.0)</f>
        <v>1</v>
      </c>
    </row>
    <row r="59">
      <c r="A59" s="86">
        <f>IFERROR(__xludf.DUMMYFUNCTION("""COMPUTED_VALUE"""),42580.0)</f>
        <v>42580</v>
      </c>
      <c r="B59" s="87">
        <f>IFERROR(__xludf.DUMMYFUNCTION("""COMPUTED_VALUE"""),85.23)</f>
        <v>85.23</v>
      </c>
      <c r="C59">
        <f>IFERROR(__xludf.DUMMYFUNCTION("""COMPUTED_VALUE"""),85.35)</f>
        <v>85.35</v>
      </c>
      <c r="D59" s="88">
        <f>IFERROR(__xludf.DUMMYFUNCTION("""COMPUTED_VALUE"""),85.04)</f>
        <v>85.04</v>
      </c>
      <c r="E59" s="88">
        <f>IFERROR(__xludf.DUMMYFUNCTION("""COMPUTED_VALUE"""),85.33)</f>
        <v>85.33</v>
      </c>
      <c r="F59" s="88">
        <f>IFERROR(__xludf.DUMMYFUNCTION("""COMPUTED_VALUE"""),3.2123588E7)</f>
        <v>32123588</v>
      </c>
      <c r="G59" s="88">
        <f>IFERROR(__xludf.DUMMYFUNCTION("""COMPUTED_VALUE"""),80.0921590691883)</f>
        <v>80.09215907</v>
      </c>
      <c r="H59" s="88">
        <f>IFERROR(__xludf.DUMMYFUNCTION("""COMPUTED_VALUE"""),80.2049252206408)</f>
        <v>80.20492522</v>
      </c>
      <c r="I59" s="88">
        <f>IFERROR(__xludf.DUMMYFUNCTION("""COMPUTED_VALUE"""),79.9136126627217)</f>
        <v>79.91361266</v>
      </c>
      <c r="J59" s="88">
        <f>IFERROR(__xludf.DUMMYFUNCTION("""COMPUTED_VALUE"""),80.1861308620654)</f>
        <v>80.18613086</v>
      </c>
      <c r="K59" s="88">
        <f>IFERROR(__xludf.DUMMYFUNCTION("""COMPUTED_VALUE"""),3.2123588E7)</f>
        <v>32123588</v>
      </c>
      <c r="L59" s="88">
        <f>IFERROR(__xludf.DUMMYFUNCTION("""COMPUTED_VALUE"""),0.050375)</f>
        <v>0.050375</v>
      </c>
      <c r="M59" s="88">
        <f>IFERROR(__xludf.DUMMYFUNCTION("""COMPUTED_VALUE"""),1.0)</f>
        <v>1</v>
      </c>
    </row>
    <row r="60">
      <c r="A60" s="86">
        <f>IFERROR(__xludf.DUMMYFUNCTION("""COMPUTED_VALUE"""),42551.0)</f>
        <v>42551</v>
      </c>
      <c r="B60" s="87">
        <f>IFERROR(__xludf.DUMMYFUNCTION("""COMPUTED_VALUE"""),85.32)</f>
        <v>85.32</v>
      </c>
      <c r="C60">
        <f>IFERROR(__xludf.DUMMYFUNCTION("""COMPUTED_VALUE"""),85.35)</f>
        <v>85.35</v>
      </c>
      <c r="D60" s="88">
        <f>IFERROR(__xludf.DUMMYFUNCTION("""COMPUTED_VALUE"""),84.75)</f>
        <v>84.75</v>
      </c>
      <c r="E60" s="88">
        <f>IFERROR(__xludf.DUMMYFUNCTION("""COMPUTED_VALUE"""),84.81)</f>
        <v>84.81</v>
      </c>
      <c r="F60" s="88">
        <f>IFERROR(__xludf.DUMMYFUNCTION("""COMPUTED_VALUE"""),3.1302073E7)</f>
        <v>31302073</v>
      </c>
      <c r="G60" s="88">
        <f>IFERROR(__xludf.DUMMYFUNCTION("""COMPUTED_VALUE"""),80.1294122391487)</f>
        <v>80.12941224</v>
      </c>
      <c r="H60" s="88">
        <f>IFERROR(__xludf.DUMMYFUNCTION("""COMPUTED_VALUE"""),80.157587137967)</f>
        <v>80.15758714</v>
      </c>
      <c r="I60" s="88">
        <f>IFERROR(__xludf.DUMMYFUNCTION("""COMPUTED_VALUE"""),79.5940891616017)</f>
        <v>79.59408916</v>
      </c>
      <c r="J60" s="88">
        <f>IFERROR(__xludf.DUMMYFUNCTION("""COMPUTED_VALUE"""),79.6504389592382)</f>
        <v>79.65043896</v>
      </c>
      <c r="K60" s="88">
        <f>IFERROR(__xludf.DUMMYFUNCTION("""COMPUTED_VALUE"""),3.1302073E7)</f>
        <v>31302073</v>
      </c>
      <c r="L60" s="88">
        <f>IFERROR(__xludf.DUMMYFUNCTION("""COMPUTED_VALUE"""),0.050553)</f>
        <v>0.050553</v>
      </c>
      <c r="M60" s="88">
        <f>IFERROR(__xludf.DUMMYFUNCTION("""COMPUTED_VALUE"""),1.0)</f>
        <v>1</v>
      </c>
    </row>
    <row r="61">
      <c r="A61" s="86">
        <f>IFERROR(__xludf.DUMMYFUNCTION("""COMPUTED_VALUE"""),42521.0)</f>
        <v>42521</v>
      </c>
      <c r="B61" s="87">
        <f>IFERROR(__xludf.DUMMYFUNCTION("""COMPUTED_VALUE"""),84.86)</f>
        <v>84.86</v>
      </c>
      <c r="C61">
        <f>IFERROR(__xludf.DUMMYFUNCTION("""COMPUTED_VALUE"""),85.0999)</f>
        <v>85.0999</v>
      </c>
      <c r="D61" s="88">
        <f>IFERROR(__xludf.DUMMYFUNCTION("""COMPUTED_VALUE"""),84.76)</f>
        <v>84.76</v>
      </c>
      <c r="E61" s="88">
        <f>IFERROR(__xludf.DUMMYFUNCTION("""COMPUTED_VALUE"""),84.94)</f>
        <v>84.94</v>
      </c>
      <c r="F61" s="88">
        <f>IFERROR(__xludf.DUMMYFUNCTION("""COMPUTED_VALUE"""),3.3517612E7)</f>
        <v>33517612</v>
      </c>
      <c r="G61" s="88">
        <f>IFERROR(__xludf.DUMMYFUNCTION("""COMPUTED_VALUE"""),79.6498863191791)</f>
        <v>79.64988632</v>
      </c>
      <c r="H61" s="88">
        <f>IFERROR(__xludf.DUMMYFUNCTION("""COMPUTED_VALUE"""),79.8750572799141)</f>
        <v>79.87505728</v>
      </c>
      <c r="I61" s="88">
        <f>IFERROR(__xludf.DUMMYFUNCTION("""COMPUTED_VALUE"""),79.5560259770636)</f>
        <v>79.55602598</v>
      </c>
      <c r="J61" s="88">
        <f>IFERROR(__xludf.DUMMYFUNCTION("""COMPUTED_VALUE"""),79.7249745928715)</f>
        <v>79.72497459</v>
      </c>
      <c r="K61" s="88">
        <f>IFERROR(__xludf.DUMMYFUNCTION("""COMPUTED_VALUE"""),3.3517612E7)</f>
        <v>33517612</v>
      </c>
      <c r="L61" s="88">
        <f>IFERROR(__xludf.DUMMYFUNCTION("""COMPUTED_VALUE"""),0.049039)</f>
        <v>0.049039</v>
      </c>
      <c r="M61" s="88">
        <f>IFERROR(__xludf.DUMMYFUNCTION("""COMPUTED_VALUE"""),1.0)</f>
        <v>1</v>
      </c>
    </row>
    <row r="62">
      <c r="A62" s="86">
        <f>IFERROR(__xludf.DUMMYFUNCTION("""COMPUTED_VALUE"""),42489.0)</f>
        <v>42489</v>
      </c>
      <c r="B62" s="87">
        <f>IFERROR(__xludf.DUMMYFUNCTION("""COMPUTED_VALUE"""),85.01)</f>
        <v>85.01</v>
      </c>
      <c r="C62">
        <f>IFERROR(__xludf.DUMMYFUNCTION("""COMPUTED_VALUE"""),85.06)</f>
        <v>85.06</v>
      </c>
      <c r="D62" s="88">
        <f>IFERROR(__xludf.DUMMYFUNCTION("""COMPUTED_VALUE"""),84.8183)</f>
        <v>84.8183</v>
      </c>
      <c r="E62" s="88">
        <f>IFERROR(__xludf.DUMMYFUNCTION("""COMPUTED_VALUE"""),84.93)</f>
        <v>84.93</v>
      </c>
      <c r="F62" s="88">
        <f>IFERROR(__xludf.DUMMYFUNCTION("""COMPUTED_VALUE"""),3.3783563E7)</f>
        <v>33783563</v>
      </c>
      <c r="G62" s="88">
        <f>IFERROR(__xludf.DUMMYFUNCTION("""COMPUTED_VALUE"""),79.7446318894202)</f>
        <v>79.74463189</v>
      </c>
      <c r="H62" s="88">
        <f>IFERROR(__xludf.DUMMYFUNCTION("""COMPUTED_VALUE"""),79.7915349784035)</f>
        <v>79.79153498</v>
      </c>
      <c r="I62" s="88">
        <f>IFERROR(__xludf.DUMMYFUNCTION("""COMPUTED_VALUE"""),79.5648054462582)</f>
        <v>79.56480545</v>
      </c>
      <c r="J62" s="88">
        <f>IFERROR(__xludf.DUMMYFUNCTION("""COMPUTED_VALUE"""),79.6695869470469)</f>
        <v>79.66958695</v>
      </c>
      <c r="K62" s="88">
        <f>IFERROR(__xludf.DUMMYFUNCTION("""COMPUTED_VALUE"""),3.3783563E7)</f>
        <v>33783563</v>
      </c>
      <c r="L62" s="88">
        <f>IFERROR(__xludf.DUMMYFUNCTION("""COMPUTED_VALUE"""),0.050611)</f>
        <v>0.050611</v>
      </c>
      <c r="M62" s="88">
        <f>IFERROR(__xludf.DUMMYFUNCTION("""COMPUTED_VALUE"""),1.0)</f>
        <v>1</v>
      </c>
    </row>
    <row r="63">
      <c r="A63" s="86">
        <f>IFERROR(__xludf.DUMMYFUNCTION("""COMPUTED_VALUE"""),42460.0)</f>
        <v>42460</v>
      </c>
      <c r="B63" s="87">
        <f>IFERROR(__xludf.DUMMYFUNCTION("""COMPUTED_VALUE"""),85.03)</f>
        <v>85.03</v>
      </c>
      <c r="C63">
        <f>IFERROR(__xludf.DUMMYFUNCTION("""COMPUTED_VALUE"""),85.06)</f>
        <v>85.06</v>
      </c>
      <c r="D63" s="88">
        <f>IFERROR(__xludf.DUMMYFUNCTION("""COMPUTED_VALUE"""),84.55)</f>
        <v>84.55</v>
      </c>
      <c r="E63" s="88">
        <f>IFERROR(__xludf.DUMMYFUNCTION("""COMPUTED_VALUE"""),84.92)</f>
        <v>84.92</v>
      </c>
      <c r="F63" s="88">
        <f>IFERROR(__xludf.DUMMYFUNCTION("""COMPUTED_VALUE"""),5.382012E7)</f>
        <v>53820120</v>
      </c>
      <c r="G63" s="88">
        <f>IFERROR(__xludf.DUMMYFUNCTION("""COMPUTED_VALUE"""),79.7158892880565)</f>
        <v>79.71588929</v>
      </c>
      <c r="H63" s="88">
        <f>IFERROR(__xludf.DUMMYFUNCTION("""COMPUTED_VALUE"""),79.7440143813017)</f>
        <v>79.74401438</v>
      </c>
      <c r="I63" s="88">
        <f>IFERROR(__xludf.DUMMYFUNCTION("""COMPUTED_VALUE"""),79.2658877961328)</f>
        <v>79.2658878</v>
      </c>
      <c r="J63" s="88">
        <f>IFERROR(__xludf.DUMMYFUNCTION("""COMPUTED_VALUE"""),79.6127639461573)</f>
        <v>79.61276395</v>
      </c>
      <c r="K63" s="88">
        <f>IFERROR(__xludf.DUMMYFUNCTION("""COMPUTED_VALUE"""),5.382012E7)</f>
        <v>53820120</v>
      </c>
      <c r="L63" s="88">
        <f>IFERROR(__xludf.DUMMYFUNCTION("""COMPUTED_VALUE"""),0.046779)</f>
        <v>0.046779</v>
      </c>
      <c r="M63" s="88">
        <f>IFERROR(__xludf.DUMMYFUNCTION("""COMPUTED_VALUE"""),1.0)</f>
        <v>1</v>
      </c>
    </row>
    <row r="64">
      <c r="A64" s="86">
        <f>IFERROR(__xludf.DUMMYFUNCTION("""COMPUTED_VALUE"""),42429.0)</f>
        <v>42429</v>
      </c>
      <c r="B64" s="87">
        <f>IFERROR(__xludf.DUMMYFUNCTION("""COMPUTED_VALUE"""),84.96)</f>
        <v>84.96</v>
      </c>
      <c r="C64">
        <f>IFERROR(__xludf.DUMMYFUNCTION("""COMPUTED_VALUE"""),85.1775)</f>
        <v>85.1775</v>
      </c>
      <c r="D64" s="88">
        <f>IFERROR(__xludf.DUMMYFUNCTION("""COMPUTED_VALUE"""),84.8)</f>
        <v>84.8</v>
      </c>
      <c r="E64" s="88">
        <f>IFERROR(__xludf.DUMMYFUNCTION("""COMPUTED_VALUE"""),84.84)</f>
        <v>84.84</v>
      </c>
      <c r="F64" s="88">
        <f>IFERROR(__xludf.DUMMYFUNCTION("""COMPUTED_VALUE"""),3.604118E7)</f>
        <v>36041180</v>
      </c>
      <c r="G64" s="88">
        <f>IFERROR(__xludf.DUMMYFUNCTION("""COMPUTED_VALUE"""),79.6063500911103)</f>
        <v>79.60635009</v>
      </c>
      <c r="H64" s="88">
        <f>IFERROR(__xludf.DUMMYFUNCTION("""COMPUTED_VALUE"""),79.8101445961105)</f>
        <v>79.8101446</v>
      </c>
      <c r="I64" s="88">
        <f>IFERROR(__xludf.DUMMYFUNCTION("""COMPUTED_VALUE"""),79.4564322943286)</f>
        <v>79.45643229</v>
      </c>
      <c r="J64" s="88">
        <f>IFERROR(__xludf.DUMMYFUNCTION("""COMPUTED_VALUE"""),79.493911743524)</f>
        <v>79.49391174</v>
      </c>
      <c r="K64" s="88">
        <f>IFERROR(__xludf.DUMMYFUNCTION("""COMPUTED_VALUE"""),3.604118E7)</f>
        <v>36041180</v>
      </c>
      <c r="L64" s="88">
        <f>IFERROR(__xludf.DUMMYFUNCTION("""COMPUTED_VALUE"""),0.045147)</f>
        <v>0.045147</v>
      </c>
      <c r="M64" s="88">
        <f>IFERROR(__xludf.DUMMYFUNCTION("""COMPUTED_VALUE"""),1.0)</f>
        <v>1</v>
      </c>
    </row>
    <row r="65">
      <c r="A65" s="86">
        <f>IFERROR(__xludf.DUMMYFUNCTION("""COMPUTED_VALUE"""),42398.0)</f>
        <v>42398</v>
      </c>
      <c r="B65" s="87">
        <f>IFERROR(__xludf.DUMMYFUNCTION("""COMPUTED_VALUE"""),84.91)</f>
        <v>84.91</v>
      </c>
      <c r="C65">
        <f>IFERROR(__xludf.DUMMYFUNCTION("""COMPUTED_VALUE"""),84.91)</f>
        <v>84.91</v>
      </c>
      <c r="D65" s="88">
        <f>IFERROR(__xludf.DUMMYFUNCTION("""COMPUTED_VALUE"""),84.41)</f>
        <v>84.41</v>
      </c>
      <c r="E65" s="88">
        <f>IFERROR(__xludf.DUMMYFUNCTION("""COMPUTED_VALUE"""),84.48)</f>
        <v>84.48</v>
      </c>
      <c r="F65" s="88">
        <f>IFERROR(__xludf.DUMMYFUNCTION("""COMPUTED_VALUE"""),5.2635101E7)</f>
        <v>52635101</v>
      </c>
      <c r="G65" s="88">
        <f>IFERROR(__xludf.DUMMYFUNCTION("""COMPUTED_VALUE"""),79.5171763047442)</f>
        <v>79.5171763</v>
      </c>
      <c r="H65" s="88">
        <f>IFERROR(__xludf.DUMMYFUNCTION("""COMPUTED_VALUE"""),79.5171763047442)</f>
        <v>79.5171763</v>
      </c>
      <c r="I65" s="88">
        <f>IFERROR(__xludf.DUMMYFUNCTION("""COMPUTED_VALUE"""),79.0489324211925)</f>
        <v>79.04893242</v>
      </c>
      <c r="J65" s="88">
        <f>IFERROR(__xludf.DUMMYFUNCTION("""COMPUTED_VALUE"""),79.1144865648898)</f>
        <v>79.11448656</v>
      </c>
      <c r="K65" s="88">
        <f>IFERROR(__xludf.DUMMYFUNCTION("""COMPUTED_VALUE"""),5.2635101E7)</f>
        <v>52635101</v>
      </c>
      <c r="L65" s="88">
        <f>IFERROR(__xludf.DUMMYFUNCTION("""COMPUTED_VALUE"""),0.0)</f>
        <v>0</v>
      </c>
      <c r="M65" s="88">
        <f>IFERROR(__xludf.DUMMYFUNCTION("""COMPUTED_VALUE"""),1.0)</f>
        <v>1</v>
      </c>
    </row>
    <row r="66">
      <c r="A66" s="86">
        <f>IFERROR(__xludf.DUMMYFUNCTION("""COMPUTED_VALUE"""),42369.0)</f>
        <v>42369</v>
      </c>
      <c r="B66" s="87">
        <f>IFERROR(__xludf.DUMMYFUNCTION("""COMPUTED_VALUE"""),84.36)</f>
        <v>84.36</v>
      </c>
      <c r="C66">
        <f>IFERROR(__xludf.DUMMYFUNCTION("""COMPUTED_VALUE"""),84.62)</f>
        <v>84.62</v>
      </c>
      <c r="D66" s="88">
        <f>IFERROR(__xludf.DUMMYFUNCTION("""COMPUTED_VALUE"""),84.31)</f>
        <v>84.31</v>
      </c>
      <c r="E66" s="88">
        <f>IFERROR(__xludf.DUMMYFUNCTION("""COMPUTED_VALUE"""),84.51)</f>
        <v>84.51</v>
      </c>
      <c r="F66" s="88">
        <f>IFERROR(__xludf.DUMMYFUNCTION("""COMPUTED_VALUE"""),4.7854865E7)</f>
        <v>47854865</v>
      </c>
      <c r="G66" s="88">
        <f>IFERROR(__xludf.DUMMYFUNCTION("""COMPUTED_VALUE"""),79.0021080328374)</f>
        <v>79.00210803</v>
      </c>
      <c r="H66" s="88">
        <f>IFERROR(__xludf.DUMMYFUNCTION("""COMPUTED_VALUE"""),79.2051303627121)</f>
        <v>79.20513036</v>
      </c>
      <c r="I66" s="88">
        <f>IFERROR(__xludf.DUMMYFUNCTION("""COMPUTED_VALUE"""),78.9149673939997)</f>
        <v>78.91496739</v>
      </c>
      <c r="J66" s="88">
        <f>IFERROR(__xludf.DUMMYFUNCTION("""COMPUTED_VALUE"""),79.102169309298)</f>
        <v>79.10216931</v>
      </c>
      <c r="K66" s="88">
        <f>IFERROR(__xludf.DUMMYFUNCTION("""COMPUTED_VALUE"""),4.7854865E7)</f>
        <v>47854865</v>
      </c>
      <c r="L66" s="88">
        <f>IFERROR(__xludf.DUMMYFUNCTION("""COMPUTED_VALUE"""),0.084269)</f>
        <v>0.084269</v>
      </c>
      <c r="M66" s="88">
        <f>IFERROR(__xludf.DUMMYFUNCTION("""COMPUTED_VALUE"""),1.0)</f>
        <v>1</v>
      </c>
    </row>
    <row r="67">
      <c r="A67" s="86">
        <f>IFERROR(__xludf.DUMMYFUNCTION("""COMPUTED_VALUE"""),42338.0)</f>
        <v>42338</v>
      </c>
      <c r="B67" s="87">
        <f>IFERROR(__xludf.DUMMYFUNCTION("""COMPUTED_VALUE"""),84.57)</f>
        <v>84.57</v>
      </c>
      <c r="C67">
        <f>IFERROR(__xludf.DUMMYFUNCTION("""COMPUTED_VALUE"""),84.78)</f>
        <v>84.78</v>
      </c>
      <c r="D67" s="88">
        <f>IFERROR(__xludf.DUMMYFUNCTION("""COMPUTED_VALUE"""),84.53)</f>
        <v>84.53</v>
      </c>
      <c r="E67" s="88">
        <f>IFERROR(__xludf.DUMMYFUNCTION("""COMPUTED_VALUE"""),84.71)</f>
        <v>84.71</v>
      </c>
      <c r="F67" s="88">
        <f>IFERROR(__xludf.DUMMYFUNCTION("""COMPUTED_VALUE"""),6.0033876E7)</f>
        <v>60033876</v>
      </c>
      <c r="G67" s="88">
        <f>IFERROR(__xludf.DUMMYFUNCTION("""COMPUTED_VALUE"""),79.1198597463601)</f>
        <v>79.11985975</v>
      </c>
      <c r="H67" s="88">
        <f>IFERROR(__xludf.DUMMYFUNCTION("""COMPUTED_VALUE"""),79.3163262302993)</f>
        <v>79.31632623</v>
      </c>
      <c r="I67" s="88">
        <f>IFERROR(__xludf.DUMMYFUNCTION("""COMPUTED_VALUE"""),79.0824375589431)</f>
        <v>79.08243756</v>
      </c>
      <c r="J67" s="88">
        <f>IFERROR(__xludf.DUMMYFUNCTION("""COMPUTED_VALUE"""),79.2508374023195)</f>
        <v>79.2508374</v>
      </c>
      <c r="K67" s="88">
        <f>IFERROR(__xludf.DUMMYFUNCTION("""COMPUTED_VALUE"""),6.0033876E7)</f>
        <v>60033876</v>
      </c>
      <c r="L67" s="88">
        <f>IFERROR(__xludf.DUMMYFUNCTION("""COMPUTED_VALUE"""),0.041148)</f>
        <v>0.041148</v>
      </c>
      <c r="M67" s="88">
        <f>IFERROR(__xludf.DUMMYFUNCTION("""COMPUTED_VALUE"""),1.0)</f>
        <v>1</v>
      </c>
    </row>
    <row r="68">
      <c r="A68" s="86">
        <f>IFERROR(__xludf.DUMMYFUNCTION("""COMPUTED_VALUE"""),42307.0)</f>
        <v>42307</v>
      </c>
      <c r="B68" s="87">
        <f>IFERROR(__xludf.DUMMYFUNCTION("""COMPUTED_VALUE"""),84.83)</f>
        <v>84.83</v>
      </c>
      <c r="C68">
        <f>IFERROR(__xludf.DUMMYFUNCTION("""COMPUTED_VALUE"""),85.12)</f>
        <v>85.12</v>
      </c>
      <c r="D68" s="88">
        <f>IFERROR(__xludf.DUMMYFUNCTION("""COMPUTED_VALUE"""),84.82)</f>
        <v>84.82</v>
      </c>
      <c r="E68" s="88">
        <f>IFERROR(__xludf.DUMMYFUNCTION("""COMPUTED_VALUE"""),84.95)</f>
        <v>84.95</v>
      </c>
      <c r="F68" s="88">
        <f>IFERROR(__xludf.DUMMYFUNCTION("""COMPUTED_VALUE"""),6.399906E7)</f>
        <v>63999060</v>
      </c>
      <c r="G68" s="88">
        <f>IFERROR(__xludf.DUMMYFUNCTION("""COMPUTED_VALUE"""),79.3245855783612)</f>
        <v>79.32458558</v>
      </c>
      <c r="H68" s="88">
        <f>IFERROR(__xludf.DUMMYFUNCTION("""COMPUTED_VALUE"""),79.5957647581056)</f>
        <v>79.59576476</v>
      </c>
      <c r="I68" s="88">
        <f>IFERROR(__xludf.DUMMYFUNCTION("""COMPUTED_VALUE"""),79.3152345721631)</f>
        <v>79.31523457</v>
      </c>
      <c r="J68" s="88">
        <f>IFERROR(__xludf.DUMMYFUNCTION("""COMPUTED_VALUE"""),79.4367976527382)</f>
        <v>79.43679765</v>
      </c>
      <c r="K68" s="88">
        <f>IFERROR(__xludf.DUMMYFUNCTION("""COMPUTED_VALUE"""),6.399906E7)</f>
        <v>63999060</v>
      </c>
      <c r="L68" s="88">
        <f>IFERROR(__xludf.DUMMYFUNCTION("""COMPUTED_VALUE"""),0.039844)</f>
        <v>0.039844</v>
      </c>
      <c r="M68" s="88">
        <f>IFERROR(__xludf.DUMMYFUNCTION("""COMPUTED_VALUE"""),1.0)</f>
        <v>1</v>
      </c>
    </row>
    <row r="69">
      <c r="A69" s="86">
        <f>IFERROR(__xludf.DUMMYFUNCTION("""COMPUTED_VALUE"""),42277.0)</f>
        <v>42277</v>
      </c>
      <c r="B69" s="87">
        <f>IFERROR(__xludf.DUMMYFUNCTION("""COMPUTED_VALUE"""),84.99)</f>
        <v>84.99</v>
      </c>
      <c r="C69">
        <f>IFERROR(__xludf.DUMMYFUNCTION("""COMPUTED_VALUE"""),85.0)</f>
        <v>85</v>
      </c>
      <c r="D69" s="88">
        <f>IFERROR(__xludf.DUMMYFUNCTION("""COMPUTED_VALUE"""),84.66)</f>
        <v>84.66</v>
      </c>
      <c r="E69" s="88">
        <f>IFERROR(__xludf.DUMMYFUNCTION("""COMPUTED_VALUE"""),84.78)</f>
        <v>84.78</v>
      </c>
      <c r="F69" s="88">
        <f>IFERROR(__xludf.DUMMYFUNCTION("""COMPUTED_VALUE"""),5.1304898E7)</f>
        <v>51304898</v>
      </c>
      <c r="G69" s="88">
        <f>IFERROR(__xludf.DUMMYFUNCTION("""COMPUTED_VALUE"""),79.436943460047)</f>
        <v>79.43694346</v>
      </c>
      <c r="H69" s="88">
        <f>IFERROR(__xludf.DUMMYFUNCTION("""COMPUTED_VALUE"""),79.4462900824097)</f>
        <v>79.44629008</v>
      </c>
      <c r="I69" s="88">
        <f>IFERROR(__xludf.DUMMYFUNCTION("""COMPUTED_VALUE"""),79.12850492208)</f>
        <v>79.12850492</v>
      </c>
      <c r="J69" s="88">
        <f>IFERROR(__xludf.DUMMYFUNCTION("""COMPUTED_VALUE"""),79.2406643904317)</f>
        <v>79.24066439</v>
      </c>
      <c r="K69" s="88">
        <f>IFERROR(__xludf.DUMMYFUNCTION("""COMPUTED_VALUE"""),5.1304898E7)</f>
        <v>51304898</v>
      </c>
      <c r="L69" s="88">
        <f>IFERROR(__xludf.DUMMYFUNCTION("""COMPUTED_VALUE"""),0.03979)</f>
        <v>0.03979</v>
      </c>
      <c r="M69" s="88">
        <f>IFERROR(__xludf.DUMMYFUNCTION("""COMPUTED_VALUE"""),1.0)</f>
        <v>1</v>
      </c>
    </row>
    <row r="70">
      <c r="A70" s="86">
        <f>IFERROR(__xludf.DUMMYFUNCTION("""COMPUTED_VALUE"""),42247.0)</f>
        <v>42247</v>
      </c>
      <c r="B70" s="87">
        <f>IFERROR(__xludf.DUMMYFUNCTION("""COMPUTED_VALUE"""),84.78)</f>
        <v>84.78</v>
      </c>
      <c r="C70">
        <f>IFERROR(__xludf.DUMMYFUNCTION("""COMPUTED_VALUE"""),85.05)</f>
        <v>85.05</v>
      </c>
      <c r="D70" s="88">
        <f>IFERROR(__xludf.DUMMYFUNCTION("""COMPUTED_VALUE"""),84.68)</f>
        <v>84.68</v>
      </c>
      <c r="E70" s="88">
        <f>IFERROR(__xludf.DUMMYFUNCTION("""COMPUTED_VALUE"""),84.79)</f>
        <v>84.79</v>
      </c>
      <c r="F70" s="88">
        <f>IFERROR(__xludf.DUMMYFUNCTION("""COMPUTED_VALUE"""),4.8551141E7)</f>
        <v>48551141</v>
      </c>
      <c r="G70" s="88">
        <f>IFERROR(__xludf.DUMMYFUNCTION("""COMPUTED_VALUE"""),79.2034872433583)</f>
        <v>79.20348724</v>
      </c>
      <c r="H70" s="88">
        <f>IFERROR(__xludf.DUMMYFUNCTION("""COMPUTED_VALUE"""),79.4557276485919)</f>
        <v>79.45572765</v>
      </c>
      <c r="I70" s="88">
        <f>IFERROR(__xludf.DUMMYFUNCTION("""COMPUTED_VALUE"""),79.1100648710495)</f>
        <v>79.11006487</v>
      </c>
      <c r="J70" s="88">
        <f>IFERROR(__xludf.DUMMYFUNCTION("""COMPUTED_VALUE"""),79.2128294805891)</f>
        <v>79.21282948</v>
      </c>
      <c r="K70" s="88">
        <f>IFERROR(__xludf.DUMMYFUNCTION("""COMPUTED_VALUE"""),4.8551141E7)</f>
        <v>48551141</v>
      </c>
      <c r="L70" s="88">
        <f>IFERROR(__xludf.DUMMYFUNCTION("""COMPUTED_VALUE"""),0.038045)</f>
        <v>0.038045</v>
      </c>
      <c r="M70" s="88">
        <f>IFERROR(__xludf.DUMMYFUNCTION("""COMPUTED_VALUE"""),1.0)</f>
        <v>1</v>
      </c>
    </row>
    <row r="71">
      <c r="A71" s="86">
        <f>IFERROR(__xludf.DUMMYFUNCTION("""COMPUTED_VALUE"""),42216.0)</f>
        <v>42216</v>
      </c>
      <c r="B71" s="87">
        <f>IFERROR(__xludf.DUMMYFUNCTION("""COMPUTED_VALUE"""),84.86)</f>
        <v>84.86</v>
      </c>
      <c r="C71">
        <f>IFERROR(__xludf.DUMMYFUNCTION("""COMPUTED_VALUE"""),84.99)</f>
        <v>84.99</v>
      </c>
      <c r="D71" s="88">
        <f>IFERROR(__xludf.DUMMYFUNCTION("""COMPUTED_VALUE"""),84.71)</f>
        <v>84.71</v>
      </c>
      <c r="E71" s="88">
        <f>IFERROR(__xludf.DUMMYFUNCTION("""COMPUTED_VALUE"""),84.76)</f>
        <v>84.76</v>
      </c>
      <c r="F71" s="88">
        <f>IFERROR(__xludf.DUMMYFUNCTION("""COMPUTED_VALUE"""),4.9932645E7)</f>
        <v>49932645</v>
      </c>
      <c r="G71" s="88">
        <f>IFERROR(__xludf.DUMMYFUNCTION("""COMPUTED_VALUE"""),79.2426943420745)</f>
        <v>79.24269434</v>
      </c>
      <c r="H71" s="88">
        <f>IFERROR(__xludf.DUMMYFUNCTION("""COMPUTED_VALUE"""),79.3640889952028)</f>
        <v>79.364089</v>
      </c>
      <c r="I71" s="88">
        <f>IFERROR(__xludf.DUMMYFUNCTION("""COMPUTED_VALUE"""),79.1026235884649)</f>
        <v>79.10262359</v>
      </c>
      <c r="J71" s="88">
        <f>IFERROR(__xludf.DUMMYFUNCTION("""COMPUTED_VALUE"""),79.1493138396681)</f>
        <v>79.14931384</v>
      </c>
      <c r="K71" s="88">
        <f>IFERROR(__xludf.DUMMYFUNCTION("""COMPUTED_VALUE"""),4.9932645E7)</f>
        <v>49932645</v>
      </c>
      <c r="L71" s="88">
        <f>IFERROR(__xludf.DUMMYFUNCTION("""COMPUTED_VALUE"""),0.037658)</f>
        <v>0.037658</v>
      </c>
      <c r="M71" s="88">
        <f>IFERROR(__xludf.DUMMYFUNCTION("""COMPUTED_VALUE"""),1.0)</f>
        <v>1</v>
      </c>
    </row>
    <row r="72">
      <c r="A72" s="86">
        <f>IFERROR(__xludf.DUMMYFUNCTION("""COMPUTED_VALUE"""),42185.0)</f>
        <v>42185</v>
      </c>
      <c r="B72" s="87">
        <f>IFERROR(__xludf.DUMMYFUNCTION("""COMPUTED_VALUE"""),84.86)</f>
        <v>84.86</v>
      </c>
      <c r="C72">
        <f>IFERROR(__xludf.DUMMYFUNCTION("""COMPUTED_VALUE"""),84.89)</f>
        <v>84.89</v>
      </c>
      <c r="D72" s="88">
        <f>IFERROR(__xludf.DUMMYFUNCTION("""COMPUTED_VALUE"""),84.5901)</f>
        <v>84.5901</v>
      </c>
      <c r="E72" s="88">
        <f>IFERROR(__xludf.DUMMYFUNCTION("""COMPUTED_VALUE"""),84.86)</f>
        <v>84.86</v>
      </c>
      <c r="F72" s="88">
        <f>IFERROR(__xludf.DUMMYFUNCTION("""COMPUTED_VALUE"""),3.4025705E7)</f>
        <v>34025705</v>
      </c>
      <c r="G72" s="88">
        <f>IFERROR(__xludf.DUMMYFUNCTION("""COMPUTED_VALUE"""),79.2074991090191)</f>
        <v>79.20749911</v>
      </c>
      <c r="H72" s="88">
        <f>IFERROR(__xludf.DUMMYFUNCTION("""COMPUTED_VALUE"""),79.2355008174008)</f>
        <v>79.23550082</v>
      </c>
      <c r="I72" s="88">
        <f>IFERROR(__xludf.DUMMYFUNCTION("""COMPUTED_VALUE"""),78.9555770726118)</f>
        <v>78.95557707</v>
      </c>
      <c r="J72" s="88">
        <f>IFERROR(__xludf.DUMMYFUNCTION("""COMPUTED_VALUE"""),79.2074991090191)</f>
        <v>79.20749911</v>
      </c>
      <c r="K72" s="88">
        <f>IFERROR(__xludf.DUMMYFUNCTION("""COMPUTED_VALUE"""),3.4025705E7)</f>
        <v>34025705</v>
      </c>
      <c r="L72" s="88">
        <f>IFERROR(__xludf.DUMMYFUNCTION("""COMPUTED_VALUE"""),0.036809)</f>
        <v>0.036809</v>
      </c>
      <c r="M72" s="88">
        <f>IFERROR(__xludf.DUMMYFUNCTION("""COMPUTED_VALUE"""),1.0)</f>
        <v>1</v>
      </c>
    </row>
    <row r="73">
      <c r="A73" s="86">
        <f>IFERROR(__xludf.DUMMYFUNCTION("""COMPUTED_VALUE"""),42153.0)</f>
        <v>42153</v>
      </c>
      <c r="B73" s="87">
        <f>IFERROR(__xludf.DUMMYFUNCTION("""COMPUTED_VALUE"""),84.87)</f>
        <v>84.87</v>
      </c>
      <c r="C73">
        <f>IFERROR(__xludf.DUMMYFUNCTION("""COMPUTED_VALUE"""),84.91)</f>
        <v>84.91</v>
      </c>
      <c r="D73" s="88">
        <f>IFERROR(__xludf.DUMMYFUNCTION("""COMPUTED_VALUE"""),84.72)</f>
        <v>84.72</v>
      </c>
      <c r="E73" s="88">
        <f>IFERROR(__xludf.DUMMYFUNCTION("""COMPUTED_VALUE"""),84.8)</f>
        <v>84.8</v>
      </c>
      <c r="F73" s="88">
        <f>IFERROR(__xludf.DUMMYFUNCTION("""COMPUTED_VALUE"""),3.0436221E7)</f>
        <v>30436221</v>
      </c>
      <c r="G73" s="88">
        <f>IFERROR(__xludf.DUMMYFUNCTION("""COMPUTED_VALUE"""),79.1824543026784)</f>
        <v>79.1824543</v>
      </c>
      <c r="H73" s="88">
        <f>IFERROR(__xludf.DUMMYFUNCTION("""COMPUTED_VALUE"""),79.2197737108569)</f>
        <v>79.21977371</v>
      </c>
      <c r="I73" s="88">
        <f>IFERROR(__xludf.DUMMYFUNCTION("""COMPUTED_VALUE"""),79.0425065220092)</f>
        <v>79.04250652</v>
      </c>
      <c r="J73" s="88">
        <f>IFERROR(__xludf.DUMMYFUNCTION("""COMPUTED_VALUE"""),79.1171453383661)</f>
        <v>79.11714534</v>
      </c>
      <c r="K73" s="88">
        <f>IFERROR(__xludf.DUMMYFUNCTION("""COMPUTED_VALUE"""),3.0436221E7)</f>
        <v>30436221</v>
      </c>
      <c r="L73" s="88">
        <f>IFERROR(__xludf.DUMMYFUNCTION("""COMPUTED_VALUE"""),0.03526)</f>
        <v>0.03526</v>
      </c>
      <c r="M73" s="88">
        <f>IFERROR(__xludf.DUMMYFUNCTION("""COMPUTED_VALUE"""),1.0)</f>
        <v>1</v>
      </c>
    </row>
    <row r="74">
      <c r="A74" s="86">
        <f>IFERROR(__xludf.DUMMYFUNCTION("""COMPUTED_VALUE"""),42124.0)</f>
        <v>42124</v>
      </c>
      <c r="B74" s="87">
        <f>IFERROR(__xludf.DUMMYFUNCTION("""COMPUTED_VALUE"""),84.87)</f>
        <v>84.87</v>
      </c>
      <c r="C74">
        <f>IFERROR(__xludf.DUMMYFUNCTION("""COMPUTED_VALUE"""),84.98)</f>
        <v>84.98</v>
      </c>
      <c r="D74" s="88">
        <f>IFERROR(__xludf.DUMMYFUNCTION("""COMPUTED_VALUE"""),84.801)</f>
        <v>84.801</v>
      </c>
      <c r="E74" s="88">
        <f>IFERROR(__xludf.DUMMYFUNCTION("""COMPUTED_VALUE"""),84.84)</f>
        <v>84.84</v>
      </c>
      <c r="F74" s="88">
        <f>IFERROR(__xludf.DUMMYFUNCTION("""COMPUTED_VALUE"""),2.5591918E7)</f>
        <v>25591918</v>
      </c>
      <c r="G74" s="88">
        <f>IFERROR(__xludf.DUMMYFUNCTION("""COMPUTED_VALUE"""),79.1495437730389)</f>
        <v>79.14954377</v>
      </c>
      <c r="H74" s="88">
        <f>IFERROR(__xludf.DUMMYFUNCTION("""COMPUTED_VALUE"""),79.2521294901949)</f>
        <v>79.25212949</v>
      </c>
      <c r="I74" s="88">
        <f>IFERROR(__xludf.DUMMYFUNCTION("""COMPUTED_VALUE"""),79.0851945504591)</f>
        <v>79.08519455</v>
      </c>
      <c r="J74" s="88">
        <f>IFERROR(__xludf.DUMMYFUNCTION("""COMPUTED_VALUE"""),79.1215658501781)</f>
        <v>79.12156585</v>
      </c>
      <c r="K74" s="88">
        <f>IFERROR(__xludf.DUMMYFUNCTION("""COMPUTED_VALUE"""),2.5591918E7)</f>
        <v>25591918</v>
      </c>
      <c r="L74" s="88">
        <f>IFERROR(__xludf.DUMMYFUNCTION("""COMPUTED_VALUE"""),0.036685)</f>
        <v>0.036685</v>
      </c>
      <c r="M74" s="88">
        <f>IFERROR(__xludf.DUMMYFUNCTION("""COMPUTED_VALUE"""),1.0)</f>
        <v>1</v>
      </c>
    </row>
    <row r="75">
      <c r="A75" s="86">
        <f>IFERROR(__xludf.DUMMYFUNCTION("""COMPUTED_VALUE"""),42094.0)</f>
        <v>42094</v>
      </c>
      <c r="B75" s="87">
        <f>IFERROR(__xludf.DUMMYFUNCTION("""COMPUTED_VALUE"""),84.88)</f>
        <v>84.88</v>
      </c>
      <c r="C75">
        <f>IFERROR(__xludf.DUMMYFUNCTION("""COMPUTED_VALUE"""),84.88)</f>
        <v>84.88</v>
      </c>
      <c r="D75" s="88">
        <f>IFERROR(__xludf.DUMMYFUNCTION("""COMPUTED_VALUE"""),84.5)</f>
        <v>84.5</v>
      </c>
      <c r="E75" s="88">
        <f>IFERROR(__xludf.DUMMYFUNCTION("""COMPUTED_VALUE"""),84.64)</f>
        <v>84.64</v>
      </c>
      <c r="F75" s="88">
        <f>IFERROR(__xludf.DUMMYFUNCTION("""COMPUTED_VALUE"""),1.9269276E7)</f>
        <v>19269276</v>
      </c>
      <c r="G75" s="88">
        <f>IFERROR(__xludf.DUMMYFUNCTION("""COMPUTED_VALUE"""),79.1246721907834)</f>
        <v>79.12467219</v>
      </c>
      <c r="H75" s="88">
        <f>IFERROR(__xludf.DUMMYFUNCTION("""COMPUTED_VALUE"""),79.1246721907834)</f>
        <v>79.12467219</v>
      </c>
      <c r="I75" s="88">
        <f>IFERROR(__xludf.DUMMYFUNCTION("""COMPUTED_VALUE"""),78.7704382672148)</f>
        <v>78.77043827</v>
      </c>
      <c r="J75" s="88">
        <f>IFERROR(__xludf.DUMMYFUNCTION("""COMPUTED_VALUE"""),78.9009455022138)</f>
        <v>78.9009455</v>
      </c>
      <c r="K75" s="88">
        <f>IFERROR(__xludf.DUMMYFUNCTION("""COMPUTED_VALUE"""),1.9269276E7)</f>
        <v>19269276</v>
      </c>
      <c r="L75" s="88">
        <f>IFERROR(__xludf.DUMMYFUNCTION("""COMPUTED_VALUE"""),0.031035)</f>
        <v>0.031035</v>
      </c>
      <c r="M75" s="88">
        <f>IFERROR(__xludf.DUMMYFUNCTION("""COMPUTED_VALUE"""),1.0)</f>
        <v>1</v>
      </c>
    </row>
    <row r="76">
      <c r="A76" s="86">
        <f>IFERROR(__xludf.DUMMYFUNCTION("""COMPUTED_VALUE"""),42062.0)</f>
        <v>42062</v>
      </c>
      <c r="B76" s="87">
        <f>IFERROR(__xludf.DUMMYFUNCTION("""COMPUTED_VALUE"""),84.7)</f>
        <v>84.7</v>
      </c>
      <c r="C76">
        <f>IFERROR(__xludf.DUMMYFUNCTION("""COMPUTED_VALUE"""),84.95)</f>
        <v>84.95</v>
      </c>
      <c r="D76" s="88">
        <f>IFERROR(__xludf.DUMMYFUNCTION("""COMPUTED_VALUE"""),84.57)</f>
        <v>84.57</v>
      </c>
      <c r="E76" s="88">
        <f>IFERROR(__xludf.DUMMYFUNCTION("""COMPUTED_VALUE"""),84.94)</f>
        <v>84.94</v>
      </c>
      <c r="F76" s="88">
        <f>IFERROR(__xludf.DUMMYFUNCTION("""COMPUTED_VALUE"""),1.874324E7)</f>
        <v>18743240</v>
      </c>
      <c r="G76" s="88">
        <f>IFERROR(__xludf.DUMMYFUNCTION("""COMPUTED_VALUE"""),78.9279229416316)</f>
        <v>78.92792294</v>
      </c>
      <c r="H76" s="88">
        <f>IFERROR(__xludf.DUMMYFUNCTION("""COMPUTED_VALUE"""),79.1608861144228)</f>
        <v>79.16088611</v>
      </c>
      <c r="I76" s="88">
        <f>IFERROR(__xludf.DUMMYFUNCTION("""COMPUTED_VALUE"""),78.8067820917803)</f>
        <v>78.80678209</v>
      </c>
      <c r="J76" s="88">
        <f>IFERROR(__xludf.DUMMYFUNCTION("""COMPUTED_VALUE"""),79.1515675875111)</f>
        <v>79.15156759</v>
      </c>
      <c r="K76" s="88">
        <f>IFERROR(__xludf.DUMMYFUNCTION("""COMPUTED_VALUE"""),1.874324E7)</f>
        <v>18743240</v>
      </c>
      <c r="L76" s="88">
        <f>IFERROR(__xludf.DUMMYFUNCTION("""COMPUTED_VALUE"""),0.033004)</f>
        <v>0.033004</v>
      </c>
      <c r="M76" s="88">
        <f>IFERROR(__xludf.DUMMYFUNCTION("""COMPUTED_VALUE"""),1.0)</f>
        <v>1</v>
      </c>
    </row>
    <row r="77">
      <c r="A77" s="86">
        <f>IFERROR(__xludf.DUMMYFUNCTION("""COMPUTED_VALUE"""),42034.0)</f>
        <v>42034</v>
      </c>
      <c r="B77" s="87">
        <f>IFERROR(__xludf.DUMMYFUNCTION("""COMPUTED_VALUE"""),84.98)</f>
        <v>84.98</v>
      </c>
      <c r="C77">
        <f>IFERROR(__xludf.DUMMYFUNCTION("""COMPUTED_VALUE"""),84.98)</f>
        <v>84.98</v>
      </c>
      <c r="D77" s="88">
        <f>IFERROR(__xludf.DUMMYFUNCTION("""COMPUTED_VALUE"""),84.47)</f>
        <v>84.47</v>
      </c>
      <c r="E77" s="88">
        <f>IFERROR(__xludf.DUMMYFUNCTION("""COMPUTED_VALUE"""),84.49)</f>
        <v>84.49</v>
      </c>
      <c r="F77" s="88">
        <f>IFERROR(__xludf.DUMMYFUNCTION("""COMPUTED_VALUE"""),1.5860686E7)</f>
        <v>15860686</v>
      </c>
      <c r="G77" s="88">
        <f>IFERROR(__xludf.DUMMYFUNCTION("""COMPUTED_VALUE"""),79.1580770557895)</f>
        <v>79.15807706</v>
      </c>
      <c r="H77" s="88">
        <f>IFERROR(__xludf.DUMMYFUNCTION("""COMPUTED_VALUE"""),79.1580770557895)</f>
        <v>79.15807706</v>
      </c>
      <c r="I77" s="88">
        <f>IFERROR(__xludf.DUMMYFUNCTION("""COMPUTED_VALUE"""),78.6830168145745)</f>
        <v>78.68301681</v>
      </c>
      <c r="J77" s="88">
        <f>IFERROR(__xludf.DUMMYFUNCTION("""COMPUTED_VALUE"""),78.7016466279554)</f>
        <v>78.70164663</v>
      </c>
      <c r="K77" s="88">
        <f>IFERROR(__xludf.DUMMYFUNCTION("""COMPUTED_VALUE"""),1.5860686E7)</f>
        <v>15860686</v>
      </c>
      <c r="L77" s="88">
        <f>IFERROR(__xludf.DUMMYFUNCTION("""COMPUTED_VALUE"""),0.0)</f>
        <v>0</v>
      </c>
      <c r="M77" s="88">
        <f>IFERROR(__xludf.DUMMYFUNCTION("""COMPUTED_VALUE"""),1.0)</f>
        <v>1</v>
      </c>
    </row>
    <row r="78">
      <c r="A78" s="86">
        <f>IFERROR(__xludf.DUMMYFUNCTION("""COMPUTED_VALUE"""),42004.0)</f>
        <v>42004</v>
      </c>
      <c r="B78" s="87">
        <f>IFERROR(__xludf.DUMMYFUNCTION("""COMPUTED_VALUE"""),84.45)</f>
        <v>84.45</v>
      </c>
      <c r="C78">
        <f>IFERROR(__xludf.DUMMYFUNCTION("""COMPUTED_VALUE"""),84.81)</f>
        <v>84.81</v>
      </c>
      <c r="D78" s="88">
        <f>IFERROR(__xludf.DUMMYFUNCTION("""COMPUTED_VALUE"""),84.35)</f>
        <v>84.35</v>
      </c>
      <c r="E78" s="88">
        <f>IFERROR(__xludf.DUMMYFUNCTION("""COMPUTED_VALUE"""),84.79)</f>
        <v>84.79</v>
      </c>
      <c r="F78" s="88">
        <f>IFERROR(__xludf.DUMMYFUNCTION("""COMPUTED_VALUE"""),1.974601E7)</f>
        <v>19746010</v>
      </c>
      <c r="G78" s="88">
        <f>IFERROR(__xludf.DUMMYFUNCTION("""COMPUTED_VALUE"""),78.6643870011935)</f>
        <v>78.664387</v>
      </c>
      <c r="H78" s="88">
        <f>IFERROR(__xludf.DUMMYFUNCTION("""COMPUTED_VALUE"""),78.9687957564619)</f>
        <v>78.96879576</v>
      </c>
      <c r="I78" s="88">
        <f>IFERROR(__xludf.DUMMYFUNCTION("""COMPUTED_VALUE"""),78.5712379342886)</f>
        <v>78.57123793</v>
      </c>
      <c r="J78" s="88">
        <f>IFERROR(__xludf.DUMMYFUNCTION("""COMPUTED_VALUE"""),78.9501732365335)</f>
        <v>78.95017324</v>
      </c>
      <c r="K78" s="88">
        <f>IFERROR(__xludf.DUMMYFUNCTION("""COMPUTED_VALUE"""),1.974601E7)</f>
        <v>19746010</v>
      </c>
      <c r="L78" s="88">
        <f>IFERROR(__xludf.DUMMYFUNCTION("""COMPUTED_VALUE"""),0.062095)</f>
        <v>0.062095</v>
      </c>
      <c r="M78" s="88">
        <f>IFERROR(__xludf.DUMMYFUNCTION("""COMPUTED_VALUE"""),1.0)</f>
        <v>1</v>
      </c>
    </row>
    <row r="79">
      <c r="A79" s="86">
        <f>IFERROR(__xludf.DUMMYFUNCTION("""COMPUTED_VALUE"""),41971.0)</f>
        <v>41971</v>
      </c>
      <c r="B79" s="87">
        <f>IFERROR(__xludf.DUMMYFUNCTION("""COMPUTED_VALUE"""),84.76)</f>
        <v>84.76</v>
      </c>
      <c r="C79">
        <f>IFERROR(__xludf.DUMMYFUNCTION("""COMPUTED_VALUE"""),84.78)</f>
        <v>84.78</v>
      </c>
      <c r="D79" s="88">
        <f>IFERROR(__xludf.DUMMYFUNCTION("""COMPUTED_VALUE"""),84.57)</f>
        <v>84.57</v>
      </c>
      <c r="E79" s="88">
        <f>IFERROR(__xludf.DUMMYFUNCTION("""COMPUTED_VALUE"""),84.72)</f>
        <v>84.72</v>
      </c>
      <c r="F79" s="88">
        <f>IFERROR(__xludf.DUMMYFUNCTION("""COMPUTED_VALUE"""),5.3717111E7)</f>
        <v>53717111</v>
      </c>
      <c r="G79" s="88">
        <f>IFERROR(__xludf.DUMMYFUNCTION("""COMPUTED_VALUE"""),78.8951992514448)</f>
        <v>78.89519925</v>
      </c>
      <c r="H79" s="88">
        <f>IFERROR(__xludf.DUMMYFUNCTION("""COMPUTED_VALUE"""),78.9138153909567)</f>
        <v>78.91381539</v>
      </c>
      <c r="I79" s="88">
        <f>IFERROR(__xludf.DUMMYFUNCTION("""COMPUTED_VALUE"""),78.7183459260817)</f>
        <v>78.71834593</v>
      </c>
      <c r="J79" s="88">
        <f>IFERROR(__xludf.DUMMYFUNCTION("""COMPUTED_VALUE"""),78.857966972421)</f>
        <v>78.85796697</v>
      </c>
      <c r="K79" s="88">
        <f>IFERROR(__xludf.DUMMYFUNCTION("""COMPUTED_VALUE"""),5.3717111E7)</f>
        <v>53717111</v>
      </c>
      <c r="L79" s="88">
        <f>IFERROR(__xludf.DUMMYFUNCTION("""COMPUTED_VALUE"""),0.028502)</f>
        <v>0.028502</v>
      </c>
      <c r="M79" s="88">
        <f>IFERROR(__xludf.DUMMYFUNCTION("""COMPUTED_VALUE"""),1.0)</f>
        <v>1</v>
      </c>
    </row>
    <row r="80">
      <c r="A80" s="86">
        <f>IFERROR(__xludf.DUMMYFUNCTION("""COMPUTED_VALUE"""),41943.0)</f>
        <v>41943</v>
      </c>
      <c r="B80" s="87">
        <f>IFERROR(__xludf.DUMMYFUNCTION("""COMPUTED_VALUE"""),84.6715)</f>
        <v>84.6715</v>
      </c>
      <c r="C80">
        <f>IFERROR(__xludf.DUMMYFUNCTION("""COMPUTED_VALUE"""),85.37)</f>
        <v>85.37</v>
      </c>
      <c r="D80" s="88">
        <f>IFERROR(__xludf.DUMMYFUNCTION("""COMPUTED_VALUE"""),84.47)</f>
        <v>84.47</v>
      </c>
      <c r="E80" s="88">
        <f>IFERROR(__xludf.DUMMYFUNCTION("""COMPUTED_VALUE"""),84.55)</f>
        <v>84.55</v>
      </c>
      <c r="F80" s="88">
        <f>IFERROR(__xludf.DUMMYFUNCTION("""COMPUTED_VALUE"""),7.7840473E7)</f>
        <v>77840473</v>
      </c>
      <c r="G80" s="88">
        <f>IFERROR(__xludf.DUMMYFUNCTION("""COMPUTED_VALUE"""),78.786298299801)</f>
        <v>78.7862983</v>
      </c>
      <c r="H80" s="88">
        <f>IFERROR(__xludf.DUMMYFUNCTION("""COMPUTED_VALUE"""),79.4362481573377)</f>
        <v>79.43624816</v>
      </c>
      <c r="I80" s="88">
        <f>IFERROR(__xludf.DUMMYFUNCTION("""COMPUTED_VALUE"""),78.5988038169183)</f>
        <v>78.59880382</v>
      </c>
      <c r="J80" s="88">
        <f>IFERROR(__xludf.DUMMYFUNCTION("""COMPUTED_VALUE"""),78.6732433138444)</f>
        <v>78.67324331</v>
      </c>
      <c r="K80" s="88">
        <f>IFERROR(__xludf.DUMMYFUNCTION("""COMPUTED_VALUE"""),7.7840473E7)</f>
        <v>77840473</v>
      </c>
      <c r="L80" s="88">
        <f>IFERROR(__xludf.DUMMYFUNCTION("""COMPUTED_VALUE"""),0.030295)</f>
        <v>0.030295</v>
      </c>
      <c r="M80" s="88">
        <f>IFERROR(__xludf.DUMMYFUNCTION("""COMPUTED_VALUE"""),1.0)</f>
        <v>1</v>
      </c>
    </row>
    <row r="81">
      <c r="A81" s="86">
        <f>IFERROR(__xludf.DUMMYFUNCTION("""COMPUTED_VALUE"""),41912.0)</f>
        <v>41912</v>
      </c>
      <c r="B81" s="87">
        <f>IFERROR(__xludf.DUMMYFUNCTION("""COMPUTED_VALUE"""),84.51)</f>
        <v>84.51</v>
      </c>
      <c r="C81">
        <f>IFERROR(__xludf.DUMMYFUNCTION("""COMPUTED_VALUE"""),84.575)</f>
        <v>84.575</v>
      </c>
      <c r="D81" s="88">
        <f>IFERROR(__xludf.DUMMYFUNCTION("""COMPUTED_VALUE"""),84.41)</f>
        <v>84.41</v>
      </c>
      <c r="E81" s="88">
        <f>IFERROR(__xludf.DUMMYFUNCTION("""COMPUTED_VALUE"""),84.54)</f>
        <v>84.54</v>
      </c>
      <c r="F81" s="88">
        <f>IFERROR(__xludf.DUMMYFUNCTION("""COMPUTED_VALUE"""),2.930483E7)</f>
        <v>29304830</v>
      </c>
      <c r="G81" s="88">
        <f>IFERROR(__xludf.DUMMYFUNCTION("""COMPUTED_VALUE"""),78.6078643452047)</f>
        <v>78.60786435</v>
      </c>
      <c r="H81" s="88">
        <f>IFERROR(__xludf.DUMMYFUNCTION("""COMPUTED_VALUE"""),78.6683247780818)</f>
        <v>78.66832478</v>
      </c>
      <c r="I81" s="88">
        <f>IFERROR(__xludf.DUMMYFUNCTION("""COMPUTED_VALUE"""),78.5148482946247)</f>
        <v>78.51484829</v>
      </c>
      <c r="J81" s="88">
        <f>IFERROR(__xludf.DUMMYFUNCTION("""COMPUTED_VALUE"""),78.6357691603788)</f>
        <v>78.63576916</v>
      </c>
      <c r="K81" s="88">
        <f>IFERROR(__xludf.DUMMYFUNCTION("""COMPUTED_VALUE"""),2.930483E7)</f>
        <v>29304830</v>
      </c>
      <c r="L81" s="88">
        <f>IFERROR(__xludf.DUMMYFUNCTION("""COMPUTED_VALUE"""),0.028099)</f>
        <v>0.028099</v>
      </c>
      <c r="M81" s="88">
        <f>IFERROR(__xludf.DUMMYFUNCTION("""COMPUTED_VALUE"""),1.0)</f>
        <v>1</v>
      </c>
    </row>
    <row r="82">
      <c r="A82" s="86">
        <f>IFERROR(__xludf.DUMMYFUNCTION("""COMPUTED_VALUE"""),41880.0)</f>
        <v>41880</v>
      </c>
      <c r="B82" s="87">
        <f>IFERROR(__xludf.DUMMYFUNCTION("""COMPUTED_VALUE"""),84.57)</f>
        <v>84.57</v>
      </c>
      <c r="C82">
        <f>IFERROR(__xludf.DUMMYFUNCTION("""COMPUTED_VALUE"""),84.68)</f>
        <v>84.68</v>
      </c>
      <c r="D82" s="88">
        <f>IFERROR(__xludf.DUMMYFUNCTION("""COMPUTED_VALUE"""),84.47)</f>
        <v>84.47</v>
      </c>
      <c r="E82" s="88">
        <f>IFERROR(__xludf.DUMMYFUNCTION("""COMPUTED_VALUE"""),84.47)</f>
        <v>84.47</v>
      </c>
      <c r="F82" s="88">
        <f>IFERROR(__xludf.DUMMYFUNCTION("""COMPUTED_VALUE"""),3.74329E7)</f>
        <v>37432900</v>
      </c>
      <c r="G82" s="88">
        <f>IFERROR(__xludf.DUMMYFUNCTION("""COMPUTED_VALUE"""),78.6375244394673)</f>
        <v>78.63752444</v>
      </c>
      <c r="H82" s="88">
        <f>IFERROR(__xludf.DUMMYFUNCTION("""COMPUTED_VALUE"""),78.7398080824653)</f>
        <v>78.73980808</v>
      </c>
      <c r="I82" s="88">
        <f>IFERROR(__xludf.DUMMYFUNCTION("""COMPUTED_VALUE"""),78.5445393094691)</f>
        <v>78.54453931</v>
      </c>
      <c r="J82" s="88">
        <f>IFERROR(__xludf.DUMMYFUNCTION("""COMPUTED_VALUE"""),78.5445393094691)</f>
        <v>78.54453931</v>
      </c>
      <c r="K82" s="88">
        <f>IFERROR(__xludf.DUMMYFUNCTION("""COMPUTED_VALUE"""),3.74329E7)</f>
        <v>37432900</v>
      </c>
      <c r="L82" s="88">
        <f>IFERROR(__xludf.DUMMYFUNCTION("""COMPUTED_VALUE"""),0.026864)</f>
        <v>0.026864</v>
      </c>
      <c r="M82" s="88">
        <f>IFERROR(__xludf.DUMMYFUNCTION("""COMPUTED_VALUE"""),1.0)</f>
        <v>1</v>
      </c>
    </row>
    <row r="83">
      <c r="A83" s="86">
        <f>IFERROR(__xludf.DUMMYFUNCTION("""COMPUTED_VALUE"""),41851.0)</f>
        <v>41851</v>
      </c>
      <c r="B83" s="87">
        <f>IFERROR(__xludf.DUMMYFUNCTION("""COMPUTED_VALUE"""),84.44)</f>
        <v>84.44</v>
      </c>
      <c r="C83">
        <f>IFERROR(__xludf.DUMMYFUNCTION("""COMPUTED_VALUE"""),84.55)</f>
        <v>84.55</v>
      </c>
      <c r="D83" s="88">
        <f>IFERROR(__xludf.DUMMYFUNCTION("""COMPUTED_VALUE"""),84.38)</f>
        <v>84.38</v>
      </c>
      <c r="E83" s="88">
        <f>IFERROR(__xludf.DUMMYFUNCTION("""COMPUTED_VALUE"""),84.54)</f>
        <v>84.54</v>
      </c>
      <c r="F83" s="88">
        <f>IFERROR(__xludf.DUMMYFUNCTION("""COMPUTED_VALUE"""),2.55191E7)</f>
        <v>25519100</v>
      </c>
      <c r="G83" s="88">
        <f>IFERROR(__xludf.DUMMYFUNCTION("""COMPUTED_VALUE"""),78.4917046675224)</f>
        <v>78.49170467</v>
      </c>
      <c r="H83" s="88">
        <f>IFERROR(__xludf.DUMMYFUNCTION("""COMPUTED_VALUE"""),78.5939558223474)</f>
        <v>78.59395582</v>
      </c>
      <c r="I83" s="88">
        <f>IFERROR(__xludf.DUMMYFUNCTION("""COMPUTED_VALUE"""),78.4359313103451)</f>
        <v>78.43593131</v>
      </c>
      <c r="J83" s="88">
        <f>IFERROR(__xludf.DUMMYFUNCTION("""COMPUTED_VALUE"""),78.5846602628179)</f>
        <v>78.58466026</v>
      </c>
      <c r="K83" s="88">
        <f>IFERROR(__xludf.DUMMYFUNCTION("""COMPUTED_VALUE"""),2.55191E7)</f>
        <v>25519100</v>
      </c>
      <c r="L83" s="88">
        <f>IFERROR(__xludf.DUMMYFUNCTION("""COMPUTED_VALUE"""),0.024824)</f>
        <v>0.024824</v>
      </c>
      <c r="M83" s="88">
        <f>IFERROR(__xludf.DUMMYFUNCTION("""COMPUTED_VALUE"""),1.0)</f>
        <v>1</v>
      </c>
    </row>
    <row r="84">
      <c r="A84" s="86">
        <f>IFERROR(__xludf.DUMMYFUNCTION("""COMPUTED_VALUE"""),41820.0)</f>
        <v>41820</v>
      </c>
      <c r="B84" s="87">
        <f>IFERROR(__xludf.DUMMYFUNCTION("""COMPUTED_VALUE"""),84.56)</f>
        <v>84.56</v>
      </c>
      <c r="C84">
        <f>IFERROR(__xludf.DUMMYFUNCTION("""COMPUTED_VALUE"""),84.66)</f>
        <v>84.66</v>
      </c>
      <c r="D84" s="88">
        <f>IFERROR(__xludf.DUMMYFUNCTION("""COMPUTED_VALUE"""),84.41)</f>
        <v>84.41</v>
      </c>
      <c r="E84" s="88">
        <f>IFERROR(__xludf.DUMMYFUNCTION("""COMPUTED_VALUE"""),84.6)</f>
        <v>84.6</v>
      </c>
      <c r="F84" s="88">
        <f>IFERROR(__xludf.DUMMYFUNCTION("""COMPUTED_VALUE"""),1.37092E7)</f>
        <v>13709200</v>
      </c>
      <c r="G84" s="88">
        <f>IFERROR(__xludf.DUMMYFUNCTION("""COMPUTED_VALUE"""),78.5801664818445)</f>
        <v>78.58016648</v>
      </c>
      <c r="H84" s="88">
        <f>IFERROR(__xludf.DUMMYFUNCTION("""COMPUTED_VALUE"""),78.6730947771163)</f>
        <v>78.67309478</v>
      </c>
      <c r="I84" s="88">
        <f>IFERROR(__xludf.DUMMYFUNCTION("""COMPUTED_VALUE"""),78.4407740389368)</f>
        <v>78.44077404</v>
      </c>
      <c r="J84" s="88">
        <f>IFERROR(__xludf.DUMMYFUNCTION("""COMPUTED_VALUE"""),78.6173377999532)</f>
        <v>78.6173378</v>
      </c>
      <c r="K84" s="88">
        <f>IFERROR(__xludf.DUMMYFUNCTION("""COMPUTED_VALUE"""),1.37092E7)</f>
        <v>13709200</v>
      </c>
      <c r="L84" s="88">
        <f>IFERROR(__xludf.DUMMYFUNCTION("""COMPUTED_VALUE"""),0.022598)</f>
        <v>0.022598</v>
      </c>
      <c r="M84" s="88">
        <f>IFERROR(__xludf.DUMMYFUNCTION("""COMPUTED_VALUE"""),1.0)</f>
        <v>1</v>
      </c>
    </row>
    <row r="85">
      <c r="A85" s="86">
        <f>IFERROR(__xludf.DUMMYFUNCTION("""COMPUTED_VALUE"""),41789.0)</f>
        <v>41789</v>
      </c>
      <c r="B85" s="87">
        <f>IFERROR(__xludf.DUMMYFUNCTION("""COMPUTED_VALUE"""),84.62)</f>
        <v>84.62</v>
      </c>
      <c r="C85">
        <f>IFERROR(__xludf.DUMMYFUNCTION("""COMPUTED_VALUE"""),84.68)</f>
        <v>84.68</v>
      </c>
      <c r="D85" s="88">
        <f>IFERROR(__xludf.DUMMYFUNCTION("""COMPUTED_VALUE"""),84.44)</f>
        <v>84.44</v>
      </c>
      <c r="E85" s="88">
        <f>IFERROR(__xludf.DUMMYFUNCTION("""COMPUTED_VALUE"""),84.48)</f>
        <v>84.48</v>
      </c>
      <c r="F85" s="88">
        <f>IFERROR(__xludf.DUMMYFUNCTION("""COMPUTED_VALUE"""),1.42039E7)</f>
        <v>14203900</v>
      </c>
      <c r="G85" s="88">
        <f>IFERROR(__xludf.DUMMYFUNCTION("""COMPUTED_VALUE"""),78.6149167203527)</f>
        <v>78.61491672</v>
      </c>
      <c r="H85" s="88">
        <f>IFERROR(__xludf.DUMMYFUNCTION("""COMPUTED_VALUE"""),78.6706588026408)</f>
        <v>78.6706588</v>
      </c>
      <c r="I85" s="88">
        <f>IFERROR(__xludf.DUMMYFUNCTION("""COMPUTED_VALUE"""),78.4476904734883)</f>
        <v>78.44769047</v>
      </c>
      <c r="J85" s="88">
        <f>IFERROR(__xludf.DUMMYFUNCTION("""COMPUTED_VALUE"""),78.4848518616804)</f>
        <v>78.48485186</v>
      </c>
      <c r="K85" s="88">
        <f>IFERROR(__xludf.DUMMYFUNCTION("""COMPUTED_VALUE"""),1.42039E7)</f>
        <v>14203900</v>
      </c>
      <c r="L85" s="88">
        <f>IFERROR(__xludf.DUMMYFUNCTION("""COMPUTED_VALUE"""),0.021025)</f>
        <v>0.021025</v>
      </c>
      <c r="M85" s="88">
        <f>IFERROR(__xludf.DUMMYFUNCTION("""COMPUTED_VALUE"""),1.0)</f>
        <v>1</v>
      </c>
    </row>
    <row r="86">
      <c r="A86" s="86">
        <f>IFERROR(__xludf.DUMMYFUNCTION("""COMPUTED_VALUE"""),41759.0)</f>
        <v>41759</v>
      </c>
      <c r="B86" s="87">
        <f>IFERROR(__xludf.DUMMYFUNCTION("""COMPUTED_VALUE"""),84.52)</f>
        <v>84.52</v>
      </c>
      <c r="C86">
        <f>IFERROR(__xludf.DUMMYFUNCTION("""COMPUTED_VALUE"""),84.57)</f>
        <v>84.57</v>
      </c>
      <c r="D86" s="88">
        <f>IFERROR(__xludf.DUMMYFUNCTION("""COMPUTED_VALUE"""),84.345)</f>
        <v>84.345</v>
      </c>
      <c r="E86" s="88">
        <f>IFERROR(__xludf.DUMMYFUNCTION("""COMPUTED_VALUE"""),84.4)</f>
        <v>84.4</v>
      </c>
      <c r="F86" s="88">
        <f>IFERROR(__xludf.DUMMYFUNCTION("""COMPUTED_VALUE"""),2.06546E7)</f>
        <v>20654600</v>
      </c>
      <c r="G86" s="88">
        <f>IFERROR(__xludf.DUMMYFUNCTION("""COMPUTED_VALUE"""),78.5024805320833)</f>
        <v>78.50248053</v>
      </c>
      <c r="H86" s="88">
        <f>IFERROR(__xludf.DUMMYFUNCTION("""COMPUTED_VALUE"""),78.5489207122371)</f>
        <v>78.54892071</v>
      </c>
      <c r="I86" s="88">
        <f>IFERROR(__xludf.DUMMYFUNCTION("""COMPUTED_VALUE"""),78.3399399015448)</f>
        <v>78.3399399</v>
      </c>
      <c r="J86" s="88">
        <f>IFERROR(__xludf.DUMMYFUNCTION("""COMPUTED_VALUE"""),78.391024099714)</f>
        <v>78.3910241</v>
      </c>
      <c r="K86" s="88">
        <f>IFERROR(__xludf.DUMMYFUNCTION("""COMPUTED_VALUE"""),2.06546E7)</f>
        <v>20654600</v>
      </c>
      <c r="L86" s="88">
        <f>IFERROR(__xludf.DUMMYFUNCTION("""COMPUTED_VALUE"""),0.021201)</f>
        <v>0.021201</v>
      </c>
      <c r="M86" s="88">
        <f>IFERROR(__xludf.DUMMYFUNCTION("""COMPUTED_VALUE"""),1.0)</f>
        <v>1</v>
      </c>
    </row>
    <row r="87">
      <c r="A87" s="86">
        <f>IFERROR(__xludf.DUMMYFUNCTION("""COMPUTED_VALUE"""),41729.0)</f>
        <v>41729</v>
      </c>
      <c r="B87" s="87">
        <f>IFERROR(__xludf.DUMMYFUNCTION("""COMPUTED_VALUE"""),84.42)</f>
        <v>84.42</v>
      </c>
      <c r="C87">
        <f>IFERROR(__xludf.DUMMYFUNCTION("""COMPUTED_VALUE"""),84.59)</f>
        <v>84.59</v>
      </c>
      <c r="D87" s="88">
        <f>IFERROR(__xludf.DUMMYFUNCTION("""COMPUTED_VALUE"""),84.31)</f>
        <v>84.31</v>
      </c>
      <c r="E87" s="88">
        <f>IFERROR(__xludf.DUMMYFUNCTION("""COMPUTED_VALUE"""),84.55)</f>
        <v>84.55</v>
      </c>
      <c r="F87" s="88">
        <f>IFERROR(__xludf.DUMMYFUNCTION("""COMPUTED_VALUE"""),6.86427E7)</f>
        <v>68642700</v>
      </c>
      <c r="G87" s="88">
        <f>IFERROR(__xludf.DUMMYFUNCTION("""COMPUTED_VALUE"""),78.3899042206097)</f>
        <v>78.38990422</v>
      </c>
      <c r="H87" s="88">
        <f>IFERROR(__xludf.DUMMYFUNCTION("""COMPUTED_VALUE"""),78.5477611705919)</f>
        <v>78.54776117</v>
      </c>
      <c r="I87" s="88">
        <f>IFERROR(__xludf.DUMMYFUNCTION("""COMPUTED_VALUE"""),78.2877614882682)</f>
        <v>78.28776149</v>
      </c>
      <c r="J87" s="88">
        <f>IFERROR(__xludf.DUMMYFUNCTION("""COMPUTED_VALUE"""),78.5106183588314)</f>
        <v>78.51061836</v>
      </c>
      <c r="K87" s="88">
        <f>IFERROR(__xludf.DUMMYFUNCTION("""COMPUTED_VALUE"""),6.86427E7)</f>
        <v>68642700</v>
      </c>
      <c r="L87" s="88">
        <f>IFERROR(__xludf.DUMMYFUNCTION("""COMPUTED_VALUE"""),0.018352)</f>
        <v>0.018352</v>
      </c>
      <c r="M87" s="88">
        <f>IFERROR(__xludf.DUMMYFUNCTION("""COMPUTED_VALUE"""),1.0)</f>
        <v>1</v>
      </c>
    </row>
    <row r="88">
      <c r="A88" s="86">
        <f>IFERROR(__xludf.DUMMYFUNCTION("""COMPUTED_VALUE"""),41698.0)</f>
        <v>41698</v>
      </c>
      <c r="B88" s="87">
        <f>IFERROR(__xludf.DUMMYFUNCTION("""COMPUTED_VALUE"""),84.56)</f>
        <v>84.56</v>
      </c>
      <c r="C88">
        <f>IFERROR(__xludf.DUMMYFUNCTION("""COMPUTED_VALUE"""),84.5811)</f>
        <v>84.5811</v>
      </c>
      <c r="D88" s="88">
        <f>IFERROR(__xludf.DUMMYFUNCTION("""COMPUTED_VALUE"""),84.45)</f>
        <v>84.45</v>
      </c>
      <c r="E88" s="88">
        <f>IFERROR(__xludf.DUMMYFUNCTION("""COMPUTED_VALUE"""),84.51)</f>
        <v>84.51</v>
      </c>
      <c r="F88" s="88">
        <f>IFERROR(__xludf.DUMMYFUNCTION("""COMPUTED_VALUE"""),8.26343E7)</f>
        <v>82634300</v>
      </c>
      <c r="G88" s="88">
        <f>IFERROR(__xludf.DUMMYFUNCTION("""COMPUTED_VALUE"""),78.5028726784)</f>
        <v>78.50287268</v>
      </c>
      <c r="H88" s="88">
        <f>IFERROR(__xludf.DUMMYFUNCTION("""COMPUTED_VALUE"""),78.5224612618144)</f>
        <v>78.52246126</v>
      </c>
      <c r="I88" s="88">
        <f>IFERROR(__xludf.DUMMYFUNCTION("""COMPUTED_VALUE"""),78.4007521013586)</f>
        <v>78.4007521</v>
      </c>
      <c r="J88" s="88">
        <f>IFERROR(__xludf.DUMMYFUNCTION("""COMPUTED_VALUE"""),78.4564542342903)</f>
        <v>78.45645423</v>
      </c>
      <c r="K88" s="88">
        <f>IFERROR(__xludf.DUMMYFUNCTION("""COMPUTED_VALUE"""),8.26343E7)</f>
        <v>82634300</v>
      </c>
      <c r="L88" s="88">
        <f>IFERROR(__xludf.DUMMYFUNCTION("""COMPUTED_VALUE"""),0.022871)</f>
        <v>0.022871</v>
      </c>
      <c r="M88" s="88">
        <f>IFERROR(__xludf.DUMMYFUNCTION("""COMPUTED_VALUE"""),1.0)</f>
        <v>1</v>
      </c>
    </row>
    <row r="89">
      <c r="A89" s="86">
        <f>IFERROR(__xludf.DUMMYFUNCTION("""COMPUTED_VALUE"""),41670.0)</f>
        <v>41670</v>
      </c>
      <c r="B89" s="87">
        <f>IFERROR(__xludf.DUMMYFUNCTION("""COMPUTED_VALUE"""),84.55)</f>
        <v>84.55</v>
      </c>
      <c r="C89">
        <f>IFERROR(__xludf.DUMMYFUNCTION("""COMPUTED_VALUE"""),84.55)</f>
        <v>84.55</v>
      </c>
      <c r="D89" s="88">
        <f>IFERROR(__xludf.DUMMYFUNCTION("""COMPUTED_VALUE"""),84.31)</f>
        <v>84.31</v>
      </c>
      <c r="E89" s="88">
        <f>IFERROR(__xludf.DUMMYFUNCTION("""COMPUTED_VALUE"""),84.4)</f>
        <v>84.4</v>
      </c>
      <c r="F89" s="88">
        <f>IFERROR(__xludf.DUMMYFUNCTION("""COMPUTED_VALUE"""),1.74324E7)</f>
        <v>17432400</v>
      </c>
      <c r="G89" s="88">
        <f>IFERROR(__xludf.DUMMYFUNCTION("""COMPUTED_VALUE"""),78.4723620068287)</f>
        <v>78.47236201</v>
      </c>
      <c r="H89" s="88">
        <f>IFERROR(__xludf.DUMMYFUNCTION("""COMPUTED_VALUE"""),78.4723620068287)</f>
        <v>78.47236201</v>
      </c>
      <c r="I89" s="88">
        <f>IFERROR(__xludf.DUMMYFUNCTION("""COMPUTED_VALUE"""),78.2496137291039)</f>
        <v>78.24961373</v>
      </c>
      <c r="J89" s="88">
        <f>IFERROR(__xludf.DUMMYFUNCTION("""COMPUTED_VALUE"""),78.3331443332507)</f>
        <v>78.33314433</v>
      </c>
      <c r="K89" s="88">
        <f>IFERROR(__xludf.DUMMYFUNCTION("""COMPUTED_VALUE"""),1.74324E7)</f>
        <v>17432400</v>
      </c>
      <c r="L89" s="88">
        <f>IFERROR(__xludf.DUMMYFUNCTION("""COMPUTED_VALUE"""),0.0)</f>
        <v>0</v>
      </c>
      <c r="M89" s="88">
        <f>IFERROR(__xludf.DUMMYFUNCTION("""COMPUTED_VALUE"""),1.0)</f>
        <v>1</v>
      </c>
    </row>
    <row r="90">
      <c r="A90" s="86">
        <f>IFERROR(__xludf.DUMMYFUNCTION("""COMPUTED_VALUE"""),41639.0)</f>
        <v>41639</v>
      </c>
      <c r="B90" s="87">
        <f>IFERROR(__xludf.DUMMYFUNCTION("""COMPUTED_VALUE"""),84.38)</f>
        <v>84.38</v>
      </c>
      <c r="C90">
        <f>IFERROR(__xludf.DUMMYFUNCTION("""COMPUTED_VALUE"""),84.54)</f>
        <v>84.54</v>
      </c>
      <c r="D90" s="88">
        <f>IFERROR(__xludf.DUMMYFUNCTION("""COMPUTED_VALUE"""),84.34)</f>
        <v>84.34</v>
      </c>
      <c r="E90" s="88">
        <f>IFERROR(__xludf.DUMMYFUNCTION("""COMPUTED_VALUE"""),84.44)</f>
        <v>84.44</v>
      </c>
      <c r="F90" s="88">
        <f>IFERROR(__xludf.DUMMYFUNCTION("""COMPUTED_VALUE"""),1.66387E7)</f>
        <v>16638700</v>
      </c>
      <c r="G90" s="88">
        <f>IFERROR(__xludf.DUMMYFUNCTION("""COMPUTED_VALUE"""),78.3145819767736)</f>
        <v>78.31458198</v>
      </c>
      <c r="H90" s="88">
        <f>IFERROR(__xludf.DUMMYFUNCTION("""COMPUTED_VALUE"""),78.4437563570959)</f>
        <v>78.44375636</v>
      </c>
      <c r="I90" s="88">
        <f>IFERROR(__xludf.DUMMYFUNCTION("""COMPUTED_VALUE"""),78.2774572638195)</f>
        <v>78.27745726</v>
      </c>
      <c r="J90" s="88">
        <f>IFERROR(__xludf.DUMMYFUNCTION("""COMPUTED_VALUE"""),78.350967433087)</f>
        <v>78.35096743</v>
      </c>
      <c r="K90" s="88">
        <f>IFERROR(__xludf.DUMMYFUNCTION("""COMPUTED_VALUE"""),1.66387E7)</f>
        <v>16638700</v>
      </c>
      <c r="L90" s="88">
        <f>IFERROR(__xludf.DUMMYFUNCTION("""COMPUTED_VALUE"""),0.039826)</f>
        <v>0.039826</v>
      </c>
      <c r="M90" s="88">
        <f>IFERROR(__xludf.DUMMYFUNCTION("""COMPUTED_VALUE"""),1.0)</f>
        <v>1</v>
      </c>
    </row>
    <row r="91">
      <c r="A91" s="86">
        <f>IFERROR(__xludf.DUMMYFUNCTION("""COMPUTED_VALUE"""),41607.0)</f>
        <v>41607</v>
      </c>
      <c r="B91" s="87">
        <f>IFERROR(__xludf.DUMMYFUNCTION("""COMPUTED_VALUE"""),84.57)</f>
        <v>84.57</v>
      </c>
      <c r="C91">
        <f>IFERROR(__xludf.DUMMYFUNCTION("""COMPUTED_VALUE"""),84.57)</f>
        <v>84.57</v>
      </c>
      <c r="D91" s="88">
        <f>IFERROR(__xludf.DUMMYFUNCTION("""COMPUTED_VALUE"""),84.44)</f>
        <v>84.44</v>
      </c>
      <c r="E91" s="88">
        <f>IFERROR(__xludf.DUMMYFUNCTION("""COMPUTED_VALUE"""),84.47)</f>
        <v>84.47</v>
      </c>
      <c r="F91" s="88">
        <f>IFERROR(__xludf.DUMMYFUNCTION("""COMPUTED_VALUE"""),1.93819E7)</f>
        <v>19381900</v>
      </c>
      <c r="G91" s="88">
        <f>IFERROR(__xludf.DUMMYFUNCTION("""COMPUTED_VALUE"""),78.4539070168457)</f>
        <v>78.45390702</v>
      </c>
      <c r="H91" s="88">
        <f>IFERROR(__xludf.DUMMYFUNCTION("""COMPUTED_VALUE"""),78.4539070168457)</f>
        <v>78.45390702</v>
      </c>
      <c r="I91" s="88">
        <f>IFERROR(__xludf.DUMMYFUNCTION("""COMPUTED_VALUE"""),78.3333086023703)</f>
        <v>78.3333086</v>
      </c>
      <c r="J91" s="88">
        <f>IFERROR(__xludf.DUMMYFUNCTION("""COMPUTED_VALUE"""),78.3611390057108)</f>
        <v>78.36113901</v>
      </c>
      <c r="K91" s="88">
        <f>IFERROR(__xludf.DUMMYFUNCTION("""COMPUTED_VALUE"""),1.93819E7)</f>
        <v>19381900</v>
      </c>
      <c r="L91" s="88">
        <f>IFERROR(__xludf.DUMMYFUNCTION("""COMPUTED_VALUE"""),0.019065)</f>
        <v>0.019065</v>
      </c>
      <c r="M91" s="88">
        <f>IFERROR(__xludf.DUMMYFUNCTION("""COMPUTED_VALUE"""),1.0)</f>
        <v>1</v>
      </c>
    </row>
    <row r="92">
      <c r="A92" s="86">
        <f>IFERROR(__xludf.DUMMYFUNCTION("""COMPUTED_VALUE"""),41578.0)</f>
        <v>41578</v>
      </c>
      <c r="B92" s="87">
        <f>IFERROR(__xludf.DUMMYFUNCTION("""COMPUTED_VALUE"""),84.51)</f>
        <v>84.51</v>
      </c>
      <c r="C92">
        <f>IFERROR(__xludf.DUMMYFUNCTION("""COMPUTED_VALUE"""),84.52)</f>
        <v>84.52</v>
      </c>
      <c r="D92" s="88">
        <f>IFERROR(__xludf.DUMMYFUNCTION("""COMPUTED_VALUE"""),84.32)</f>
        <v>84.32</v>
      </c>
      <c r="E92" s="88">
        <f>IFERROR(__xludf.DUMMYFUNCTION("""COMPUTED_VALUE"""),84.44)</f>
        <v>84.44</v>
      </c>
      <c r="F92" s="88">
        <f>IFERROR(__xludf.DUMMYFUNCTION("""COMPUTED_VALUE"""),2.83366E7)</f>
        <v>28336600</v>
      </c>
      <c r="G92" s="88">
        <f>IFERROR(__xludf.DUMMYFUNCTION("""COMPUTED_VALUE"""),78.3805535124059)</f>
        <v>78.38055351</v>
      </c>
      <c r="H92" s="88">
        <f>IFERROR(__xludf.DUMMYFUNCTION("""COMPUTED_VALUE"""),78.3898282199567)</f>
        <v>78.38982822</v>
      </c>
      <c r="I92" s="88">
        <f>IFERROR(__xludf.DUMMYFUNCTION("""COMPUTED_VALUE"""),78.2043340689393)</f>
        <v>78.20433407</v>
      </c>
      <c r="J92" s="88">
        <f>IFERROR(__xludf.DUMMYFUNCTION("""COMPUTED_VALUE"""),78.3156305595498)</f>
        <v>78.31563056</v>
      </c>
      <c r="K92" s="88">
        <f>IFERROR(__xludf.DUMMYFUNCTION("""COMPUTED_VALUE"""),2.83366E7)</f>
        <v>28336600</v>
      </c>
      <c r="L92" s="88">
        <f>IFERROR(__xludf.DUMMYFUNCTION("""COMPUTED_VALUE"""),0.018461)</f>
        <v>0.018461</v>
      </c>
      <c r="M92" s="88">
        <f>IFERROR(__xludf.DUMMYFUNCTION("""COMPUTED_VALUE"""),1.0)</f>
        <v>1</v>
      </c>
    </row>
    <row r="93">
      <c r="A93" s="86">
        <f>IFERROR(__xludf.DUMMYFUNCTION("""COMPUTED_VALUE"""),41547.0)</f>
        <v>41547</v>
      </c>
      <c r="B93" s="87">
        <f>IFERROR(__xludf.DUMMYFUNCTION("""COMPUTED_VALUE"""),84.47)</f>
        <v>84.47</v>
      </c>
      <c r="C93">
        <f>IFERROR(__xludf.DUMMYFUNCTION("""COMPUTED_VALUE"""),84.47)</f>
        <v>84.47</v>
      </c>
      <c r="D93" s="88">
        <f>IFERROR(__xludf.DUMMYFUNCTION("""COMPUTED_VALUE"""),84.05)</f>
        <v>84.05</v>
      </c>
      <c r="E93" s="88">
        <f>IFERROR(__xludf.DUMMYFUNCTION("""COMPUTED_VALUE"""),84.21)</f>
        <v>84.21</v>
      </c>
      <c r="F93" s="88">
        <f>IFERROR(__xludf.DUMMYFUNCTION("""COMPUTED_VALUE"""),2.60857E7)</f>
        <v>26085700</v>
      </c>
      <c r="G93" s="88">
        <f>IFERROR(__xludf.DUMMYFUNCTION("""COMPUTED_VALUE"""),78.3263282775319)</f>
        <v>78.32632828</v>
      </c>
      <c r="H93" s="88">
        <f>IFERROR(__xludf.DUMMYFUNCTION("""COMPUTED_VALUE"""),78.3263282775319)</f>
        <v>78.32632828</v>
      </c>
      <c r="I93" s="88">
        <f>IFERROR(__xludf.DUMMYFUNCTION("""COMPUTED_VALUE"""),77.9368757159531)</f>
        <v>77.93687572</v>
      </c>
      <c r="J93" s="88">
        <f>IFERROR(__xludf.DUMMYFUNCTION("""COMPUTED_VALUE"""),78.0852385965545)</f>
        <v>78.0852386</v>
      </c>
      <c r="K93" s="88">
        <f>IFERROR(__xludf.DUMMYFUNCTION("""COMPUTED_VALUE"""),2.60857E7)</f>
        <v>26085700</v>
      </c>
      <c r="L93" s="88">
        <f>IFERROR(__xludf.DUMMYFUNCTION("""COMPUTED_VALUE"""),0.017554)</f>
        <v>0.017554</v>
      </c>
      <c r="M93" s="88">
        <f>IFERROR(__xludf.DUMMYFUNCTION("""COMPUTED_VALUE"""),1.0)</f>
        <v>1</v>
      </c>
    </row>
    <row r="94">
      <c r="A94" s="86">
        <f>IFERROR(__xludf.DUMMYFUNCTION("""COMPUTED_VALUE"""),41516.0)</f>
        <v>41516</v>
      </c>
      <c r="B94" s="87">
        <f>IFERROR(__xludf.DUMMYFUNCTION("""COMPUTED_VALUE"""),84.3)</f>
        <v>84.3</v>
      </c>
      <c r="C94">
        <f>IFERROR(__xludf.DUMMYFUNCTION("""COMPUTED_VALUE"""),84.43)</f>
        <v>84.43</v>
      </c>
      <c r="D94" s="88">
        <f>IFERROR(__xludf.DUMMYFUNCTION("""COMPUTED_VALUE"""),84.19)</f>
        <v>84.19</v>
      </c>
      <c r="E94" s="88">
        <f>IFERROR(__xludf.DUMMYFUNCTION("""COMPUTED_VALUE"""),84.36)</f>
        <v>84.36</v>
      </c>
      <c r="F94" s="88">
        <f>IFERROR(__xludf.DUMMYFUNCTION("""COMPUTED_VALUE"""),2.60698E7)</f>
        <v>26069800</v>
      </c>
      <c r="G94" s="88">
        <f>IFERROR(__xludf.DUMMYFUNCTION("""COMPUTED_VALUE"""),78.1524091870309)</f>
        <v>78.15240919</v>
      </c>
      <c r="H94" s="88">
        <f>IFERROR(__xludf.DUMMYFUNCTION("""COMPUTED_VALUE"""),78.2729289165008)</f>
        <v>78.27292892</v>
      </c>
      <c r="I94" s="88">
        <f>IFERROR(__xludf.DUMMYFUNCTION("""COMPUTED_VALUE"""),78.0504309544025)</f>
        <v>78.05043095</v>
      </c>
      <c r="J94" s="88">
        <f>IFERROR(__xludf.DUMMYFUNCTION("""COMPUTED_VALUE"""),78.2080336775555)</f>
        <v>78.20803368</v>
      </c>
      <c r="K94" s="88">
        <f>IFERROR(__xludf.DUMMYFUNCTION("""COMPUTED_VALUE"""),2.60698E7)</f>
        <v>26069800</v>
      </c>
      <c r="L94" s="88">
        <f>IFERROR(__xludf.DUMMYFUNCTION("""COMPUTED_VALUE"""),0.01844)</f>
        <v>0.01844</v>
      </c>
      <c r="M94" s="88">
        <f>IFERROR(__xludf.DUMMYFUNCTION("""COMPUTED_VALUE"""),1.0)</f>
        <v>1</v>
      </c>
    </row>
    <row r="95">
      <c r="A95" s="86">
        <f>IFERROR(__xludf.DUMMYFUNCTION("""COMPUTED_VALUE"""),41486.0)</f>
        <v>41486</v>
      </c>
      <c r="B95" s="87">
        <f>IFERROR(__xludf.DUMMYFUNCTION("""COMPUTED_VALUE"""),84.4)</f>
        <v>84.4</v>
      </c>
      <c r="C95">
        <f>IFERROR(__xludf.DUMMYFUNCTION("""COMPUTED_VALUE"""),84.41)</f>
        <v>84.41</v>
      </c>
      <c r="D95" s="88">
        <f>IFERROR(__xludf.DUMMYFUNCTION("""COMPUTED_VALUE"""),84.19)</f>
        <v>84.19</v>
      </c>
      <c r="E95" s="88">
        <f>IFERROR(__xludf.DUMMYFUNCTION("""COMPUTED_VALUE"""),84.26)</f>
        <v>84.26</v>
      </c>
      <c r="F95" s="88">
        <f>IFERROR(__xludf.DUMMYFUNCTION("""COMPUTED_VALUE"""),2.36868E7)</f>
        <v>23686800</v>
      </c>
      <c r="G95" s="88">
        <f>IFERROR(__xludf.DUMMYFUNCTION("""COMPUTED_VALUE"""),78.2280150162664)</f>
        <v>78.22801502</v>
      </c>
      <c r="H95" s="88">
        <f>IFERROR(__xludf.DUMMYFUNCTION("""COMPUTED_VALUE"""),78.2372837384247)</f>
        <v>78.23728374</v>
      </c>
      <c r="I95" s="88">
        <f>IFERROR(__xludf.DUMMYFUNCTION("""COMPUTED_VALUE"""),78.0333718509415)</f>
        <v>78.03337185</v>
      </c>
      <c r="J95" s="88">
        <f>IFERROR(__xludf.DUMMYFUNCTION("""COMPUTED_VALUE"""),78.0982529060498)</f>
        <v>78.09825291</v>
      </c>
      <c r="K95" s="88">
        <f>IFERROR(__xludf.DUMMYFUNCTION("""COMPUTED_VALUE"""),2.36868E7)</f>
        <v>23686800</v>
      </c>
      <c r="L95" s="88">
        <f>IFERROR(__xludf.DUMMYFUNCTION("""COMPUTED_VALUE"""),0.017236)</f>
        <v>0.017236</v>
      </c>
      <c r="M95" s="88">
        <f>IFERROR(__xludf.DUMMYFUNCTION("""COMPUTED_VALUE"""),1.0)</f>
        <v>1</v>
      </c>
    </row>
    <row r="96">
      <c r="A96" s="86">
        <f>IFERROR(__xludf.DUMMYFUNCTION("""COMPUTED_VALUE"""),41453.0)</f>
        <v>41453</v>
      </c>
      <c r="B96" s="87">
        <f>IFERROR(__xludf.DUMMYFUNCTION("""COMPUTED_VALUE"""),84.28)</f>
        <v>84.28</v>
      </c>
      <c r="C96">
        <f>IFERROR(__xludf.DUMMYFUNCTION("""COMPUTED_VALUE"""),84.44)</f>
        <v>84.44</v>
      </c>
      <c r="D96" s="88">
        <f>IFERROR(__xludf.DUMMYFUNCTION("""COMPUTED_VALUE"""),84.14)</f>
        <v>84.14</v>
      </c>
      <c r="E96" s="88">
        <f>IFERROR(__xludf.DUMMYFUNCTION("""COMPUTED_VALUE"""),84.37)</f>
        <v>84.37</v>
      </c>
      <c r="F96" s="88">
        <f>IFERROR(__xludf.DUMMYFUNCTION("""COMPUTED_VALUE"""),3.43108E7)</f>
        <v>34310800</v>
      </c>
      <c r="G96" s="88">
        <f>IFERROR(__xludf.DUMMYFUNCTION("""COMPUTED_VALUE"""),78.1008218359517)</f>
        <v>78.10082184</v>
      </c>
      <c r="H96" s="88">
        <f>IFERROR(__xludf.DUMMYFUNCTION("""COMPUTED_VALUE"""),78.2490910753175)</f>
        <v>78.24909108</v>
      </c>
      <c r="I96" s="88">
        <f>IFERROR(__xludf.DUMMYFUNCTION("""COMPUTED_VALUE"""),77.9710862515066)</f>
        <v>77.97108625</v>
      </c>
      <c r="J96" s="88">
        <f>IFERROR(__xludf.DUMMYFUNCTION("""COMPUTED_VALUE"""),78.184223283095)</f>
        <v>78.18422328</v>
      </c>
      <c r="K96" s="88">
        <f>IFERROR(__xludf.DUMMYFUNCTION("""COMPUTED_VALUE"""),3.43108E7)</f>
        <v>34310800</v>
      </c>
      <c r="L96" s="88">
        <f>IFERROR(__xludf.DUMMYFUNCTION("""COMPUTED_VALUE"""),0.01706)</f>
        <v>0.01706</v>
      </c>
      <c r="M96" s="88">
        <f>IFERROR(__xludf.DUMMYFUNCTION("""COMPUTED_VALUE"""),1.0)</f>
        <v>1</v>
      </c>
    </row>
    <row r="97">
      <c r="A97" s="86">
        <f>IFERROR(__xludf.DUMMYFUNCTION("""COMPUTED_VALUE"""),41425.0)</f>
        <v>41425</v>
      </c>
      <c r="B97" s="87">
        <f>IFERROR(__xludf.DUMMYFUNCTION("""COMPUTED_VALUE"""),84.38)</f>
        <v>84.38</v>
      </c>
      <c r="C97">
        <f>IFERROR(__xludf.DUMMYFUNCTION("""COMPUTED_VALUE"""),84.52)</f>
        <v>84.52</v>
      </c>
      <c r="D97" s="88">
        <f>IFERROR(__xludf.DUMMYFUNCTION("""COMPUTED_VALUE"""),84.35)</f>
        <v>84.35</v>
      </c>
      <c r="E97" s="88">
        <f>IFERROR(__xludf.DUMMYFUNCTION("""COMPUTED_VALUE"""),84.5)</f>
        <v>84.5</v>
      </c>
      <c r="F97" s="88">
        <f>IFERROR(__xludf.DUMMYFUNCTION("""COMPUTED_VALUE"""),1.65327E7)</f>
        <v>16532700</v>
      </c>
      <c r="G97" s="88">
        <f>IFERROR(__xludf.DUMMYFUNCTION("""COMPUTED_VALUE"""),78.1776859711707)</f>
        <v>78.17768597</v>
      </c>
      <c r="H97" s="88">
        <f>IFERROR(__xludf.DUMMYFUNCTION("""COMPUTED_VALUE"""),78.3073953340051)</f>
        <v>78.30739533</v>
      </c>
      <c r="I97" s="88">
        <f>IFERROR(__xludf.DUMMYFUNCTION("""COMPUTED_VALUE"""),78.1498911077062)</f>
        <v>78.14989111</v>
      </c>
      <c r="J97" s="88">
        <f>IFERROR(__xludf.DUMMYFUNCTION("""COMPUTED_VALUE"""),78.2888654250288)</f>
        <v>78.28886543</v>
      </c>
      <c r="K97" s="88">
        <f>IFERROR(__xludf.DUMMYFUNCTION("""COMPUTED_VALUE"""),1.65327E7)</f>
        <v>16532700</v>
      </c>
      <c r="L97" s="88">
        <f>IFERROR(__xludf.DUMMYFUNCTION("""COMPUTED_VALUE"""),0.016673)</f>
        <v>0.016673</v>
      </c>
      <c r="M97" s="88">
        <f>IFERROR(__xludf.DUMMYFUNCTION("""COMPUTED_VALUE"""),1.0)</f>
        <v>1</v>
      </c>
    </row>
    <row r="98">
      <c r="A98" s="86">
        <f>IFERROR(__xludf.DUMMYFUNCTION("""COMPUTED_VALUE"""),41394.0)</f>
        <v>41394</v>
      </c>
      <c r="B98" s="87">
        <f>IFERROR(__xludf.DUMMYFUNCTION("""COMPUTED_VALUE"""),84.51)</f>
        <v>84.51</v>
      </c>
      <c r="C98">
        <f>IFERROR(__xludf.DUMMYFUNCTION("""COMPUTED_VALUE"""),84.53)</f>
        <v>84.53</v>
      </c>
      <c r="D98" s="88">
        <f>IFERROR(__xludf.DUMMYFUNCTION("""COMPUTED_VALUE"""),84.39)</f>
        <v>84.39</v>
      </c>
      <c r="E98" s="88">
        <f>IFERROR(__xludf.DUMMYFUNCTION("""COMPUTED_VALUE"""),84.39)</f>
        <v>84.39</v>
      </c>
      <c r="F98" s="88">
        <f>IFERROR(__xludf.DUMMYFUNCTION("""COMPUTED_VALUE"""),2.33259E7)</f>
        <v>23325900</v>
      </c>
      <c r="G98" s="88">
        <f>IFERROR(__xludf.DUMMYFUNCTION("""COMPUTED_VALUE"""),78.2826859679308)</f>
        <v>78.28268597</v>
      </c>
      <c r="H98" s="88">
        <f>IFERROR(__xludf.DUMMYFUNCTION("""COMPUTED_VALUE"""),78.3012122218577)</f>
        <v>78.30121222</v>
      </c>
      <c r="I98" s="88">
        <f>IFERROR(__xludf.DUMMYFUNCTION("""COMPUTED_VALUE"""),78.1715284443697)</f>
        <v>78.17152844</v>
      </c>
      <c r="J98" s="88">
        <f>IFERROR(__xludf.DUMMYFUNCTION("""COMPUTED_VALUE"""),78.1715284443697)</f>
        <v>78.17152844</v>
      </c>
      <c r="K98" s="88">
        <f>IFERROR(__xludf.DUMMYFUNCTION("""COMPUTED_VALUE"""),2.33259E7)</f>
        <v>23325900</v>
      </c>
      <c r="L98" s="88">
        <f>IFERROR(__xludf.DUMMYFUNCTION("""COMPUTED_VALUE"""),0.017971)</f>
        <v>0.017971</v>
      </c>
      <c r="M98" s="88">
        <f>IFERROR(__xludf.DUMMYFUNCTION("""COMPUTED_VALUE"""),1.0)</f>
        <v>1</v>
      </c>
    </row>
    <row r="99">
      <c r="A99" s="86">
        <f>IFERROR(__xludf.DUMMYFUNCTION("""COMPUTED_VALUE"""),41362.0)</f>
        <v>41362</v>
      </c>
      <c r="B99" s="87">
        <f>IFERROR(__xludf.DUMMYFUNCTION("""COMPUTED_VALUE"""),84.47)</f>
        <v>84.47</v>
      </c>
      <c r="C99">
        <f>IFERROR(__xludf.DUMMYFUNCTION("""COMPUTED_VALUE"""),84.47)</f>
        <v>84.47</v>
      </c>
      <c r="D99" s="88">
        <f>IFERROR(__xludf.DUMMYFUNCTION("""COMPUTED_VALUE"""),84.39)</f>
        <v>84.39</v>
      </c>
      <c r="E99" s="88">
        <f>IFERROR(__xludf.DUMMYFUNCTION("""COMPUTED_VALUE"""),84.45)</f>
        <v>84.45</v>
      </c>
      <c r="F99" s="88">
        <f>IFERROR(__xludf.DUMMYFUNCTION("""COMPUTED_VALUE"""),1.45881E7)</f>
        <v>14588100</v>
      </c>
      <c r="G99" s="88">
        <f>IFERROR(__xludf.DUMMYFUNCTION("""COMPUTED_VALUE"""),78.2289882653326)</f>
        <v>78.22898827</v>
      </c>
      <c r="H99" s="88">
        <f>IFERROR(__xludf.DUMMYFUNCTION("""COMPUTED_VALUE"""),78.2289882653326)</f>
        <v>78.22898827</v>
      </c>
      <c r="I99" s="88">
        <f>IFERROR(__xludf.DUMMYFUNCTION("""COMPUTED_VALUE"""),78.1548990139863)</f>
        <v>78.15489901</v>
      </c>
      <c r="J99" s="88">
        <f>IFERROR(__xludf.DUMMYFUNCTION("""COMPUTED_VALUE"""),78.2104659524961)</f>
        <v>78.21046595</v>
      </c>
      <c r="K99" s="88">
        <f>IFERROR(__xludf.DUMMYFUNCTION("""COMPUTED_VALUE"""),1.45881E7)</f>
        <v>14588100</v>
      </c>
      <c r="L99" s="88">
        <f>IFERROR(__xludf.DUMMYFUNCTION("""COMPUTED_VALUE"""),0.018402)</f>
        <v>0.018402</v>
      </c>
      <c r="M99" s="88">
        <f>IFERROR(__xludf.DUMMYFUNCTION("""COMPUTED_VALUE"""),1.0)</f>
        <v>1</v>
      </c>
    </row>
    <row r="100">
      <c r="A100" s="86">
        <f>IFERROR(__xludf.DUMMYFUNCTION("""COMPUTED_VALUE"""),41333.0)</f>
        <v>41333</v>
      </c>
      <c r="B100" s="87">
        <f>IFERROR(__xludf.DUMMYFUNCTION("""COMPUTED_VALUE"""),84.46)</f>
        <v>84.46</v>
      </c>
      <c r="C100">
        <f>IFERROR(__xludf.DUMMYFUNCTION("""COMPUTED_VALUE"""),84.48)</f>
        <v>84.48</v>
      </c>
      <c r="D100" s="88">
        <f>IFERROR(__xludf.DUMMYFUNCTION("""COMPUTED_VALUE"""),84.39)</f>
        <v>84.39</v>
      </c>
      <c r="E100" s="88">
        <f>IFERROR(__xludf.DUMMYFUNCTION("""COMPUTED_VALUE"""),84.42)</f>
        <v>84.42</v>
      </c>
      <c r="F100" s="88">
        <f>IFERROR(__xludf.DUMMYFUNCTION("""COMPUTED_VALUE"""),1.66397E7)</f>
        <v>16639700</v>
      </c>
      <c r="G100" s="88">
        <f>IFERROR(__xludf.DUMMYFUNCTION("""COMPUTED_VALUE"""),78.2026884412291)</f>
        <v>78.20268844</v>
      </c>
      <c r="H100" s="88">
        <f>IFERROR(__xludf.DUMMYFUNCTION("""COMPUTED_VALUE"""),78.221206719335)</f>
        <v>78.22120672</v>
      </c>
      <c r="I100" s="88">
        <f>IFERROR(__xludf.DUMMYFUNCTION("""COMPUTED_VALUE"""),78.1378744678585)</f>
        <v>78.13787447</v>
      </c>
      <c r="J100" s="88">
        <f>IFERROR(__xludf.DUMMYFUNCTION("""COMPUTED_VALUE"""),78.1656518850173)</f>
        <v>78.16565189</v>
      </c>
      <c r="K100" s="88">
        <f>IFERROR(__xludf.DUMMYFUNCTION("""COMPUTED_VALUE"""),1.66397E7)</f>
        <v>16639700</v>
      </c>
      <c r="L100" s="88">
        <f>IFERROR(__xludf.DUMMYFUNCTION("""COMPUTED_VALUE"""),0.020661)</f>
        <v>0.020661</v>
      </c>
      <c r="M100" s="88">
        <f>IFERROR(__xludf.DUMMYFUNCTION("""COMPUTED_VALUE"""),1.0)</f>
        <v>1</v>
      </c>
    </row>
    <row r="101">
      <c r="A101" s="86">
        <f>IFERROR(__xludf.DUMMYFUNCTION("""COMPUTED_VALUE"""),41305.0)</f>
        <v>41305</v>
      </c>
      <c r="B101" s="87">
        <f>IFERROR(__xludf.DUMMYFUNCTION("""COMPUTED_VALUE"""),84.43)</f>
        <v>84.43</v>
      </c>
      <c r="C101">
        <f>IFERROR(__xludf.DUMMYFUNCTION("""COMPUTED_VALUE"""),84.46)</f>
        <v>84.46</v>
      </c>
      <c r="D101" s="88">
        <f>IFERROR(__xludf.DUMMYFUNCTION("""COMPUTED_VALUE"""),84.37)</f>
        <v>84.37</v>
      </c>
      <c r="E101" s="88">
        <f>IFERROR(__xludf.DUMMYFUNCTION("""COMPUTED_VALUE"""),84.4)</f>
        <v>84.4</v>
      </c>
      <c r="F101" s="88">
        <f>IFERROR(__xludf.DUMMYFUNCTION("""COMPUTED_VALUE"""),2.32764E7)</f>
        <v>23276400</v>
      </c>
      <c r="G101" s="88">
        <f>IFERROR(__xludf.DUMMYFUNCTION("""COMPUTED_VALUE"""),78.1557786005908)</f>
        <v>78.1557786</v>
      </c>
      <c r="H101" s="88">
        <f>IFERROR(__xludf.DUMMYFUNCTION("""COMPUTED_VALUE"""),78.1835492195416)</f>
        <v>78.18354922</v>
      </c>
      <c r="I101" s="88">
        <f>IFERROR(__xludf.DUMMYFUNCTION("""COMPUTED_VALUE"""),78.1002373626892)</f>
        <v>78.10023736</v>
      </c>
      <c r="J101" s="88">
        <f>IFERROR(__xludf.DUMMYFUNCTION("""COMPUTED_VALUE"""),78.12800798164)</f>
        <v>78.12800798</v>
      </c>
      <c r="K101" s="88">
        <f>IFERROR(__xludf.DUMMYFUNCTION("""COMPUTED_VALUE"""),2.32764E7)</f>
        <v>23276400</v>
      </c>
      <c r="L101" s="88">
        <f>IFERROR(__xludf.DUMMYFUNCTION("""COMPUTED_VALUE"""),0.0)</f>
        <v>0</v>
      </c>
      <c r="M101" s="88">
        <f>IFERROR(__xludf.DUMMYFUNCTION("""COMPUTED_VALUE"""),1.0)</f>
        <v>1</v>
      </c>
    </row>
    <row r="102">
      <c r="A102" s="86">
        <f>IFERROR(__xludf.DUMMYFUNCTION("""COMPUTED_VALUE"""),41274.0)</f>
        <v>41274</v>
      </c>
      <c r="B102" s="87">
        <f>IFERROR(__xludf.DUMMYFUNCTION("""COMPUTED_VALUE"""),84.42)</f>
        <v>84.42</v>
      </c>
      <c r="C102">
        <f>IFERROR(__xludf.DUMMYFUNCTION("""COMPUTED_VALUE"""),84.46)</f>
        <v>84.46</v>
      </c>
      <c r="D102" s="88">
        <f>IFERROR(__xludf.DUMMYFUNCTION("""COMPUTED_VALUE"""),84.39)</f>
        <v>84.39</v>
      </c>
      <c r="E102" s="88">
        <f>IFERROR(__xludf.DUMMYFUNCTION("""COMPUTED_VALUE"""),84.43)</f>
        <v>84.43</v>
      </c>
      <c r="F102" s="88">
        <f>IFERROR(__xludf.DUMMYFUNCTION("""COMPUTED_VALUE"""),1.92361E7)</f>
        <v>19236100</v>
      </c>
      <c r="G102" s="88">
        <f>IFERROR(__xludf.DUMMYFUNCTION("""COMPUTED_VALUE"""),78.1465217276072)</f>
        <v>78.14652173</v>
      </c>
      <c r="H102" s="88">
        <f>IFERROR(__xludf.DUMMYFUNCTION("""COMPUTED_VALUE"""),78.174292346558)</f>
        <v>78.17429235</v>
      </c>
      <c r="I102" s="88">
        <f>IFERROR(__xludf.DUMMYFUNCTION("""COMPUTED_VALUE"""),78.0994654733797)</f>
        <v>78.09946547</v>
      </c>
      <c r="J102" s="88">
        <f>IFERROR(__xludf.DUMMYFUNCTION("""COMPUTED_VALUE"""),78.1364838241195)</f>
        <v>78.13648382</v>
      </c>
      <c r="K102" s="88">
        <f>IFERROR(__xludf.DUMMYFUNCTION("""COMPUTED_VALUE"""),1.92361E7)</f>
        <v>19236100</v>
      </c>
      <c r="L102" s="88">
        <f>IFERROR(__xludf.DUMMYFUNCTION("""COMPUTED_VALUE"""),0.040939)</f>
        <v>0.040939</v>
      </c>
      <c r="M102" s="88">
        <f>IFERROR(__xludf.DUMMYFUNCTION("""COMPUTED_VALUE"""),1.0)</f>
        <v>1</v>
      </c>
    </row>
    <row r="103">
      <c r="A103" s="86"/>
      <c r="B103" s="87"/>
      <c r="D103" s="88"/>
      <c r="E103" s="88"/>
      <c r="F103" s="88"/>
      <c r="G103" s="88"/>
      <c r="H103" s="88"/>
      <c r="I103" s="88"/>
      <c r="J103" s="88"/>
      <c r="K103" s="88"/>
      <c r="L103" s="88"/>
      <c r="M103" s="88"/>
    </row>
    <row r="104">
      <c r="A104" s="86"/>
      <c r="B104" s="87"/>
      <c r="D104" s="88"/>
      <c r="E104" s="88"/>
      <c r="F104" s="88"/>
      <c r="G104" s="88"/>
      <c r="H104" s="88"/>
      <c r="I104" s="88"/>
      <c r="J104" s="88"/>
      <c r="K104" s="88"/>
      <c r="L104" s="88"/>
      <c r="M104" s="88"/>
    </row>
    <row r="105">
      <c r="A105" s="86"/>
      <c r="B105" s="87"/>
      <c r="D105" s="88"/>
      <c r="E105" s="88"/>
      <c r="F105" s="88"/>
      <c r="G105" s="88"/>
      <c r="H105" s="88"/>
      <c r="I105" s="88"/>
      <c r="J105" s="88"/>
      <c r="K105" s="88"/>
      <c r="L105" s="88"/>
      <c r="M105" s="88"/>
    </row>
    <row r="106">
      <c r="A106" s="86"/>
      <c r="B106" s="87"/>
      <c r="D106" s="88"/>
      <c r="E106" s="88"/>
      <c r="F106" s="88"/>
      <c r="G106" s="88"/>
      <c r="H106" s="88"/>
      <c r="I106" s="88"/>
      <c r="J106" s="88"/>
      <c r="K106" s="88"/>
      <c r="L106" s="88"/>
      <c r="M106" s="88"/>
    </row>
    <row r="107">
      <c r="A107" s="86"/>
      <c r="B107" s="87"/>
      <c r="D107" s="88"/>
      <c r="E107" s="88"/>
      <c r="F107" s="88"/>
      <c r="G107" s="88"/>
      <c r="H107" s="88"/>
      <c r="I107" s="88"/>
      <c r="J107" s="88"/>
      <c r="K107" s="88"/>
      <c r="L107" s="88"/>
      <c r="M107" s="88"/>
    </row>
    <row r="108">
      <c r="A108" s="86"/>
      <c r="B108" s="87"/>
      <c r="D108" s="88"/>
      <c r="E108" s="88"/>
      <c r="F108" s="88"/>
      <c r="G108" s="88"/>
      <c r="H108" s="88"/>
      <c r="I108" s="88"/>
      <c r="J108" s="88"/>
      <c r="K108" s="88"/>
      <c r="L108" s="88"/>
      <c r="M108" s="88"/>
    </row>
    <row r="109">
      <c r="A109" s="86"/>
      <c r="B109" s="87"/>
      <c r="D109" s="88"/>
      <c r="E109" s="88"/>
      <c r="F109" s="88"/>
      <c r="G109" s="88"/>
      <c r="H109" s="88"/>
      <c r="I109" s="88"/>
      <c r="J109" s="88"/>
      <c r="K109" s="88"/>
      <c r="L109" s="88"/>
      <c r="M109" s="88"/>
    </row>
    <row r="110">
      <c r="A110" s="86"/>
      <c r="B110" s="87"/>
      <c r="D110" s="88"/>
      <c r="E110" s="88"/>
      <c r="F110" s="88"/>
      <c r="G110" s="88"/>
      <c r="H110" s="88"/>
      <c r="I110" s="88"/>
      <c r="J110" s="88"/>
      <c r="K110" s="88"/>
      <c r="L110" s="88"/>
      <c r="M110" s="88"/>
    </row>
    <row r="111">
      <c r="A111" s="86"/>
      <c r="B111" s="87"/>
      <c r="D111" s="88"/>
      <c r="E111" s="88"/>
      <c r="F111" s="88"/>
      <c r="G111" s="88"/>
      <c r="H111" s="88"/>
      <c r="I111" s="88"/>
      <c r="J111" s="88"/>
      <c r="K111" s="88"/>
      <c r="L111" s="88"/>
      <c r="M111" s="88"/>
    </row>
    <row r="112">
      <c r="A112" s="86"/>
      <c r="B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</row>
    <row r="113">
      <c r="A113" s="86"/>
      <c r="B113" s="87"/>
      <c r="D113" s="88"/>
      <c r="E113" s="88"/>
      <c r="F113" s="88"/>
      <c r="G113" s="88"/>
      <c r="H113" s="88"/>
      <c r="I113" s="88"/>
      <c r="J113" s="88"/>
      <c r="K113" s="88"/>
      <c r="L113" s="88"/>
      <c r="M113" s="88"/>
    </row>
    <row r="114">
      <c r="A114" s="86"/>
      <c r="B114" s="87"/>
      <c r="D114" s="88"/>
      <c r="E114" s="88"/>
      <c r="F114" s="88"/>
      <c r="G114" s="88"/>
      <c r="H114" s="88"/>
      <c r="I114" s="88"/>
      <c r="J114" s="88"/>
      <c r="K114" s="88"/>
      <c r="L114" s="88"/>
      <c r="M114" s="88"/>
    </row>
    <row r="115">
      <c r="A115" s="86"/>
      <c r="B115" s="87"/>
      <c r="D115" s="88"/>
      <c r="E115" s="88"/>
      <c r="F115" s="88"/>
      <c r="G115" s="88"/>
      <c r="H115" s="88"/>
      <c r="I115" s="88"/>
      <c r="J115" s="88"/>
      <c r="K115" s="88"/>
      <c r="L115" s="88"/>
      <c r="M115" s="88"/>
    </row>
    <row r="116">
      <c r="A116" s="86"/>
      <c r="B116" s="87"/>
      <c r="D116" s="88"/>
      <c r="E116" s="88"/>
      <c r="F116" s="88"/>
      <c r="G116" s="88"/>
      <c r="H116" s="88"/>
      <c r="I116" s="88"/>
      <c r="J116" s="88"/>
      <c r="K116" s="88"/>
      <c r="L116" s="88"/>
      <c r="M116" s="88"/>
    </row>
    <row r="117">
      <c r="A117" s="86"/>
      <c r="B117" s="87"/>
      <c r="D117" s="88"/>
      <c r="E117" s="88"/>
      <c r="F117" s="88"/>
      <c r="G117" s="88"/>
      <c r="H117" s="88"/>
      <c r="I117" s="88"/>
      <c r="J117" s="88"/>
      <c r="K117" s="88"/>
      <c r="L117" s="88"/>
      <c r="M117" s="88"/>
    </row>
    <row r="118">
      <c r="A118" s="86"/>
      <c r="B118" s="87"/>
      <c r="D118" s="88"/>
      <c r="E118" s="88"/>
      <c r="F118" s="88"/>
      <c r="G118" s="88"/>
      <c r="H118" s="88"/>
      <c r="I118" s="88"/>
      <c r="J118" s="88"/>
      <c r="K118" s="88"/>
      <c r="L118" s="88"/>
      <c r="M118" s="88"/>
    </row>
    <row r="119">
      <c r="A119" s="86"/>
      <c r="B119" s="87"/>
      <c r="D119" s="88"/>
      <c r="E119" s="88"/>
      <c r="F119" s="88"/>
      <c r="G119" s="88"/>
      <c r="H119" s="88"/>
      <c r="I119" s="88"/>
      <c r="J119" s="88"/>
      <c r="K119" s="88"/>
      <c r="L119" s="88"/>
      <c r="M119" s="88"/>
    </row>
    <row r="120">
      <c r="A120" s="86"/>
      <c r="B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</row>
    <row r="121">
      <c r="A121" s="86"/>
      <c r="B121" s="87"/>
      <c r="D121" s="88"/>
      <c r="E121" s="88"/>
      <c r="F121" s="88"/>
      <c r="G121" s="88"/>
      <c r="H121" s="88"/>
      <c r="I121" s="88"/>
      <c r="J121" s="88"/>
      <c r="K121" s="88"/>
      <c r="L121" s="88"/>
      <c r="M121" s="88"/>
    </row>
    <row r="122">
      <c r="A122" s="86"/>
      <c r="B122" s="87"/>
    </row>
    <row r="123">
      <c r="A123" s="86"/>
      <c r="B123" s="87"/>
    </row>
    <row r="124">
      <c r="A124" s="86"/>
      <c r="B124" s="87"/>
    </row>
    <row r="125">
      <c r="A125" s="86"/>
      <c r="B125" s="87"/>
    </row>
    <row r="126">
      <c r="A126" s="86"/>
      <c r="B126" s="87"/>
    </row>
    <row r="127">
      <c r="A127" s="86"/>
      <c r="B127" s="87"/>
    </row>
    <row r="128">
      <c r="A128" s="86"/>
      <c r="B128" s="87"/>
    </row>
    <row r="129">
      <c r="A129" s="86"/>
      <c r="B129" s="87"/>
    </row>
    <row r="130">
      <c r="A130" s="86"/>
      <c r="B130" s="87"/>
    </row>
    <row r="131">
      <c r="A131" s="86"/>
      <c r="B131" s="87"/>
    </row>
    <row r="132">
      <c r="A132" s="86"/>
      <c r="B132" s="87"/>
    </row>
    <row r="133">
      <c r="A133" s="86"/>
      <c r="B133" s="87"/>
    </row>
    <row r="134">
      <c r="A134" s="86"/>
      <c r="B134" s="87"/>
    </row>
    <row r="135">
      <c r="A135" s="86"/>
      <c r="B135" s="87"/>
    </row>
    <row r="136">
      <c r="A136" s="86"/>
      <c r="B136" s="87"/>
    </row>
    <row r="137">
      <c r="A137" s="86"/>
      <c r="B137" s="87"/>
    </row>
    <row r="138">
      <c r="A138" s="86"/>
      <c r="B138" s="87"/>
    </row>
    <row r="139">
      <c r="A139" s="86"/>
      <c r="B139" s="87"/>
    </row>
    <row r="140">
      <c r="A140" s="86"/>
      <c r="B140" s="87"/>
    </row>
    <row r="141">
      <c r="A141" s="86"/>
      <c r="B141" s="87"/>
    </row>
    <row r="142">
      <c r="A142" s="86"/>
      <c r="B142" s="87"/>
    </row>
    <row r="143">
      <c r="A143" s="86"/>
      <c r="B143" s="87"/>
    </row>
    <row r="144">
      <c r="A144" s="86"/>
      <c r="B144" s="87"/>
    </row>
    <row r="145">
      <c r="A145" s="86"/>
      <c r="B145" s="87"/>
    </row>
    <row r="146">
      <c r="A146" s="86"/>
      <c r="B146" s="87"/>
    </row>
    <row r="147">
      <c r="A147" s="86"/>
      <c r="B147" s="87"/>
    </row>
    <row r="148">
      <c r="A148" s="86"/>
      <c r="B148" s="87"/>
    </row>
    <row r="149">
      <c r="A149" s="86"/>
      <c r="B149" s="87"/>
    </row>
    <row r="150">
      <c r="A150" s="86"/>
      <c r="B150" s="87"/>
    </row>
    <row r="151">
      <c r="A151" s="86"/>
      <c r="B151" s="87"/>
    </row>
    <row r="152">
      <c r="A152" s="86"/>
      <c r="B152" s="87"/>
    </row>
    <row r="153">
      <c r="A153" s="86"/>
      <c r="B153" s="87"/>
    </row>
    <row r="154">
      <c r="A154" s="86"/>
      <c r="B154" s="87"/>
    </row>
    <row r="155">
      <c r="A155" s="86"/>
      <c r="B155" s="87"/>
    </row>
    <row r="156">
      <c r="A156" s="86"/>
      <c r="B156" s="87"/>
    </row>
    <row r="157">
      <c r="A157" s="86"/>
      <c r="B157" s="87"/>
    </row>
    <row r="158">
      <c r="A158" s="86"/>
      <c r="B158" s="87"/>
    </row>
    <row r="159">
      <c r="A159" s="86"/>
      <c r="B159" s="87"/>
    </row>
    <row r="160">
      <c r="A160" s="86"/>
      <c r="B160" s="87"/>
    </row>
    <row r="161">
      <c r="A161" s="86"/>
      <c r="B161" s="87"/>
    </row>
    <row r="162">
      <c r="A162" s="86"/>
      <c r="B162" s="87"/>
    </row>
    <row r="163">
      <c r="A163" s="86"/>
      <c r="B163" s="87"/>
    </row>
    <row r="164">
      <c r="A164" s="86"/>
      <c r="B164" s="87"/>
    </row>
    <row r="165">
      <c r="A165" s="86"/>
      <c r="B165" s="87"/>
    </row>
    <row r="166">
      <c r="A166" s="86"/>
      <c r="B166" s="87"/>
    </row>
    <row r="167">
      <c r="A167" s="86"/>
      <c r="B167" s="87"/>
    </row>
    <row r="168">
      <c r="A168" s="86"/>
      <c r="B168" s="87"/>
    </row>
    <row r="169">
      <c r="A169" s="86"/>
      <c r="B169" s="87"/>
    </row>
    <row r="170">
      <c r="A170" s="86"/>
      <c r="B170" s="87"/>
    </row>
    <row r="171">
      <c r="A171" s="86"/>
      <c r="B171" s="87"/>
    </row>
    <row r="172">
      <c r="A172" s="86"/>
      <c r="B172" s="87"/>
    </row>
    <row r="173">
      <c r="A173" s="86"/>
      <c r="B173" s="87"/>
    </row>
    <row r="174">
      <c r="A174" s="86"/>
      <c r="B174" s="87"/>
    </row>
    <row r="175">
      <c r="A175" s="86"/>
      <c r="B175" s="87"/>
    </row>
    <row r="176">
      <c r="A176" s="86"/>
      <c r="B176" s="87"/>
    </row>
    <row r="177">
      <c r="A177" s="86"/>
      <c r="B177" s="87"/>
    </row>
    <row r="178">
      <c r="A178" s="86"/>
      <c r="B178" s="87"/>
    </row>
    <row r="179">
      <c r="A179" s="86"/>
      <c r="B179" s="87"/>
    </row>
    <row r="180">
      <c r="A180" s="86"/>
      <c r="B180" s="87"/>
    </row>
    <row r="181">
      <c r="A181" s="86"/>
      <c r="B181" s="87"/>
    </row>
    <row r="182">
      <c r="A182" s="86"/>
      <c r="B182" s="87"/>
    </row>
    <row r="183">
      <c r="A183" s="86"/>
      <c r="B183" s="87"/>
    </row>
    <row r="184">
      <c r="A184" s="86"/>
      <c r="B184" s="87"/>
    </row>
    <row r="185">
      <c r="A185" s="86"/>
      <c r="B185" s="87"/>
    </row>
    <row r="186">
      <c r="A186" s="86"/>
      <c r="B186" s="87"/>
    </row>
    <row r="187">
      <c r="A187" s="86"/>
      <c r="B187" s="87"/>
    </row>
    <row r="188">
      <c r="A188" s="86"/>
      <c r="B188" s="87"/>
    </row>
    <row r="189">
      <c r="A189" s="86"/>
      <c r="B189" s="87"/>
    </row>
    <row r="190">
      <c r="A190" s="86"/>
      <c r="B190" s="87"/>
    </row>
    <row r="191">
      <c r="A191" s="86"/>
      <c r="B191" s="87"/>
    </row>
    <row r="192">
      <c r="A192" s="86"/>
      <c r="B192" s="87"/>
    </row>
    <row r="193">
      <c r="A193" s="86"/>
      <c r="B193" s="87"/>
    </row>
    <row r="194">
      <c r="A194" s="86"/>
      <c r="B194" s="87"/>
    </row>
    <row r="195">
      <c r="A195" s="86"/>
      <c r="B195" s="87"/>
    </row>
    <row r="196">
      <c r="A196" s="86"/>
      <c r="B196" s="87"/>
    </row>
    <row r="197">
      <c r="A197" s="86"/>
      <c r="B197" s="87"/>
    </row>
    <row r="198">
      <c r="A198" s="86"/>
      <c r="B198" s="87"/>
    </row>
    <row r="199">
      <c r="A199" s="86"/>
      <c r="B199" s="87"/>
    </row>
    <row r="200">
      <c r="A200" s="86"/>
      <c r="B200" s="87"/>
    </row>
    <row r="201">
      <c r="A201" s="86"/>
      <c r="B201" s="87"/>
    </row>
    <row r="202">
      <c r="A202" s="86"/>
      <c r="B202" s="87"/>
    </row>
    <row r="203">
      <c r="A203" s="86"/>
      <c r="B203" s="87"/>
    </row>
    <row r="204">
      <c r="A204" s="86"/>
      <c r="B204" s="87"/>
    </row>
    <row r="205">
      <c r="A205" s="86"/>
      <c r="B205" s="87"/>
    </row>
    <row r="206">
      <c r="A206" s="86"/>
      <c r="B206" s="87"/>
    </row>
    <row r="207">
      <c r="A207" s="86"/>
      <c r="B207" s="87"/>
    </row>
    <row r="208">
      <c r="A208" s="86"/>
      <c r="B208" s="87"/>
    </row>
    <row r="209">
      <c r="A209" s="86"/>
      <c r="B209" s="87"/>
    </row>
    <row r="210">
      <c r="A210" s="86"/>
      <c r="B210" s="87"/>
    </row>
    <row r="211">
      <c r="A211" s="86"/>
      <c r="B211" s="87"/>
    </row>
    <row r="212">
      <c r="A212" s="86"/>
      <c r="B212" s="87"/>
    </row>
    <row r="213">
      <c r="A213" s="86"/>
      <c r="B213" s="87"/>
    </row>
    <row r="214">
      <c r="A214" s="86"/>
      <c r="B214" s="87"/>
    </row>
    <row r="215">
      <c r="A215" s="86"/>
      <c r="B215" s="87"/>
    </row>
    <row r="216">
      <c r="A216" s="86"/>
      <c r="B216" s="87"/>
    </row>
    <row r="217">
      <c r="A217" s="86"/>
      <c r="B217" s="87"/>
    </row>
    <row r="218">
      <c r="A218" s="86"/>
      <c r="B218" s="87"/>
    </row>
    <row r="219">
      <c r="A219" s="86"/>
      <c r="B219" s="87"/>
    </row>
    <row r="220">
      <c r="A220" s="86"/>
      <c r="B220" s="87"/>
    </row>
    <row r="221">
      <c r="A221" s="86"/>
      <c r="B221" s="87"/>
    </row>
    <row r="222">
      <c r="A222" s="86"/>
      <c r="B222" s="87"/>
    </row>
    <row r="223">
      <c r="A223" s="86"/>
      <c r="B223" s="87"/>
    </row>
    <row r="224">
      <c r="A224" s="86"/>
      <c r="B224" s="87"/>
    </row>
    <row r="225">
      <c r="A225" s="86"/>
      <c r="B225" s="87"/>
    </row>
    <row r="226">
      <c r="A226" s="86"/>
      <c r="B226" s="87"/>
    </row>
    <row r="227">
      <c r="A227" s="86"/>
      <c r="B227" s="87"/>
    </row>
    <row r="228">
      <c r="A228" s="86"/>
      <c r="B228" s="87"/>
    </row>
    <row r="229">
      <c r="A229" s="86"/>
      <c r="B229" s="87"/>
    </row>
    <row r="230">
      <c r="A230" s="86"/>
      <c r="B230" s="87"/>
    </row>
    <row r="231">
      <c r="A231" s="86"/>
      <c r="B231" s="87"/>
    </row>
    <row r="232">
      <c r="A232" s="86"/>
      <c r="B232" s="87"/>
    </row>
    <row r="233">
      <c r="A233" s="86"/>
      <c r="B233" s="87"/>
    </row>
    <row r="234">
      <c r="A234" s="86"/>
      <c r="B234" s="87"/>
    </row>
    <row r="235">
      <c r="A235" s="86"/>
      <c r="B235" s="87"/>
    </row>
    <row r="236">
      <c r="A236" s="86"/>
      <c r="B236" s="87"/>
    </row>
    <row r="237">
      <c r="A237" s="86"/>
      <c r="B237" s="87"/>
    </row>
    <row r="238">
      <c r="A238" s="86"/>
      <c r="B238" s="87"/>
    </row>
    <row r="239">
      <c r="A239" s="86"/>
      <c r="B239" s="87"/>
    </row>
    <row r="240">
      <c r="A240" s="86"/>
      <c r="B240" s="87"/>
    </row>
    <row r="241">
      <c r="A241" s="86"/>
      <c r="B241" s="87"/>
    </row>
    <row r="242">
      <c r="A242" s="86"/>
      <c r="B242" s="87"/>
    </row>
    <row r="243">
      <c r="A243" s="86"/>
      <c r="B243" s="87"/>
    </row>
    <row r="244">
      <c r="A244" s="86"/>
      <c r="B244" s="87"/>
    </row>
    <row r="245">
      <c r="A245" s="86"/>
      <c r="B245" s="87"/>
    </row>
    <row r="246">
      <c r="A246" s="86"/>
      <c r="B246" s="87"/>
    </row>
    <row r="247">
      <c r="A247" s="86"/>
      <c r="B247" s="87"/>
    </row>
    <row r="248">
      <c r="A248" s="86"/>
      <c r="B248" s="87"/>
    </row>
    <row r="249">
      <c r="A249" s="86"/>
      <c r="B249" s="87"/>
    </row>
    <row r="250">
      <c r="A250" s="86"/>
      <c r="B250" s="87"/>
    </row>
    <row r="251">
      <c r="A251" s="86"/>
      <c r="B251" s="87"/>
    </row>
    <row r="252">
      <c r="A252" s="86"/>
      <c r="B252" s="87"/>
    </row>
    <row r="253">
      <c r="A253" s="86"/>
      <c r="B253" s="87"/>
    </row>
    <row r="254">
      <c r="A254" s="86"/>
      <c r="B254" s="87"/>
    </row>
    <row r="255">
      <c r="A255" s="86"/>
      <c r="B255" s="87"/>
    </row>
    <row r="256">
      <c r="A256" s="86"/>
      <c r="B256" s="87"/>
    </row>
    <row r="257">
      <c r="A257" s="86"/>
      <c r="B257" s="87"/>
    </row>
    <row r="258">
      <c r="A258" s="86"/>
      <c r="B258" s="87"/>
    </row>
    <row r="259">
      <c r="A259" s="86"/>
      <c r="B259" s="87"/>
    </row>
    <row r="260">
      <c r="A260" s="86"/>
      <c r="B260" s="87"/>
    </row>
    <row r="261">
      <c r="A261" s="86"/>
      <c r="B261" s="87"/>
    </row>
    <row r="262">
      <c r="A262" s="86"/>
      <c r="B262" s="87"/>
    </row>
    <row r="263">
      <c r="A263" s="86"/>
      <c r="B263" s="87"/>
    </row>
    <row r="264">
      <c r="A264" s="86"/>
      <c r="B264" s="87"/>
    </row>
    <row r="265">
      <c r="A265" s="86"/>
      <c r="B265" s="87"/>
    </row>
    <row r="266">
      <c r="A266" s="86"/>
      <c r="B266" s="87"/>
    </row>
    <row r="267">
      <c r="A267" s="86"/>
      <c r="B267" s="87"/>
    </row>
    <row r="268">
      <c r="A268" s="86"/>
      <c r="B268" s="87"/>
    </row>
    <row r="269">
      <c r="A269" s="86"/>
      <c r="B269" s="87"/>
    </row>
    <row r="270">
      <c r="A270" s="86"/>
      <c r="B270" s="87"/>
    </row>
    <row r="271">
      <c r="A271" s="86"/>
      <c r="B271" s="87"/>
    </row>
    <row r="272">
      <c r="A272" s="86"/>
      <c r="B272" s="87"/>
    </row>
    <row r="273">
      <c r="A273" s="86"/>
      <c r="B273" s="87"/>
    </row>
    <row r="274">
      <c r="A274" s="86"/>
      <c r="B274" s="87"/>
    </row>
    <row r="275">
      <c r="A275" s="86"/>
      <c r="B275" s="87"/>
    </row>
    <row r="276">
      <c r="A276" s="86"/>
      <c r="B276" s="87"/>
    </row>
    <row r="277">
      <c r="A277" s="86"/>
      <c r="B277" s="87"/>
    </row>
    <row r="278">
      <c r="A278" s="86"/>
      <c r="B278" s="87"/>
    </row>
    <row r="279">
      <c r="A279" s="86"/>
      <c r="B279" s="87"/>
    </row>
    <row r="280">
      <c r="A280" s="86"/>
      <c r="B280" s="87"/>
    </row>
    <row r="281">
      <c r="A281" s="86"/>
      <c r="B281" s="87"/>
    </row>
    <row r="282">
      <c r="A282" s="86"/>
      <c r="B282" s="87"/>
    </row>
    <row r="283">
      <c r="A283" s="86"/>
      <c r="B283" s="87"/>
    </row>
    <row r="284">
      <c r="A284" s="86"/>
      <c r="B284" s="87"/>
    </row>
    <row r="285">
      <c r="A285" s="86"/>
      <c r="B285" s="87"/>
    </row>
    <row r="286">
      <c r="A286" s="86"/>
      <c r="B286" s="87"/>
    </row>
    <row r="287">
      <c r="A287" s="86"/>
      <c r="B287" s="87"/>
    </row>
    <row r="288">
      <c r="A288" s="86"/>
      <c r="B288" s="87"/>
    </row>
    <row r="289">
      <c r="A289" s="86"/>
      <c r="B289" s="87"/>
    </row>
    <row r="290">
      <c r="A290" s="86"/>
      <c r="B290" s="87"/>
    </row>
    <row r="291">
      <c r="A291" s="86"/>
      <c r="B291" s="87"/>
    </row>
    <row r="292">
      <c r="A292" s="86"/>
      <c r="B292" s="87"/>
    </row>
    <row r="293">
      <c r="A293" s="86"/>
      <c r="B293" s="87"/>
    </row>
    <row r="294">
      <c r="A294" s="86"/>
      <c r="B294" s="87"/>
    </row>
    <row r="295">
      <c r="A295" s="86"/>
      <c r="B295" s="87"/>
    </row>
    <row r="296">
      <c r="A296" s="86"/>
      <c r="B296" s="87"/>
    </row>
    <row r="297">
      <c r="A297" s="86"/>
      <c r="B297" s="87"/>
    </row>
    <row r="298">
      <c r="A298" s="86"/>
      <c r="B298" s="87"/>
    </row>
    <row r="299">
      <c r="A299" s="86"/>
      <c r="B299" s="87"/>
    </row>
    <row r="300">
      <c r="A300" s="86"/>
      <c r="B300" s="87"/>
    </row>
    <row r="301">
      <c r="A301" s="86"/>
      <c r="B301" s="87"/>
    </row>
    <row r="302">
      <c r="A302" s="86"/>
      <c r="B302" s="87"/>
    </row>
    <row r="303">
      <c r="A303" s="86"/>
      <c r="B303" s="87"/>
    </row>
    <row r="304">
      <c r="A304" s="86"/>
      <c r="B304" s="87"/>
    </row>
    <row r="305">
      <c r="A305" s="86"/>
      <c r="B305" s="87"/>
    </row>
    <row r="306">
      <c r="A306" s="86"/>
      <c r="B306" s="87"/>
    </row>
    <row r="307">
      <c r="A307" s="86"/>
      <c r="B307" s="87"/>
    </row>
    <row r="308">
      <c r="A308" s="86"/>
      <c r="B308" s="87"/>
    </row>
    <row r="309">
      <c r="A309" s="86"/>
      <c r="B309" s="87"/>
    </row>
    <row r="310">
      <c r="A310" s="86"/>
      <c r="B310" s="87"/>
    </row>
    <row r="311">
      <c r="A311" s="86"/>
      <c r="B311" s="87"/>
    </row>
    <row r="312">
      <c r="A312" s="86"/>
      <c r="B312" s="87"/>
    </row>
    <row r="313">
      <c r="A313" s="86"/>
      <c r="B313" s="87"/>
    </row>
    <row r="314">
      <c r="A314" s="86"/>
      <c r="B314" s="87"/>
    </row>
    <row r="315">
      <c r="A315" s="86"/>
      <c r="B315" s="87"/>
    </row>
    <row r="316">
      <c r="A316" s="86"/>
      <c r="B316" s="87"/>
    </row>
    <row r="317">
      <c r="A317" s="86"/>
      <c r="B317" s="87"/>
    </row>
    <row r="318">
      <c r="A318" s="86"/>
      <c r="B318" s="87"/>
    </row>
    <row r="319">
      <c r="A319" s="86"/>
      <c r="B319" s="87"/>
    </row>
    <row r="320">
      <c r="A320" s="86"/>
      <c r="B320" s="87"/>
    </row>
    <row r="321">
      <c r="A321" s="86"/>
      <c r="B321" s="87"/>
    </row>
    <row r="322">
      <c r="A322" s="86"/>
      <c r="B322" s="87"/>
    </row>
    <row r="323">
      <c r="A323" s="86"/>
      <c r="B323" s="87"/>
    </row>
    <row r="324">
      <c r="A324" s="86"/>
      <c r="B324" s="87"/>
    </row>
    <row r="325">
      <c r="A325" s="86"/>
      <c r="B325" s="87"/>
    </row>
    <row r="326">
      <c r="A326" s="86"/>
      <c r="B326" s="87"/>
    </row>
    <row r="327">
      <c r="A327" s="86"/>
      <c r="B327" s="87"/>
    </row>
    <row r="328">
      <c r="A328" s="86"/>
      <c r="B328" s="87"/>
    </row>
    <row r="329">
      <c r="A329" s="86"/>
      <c r="B329" s="87"/>
    </row>
    <row r="330">
      <c r="A330" s="86"/>
      <c r="B330" s="87"/>
    </row>
    <row r="331">
      <c r="A331" s="86"/>
      <c r="B331" s="87"/>
    </row>
    <row r="332">
      <c r="A332" s="86"/>
      <c r="B332" s="87"/>
    </row>
    <row r="333">
      <c r="A333" s="86"/>
      <c r="B333" s="87"/>
    </row>
    <row r="334">
      <c r="A334" s="86"/>
      <c r="B334" s="87"/>
    </row>
    <row r="335">
      <c r="A335" s="86"/>
      <c r="B335" s="87"/>
    </row>
    <row r="336">
      <c r="A336" s="86"/>
      <c r="B336" s="87"/>
    </row>
    <row r="337">
      <c r="A337" s="86"/>
      <c r="B337" s="87"/>
    </row>
    <row r="338">
      <c r="A338" s="86"/>
      <c r="B338" s="87"/>
    </row>
    <row r="339">
      <c r="A339" s="86"/>
      <c r="B339" s="87"/>
    </row>
    <row r="340">
      <c r="A340" s="86"/>
      <c r="B340" s="87"/>
    </row>
    <row r="341">
      <c r="A341" s="86"/>
      <c r="B341" s="87"/>
    </row>
    <row r="342">
      <c r="A342" s="86"/>
      <c r="B342" s="87"/>
    </row>
    <row r="343">
      <c r="A343" s="86"/>
      <c r="B343" s="87"/>
    </row>
    <row r="344">
      <c r="A344" s="86"/>
      <c r="B344" s="87"/>
    </row>
    <row r="345">
      <c r="A345" s="86"/>
      <c r="B345" s="87"/>
    </row>
    <row r="346">
      <c r="A346" s="86"/>
      <c r="B346" s="87"/>
    </row>
    <row r="347">
      <c r="A347" s="86"/>
      <c r="B347" s="87"/>
    </row>
    <row r="348">
      <c r="A348" s="86"/>
      <c r="B348" s="87"/>
    </row>
    <row r="349">
      <c r="A349" s="86"/>
      <c r="B349" s="87"/>
    </row>
    <row r="350">
      <c r="A350" s="86"/>
      <c r="B350" s="87"/>
    </row>
    <row r="351">
      <c r="A351" s="86"/>
      <c r="B351" s="87"/>
    </row>
    <row r="352">
      <c r="A352" s="86"/>
      <c r="B352" s="87"/>
    </row>
    <row r="353">
      <c r="A353" s="86"/>
      <c r="B353" s="87"/>
    </row>
    <row r="354">
      <c r="A354" s="86"/>
      <c r="B354" s="87"/>
    </row>
    <row r="355">
      <c r="A355" s="86"/>
      <c r="B355" s="87"/>
    </row>
    <row r="356">
      <c r="A356" s="86"/>
      <c r="B356" s="87"/>
    </row>
    <row r="357">
      <c r="A357" s="86"/>
      <c r="B357" s="87"/>
    </row>
    <row r="358">
      <c r="A358" s="86"/>
      <c r="B358" s="87"/>
    </row>
    <row r="359">
      <c r="A359" s="86"/>
      <c r="B359" s="87"/>
    </row>
    <row r="360">
      <c r="A360" s="86"/>
      <c r="B360" s="87"/>
    </row>
    <row r="361">
      <c r="A361" s="86"/>
      <c r="B361" s="87"/>
    </row>
    <row r="362">
      <c r="A362" s="86"/>
      <c r="B362" s="87"/>
    </row>
    <row r="363">
      <c r="A363" s="86"/>
      <c r="B363" s="87"/>
    </row>
    <row r="364">
      <c r="A364" s="86"/>
      <c r="B364" s="87"/>
    </row>
    <row r="365">
      <c r="A365" s="86"/>
      <c r="B365" s="87"/>
    </row>
    <row r="366">
      <c r="A366" s="86"/>
      <c r="B366" s="87"/>
    </row>
    <row r="367">
      <c r="A367" s="86"/>
      <c r="B367" s="87"/>
    </row>
    <row r="368">
      <c r="A368" s="86"/>
      <c r="B368" s="87"/>
    </row>
    <row r="369">
      <c r="A369" s="86"/>
      <c r="B369" s="87"/>
    </row>
    <row r="370">
      <c r="A370" s="86"/>
      <c r="B370" s="87"/>
    </row>
    <row r="371">
      <c r="A371" s="86"/>
      <c r="B371" s="87"/>
    </row>
    <row r="372">
      <c r="A372" s="86"/>
      <c r="B372" s="87"/>
    </row>
    <row r="373">
      <c r="A373" s="86"/>
      <c r="B373" s="87"/>
    </row>
    <row r="374">
      <c r="A374" s="86"/>
      <c r="B374" s="87"/>
    </row>
    <row r="375">
      <c r="A375" s="86"/>
      <c r="B375" s="87"/>
    </row>
    <row r="376">
      <c r="A376" s="86"/>
      <c r="B376" s="87"/>
    </row>
    <row r="377">
      <c r="A377" s="86"/>
      <c r="B377" s="87"/>
    </row>
    <row r="378">
      <c r="A378" s="86"/>
      <c r="B378" s="87"/>
    </row>
    <row r="379">
      <c r="A379" s="86"/>
      <c r="B379" s="87"/>
    </row>
    <row r="380">
      <c r="A380" s="86"/>
      <c r="B380" s="87"/>
    </row>
    <row r="381">
      <c r="A381" s="86"/>
      <c r="B381" s="87"/>
    </row>
    <row r="382">
      <c r="A382" s="86"/>
      <c r="B382" s="87"/>
    </row>
    <row r="383">
      <c r="A383" s="86"/>
      <c r="B383" s="87"/>
    </row>
    <row r="384">
      <c r="A384" s="86"/>
      <c r="B384" s="87"/>
    </row>
    <row r="385">
      <c r="A385" s="86"/>
      <c r="B385" s="87"/>
    </row>
    <row r="386">
      <c r="A386" s="86"/>
      <c r="B386" s="87"/>
    </row>
    <row r="387">
      <c r="A387" s="86"/>
      <c r="B387" s="87"/>
    </row>
    <row r="388">
      <c r="A388" s="86"/>
      <c r="B388" s="87"/>
    </row>
    <row r="389">
      <c r="A389" s="86"/>
      <c r="B389" s="87"/>
    </row>
    <row r="390">
      <c r="A390" s="86"/>
      <c r="B390" s="87"/>
    </row>
    <row r="391">
      <c r="A391" s="86"/>
      <c r="B391" s="87"/>
    </row>
    <row r="392">
      <c r="A392" s="86"/>
      <c r="B392" s="87"/>
    </row>
    <row r="393">
      <c r="A393" s="86"/>
      <c r="B393" s="87"/>
    </row>
    <row r="394">
      <c r="A394" s="86"/>
      <c r="B394" s="87"/>
    </row>
    <row r="395">
      <c r="A395" s="86"/>
      <c r="B395" s="87"/>
    </row>
    <row r="396">
      <c r="A396" s="86"/>
      <c r="B396" s="87"/>
    </row>
    <row r="397">
      <c r="A397" s="86"/>
      <c r="B397" s="87"/>
    </row>
    <row r="398">
      <c r="A398" s="86"/>
      <c r="B398" s="87"/>
    </row>
    <row r="399">
      <c r="A399" s="86"/>
      <c r="B399" s="87"/>
    </row>
    <row r="400">
      <c r="A400" s="86"/>
      <c r="B400" s="87"/>
    </row>
    <row r="401">
      <c r="A401" s="86"/>
      <c r="B401" s="87"/>
    </row>
    <row r="402">
      <c r="A402" s="86"/>
      <c r="B402" s="87"/>
    </row>
    <row r="403">
      <c r="A403" s="86"/>
      <c r="B403" s="87"/>
    </row>
    <row r="404">
      <c r="A404" s="86"/>
      <c r="B404" s="87"/>
    </row>
    <row r="405">
      <c r="A405" s="86"/>
      <c r="B405" s="87"/>
    </row>
    <row r="406">
      <c r="A406" s="86"/>
      <c r="B406" s="87"/>
    </row>
    <row r="407">
      <c r="A407" s="86"/>
      <c r="B407" s="87"/>
    </row>
    <row r="408">
      <c r="A408" s="86"/>
      <c r="B408" s="87"/>
    </row>
    <row r="409">
      <c r="A409" s="86"/>
      <c r="B409" s="87"/>
    </row>
    <row r="410">
      <c r="A410" s="86"/>
      <c r="B410" s="87"/>
    </row>
    <row r="411">
      <c r="A411" s="86"/>
      <c r="B411" s="87"/>
    </row>
    <row r="412">
      <c r="A412" s="86"/>
      <c r="B412" s="87"/>
    </row>
    <row r="413">
      <c r="A413" s="86"/>
      <c r="B413" s="87"/>
    </row>
    <row r="414">
      <c r="A414" s="86"/>
      <c r="B414" s="87"/>
    </row>
    <row r="415">
      <c r="A415" s="86"/>
      <c r="B415" s="87"/>
    </row>
    <row r="416">
      <c r="A416" s="86"/>
      <c r="B416" s="87"/>
    </row>
    <row r="417">
      <c r="A417" s="86"/>
      <c r="B417" s="87"/>
    </row>
    <row r="418">
      <c r="A418" s="86"/>
      <c r="B418" s="87"/>
    </row>
    <row r="419">
      <c r="A419" s="86"/>
      <c r="B419" s="87"/>
    </row>
    <row r="420">
      <c r="A420" s="86"/>
      <c r="B420" s="87"/>
    </row>
    <row r="421">
      <c r="A421" s="86"/>
      <c r="B421" s="87"/>
    </row>
    <row r="422">
      <c r="A422" s="86"/>
      <c r="B422" s="87"/>
    </row>
    <row r="423">
      <c r="A423" s="86"/>
      <c r="B423" s="87"/>
    </row>
    <row r="424">
      <c r="A424" s="86"/>
      <c r="B424" s="87"/>
    </row>
    <row r="425">
      <c r="A425" s="86"/>
      <c r="B425" s="87"/>
    </row>
    <row r="426">
      <c r="A426" s="86"/>
      <c r="B426" s="87"/>
    </row>
    <row r="427">
      <c r="A427" s="86"/>
      <c r="B427" s="87"/>
    </row>
    <row r="428">
      <c r="A428" s="86"/>
      <c r="B428" s="87"/>
    </row>
    <row r="429">
      <c r="A429" s="86"/>
      <c r="B429" s="87"/>
    </row>
    <row r="430">
      <c r="A430" s="86"/>
      <c r="B430" s="87"/>
    </row>
    <row r="431">
      <c r="A431" s="86"/>
      <c r="B431" s="87"/>
    </row>
    <row r="432">
      <c r="A432" s="86"/>
      <c r="B432" s="87"/>
    </row>
    <row r="433">
      <c r="A433" s="86"/>
      <c r="B433" s="87"/>
    </row>
    <row r="434">
      <c r="A434" s="86"/>
      <c r="B434" s="87"/>
    </row>
    <row r="435">
      <c r="A435" s="86"/>
      <c r="B435" s="87"/>
    </row>
    <row r="436">
      <c r="A436" s="86"/>
      <c r="B436" s="87"/>
    </row>
    <row r="437">
      <c r="A437" s="86"/>
      <c r="B437" s="87"/>
    </row>
    <row r="438">
      <c r="A438" s="86"/>
      <c r="B438" s="87"/>
    </row>
    <row r="439">
      <c r="A439" s="86"/>
      <c r="B439" s="87"/>
    </row>
    <row r="440">
      <c r="A440" s="86"/>
      <c r="B440" s="87"/>
    </row>
    <row r="441">
      <c r="A441" s="86"/>
      <c r="B441" s="87"/>
    </row>
    <row r="442">
      <c r="A442" s="86"/>
      <c r="B442" s="87"/>
    </row>
    <row r="443">
      <c r="A443" s="86"/>
      <c r="B443" s="87"/>
    </row>
    <row r="444">
      <c r="A444" s="86"/>
      <c r="B444" s="87"/>
    </row>
    <row r="445">
      <c r="A445" s="86"/>
      <c r="B445" s="87"/>
    </row>
    <row r="446">
      <c r="A446" s="86"/>
      <c r="B446" s="87"/>
    </row>
    <row r="447">
      <c r="A447" s="86"/>
      <c r="B447" s="87"/>
    </row>
    <row r="448">
      <c r="A448" s="86"/>
      <c r="B448" s="87"/>
    </row>
    <row r="449">
      <c r="A449" s="86"/>
      <c r="B449" s="87"/>
    </row>
    <row r="450">
      <c r="A450" s="86"/>
      <c r="B450" s="87"/>
    </row>
    <row r="451">
      <c r="A451" s="86"/>
      <c r="B451" s="87"/>
    </row>
    <row r="452">
      <c r="A452" s="86"/>
      <c r="B452" s="87"/>
    </row>
    <row r="453">
      <c r="A453" s="86"/>
      <c r="B453" s="87"/>
    </row>
    <row r="454">
      <c r="A454" s="86"/>
      <c r="B454" s="87"/>
    </row>
    <row r="455">
      <c r="A455" s="86"/>
      <c r="B455" s="87"/>
    </row>
    <row r="456">
      <c r="A456" s="86"/>
      <c r="B456" s="87"/>
    </row>
    <row r="457">
      <c r="A457" s="86"/>
      <c r="B457" s="87"/>
    </row>
    <row r="458">
      <c r="A458" s="86"/>
      <c r="B458" s="87"/>
    </row>
    <row r="459">
      <c r="A459" s="86"/>
      <c r="B459" s="87"/>
    </row>
    <row r="460">
      <c r="A460" s="86"/>
      <c r="B460" s="87"/>
    </row>
    <row r="461">
      <c r="A461" s="86"/>
      <c r="B461" s="87"/>
    </row>
    <row r="462">
      <c r="A462" s="86"/>
      <c r="B462" s="87"/>
    </row>
    <row r="463">
      <c r="A463" s="86"/>
      <c r="B463" s="87"/>
    </row>
    <row r="464">
      <c r="A464" s="86"/>
      <c r="B464" s="87"/>
    </row>
    <row r="465">
      <c r="A465" s="86"/>
      <c r="B465" s="87"/>
    </row>
    <row r="466">
      <c r="A466" s="86"/>
      <c r="B466" s="87"/>
    </row>
    <row r="467">
      <c r="A467" s="86"/>
      <c r="B467" s="87"/>
    </row>
    <row r="468">
      <c r="A468" s="86"/>
      <c r="B468" s="87"/>
    </row>
    <row r="469">
      <c r="A469" s="86"/>
      <c r="B469" s="87"/>
    </row>
    <row r="470">
      <c r="A470" s="86"/>
      <c r="B470" s="87"/>
    </row>
    <row r="471">
      <c r="A471" s="86"/>
      <c r="B471" s="87"/>
    </row>
    <row r="472">
      <c r="A472" s="86"/>
      <c r="B472" s="87"/>
    </row>
    <row r="473">
      <c r="A473" s="86"/>
      <c r="B473" s="87"/>
    </row>
    <row r="474">
      <c r="A474" s="86"/>
      <c r="B474" s="87"/>
    </row>
    <row r="475">
      <c r="A475" s="86"/>
      <c r="B475" s="87"/>
    </row>
    <row r="476">
      <c r="A476" s="86"/>
      <c r="B476" s="87"/>
    </row>
    <row r="477">
      <c r="A477" s="86"/>
      <c r="B477" s="87"/>
    </row>
    <row r="478">
      <c r="A478" s="86"/>
      <c r="B478" s="87"/>
    </row>
    <row r="479">
      <c r="A479" s="86"/>
      <c r="B479" s="87"/>
    </row>
    <row r="480">
      <c r="A480" s="86"/>
      <c r="B480" s="87"/>
    </row>
    <row r="481">
      <c r="A481" s="86"/>
      <c r="B481" s="87"/>
    </row>
    <row r="482">
      <c r="A482" s="86"/>
      <c r="B482" s="87"/>
    </row>
    <row r="483">
      <c r="A483" s="86"/>
      <c r="B483" s="87"/>
    </row>
    <row r="484">
      <c r="A484" s="86"/>
      <c r="B484" s="87"/>
    </row>
    <row r="485">
      <c r="A485" s="86"/>
      <c r="B485" s="87"/>
    </row>
    <row r="486">
      <c r="A486" s="86"/>
      <c r="B486" s="87"/>
    </row>
    <row r="487">
      <c r="A487" s="86"/>
      <c r="B487" s="87"/>
    </row>
    <row r="488">
      <c r="A488" s="86"/>
      <c r="B488" s="87"/>
    </row>
    <row r="489">
      <c r="A489" s="86"/>
      <c r="B489" s="87"/>
    </row>
    <row r="490">
      <c r="A490" s="86"/>
      <c r="B490" s="87"/>
    </row>
    <row r="491">
      <c r="A491" s="86"/>
      <c r="B491" s="87"/>
    </row>
    <row r="492">
      <c r="A492" s="86"/>
      <c r="B492" s="87"/>
    </row>
    <row r="493">
      <c r="A493" s="86"/>
      <c r="B493" s="87"/>
    </row>
    <row r="494">
      <c r="A494" s="86"/>
      <c r="B494" s="87"/>
    </row>
    <row r="495">
      <c r="A495" s="86"/>
      <c r="B495" s="87"/>
    </row>
    <row r="496">
      <c r="A496" s="86"/>
      <c r="B496" s="87"/>
    </row>
    <row r="497">
      <c r="A497" s="86"/>
      <c r="B497" s="87"/>
    </row>
    <row r="498">
      <c r="A498" s="86"/>
      <c r="B498" s="87"/>
    </row>
    <row r="499">
      <c r="A499" s="86"/>
      <c r="B499" s="87"/>
    </row>
    <row r="500">
      <c r="A500" s="86"/>
      <c r="B500" s="87"/>
    </row>
    <row r="501">
      <c r="A501" s="86"/>
      <c r="B501" s="87"/>
    </row>
    <row r="502">
      <c r="A502" s="86"/>
      <c r="B502" s="87"/>
    </row>
    <row r="503">
      <c r="A503" s="86"/>
      <c r="B503" s="87"/>
    </row>
    <row r="504">
      <c r="A504" s="86"/>
      <c r="B504" s="87"/>
    </row>
    <row r="505">
      <c r="A505" s="86"/>
      <c r="B505" s="87"/>
    </row>
    <row r="506">
      <c r="A506" s="86"/>
      <c r="B506" s="87"/>
    </row>
    <row r="507">
      <c r="A507" s="86"/>
      <c r="B507" s="87"/>
    </row>
    <row r="508">
      <c r="A508" s="86"/>
      <c r="B508" s="87"/>
    </row>
    <row r="509">
      <c r="A509" s="86"/>
      <c r="B509" s="87"/>
    </row>
    <row r="510">
      <c r="A510" s="86"/>
      <c r="B510" s="87"/>
    </row>
    <row r="511">
      <c r="A511" s="86"/>
      <c r="B511" s="87"/>
    </row>
    <row r="512">
      <c r="A512" s="86"/>
      <c r="B512" s="87"/>
    </row>
    <row r="513">
      <c r="A513" s="86"/>
      <c r="B513" s="87"/>
    </row>
    <row r="514">
      <c r="A514" s="86"/>
      <c r="B514" s="87"/>
    </row>
    <row r="515">
      <c r="A515" s="86"/>
      <c r="B515" s="87"/>
    </row>
    <row r="516">
      <c r="A516" s="86"/>
      <c r="B516" s="87"/>
    </row>
    <row r="517">
      <c r="A517" s="86"/>
      <c r="B517" s="87"/>
    </row>
    <row r="518">
      <c r="A518" s="86"/>
      <c r="B518" s="87"/>
    </row>
    <row r="519">
      <c r="A519" s="86"/>
      <c r="B519" s="87"/>
    </row>
    <row r="520">
      <c r="A520" s="86"/>
      <c r="B520" s="87"/>
    </row>
    <row r="521">
      <c r="A521" s="86"/>
      <c r="B521" s="87"/>
    </row>
    <row r="522">
      <c r="A522" s="86"/>
      <c r="B522" s="87"/>
    </row>
    <row r="523">
      <c r="A523" s="86"/>
      <c r="B523" s="87"/>
    </row>
    <row r="524">
      <c r="A524" s="86"/>
      <c r="B524" s="87"/>
    </row>
    <row r="525">
      <c r="A525" s="86"/>
      <c r="B525" s="87"/>
    </row>
    <row r="526">
      <c r="A526" s="86"/>
      <c r="B526" s="87"/>
    </row>
    <row r="527">
      <c r="A527" s="86"/>
      <c r="B527" s="87"/>
    </row>
    <row r="528">
      <c r="A528" s="86"/>
      <c r="B528" s="87"/>
    </row>
    <row r="529">
      <c r="A529" s="86"/>
      <c r="B529" s="87"/>
    </row>
    <row r="530">
      <c r="A530" s="86"/>
      <c r="B530" s="87"/>
    </row>
    <row r="531">
      <c r="A531" s="86"/>
      <c r="B531" s="87"/>
    </row>
    <row r="532">
      <c r="A532" s="86"/>
      <c r="B532" s="87"/>
    </row>
    <row r="533">
      <c r="A533" s="86"/>
      <c r="B533" s="87"/>
    </row>
    <row r="534">
      <c r="A534" s="86"/>
      <c r="B534" s="87"/>
    </row>
    <row r="535">
      <c r="A535" s="86"/>
      <c r="B535" s="87"/>
    </row>
    <row r="536">
      <c r="A536" s="86"/>
      <c r="B536" s="87"/>
    </row>
    <row r="537">
      <c r="A537" s="86"/>
      <c r="B537" s="87"/>
    </row>
    <row r="538">
      <c r="A538" s="86"/>
      <c r="B538" s="87"/>
    </row>
    <row r="539">
      <c r="A539" s="86"/>
      <c r="B539" s="87"/>
    </row>
    <row r="540">
      <c r="A540" s="86"/>
      <c r="B540" s="87"/>
    </row>
    <row r="541">
      <c r="A541" s="86"/>
      <c r="B541" s="87"/>
    </row>
    <row r="542">
      <c r="A542" s="86"/>
      <c r="B542" s="87"/>
    </row>
    <row r="543">
      <c r="A543" s="86"/>
      <c r="B543" s="87"/>
    </row>
    <row r="544">
      <c r="A544" s="86"/>
      <c r="B544" s="87"/>
    </row>
    <row r="545">
      <c r="A545" s="86"/>
      <c r="B545" s="87"/>
    </row>
    <row r="546">
      <c r="A546" s="86"/>
      <c r="B546" s="87"/>
    </row>
    <row r="547">
      <c r="A547" s="86"/>
      <c r="B547" s="87"/>
    </row>
    <row r="548">
      <c r="A548" s="86"/>
      <c r="B548" s="87"/>
    </row>
    <row r="549">
      <c r="A549" s="86"/>
      <c r="B549" s="87"/>
    </row>
    <row r="550">
      <c r="A550" s="86"/>
      <c r="B550" s="87"/>
    </row>
    <row r="551">
      <c r="A551" s="86"/>
      <c r="B551" s="87"/>
    </row>
    <row r="552">
      <c r="A552" s="86"/>
      <c r="B552" s="87"/>
    </row>
    <row r="553">
      <c r="A553" s="86"/>
      <c r="B553" s="87"/>
    </row>
    <row r="554">
      <c r="A554" s="86"/>
      <c r="B554" s="87"/>
    </row>
    <row r="555">
      <c r="A555" s="86"/>
      <c r="B555" s="87"/>
    </row>
    <row r="556">
      <c r="A556" s="86"/>
      <c r="B556" s="87"/>
    </row>
    <row r="557">
      <c r="A557" s="86"/>
      <c r="B557" s="87"/>
    </row>
    <row r="558">
      <c r="A558" s="86"/>
      <c r="B558" s="87"/>
    </row>
    <row r="559">
      <c r="A559" s="86"/>
      <c r="B559" s="87"/>
    </row>
    <row r="560">
      <c r="A560" s="86"/>
      <c r="B560" s="87"/>
    </row>
    <row r="561">
      <c r="A561" s="86"/>
      <c r="B561" s="87"/>
    </row>
    <row r="562">
      <c r="A562" s="86"/>
      <c r="B562" s="87"/>
    </row>
    <row r="563">
      <c r="A563" s="86"/>
      <c r="B563" s="87"/>
    </row>
    <row r="564">
      <c r="A564" s="86"/>
      <c r="B564" s="87"/>
    </row>
    <row r="565">
      <c r="A565" s="86"/>
      <c r="B565" s="87"/>
    </row>
    <row r="566">
      <c r="A566" s="86"/>
      <c r="B566" s="87"/>
    </row>
    <row r="567">
      <c r="A567" s="86"/>
      <c r="B567" s="87"/>
    </row>
    <row r="568">
      <c r="A568" s="86"/>
      <c r="B568" s="87"/>
    </row>
    <row r="569">
      <c r="A569" s="86"/>
      <c r="B569" s="87"/>
    </row>
    <row r="570">
      <c r="A570" s="86"/>
      <c r="B570" s="87"/>
    </row>
    <row r="571">
      <c r="A571" s="86"/>
      <c r="B571" s="87"/>
    </row>
    <row r="572">
      <c r="A572" s="86"/>
      <c r="B572" s="87"/>
    </row>
    <row r="573">
      <c r="A573" s="86"/>
      <c r="B573" s="87"/>
    </row>
    <row r="574">
      <c r="A574" s="86"/>
      <c r="B574" s="87"/>
    </row>
    <row r="575">
      <c r="A575" s="86"/>
      <c r="B575" s="87"/>
    </row>
    <row r="576">
      <c r="A576" s="86"/>
      <c r="B576" s="87"/>
    </row>
    <row r="577">
      <c r="A577" s="86"/>
      <c r="B577" s="87"/>
    </row>
    <row r="578">
      <c r="A578" s="86"/>
      <c r="B578" s="87"/>
    </row>
    <row r="579">
      <c r="A579" s="86"/>
      <c r="B579" s="87"/>
    </row>
    <row r="580">
      <c r="A580" s="86"/>
      <c r="B580" s="87"/>
    </row>
    <row r="581">
      <c r="A581" s="86"/>
      <c r="B581" s="87"/>
    </row>
    <row r="582">
      <c r="A582" s="86"/>
      <c r="B582" s="87"/>
    </row>
    <row r="583">
      <c r="A583" s="86"/>
      <c r="B583" s="87"/>
    </row>
    <row r="584">
      <c r="A584" s="86"/>
      <c r="B584" s="87"/>
    </row>
    <row r="585">
      <c r="A585" s="86"/>
      <c r="B585" s="87"/>
    </row>
    <row r="586">
      <c r="A586" s="86"/>
      <c r="B586" s="87"/>
    </row>
    <row r="587">
      <c r="A587" s="86"/>
      <c r="B587" s="87"/>
    </row>
    <row r="588">
      <c r="A588" s="86"/>
      <c r="B588" s="87"/>
    </row>
    <row r="589">
      <c r="A589" s="86"/>
      <c r="B589" s="87"/>
    </row>
    <row r="590">
      <c r="A590" s="86"/>
      <c r="B590" s="87"/>
    </row>
    <row r="591">
      <c r="A591" s="86"/>
      <c r="B591" s="87"/>
    </row>
    <row r="592">
      <c r="A592" s="86"/>
      <c r="B592" s="87"/>
    </row>
    <row r="593">
      <c r="A593" s="86"/>
      <c r="B593" s="87"/>
    </row>
    <row r="594">
      <c r="A594" s="86"/>
      <c r="B594" s="87"/>
    </row>
    <row r="595">
      <c r="A595" s="86"/>
      <c r="B595" s="87"/>
    </row>
    <row r="596">
      <c r="A596" s="86"/>
      <c r="B596" s="87"/>
    </row>
    <row r="597">
      <c r="A597" s="86"/>
      <c r="B597" s="87"/>
    </row>
    <row r="598">
      <c r="A598" s="86"/>
      <c r="B598" s="87"/>
    </row>
    <row r="599">
      <c r="A599" s="86"/>
      <c r="B599" s="87"/>
    </row>
    <row r="600">
      <c r="A600" s="86"/>
      <c r="B600" s="87"/>
    </row>
    <row r="601">
      <c r="A601" s="86"/>
      <c r="B601" s="87"/>
    </row>
    <row r="602">
      <c r="A602" s="86"/>
      <c r="B602" s="87"/>
    </row>
    <row r="603">
      <c r="A603" s="86"/>
      <c r="B603" s="87"/>
    </row>
    <row r="604">
      <c r="A604" s="86"/>
      <c r="B604" s="87"/>
    </row>
    <row r="605">
      <c r="A605" s="86"/>
      <c r="B605" s="87"/>
    </row>
    <row r="606">
      <c r="A606" s="86"/>
      <c r="B606" s="87"/>
    </row>
    <row r="607">
      <c r="A607" s="86"/>
      <c r="B607" s="87"/>
    </row>
    <row r="608">
      <c r="A608" s="86"/>
      <c r="B608" s="87"/>
    </row>
    <row r="609">
      <c r="A609" s="86"/>
      <c r="B609" s="87"/>
    </row>
    <row r="610">
      <c r="A610" s="86"/>
      <c r="B610" s="87"/>
    </row>
    <row r="611">
      <c r="A611" s="86"/>
      <c r="B611" s="87"/>
    </row>
    <row r="612">
      <c r="A612" s="86"/>
      <c r="B612" s="87"/>
    </row>
    <row r="613">
      <c r="A613" s="86"/>
      <c r="B613" s="87"/>
    </row>
    <row r="614">
      <c r="A614" s="86"/>
      <c r="B614" s="87"/>
    </row>
    <row r="615">
      <c r="A615" s="86"/>
      <c r="B615" s="87"/>
    </row>
    <row r="616">
      <c r="A616" s="86"/>
      <c r="B616" s="87"/>
    </row>
    <row r="617">
      <c r="A617" s="86"/>
      <c r="B617" s="87"/>
    </row>
    <row r="618">
      <c r="A618" s="86"/>
      <c r="B618" s="87"/>
    </row>
    <row r="619">
      <c r="A619" s="86"/>
      <c r="B619" s="87"/>
    </row>
    <row r="620">
      <c r="A620" s="86"/>
      <c r="B620" s="87"/>
    </row>
    <row r="621">
      <c r="A621" s="86"/>
      <c r="B621" s="87"/>
    </row>
    <row r="622">
      <c r="A622" s="86"/>
      <c r="B622" s="87"/>
    </row>
    <row r="623">
      <c r="A623" s="86"/>
      <c r="B623" s="87"/>
    </row>
    <row r="624">
      <c r="A624" s="86"/>
      <c r="B624" s="87"/>
    </row>
    <row r="625">
      <c r="A625" s="86"/>
      <c r="B625" s="87"/>
    </row>
    <row r="626">
      <c r="A626" s="86"/>
      <c r="B626" s="87"/>
    </row>
    <row r="627">
      <c r="A627" s="86"/>
      <c r="B627" s="87"/>
    </row>
    <row r="628">
      <c r="A628" s="86"/>
      <c r="B628" s="87"/>
    </row>
    <row r="629">
      <c r="A629" s="86"/>
      <c r="B629" s="87"/>
    </row>
    <row r="630">
      <c r="A630" s="86"/>
      <c r="B630" s="87"/>
    </row>
    <row r="631">
      <c r="A631" s="86"/>
      <c r="B631" s="87"/>
    </row>
    <row r="632">
      <c r="A632" s="86"/>
      <c r="B632" s="87"/>
    </row>
    <row r="633">
      <c r="A633" s="86"/>
      <c r="B633" s="87"/>
    </row>
    <row r="634">
      <c r="A634" s="86"/>
      <c r="B634" s="87"/>
    </row>
    <row r="635">
      <c r="A635" s="86"/>
      <c r="B635" s="87"/>
    </row>
    <row r="636">
      <c r="A636" s="86"/>
      <c r="B636" s="87"/>
    </row>
    <row r="637">
      <c r="A637" s="86"/>
      <c r="B637" s="87"/>
    </row>
    <row r="638">
      <c r="A638" s="86"/>
      <c r="B638" s="87"/>
    </row>
    <row r="639">
      <c r="A639" s="86"/>
      <c r="B639" s="87"/>
    </row>
    <row r="640">
      <c r="A640" s="86"/>
      <c r="B640" s="87"/>
    </row>
    <row r="641">
      <c r="A641" s="86"/>
      <c r="B641" s="87"/>
    </row>
    <row r="642">
      <c r="A642" s="86"/>
      <c r="B642" s="87"/>
    </row>
    <row r="643">
      <c r="A643" s="86"/>
      <c r="B643" s="87"/>
    </row>
    <row r="644">
      <c r="A644" s="86"/>
      <c r="B644" s="87"/>
    </row>
    <row r="645">
      <c r="A645" s="86"/>
      <c r="B645" s="87"/>
    </row>
    <row r="646">
      <c r="A646" s="86"/>
      <c r="B646" s="87"/>
    </row>
    <row r="647">
      <c r="A647" s="86"/>
      <c r="B647" s="87"/>
    </row>
    <row r="648">
      <c r="A648" s="86"/>
      <c r="B648" s="87"/>
    </row>
    <row r="649">
      <c r="A649" s="86"/>
      <c r="B649" s="87"/>
    </row>
    <row r="650">
      <c r="A650" s="86"/>
      <c r="B650" s="87"/>
    </row>
    <row r="651">
      <c r="A651" s="86"/>
      <c r="B651" s="87"/>
    </row>
    <row r="652">
      <c r="A652" s="86"/>
      <c r="B652" s="87"/>
    </row>
    <row r="653">
      <c r="A653" s="86"/>
      <c r="B653" s="87"/>
    </row>
    <row r="654">
      <c r="A654" s="86"/>
      <c r="B654" s="87"/>
    </row>
    <row r="655">
      <c r="A655" s="86"/>
      <c r="B655" s="87"/>
    </row>
    <row r="656">
      <c r="A656" s="86"/>
      <c r="B656" s="87"/>
    </row>
    <row r="657">
      <c r="A657" s="86"/>
      <c r="B657" s="87"/>
    </row>
    <row r="658">
      <c r="A658" s="86"/>
      <c r="B658" s="87"/>
    </row>
    <row r="659">
      <c r="A659" s="86"/>
      <c r="B659" s="87"/>
    </row>
    <row r="660">
      <c r="A660" s="86"/>
      <c r="B660" s="87"/>
    </row>
    <row r="661">
      <c r="A661" s="86"/>
      <c r="B661" s="87"/>
    </row>
    <row r="662">
      <c r="A662" s="86"/>
      <c r="B662" s="87"/>
    </row>
    <row r="663">
      <c r="A663" s="86"/>
      <c r="B663" s="87"/>
    </row>
    <row r="664">
      <c r="A664" s="86"/>
      <c r="B664" s="87"/>
    </row>
    <row r="665">
      <c r="A665" s="86"/>
      <c r="B665" s="87"/>
    </row>
    <row r="666">
      <c r="A666" s="86"/>
      <c r="B666" s="87"/>
    </row>
    <row r="667">
      <c r="A667" s="86"/>
      <c r="B667" s="87"/>
    </row>
    <row r="668">
      <c r="A668" s="86"/>
      <c r="B668" s="87"/>
    </row>
    <row r="669">
      <c r="A669" s="86"/>
      <c r="B669" s="87"/>
    </row>
    <row r="670">
      <c r="A670" s="86"/>
      <c r="B670" s="87"/>
    </row>
    <row r="671">
      <c r="A671" s="86"/>
      <c r="B671" s="87"/>
    </row>
    <row r="672">
      <c r="A672" s="86"/>
      <c r="B672" s="87"/>
    </row>
    <row r="673">
      <c r="A673" s="86"/>
      <c r="B673" s="87"/>
    </row>
    <row r="674">
      <c r="A674" s="86"/>
      <c r="B674" s="87"/>
    </row>
    <row r="675">
      <c r="A675" s="86"/>
      <c r="B675" s="87"/>
    </row>
    <row r="676">
      <c r="A676" s="86"/>
      <c r="B676" s="87"/>
    </row>
    <row r="677">
      <c r="A677" s="86"/>
      <c r="B677" s="87"/>
    </row>
    <row r="678">
      <c r="A678" s="86"/>
      <c r="B678" s="87"/>
    </row>
    <row r="679">
      <c r="A679" s="86"/>
      <c r="B679" s="87"/>
    </row>
    <row r="680">
      <c r="A680" s="86"/>
      <c r="B680" s="87"/>
    </row>
    <row r="681">
      <c r="A681" s="86"/>
      <c r="B681" s="87"/>
    </row>
    <row r="682">
      <c r="A682" s="86"/>
      <c r="B682" s="87"/>
    </row>
    <row r="683">
      <c r="A683" s="86"/>
      <c r="B683" s="87"/>
    </row>
    <row r="684">
      <c r="A684" s="86"/>
      <c r="B684" s="87"/>
    </row>
    <row r="685">
      <c r="A685" s="86"/>
      <c r="B685" s="87"/>
    </row>
    <row r="686">
      <c r="A686" s="86"/>
      <c r="B686" s="87"/>
    </row>
    <row r="687">
      <c r="A687" s="86"/>
      <c r="B687" s="87"/>
    </row>
    <row r="688">
      <c r="A688" s="86"/>
      <c r="B688" s="87"/>
    </row>
    <row r="689">
      <c r="A689" s="86"/>
      <c r="B689" s="87"/>
    </row>
    <row r="690">
      <c r="A690" s="86"/>
      <c r="B690" s="87"/>
    </row>
    <row r="691">
      <c r="A691" s="86"/>
      <c r="B691" s="87"/>
    </row>
    <row r="692">
      <c r="A692" s="86"/>
      <c r="B692" s="87"/>
    </row>
    <row r="693">
      <c r="A693" s="86"/>
      <c r="B693" s="87"/>
    </row>
    <row r="694">
      <c r="A694" s="86"/>
      <c r="B694" s="87"/>
    </row>
    <row r="695">
      <c r="A695" s="86"/>
      <c r="B695" s="87"/>
    </row>
    <row r="696">
      <c r="A696" s="86"/>
      <c r="B696" s="87"/>
    </row>
    <row r="697">
      <c r="A697" s="86"/>
      <c r="B697" s="87"/>
    </row>
    <row r="698">
      <c r="A698" s="86"/>
      <c r="B698" s="87"/>
    </row>
    <row r="699">
      <c r="A699" s="86"/>
      <c r="B699" s="87"/>
    </row>
    <row r="700">
      <c r="A700" s="86"/>
      <c r="B700" s="87"/>
    </row>
    <row r="701">
      <c r="A701" s="86"/>
      <c r="B701" s="87"/>
    </row>
    <row r="702">
      <c r="A702" s="86"/>
      <c r="B702" s="87"/>
    </row>
    <row r="703">
      <c r="A703" s="86"/>
      <c r="B703" s="87"/>
    </row>
    <row r="704">
      <c r="A704" s="86"/>
      <c r="B704" s="87"/>
    </row>
    <row r="705">
      <c r="A705" s="86"/>
      <c r="B705" s="87"/>
    </row>
    <row r="706">
      <c r="A706" s="86"/>
      <c r="B706" s="87"/>
    </row>
    <row r="707">
      <c r="A707" s="86"/>
      <c r="B707" s="87"/>
    </row>
    <row r="708">
      <c r="A708" s="86"/>
      <c r="B708" s="87"/>
    </row>
    <row r="709">
      <c r="A709" s="86"/>
      <c r="B709" s="87"/>
    </row>
    <row r="710">
      <c r="A710" s="86"/>
      <c r="B710" s="87"/>
    </row>
    <row r="711">
      <c r="A711" s="86"/>
      <c r="B711" s="87"/>
    </row>
    <row r="712">
      <c r="A712" s="86"/>
      <c r="B712" s="87"/>
    </row>
    <row r="713">
      <c r="A713" s="86"/>
      <c r="B713" s="87"/>
    </row>
    <row r="714">
      <c r="A714" s="86"/>
      <c r="B714" s="87"/>
    </row>
    <row r="715">
      <c r="A715" s="86"/>
      <c r="B715" s="87"/>
    </row>
    <row r="716">
      <c r="A716" s="86"/>
      <c r="B716" s="87"/>
    </row>
    <row r="717">
      <c r="A717" s="86"/>
      <c r="B717" s="87"/>
    </row>
    <row r="718">
      <c r="A718" s="86"/>
      <c r="B718" s="87"/>
    </row>
    <row r="719">
      <c r="A719" s="86"/>
      <c r="B719" s="87"/>
    </row>
    <row r="720">
      <c r="A720" s="86"/>
      <c r="B720" s="87"/>
    </row>
    <row r="721">
      <c r="A721" s="86"/>
      <c r="B721" s="87"/>
    </row>
    <row r="722">
      <c r="A722" s="86"/>
      <c r="B722" s="87"/>
    </row>
    <row r="723">
      <c r="A723" s="86"/>
      <c r="B723" s="87"/>
    </row>
    <row r="724">
      <c r="A724" s="86"/>
      <c r="B724" s="87"/>
    </row>
    <row r="725">
      <c r="A725" s="86"/>
      <c r="B725" s="87"/>
    </row>
    <row r="726">
      <c r="A726" s="86"/>
      <c r="B726" s="87"/>
    </row>
    <row r="727">
      <c r="A727" s="86"/>
      <c r="B727" s="87"/>
    </row>
    <row r="728">
      <c r="A728" s="86"/>
      <c r="B728" s="87"/>
    </row>
    <row r="729">
      <c r="A729" s="86"/>
      <c r="B729" s="87"/>
    </row>
    <row r="730">
      <c r="A730" s="86"/>
      <c r="B730" s="87"/>
    </row>
    <row r="731">
      <c r="A731" s="86"/>
      <c r="B731" s="87"/>
    </row>
    <row r="732">
      <c r="A732" s="86"/>
      <c r="B732" s="87"/>
    </row>
    <row r="733">
      <c r="A733" s="86"/>
      <c r="B733" s="87"/>
    </row>
    <row r="734">
      <c r="A734" s="86"/>
      <c r="B734" s="87"/>
    </row>
    <row r="735">
      <c r="A735" s="86"/>
      <c r="B735" s="87"/>
    </row>
    <row r="736">
      <c r="A736" s="86"/>
      <c r="B736" s="87"/>
    </row>
    <row r="737">
      <c r="A737" s="86"/>
      <c r="B737" s="87"/>
    </row>
    <row r="738">
      <c r="A738" s="86"/>
      <c r="B738" s="87"/>
    </row>
    <row r="739">
      <c r="A739" s="86"/>
      <c r="B739" s="87"/>
    </row>
    <row r="740">
      <c r="A740" s="86"/>
      <c r="B740" s="87"/>
    </row>
    <row r="741">
      <c r="A741" s="86"/>
      <c r="B741" s="87"/>
    </row>
    <row r="742">
      <c r="A742" s="86"/>
      <c r="B742" s="87"/>
    </row>
    <row r="743">
      <c r="A743" s="86"/>
      <c r="B743" s="87"/>
    </row>
    <row r="744">
      <c r="A744" s="86"/>
      <c r="B744" s="87"/>
    </row>
    <row r="745">
      <c r="A745" s="86"/>
      <c r="B745" s="87"/>
    </row>
    <row r="746">
      <c r="A746" s="86"/>
      <c r="B746" s="87"/>
    </row>
    <row r="747">
      <c r="A747" s="86"/>
      <c r="B747" s="87"/>
    </row>
    <row r="748">
      <c r="A748" s="86"/>
      <c r="B748" s="87"/>
    </row>
    <row r="749">
      <c r="A749" s="86"/>
      <c r="B749" s="87"/>
    </row>
    <row r="750">
      <c r="A750" s="86"/>
      <c r="B750" s="87"/>
    </row>
    <row r="751">
      <c r="A751" s="86"/>
      <c r="B751" s="87"/>
    </row>
    <row r="752">
      <c r="A752" s="86"/>
      <c r="B752" s="87"/>
    </row>
    <row r="753">
      <c r="A753" s="86"/>
      <c r="B753" s="87"/>
    </row>
    <row r="754">
      <c r="A754" s="86"/>
      <c r="B754" s="87"/>
    </row>
    <row r="755">
      <c r="A755" s="86"/>
      <c r="B755" s="87"/>
    </row>
    <row r="756">
      <c r="A756" s="86"/>
      <c r="B756" s="87"/>
    </row>
    <row r="757">
      <c r="A757" s="86"/>
      <c r="B757" s="87"/>
    </row>
    <row r="758">
      <c r="A758" s="86"/>
      <c r="B758" s="87"/>
    </row>
    <row r="759">
      <c r="A759" s="86"/>
      <c r="B759" s="87"/>
    </row>
    <row r="760">
      <c r="A760" s="86"/>
      <c r="B760" s="87"/>
    </row>
    <row r="761">
      <c r="A761" s="86"/>
      <c r="B761" s="87"/>
    </row>
    <row r="762">
      <c r="A762" s="86"/>
      <c r="B762" s="87"/>
    </row>
    <row r="763">
      <c r="A763" s="86"/>
      <c r="B763" s="87"/>
    </row>
    <row r="764">
      <c r="A764" s="86"/>
      <c r="B764" s="87"/>
    </row>
    <row r="765">
      <c r="A765" s="86"/>
      <c r="B765" s="87"/>
    </row>
    <row r="766">
      <c r="A766" s="86"/>
      <c r="B766" s="87"/>
    </row>
    <row r="767">
      <c r="A767" s="86"/>
      <c r="B767" s="87"/>
    </row>
    <row r="768">
      <c r="A768" s="86"/>
      <c r="B768" s="87"/>
    </row>
    <row r="769">
      <c r="A769" s="86"/>
      <c r="B769" s="87"/>
    </row>
    <row r="770">
      <c r="A770" s="86"/>
      <c r="B770" s="87"/>
    </row>
    <row r="771">
      <c r="A771" s="86"/>
      <c r="B771" s="87"/>
    </row>
    <row r="772">
      <c r="A772" s="86"/>
      <c r="B772" s="87"/>
    </row>
    <row r="773">
      <c r="A773" s="86"/>
      <c r="B773" s="87"/>
    </row>
    <row r="774">
      <c r="A774" s="86"/>
      <c r="B774" s="87"/>
    </row>
    <row r="775">
      <c r="A775" s="86"/>
      <c r="B775" s="87"/>
    </row>
    <row r="776">
      <c r="A776" s="86"/>
      <c r="B776" s="87"/>
    </row>
    <row r="777">
      <c r="A777" s="86"/>
      <c r="B777" s="87"/>
    </row>
    <row r="778">
      <c r="A778" s="86"/>
      <c r="B778" s="87"/>
    </row>
    <row r="779">
      <c r="A779" s="86"/>
      <c r="B779" s="87"/>
    </row>
    <row r="780">
      <c r="A780" s="86"/>
      <c r="B780" s="87"/>
    </row>
    <row r="781">
      <c r="A781" s="86"/>
      <c r="B781" s="87"/>
    </row>
    <row r="782">
      <c r="A782" s="86"/>
      <c r="B782" s="87"/>
    </row>
    <row r="783">
      <c r="A783" s="86"/>
      <c r="B783" s="87"/>
    </row>
    <row r="784">
      <c r="A784" s="86"/>
      <c r="B784" s="87"/>
    </row>
    <row r="785">
      <c r="A785" s="86"/>
      <c r="B785" s="87"/>
    </row>
    <row r="786">
      <c r="A786" s="86"/>
      <c r="B786" s="87"/>
    </row>
    <row r="787">
      <c r="A787" s="86"/>
      <c r="B787" s="87"/>
    </row>
    <row r="788">
      <c r="A788" s="86"/>
      <c r="B788" s="87"/>
    </row>
    <row r="789">
      <c r="A789" s="86"/>
      <c r="B789" s="87"/>
    </row>
    <row r="790">
      <c r="A790" s="86"/>
      <c r="B790" s="87"/>
    </row>
    <row r="791">
      <c r="A791" s="86"/>
      <c r="B791" s="87"/>
    </row>
    <row r="792">
      <c r="A792" s="86"/>
      <c r="B792" s="87"/>
    </row>
    <row r="793">
      <c r="A793" s="86"/>
      <c r="B793" s="87"/>
    </row>
    <row r="794">
      <c r="A794" s="86"/>
      <c r="B794" s="87"/>
    </row>
    <row r="795">
      <c r="A795" s="86"/>
      <c r="B795" s="87"/>
    </row>
    <row r="796">
      <c r="A796" s="86"/>
      <c r="B796" s="87"/>
    </row>
    <row r="797">
      <c r="A797" s="86"/>
      <c r="B797" s="87"/>
    </row>
    <row r="798">
      <c r="A798" s="86"/>
      <c r="B798" s="87"/>
    </row>
    <row r="799">
      <c r="A799" s="86"/>
      <c r="B799" s="87"/>
    </row>
    <row r="800">
      <c r="A800" s="86"/>
      <c r="B800" s="87"/>
    </row>
    <row r="801">
      <c r="A801" s="86"/>
      <c r="B801" s="87"/>
    </row>
    <row r="802">
      <c r="A802" s="86"/>
      <c r="B802" s="87"/>
    </row>
    <row r="803">
      <c r="A803" s="86"/>
      <c r="B803" s="87"/>
    </row>
    <row r="804">
      <c r="A804" s="86"/>
      <c r="B804" s="87"/>
    </row>
    <row r="805">
      <c r="A805" s="86"/>
      <c r="B805" s="87"/>
    </row>
    <row r="806">
      <c r="A806" s="86"/>
      <c r="B806" s="87"/>
    </row>
    <row r="807">
      <c r="A807" s="86"/>
      <c r="B807" s="87"/>
    </row>
    <row r="808">
      <c r="A808" s="86"/>
      <c r="B808" s="87"/>
    </row>
    <row r="809">
      <c r="A809" s="86"/>
      <c r="B809" s="87"/>
    </row>
    <row r="810">
      <c r="A810" s="86"/>
      <c r="B810" s="87"/>
    </row>
    <row r="811">
      <c r="A811" s="86"/>
      <c r="B811" s="87"/>
    </row>
    <row r="812">
      <c r="A812" s="86"/>
      <c r="B812" s="87"/>
    </row>
    <row r="813">
      <c r="A813" s="86"/>
      <c r="B813" s="87"/>
    </row>
    <row r="814">
      <c r="A814" s="86"/>
      <c r="B814" s="87"/>
    </row>
    <row r="815">
      <c r="A815" s="86"/>
      <c r="B815" s="87"/>
    </row>
    <row r="816">
      <c r="A816" s="86"/>
      <c r="B816" s="87"/>
    </row>
    <row r="817">
      <c r="A817" s="86"/>
      <c r="B817" s="87"/>
    </row>
    <row r="818">
      <c r="A818" s="86"/>
      <c r="B818" s="87"/>
    </row>
    <row r="819">
      <c r="A819" s="86"/>
      <c r="B819" s="87"/>
    </row>
    <row r="820">
      <c r="A820" s="86"/>
      <c r="B820" s="87"/>
    </row>
    <row r="821">
      <c r="A821" s="86"/>
      <c r="B821" s="87"/>
    </row>
    <row r="822">
      <c r="A822" s="86"/>
      <c r="B822" s="87"/>
    </row>
    <row r="823">
      <c r="A823" s="86"/>
      <c r="B823" s="87"/>
    </row>
    <row r="824">
      <c r="A824" s="86"/>
      <c r="B824" s="87"/>
    </row>
    <row r="825">
      <c r="A825" s="86"/>
      <c r="B825" s="87"/>
    </row>
    <row r="826">
      <c r="A826" s="86"/>
      <c r="B826" s="87"/>
    </row>
    <row r="827">
      <c r="A827" s="86"/>
      <c r="B827" s="87"/>
    </row>
    <row r="828">
      <c r="A828" s="86"/>
      <c r="B828" s="87"/>
    </row>
    <row r="829">
      <c r="A829" s="86"/>
      <c r="B829" s="87"/>
    </row>
    <row r="830">
      <c r="A830" s="86"/>
      <c r="B830" s="87"/>
    </row>
    <row r="831">
      <c r="A831" s="86"/>
      <c r="B831" s="87"/>
    </row>
    <row r="832">
      <c r="A832" s="86"/>
      <c r="B832" s="87"/>
    </row>
    <row r="833">
      <c r="A833" s="86"/>
      <c r="B833" s="87"/>
    </row>
    <row r="834">
      <c r="A834" s="86"/>
      <c r="B834" s="87"/>
    </row>
    <row r="835">
      <c r="A835" s="86"/>
      <c r="B835" s="87"/>
    </row>
    <row r="836">
      <c r="A836" s="86"/>
      <c r="B836" s="87"/>
    </row>
    <row r="837">
      <c r="A837" s="86"/>
      <c r="B837" s="87"/>
    </row>
    <row r="838">
      <c r="A838" s="86"/>
      <c r="B838" s="87"/>
    </row>
    <row r="839">
      <c r="A839" s="86"/>
      <c r="B839" s="87"/>
    </row>
    <row r="840">
      <c r="A840" s="86"/>
      <c r="B840" s="87"/>
    </row>
    <row r="841">
      <c r="A841" s="86"/>
      <c r="B841" s="87"/>
    </row>
    <row r="842">
      <c r="A842" s="86"/>
      <c r="B842" s="87"/>
    </row>
    <row r="843">
      <c r="A843" s="86"/>
      <c r="B843" s="87"/>
    </row>
    <row r="844">
      <c r="A844" s="86"/>
      <c r="B844" s="87"/>
    </row>
    <row r="845">
      <c r="A845" s="86"/>
      <c r="B845" s="87"/>
    </row>
    <row r="846">
      <c r="A846" s="86"/>
      <c r="B846" s="87"/>
    </row>
    <row r="847">
      <c r="A847" s="86"/>
      <c r="B847" s="87"/>
    </row>
    <row r="848">
      <c r="A848" s="86"/>
      <c r="B848" s="87"/>
    </row>
    <row r="849">
      <c r="A849" s="86"/>
      <c r="B849" s="87"/>
    </row>
    <row r="850">
      <c r="A850" s="86"/>
      <c r="B850" s="87"/>
    </row>
    <row r="851">
      <c r="A851" s="86"/>
      <c r="B851" s="87"/>
    </row>
    <row r="852">
      <c r="A852" s="86"/>
      <c r="B852" s="87"/>
    </row>
    <row r="853">
      <c r="A853" s="86"/>
      <c r="B853" s="87"/>
    </row>
    <row r="854">
      <c r="A854" s="86"/>
      <c r="B854" s="87"/>
    </row>
    <row r="855">
      <c r="A855" s="86"/>
      <c r="B855" s="87"/>
    </row>
    <row r="856">
      <c r="A856" s="86"/>
      <c r="B856" s="87"/>
    </row>
    <row r="857">
      <c r="A857" s="86"/>
      <c r="B857" s="87"/>
    </row>
    <row r="858">
      <c r="A858" s="86"/>
      <c r="B858" s="87"/>
    </row>
    <row r="859">
      <c r="A859" s="86"/>
      <c r="B859" s="87"/>
    </row>
    <row r="860">
      <c r="A860" s="86"/>
      <c r="B860" s="87"/>
    </row>
    <row r="861">
      <c r="A861" s="86"/>
      <c r="B861" s="87"/>
    </row>
    <row r="862">
      <c r="A862" s="86"/>
      <c r="B862" s="87"/>
    </row>
    <row r="863">
      <c r="A863" s="86"/>
      <c r="B863" s="87"/>
    </row>
    <row r="864">
      <c r="A864" s="86"/>
      <c r="B864" s="87"/>
    </row>
    <row r="865">
      <c r="A865" s="86"/>
      <c r="B865" s="87"/>
    </row>
    <row r="866">
      <c r="A866" s="86"/>
      <c r="B866" s="87"/>
    </row>
    <row r="867">
      <c r="A867" s="86"/>
      <c r="B867" s="87"/>
    </row>
    <row r="868">
      <c r="A868" s="86"/>
      <c r="B868" s="87"/>
    </row>
    <row r="869">
      <c r="A869" s="86"/>
      <c r="B869" s="87"/>
    </row>
    <row r="870">
      <c r="A870" s="86"/>
      <c r="B870" s="87"/>
    </row>
    <row r="871">
      <c r="A871" s="86"/>
      <c r="B871" s="87"/>
    </row>
    <row r="872">
      <c r="A872" s="86"/>
      <c r="B872" s="87"/>
    </row>
    <row r="873">
      <c r="A873" s="86"/>
      <c r="B873" s="87"/>
    </row>
    <row r="874">
      <c r="A874" s="86"/>
      <c r="B874" s="87"/>
    </row>
    <row r="875">
      <c r="A875" s="86"/>
      <c r="B875" s="87"/>
    </row>
    <row r="876">
      <c r="A876" s="86"/>
      <c r="B876" s="87"/>
    </row>
    <row r="877">
      <c r="A877" s="86"/>
      <c r="B877" s="87"/>
    </row>
    <row r="878">
      <c r="A878" s="86"/>
      <c r="B878" s="87"/>
    </row>
    <row r="879">
      <c r="A879" s="86"/>
      <c r="B879" s="87"/>
    </row>
    <row r="880">
      <c r="A880" s="86"/>
      <c r="B880" s="87"/>
    </row>
    <row r="881">
      <c r="A881" s="86"/>
      <c r="B881" s="87"/>
    </row>
    <row r="882">
      <c r="A882" s="86"/>
      <c r="B882" s="87"/>
    </row>
    <row r="883">
      <c r="A883" s="86"/>
      <c r="B883" s="87"/>
    </row>
    <row r="884">
      <c r="A884" s="86"/>
      <c r="B884" s="87"/>
    </row>
    <row r="885">
      <c r="A885" s="86"/>
      <c r="B885" s="87"/>
    </row>
    <row r="886">
      <c r="A886" s="86"/>
      <c r="B886" s="87"/>
    </row>
    <row r="887">
      <c r="A887" s="86"/>
      <c r="B887" s="87"/>
    </row>
    <row r="888">
      <c r="A888" s="86"/>
      <c r="B888" s="87"/>
    </row>
    <row r="889">
      <c r="A889" s="86"/>
      <c r="B889" s="87"/>
    </row>
    <row r="890">
      <c r="A890" s="86"/>
      <c r="B890" s="87"/>
    </row>
    <row r="891">
      <c r="A891" s="86"/>
      <c r="B891" s="87"/>
    </row>
    <row r="892">
      <c r="A892" s="86"/>
      <c r="B892" s="87"/>
    </row>
    <row r="893">
      <c r="A893" s="86"/>
      <c r="B893" s="87"/>
    </row>
    <row r="894">
      <c r="A894" s="86"/>
      <c r="B894" s="87"/>
    </row>
    <row r="895">
      <c r="A895" s="86"/>
      <c r="B895" s="87"/>
    </row>
    <row r="896">
      <c r="A896" s="86"/>
      <c r="B896" s="87"/>
    </row>
    <row r="897">
      <c r="A897" s="86"/>
      <c r="B897" s="87"/>
    </row>
    <row r="898">
      <c r="A898" s="86"/>
      <c r="B898" s="87"/>
    </row>
    <row r="899">
      <c r="A899" s="86"/>
      <c r="B899" s="87"/>
    </row>
    <row r="900">
      <c r="A900" s="86"/>
      <c r="B900" s="87"/>
    </row>
    <row r="901">
      <c r="A901" s="86"/>
      <c r="B901" s="87"/>
    </row>
    <row r="902">
      <c r="A902" s="86"/>
      <c r="B902" s="87"/>
    </row>
    <row r="903">
      <c r="A903" s="86"/>
      <c r="B903" s="87"/>
    </row>
    <row r="904">
      <c r="A904" s="86"/>
      <c r="B904" s="87"/>
    </row>
    <row r="905">
      <c r="A905" s="86"/>
      <c r="B905" s="87"/>
    </row>
    <row r="906">
      <c r="A906" s="86"/>
      <c r="B906" s="87"/>
    </row>
    <row r="907">
      <c r="A907" s="86"/>
      <c r="B907" s="87"/>
    </row>
    <row r="908">
      <c r="A908" s="86"/>
      <c r="B908" s="87"/>
    </row>
    <row r="909">
      <c r="A909" s="86"/>
      <c r="B909" s="87"/>
    </row>
    <row r="910">
      <c r="A910" s="86"/>
      <c r="B910" s="87"/>
    </row>
    <row r="911">
      <c r="A911" s="86"/>
      <c r="B911" s="87"/>
    </row>
    <row r="912">
      <c r="A912" s="86"/>
      <c r="B912" s="87"/>
    </row>
    <row r="913">
      <c r="A913" s="86"/>
      <c r="B913" s="87"/>
    </row>
    <row r="914">
      <c r="A914" s="86"/>
      <c r="B914" s="87"/>
    </row>
    <row r="915">
      <c r="A915" s="86"/>
      <c r="B915" s="87"/>
    </row>
    <row r="916">
      <c r="A916" s="86"/>
      <c r="B916" s="87"/>
    </row>
    <row r="917">
      <c r="A917" s="86"/>
      <c r="B917" s="87"/>
    </row>
    <row r="918">
      <c r="A918" s="86"/>
      <c r="B918" s="87"/>
    </row>
    <row r="919">
      <c r="A919" s="86"/>
      <c r="B919" s="87"/>
    </row>
    <row r="920">
      <c r="A920" s="86"/>
      <c r="B920" s="87"/>
    </row>
    <row r="921">
      <c r="A921" s="86"/>
      <c r="B921" s="87"/>
    </row>
    <row r="922">
      <c r="A922" s="86"/>
      <c r="B922" s="87"/>
    </row>
    <row r="923">
      <c r="A923" s="86"/>
      <c r="B923" s="87"/>
    </row>
    <row r="924">
      <c r="A924" s="86"/>
      <c r="B924" s="87"/>
    </row>
    <row r="925">
      <c r="A925" s="86"/>
      <c r="B925" s="87"/>
    </row>
    <row r="926">
      <c r="A926" s="86"/>
      <c r="B926" s="87"/>
    </row>
    <row r="927">
      <c r="A927" s="86"/>
      <c r="B927" s="87"/>
    </row>
    <row r="928">
      <c r="A928" s="86"/>
      <c r="B928" s="87"/>
    </row>
    <row r="929">
      <c r="A929" s="86"/>
      <c r="B929" s="87"/>
    </row>
    <row r="930">
      <c r="A930" s="86"/>
      <c r="B930" s="87"/>
    </row>
    <row r="931">
      <c r="A931" s="86"/>
      <c r="B931" s="87"/>
    </row>
    <row r="932">
      <c r="A932" s="86"/>
      <c r="B932" s="87"/>
    </row>
    <row r="933">
      <c r="A933" s="86"/>
      <c r="B933" s="87"/>
    </row>
    <row r="934">
      <c r="A934" s="86"/>
      <c r="B934" s="87"/>
    </row>
    <row r="935">
      <c r="A935" s="86"/>
      <c r="B935" s="87"/>
    </row>
    <row r="936">
      <c r="A936" s="86"/>
      <c r="B936" s="87"/>
    </row>
    <row r="937">
      <c r="A937" s="86"/>
      <c r="B937" s="87"/>
    </row>
    <row r="938">
      <c r="A938" s="86"/>
      <c r="B938" s="87"/>
    </row>
    <row r="939">
      <c r="A939" s="86"/>
      <c r="B939" s="87"/>
    </row>
    <row r="940">
      <c r="A940" s="86"/>
      <c r="B940" s="87"/>
    </row>
    <row r="941">
      <c r="A941" s="86"/>
      <c r="B941" s="87"/>
    </row>
    <row r="942">
      <c r="A942" s="86"/>
      <c r="B942" s="87"/>
    </row>
    <row r="943">
      <c r="A943" s="86"/>
      <c r="B943" s="87"/>
    </row>
    <row r="944">
      <c r="A944" s="86"/>
      <c r="B944" s="87"/>
    </row>
    <row r="945">
      <c r="A945" s="86"/>
      <c r="B945" s="87"/>
    </row>
    <row r="946">
      <c r="A946" s="86"/>
      <c r="B946" s="87"/>
    </row>
    <row r="947">
      <c r="A947" s="86"/>
      <c r="B947" s="87"/>
    </row>
    <row r="948">
      <c r="A948" s="86"/>
      <c r="B948" s="87"/>
    </row>
    <row r="949">
      <c r="A949" s="86"/>
      <c r="B949" s="87"/>
    </row>
    <row r="950">
      <c r="A950" s="86"/>
      <c r="B950" s="87"/>
    </row>
    <row r="951">
      <c r="A951" s="86"/>
      <c r="B951" s="87"/>
    </row>
    <row r="952">
      <c r="A952" s="86"/>
      <c r="B952" s="87"/>
    </row>
    <row r="953">
      <c r="A953" s="86"/>
      <c r="B953" s="87"/>
    </row>
    <row r="954">
      <c r="A954" s="86"/>
      <c r="B954" s="87"/>
    </row>
    <row r="955">
      <c r="A955" s="86"/>
      <c r="B955" s="87"/>
    </row>
    <row r="956">
      <c r="A956" s="86"/>
      <c r="B956" s="87"/>
    </row>
    <row r="957">
      <c r="A957" s="86"/>
      <c r="B957" s="87"/>
    </row>
    <row r="958">
      <c r="A958" s="86"/>
      <c r="B958" s="87"/>
    </row>
    <row r="959">
      <c r="A959" s="86"/>
      <c r="B959" s="87"/>
    </row>
    <row r="960">
      <c r="A960" s="86"/>
      <c r="B960" s="87"/>
    </row>
    <row r="961">
      <c r="A961" s="86"/>
      <c r="B961" s="87"/>
    </row>
    <row r="962">
      <c r="A962" s="86"/>
      <c r="B962" s="87"/>
    </row>
    <row r="963">
      <c r="A963" s="86"/>
      <c r="B963" s="87"/>
    </row>
    <row r="964">
      <c r="A964" s="86"/>
      <c r="B964" s="87"/>
    </row>
    <row r="965">
      <c r="A965" s="86"/>
      <c r="B965" s="87"/>
    </row>
    <row r="966">
      <c r="A966" s="86"/>
      <c r="B966" s="87"/>
    </row>
    <row r="967">
      <c r="A967" s="86"/>
      <c r="B967" s="87"/>
    </row>
    <row r="968">
      <c r="A968" s="86"/>
      <c r="B968" s="87"/>
    </row>
    <row r="969">
      <c r="A969" s="86"/>
      <c r="B969" s="87"/>
    </row>
    <row r="970">
      <c r="A970" s="86"/>
      <c r="B970" s="87"/>
    </row>
    <row r="971">
      <c r="A971" s="86"/>
      <c r="B971" s="87"/>
    </row>
    <row r="972">
      <c r="A972" s="86"/>
      <c r="B972" s="87"/>
    </row>
    <row r="973">
      <c r="A973" s="86"/>
      <c r="B973" s="87"/>
    </row>
    <row r="974">
      <c r="A974" s="86"/>
      <c r="B974" s="87"/>
    </row>
    <row r="975">
      <c r="A975" s="86"/>
      <c r="B975" s="87"/>
    </row>
    <row r="976">
      <c r="A976" s="86"/>
      <c r="B976" s="87"/>
    </row>
    <row r="977">
      <c r="A977" s="86"/>
      <c r="B977" s="87"/>
    </row>
    <row r="978">
      <c r="A978" s="86"/>
      <c r="B978" s="87"/>
    </row>
    <row r="979">
      <c r="A979" s="86"/>
      <c r="B979" s="87"/>
    </row>
    <row r="980">
      <c r="A980" s="86"/>
      <c r="B980" s="87"/>
    </row>
    <row r="981">
      <c r="A981" s="86"/>
      <c r="B981" s="87"/>
    </row>
    <row r="982">
      <c r="A982" s="86"/>
      <c r="B982" s="87"/>
    </row>
    <row r="983">
      <c r="A983" s="86"/>
      <c r="B983" s="87"/>
    </row>
    <row r="984">
      <c r="A984" s="86"/>
      <c r="B984" s="87"/>
    </row>
    <row r="985">
      <c r="A985" s="86"/>
      <c r="B985" s="87"/>
    </row>
    <row r="986">
      <c r="A986" s="86"/>
      <c r="B986" s="87"/>
    </row>
    <row r="987">
      <c r="A987" s="86"/>
      <c r="B987" s="87"/>
    </row>
    <row r="988">
      <c r="A988" s="86"/>
      <c r="B988" s="87"/>
    </row>
    <row r="989">
      <c r="A989" s="86"/>
      <c r="B989" s="87"/>
    </row>
    <row r="990">
      <c r="A990" s="86"/>
      <c r="B990" s="87"/>
    </row>
    <row r="991">
      <c r="A991" s="86"/>
      <c r="B991" s="87"/>
    </row>
    <row r="992">
      <c r="A992" s="86"/>
      <c r="B992" s="87"/>
    </row>
    <row r="993">
      <c r="A993" s="86"/>
      <c r="B993" s="87"/>
    </row>
    <row r="994">
      <c r="A994" s="86"/>
      <c r="B994" s="87"/>
    </row>
    <row r="995">
      <c r="A995" s="86"/>
      <c r="B995" s="87"/>
    </row>
    <row r="996">
      <c r="A996" s="86"/>
      <c r="B996" s="87"/>
    </row>
    <row r="997">
      <c r="A997" s="86"/>
      <c r="B997" s="87"/>
    </row>
    <row r="998">
      <c r="A998" s="86"/>
      <c r="B998" s="87"/>
    </row>
    <row r="999">
      <c r="A999" s="86"/>
      <c r="B999" s="87"/>
    </row>
    <row r="1000">
      <c r="A1000" s="86"/>
      <c r="B1000" s="87"/>
    </row>
    <row r="1001">
      <c r="A1001" s="86"/>
      <c r="B1001" s="87"/>
    </row>
    <row r="1002">
      <c r="A1002" s="86"/>
      <c r="B1002" s="87"/>
    </row>
    <row r="1003">
      <c r="A1003" s="86"/>
      <c r="B1003" s="87"/>
    </row>
    <row r="1004">
      <c r="A1004" s="86"/>
      <c r="B1004" s="87"/>
    </row>
    <row r="1005">
      <c r="A1005" s="86"/>
      <c r="B1005" s="87"/>
    </row>
    <row r="1006">
      <c r="A1006" s="86"/>
      <c r="B1006" s="87"/>
    </row>
    <row r="1007">
      <c r="A1007" s="86"/>
      <c r="B1007" s="87"/>
    </row>
    <row r="1008">
      <c r="A1008" s="86"/>
      <c r="B1008" s="87"/>
    </row>
    <row r="1009">
      <c r="A1009" s="86"/>
      <c r="B1009" s="87"/>
    </row>
    <row r="1010">
      <c r="A1010" s="86"/>
      <c r="B1010" s="87"/>
    </row>
    <row r="1011">
      <c r="A1011" s="86"/>
      <c r="B1011" s="87"/>
    </row>
    <row r="1012">
      <c r="A1012" s="86"/>
      <c r="B1012" s="87"/>
    </row>
    <row r="1013">
      <c r="A1013" s="86"/>
      <c r="B1013" s="87"/>
    </row>
    <row r="1014">
      <c r="A1014" s="86"/>
      <c r="B1014" s="87"/>
    </row>
    <row r="1015">
      <c r="A1015" s="86"/>
      <c r="B1015" s="87"/>
    </row>
    <row r="1016">
      <c r="A1016" s="86"/>
      <c r="B1016" s="87"/>
    </row>
    <row r="1017">
      <c r="A1017" s="86"/>
      <c r="B1017" s="87"/>
    </row>
    <row r="1018">
      <c r="A1018" s="86"/>
      <c r="B1018" s="87"/>
    </row>
    <row r="1019">
      <c r="A1019" s="86"/>
      <c r="B1019" s="87"/>
    </row>
    <row r="1020">
      <c r="A1020" s="86"/>
      <c r="B1020" s="87"/>
    </row>
    <row r="1021">
      <c r="A1021" s="86"/>
      <c r="B1021" s="87"/>
    </row>
    <row r="1022">
      <c r="A1022" s="86"/>
      <c r="B1022" s="87"/>
    </row>
    <row r="1023">
      <c r="A1023" s="86"/>
      <c r="B1023" s="87"/>
    </row>
    <row r="1024">
      <c r="A1024" s="86"/>
      <c r="B1024" s="87"/>
    </row>
    <row r="1025">
      <c r="A1025" s="86"/>
      <c r="B1025" s="87"/>
    </row>
    <row r="1026">
      <c r="A1026" s="86"/>
      <c r="B1026" s="87"/>
    </row>
    <row r="1027">
      <c r="A1027" s="86"/>
      <c r="B1027" s="87"/>
    </row>
    <row r="1028">
      <c r="A1028" s="86"/>
      <c r="B1028" s="87"/>
    </row>
    <row r="1029">
      <c r="A1029" s="86"/>
      <c r="B1029" s="87"/>
    </row>
    <row r="1030">
      <c r="A1030" s="86"/>
      <c r="B1030" s="87"/>
    </row>
    <row r="1031">
      <c r="A1031" s="86"/>
      <c r="B1031" s="87"/>
    </row>
    <row r="1032">
      <c r="A1032" s="86"/>
      <c r="B1032" s="87"/>
    </row>
    <row r="1033">
      <c r="A1033" s="86"/>
      <c r="B1033" s="87"/>
    </row>
    <row r="1034">
      <c r="A1034" s="86"/>
      <c r="B1034" s="87"/>
    </row>
    <row r="1035">
      <c r="A1035" s="86"/>
      <c r="B1035" s="87"/>
    </row>
    <row r="1036">
      <c r="A1036" s="86"/>
      <c r="B1036" s="87"/>
    </row>
    <row r="1037">
      <c r="A1037" s="86"/>
      <c r="B1037" s="87"/>
    </row>
    <row r="1038">
      <c r="A1038" s="86"/>
      <c r="B1038" s="87"/>
    </row>
    <row r="1039">
      <c r="A1039" s="86"/>
      <c r="B1039" s="87"/>
    </row>
    <row r="1040">
      <c r="A1040" s="86"/>
      <c r="B1040" s="87"/>
    </row>
    <row r="1041">
      <c r="A1041" s="86"/>
      <c r="B1041" s="87"/>
    </row>
    <row r="1042">
      <c r="A1042" s="86"/>
      <c r="B1042" s="87"/>
    </row>
    <row r="1043">
      <c r="A1043" s="86"/>
      <c r="B1043" s="87"/>
    </row>
    <row r="1044">
      <c r="A1044" s="86"/>
      <c r="B1044" s="87"/>
    </row>
    <row r="1045">
      <c r="A1045" s="86"/>
      <c r="B1045" s="87"/>
    </row>
    <row r="1046">
      <c r="A1046" s="86"/>
      <c r="B1046" s="87"/>
    </row>
    <row r="1047">
      <c r="A1047" s="86"/>
      <c r="B1047" s="87"/>
    </row>
    <row r="1048">
      <c r="A1048" s="86"/>
      <c r="B1048" s="87"/>
    </row>
    <row r="1049">
      <c r="A1049" s="86"/>
      <c r="B1049" s="87"/>
    </row>
    <row r="1050">
      <c r="A1050" s="86"/>
      <c r="B1050" s="87"/>
    </row>
    <row r="1051">
      <c r="A1051" s="86"/>
      <c r="B1051" s="87"/>
    </row>
    <row r="1052">
      <c r="A1052" s="86"/>
      <c r="B1052" s="87"/>
    </row>
    <row r="1053">
      <c r="A1053" s="86"/>
      <c r="B1053" s="87"/>
    </row>
    <row r="1054">
      <c r="A1054" s="86"/>
      <c r="B1054" s="87"/>
    </row>
    <row r="1055">
      <c r="A1055" s="86"/>
      <c r="B1055" s="87"/>
    </row>
    <row r="1056">
      <c r="A1056" s="86"/>
      <c r="B1056" s="87"/>
    </row>
    <row r="1057">
      <c r="A1057" s="86"/>
      <c r="B1057" s="87"/>
    </row>
    <row r="1058">
      <c r="A1058" s="86"/>
      <c r="B1058" s="87"/>
    </row>
    <row r="1059">
      <c r="A1059" s="86"/>
      <c r="B1059" s="87"/>
    </row>
    <row r="1060">
      <c r="A1060" s="86"/>
      <c r="B1060" s="87"/>
    </row>
    <row r="1061">
      <c r="A1061" s="86"/>
      <c r="B1061" s="87"/>
    </row>
    <row r="1062">
      <c r="A1062" s="86"/>
      <c r="B1062" s="87"/>
    </row>
    <row r="1063">
      <c r="A1063" s="86"/>
      <c r="B1063" s="87"/>
    </row>
    <row r="1064">
      <c r="A1064" s="86"/>
      <c r="B1064" s="87"/>
    </row>
    <row r="1065">
      <c r="A1065" s="86"/>
      <c r="B1065" s="87"/>
    </row>
    <row r="1066">
      <c r="A1066" s="86"/>
      <c r="B1066" s="87"/>
    </row>
    <row r="1067">
      <c r="A1067" s="86"/>
      <c r="B1067" s="87"/>
    </row>
    <row r="1068">
      <c r="A1068" s="86"/>
      <c r="B1068" s="87"/>
    </row>
    <row r="1069">
      <c r="A1069" s="86"/>
      <c r="B1069" s="87"/>
    </row>
    <row r="1070">
      <c r="A1070" s="86"/>
      <c r="B1070" s="87"/>
    </row>
    <row r="1071">
      <c r="A1071" s="86"/>
      <c r="B1071" s="87"/>
    </row>
    <row r="1072">
      <c r="A1072" s="86"/>
      <c r="B1072" s="87"/>
    </row>
    <row r="1073">
      <c r="A1073" s="86"/>
      <c r="B1073" s="87"/>
    </row>
    <row r="1074">
      <c r="A1074" s="86"/>
      <c r="B1074" s="87"/>
    </row>
    <row r="1075">
      <c r="A1075" s="86"/>
      <c r="B1075" s="87"/>
    </row>
    <row r="1076">
      <c r="A1076" s="86"/>
      <c r="B1076" s="87"/>
    </row>
    <row r="1077">
      <c r="A1077" s="86"/>
      <c r="B1077" s="87"/>
    </row>
    <row r="1078">
      <c r="A1078" s="86"/>
      <c r="B1078" s="87"/>
    </row>
    <row r="1079">
      <c r="A1079" s="86"/>
      <c r="B1079" s="87"/>
    </row>
    <row r="1080">
      <c r="A1080" s="86"/>
      <c r="B1080" s="87"/>
    </row>
    <row r="1081">
      <c r="A1081" s="86"/>
      <c r="B1081" s="87"/>
    </row>
    <row r="1082">
      <c r="A1082" s="86"/>
      <c r="B1082" s="87"/>
    </row>
    <row r="1083">
      <c r="A1083" s="86"/>
      <c r="B1083" s="87"/>
    </row>
    <row r="1084">
      <c r="A1084" s="86"/>
      <c r="B1084" s="87"/>
    </row>
    <row r="1085">
      <c r="A1085" s="86"/>
      <c r="B1085" s="87"/>
    </row>
    <row r="1086">
      <c r="A1086" s="86"/>
      <c r="B1086" s="87"/>
    </row>
    <row r="1087">
      <c r="A1087" s="86"/>
      <c r="B1087" s="87"/>
    </row>
    <row r="1088">
      <c r="A1088" s="86"/>
      <c r="B1088" s="87"/>
    </row>
    <row r="1089">
      <c r="A1089" s="86"/>
      <c r="B1089" s="87"/>
    </row>
    <row r="1090">
      <c r="A1090" s="86"/>
      <c r="B1090" s="87"/>
    </row>
    <row r="1091">
      <c r="A1091" s="86"/>
      <c r="B1091" s="87"/>
    </row>
    <row r="1092">
      <c r="A1092" s="86"/>
      <c r="B1092" s="87"/>
    </row>
    <row r="1093">
      <c r="A1093" s="86"/>
      <c r="B1093" s="87"/>
    </row>
    <row r="1094">
      <c r="A1094" s="86"/>
      <c r="B1094" s="87"/>
    </row>
    <row r="1095">
      <c r="A1095" s="86"/>
      <c r="B1095" s="87"/>
    </row>
    <row r="1096">
      <c r="A1096" s="86"/>
      <c r="B1096" s="87"/>
    </row>
    <row r="1097">
      <c r="A1097" s="86"/>
      <c r="B1097" s="87"/>
    </row>
    <row r="1098">
      <c r="A1098" s="86"/>
      <c r="B1098" s="87"/>
    </row>
    <row r="1099">
      <c r="A1099" s="86"/>
      <c r="B1099" s="87"/>
    </row>
    <row r="1100">
      <c r="A1100" s="86"/>
      <c r="B1100" s="87"/>
    </row>
    <row r="1101">
      <c r="A1101" s="86"/>
      <c r="B1101" s="87"/>
    </row>
    <row r="1102">
      <c r="A1102" s="86"/>
      <c r="B1102" s="87"/>
    </row>
    <row r="1103">
      <c r="A1103" s="86"/>
      <c r="B1103" s="87"/>
    </row>
    <row r="1104">
      <c r="A1104" s="86"/>
      <c r="B1104" s="87"/>
    </row>
    <row r="1105">
      <c r="A1105" s="86"/>
      <c r="B1105" s="87"/>
    </row>
    <row r="1106">
      <c r="A1106" s="86"/>
      <c r="B1106" s="87"/>
    </row>
    <row r="1107">
      <c r="A1107" s="86"/>
      <c r="B1107" s="87"/>
    </row>
    <row r="1108">
      <c r="A1108" s="86"/>
      <c r="B1108" s="87"/>
    </row>
    <row r="1109">
      <c r="A1109" s="86"/>
      <c r="B1109" s="87"/>
    </row>
    <row r="1110">
      <c r="A1110" s="86"/>
      <c r="B1110" s="87"/>
    </row>
    <row r="1111">
      <c r="A1111" s="86"/>
      <c r="B1111" s="87"/>
    </row>
    <row r="1112">
      <c r="A1112" s="86"/>
      <c r="B1112" s="87"/>
    </row>
    <row r="1113">
      <c r="A1113" s="86"/>
      <c r="B1113" s="87"/>
    </row>
    <row r="1114">
      <c r="A1114" s="86"/>
      <c r="B1114" s="87"/>
    </row>
    <row r="1115">
      <c r="A1115" s="86"/>
      <c r="B1115" s="87"/>
    </row>
    <row r="1116">
      <c r="A1116" s="86"/>
      <c r="B1116" s="87"/>
    </row>
    <row r="1117">
      <c r="A1117" s="86"/>
      <c r="B1117" s="87"/>
    </row>
    <row r="1118">
      <c r="A1118" s="86"/>
      <c r="B1118" s="87"/>
    </row>
    <row r="1119">
      <c r="A1119" s="86"/>
      <c r="B1119" s="87"/>
    </row>
    <row r="1120">
      <c r="A1120" s="86"/>
      <c r="B1120" s="87"/>
    </row>
    <row r="1121">
      <c r="A1121" s="86"/>
      <c r="B1121" s="87"/>
    </row>
    <row r="1122">
      <c r="A1122" s="86"/>
      <c r="B1122" s="87"/>
    </row>
    <row r="1123">
      <c r="A1123" s="86"/>
      <c r="B1123" s="87"/>
    </row>
    <row r="1124">
      <c r="A1124" s="86"/>
      <c r="B1124" s="87"/>
    </row>
    <row r="1125">
      <c r="A1125" s="86"/>
      <c r="B1125" s="87"/>
    </row>
    <row r="1126">
      <c r="A1126" s="86"/>
      <c r="B1126" s="87"/>
    </row>
    <row r="1127">
      <c r="A1127" s="86"/>
      <c r="B1127" s="87"/>
    </row>
    <row r="1128">
      <c r="A1128" s="86"/>
      <c r="B1128" s="87"/>
    </row>
    <row r="1129">
      <c r="A1129" s="86"/>
      <c r="B1129" s="87"/>
    </row>
    <row r="1130">
      <c r="A1130" s="86"/>
      <c r="B1130" s="87"/>
    </row>
    <row r="1131">
      <c r="A1131" s="86"/>
      <c r="B1131" s="87"/>
    </row>
    <row r="1132">
      <c r="A1132" s="86"/>
      <c r="B1132" s="87"/>
    </row>
    <row r="1133">
      <c r="A1133" s="86"/>
      <c r="B1133" s="87"/>
    </row>
    <row r="1134">
      <c r="A1134" s="86"/>
      <c r="B1134" s="87"/>
    </row>
    <row r="1135">
      <c r="A1135" s="86"/>
      <c r="B1135" s="87"/>
    </row>
    <row r="1136">
      <c r="A1136" s="86"/>
      <c r="B1136" s="87"/>
    </row>
    <row r="1137">
      <c r="A1137" s="86"/>
      <c r="B1137" s="87"/>
    </row>
    <row r="1138">
      <c r="A1138" s="86"/>
      <c r="B1138" s="87"/>
    </row>
    <row r="1139">
      <c r="A1139" s="86"/>
      <c r="B1139" s="87"/>
    </row>
    <row r="1140">
      <c r="A1140" s="86"/>
      <c r="B1140" s="87"/>
    </row>
    <row r="1141">
      <c r="A1141" s="86"/>
      <c r="B1141" s="87"/>
    </row>
    <row r="1142">
      <c r="A1142" s="86"/>
      <c r="B1142" s="87"/>
    </row>
    <row r="1143">
      <c r="A1143" s="86"/>
      <c r="B1143" s="87"/>
    </row>
    <row r="1144">
      <c r="A1144" s="86"/>
      <c r="B1144" s="87"/>
    </row>
    <row r="1145">
      <c r="A1145" s="86"/>
      <c r="B1145" s="87"/>
    </row>
    <row r="1146">
      <c r="A1146" s="86"/>
      <c r="B1146" s="87"/>
    </row>
    <row r="1147">
      <c r="A1147" s="86"/>
      <c r="B1147" s="87"/>
    </row>
    <row r="1148">
      <c r="A1148" s="86"/>
      <c r="B1148" s="87"/>
    </row>
    <row r="1149">
      <c r="A1149" s="86"/>
      <c r="B1149" s="87"/>
    </row>
    <row r="1150">
      <c r="A1150" s="86"/>
      <c r="B1150" s="87"/>
    </row>
    <row r="1151">
      <c r="A1151" s="86"/>
      <c r="B1151" s="87"/>
    </row>
    <row r="1152">
      <c r="A1152" s="86"/>
      <c r="B1152" s="87"/>
    </row>
    <row r="1153">
      <c r="A1153" s="86"/>
      <c r="B1153" s="87"/>
    </row>
    <row r="1154">
      <c r="A1154" s="86"/>
      <c r="B1154" s="87"/>
    </row>
    <row r="1155">
      <c r="A1155" s="86"/>
      <c r="B1155" s="87"/>
    </row>
    <row r="1156">
      <c r="A1156" s="86"/>
      <c r="B1156" s="87"/>
    </row>
    <row r="1157">
      <c r="A1157" s="86"/>
      <c r="B1157" s="87"/>
    </row>
    <row r="1158">
      <c r="A1158" s="86"/>
      <c r="B1158" s="87"/>
    </row>
    <row r="1159">
      <c r="A1159" s="86"/>
      <c r="B1159" s="87"/>
    </row>
    <row r="1160">
      <c r="A1160" s="86"/>
      <c r="B1160" s="87"/>
    </row>
    <row r="1161">
      <c r="A1161" s="86"/>
      <c r="B1161" s="87"/>
    </row>
    <row r="1162">
      <c r="A1162" s="86"/>
      <c r="B1162" s="87"/>
    </row>
    <row r="1163">
      <c r="A1163" s="86"/>
      <c r="B1163" s="87"/>
    </row>
    <row r="1164">
      <c r="A1164" s="86"/>
      <c r="B1164" s="87"/>
    </row>
    <row r="1165">
      <c r="A1165" s="86"/>
      <c r="B1165" s="87"/>
    </row>
    <row r="1166">
      <c r="A1166" s="86"/>
      <c r="B1166" s="87"/>
    </row>
    <row r="1167">
      <c r="A1167" s="86"/>
      <c r="B1167" s="87"/>
    </row>
    <row r="1168">
      <c r="A1168" s="86"/>
      <c r="B1168" s="87"/>
    </row>
    <row r="1169">
      <c r="A1169" s="86"/>
      <c r="B1169" s="87"/>
    </row>
    <row r="1170">
      <c r="A1170" s="86"/>
      <c r="B1170" s="87"/>
    </row>
    <row r="1171">
      <c r="A1171" s="86"/>
      <c r="B1171" s="87"/>
    </row>
    <row r="1172">
      <c r="A1172" s="86"/>
      <c r="B1172" s="87"/>
    </row>
    <row r="1173">
      <c r="A1173" s="86"/>
      <c r="B1173" s="87"/>
    </row>
    <row r="1174">
      <c r="A1174" s="86"/>
      <c r="B1174" s="87"/>
    </row>
    <row r="1175">
      <c r="A1175" s="86"/>
      <c r="B1175" s="87"/>
    </row>
    <row r="1176">
      <c r="A1176" s="86"/>
      <c r="B1176" s="87"/>
    </row>
    <row r="1177">
      <c r="A1177" s="86"/>
      <c r="B1177" s="87"/>
    </row>
    <row r="1178">
      <c r="A1178" s="86"/>
      <c r="B1178" s="87"/>
    </row>
    <row r="1179">
      <c r="A1179" s="86"/>
      <c r="B1179" s="87"/>
    </row>
    <row r="1180">
      <c r="A1180" s="86"/>
      <c r="B1180" s="87"/>
    </row>
    <row r="1181">
      <c r="A1181" s="86"/>
      <c r="B1181" s="87"/>
    </row>
    <row r="1182">
      <c r="A1182" s="86"/>
      <c r="B1182" s="87"/>
    </row>
    <row r="1183">
      <c r="A1183" s="86"/>
      <c r="B1183" s="87"/>
    </row>
    <row r="1184">
      <c r="A1184" s="86"/>
      <c r="B1184" s="87"/>
    </row>
    <row r="1185">
      <c r="A1185" s="86"/>
      <c r="B1185" s="87"/>
    </row>
    <row r="1186">
      <c r="A1186" s="86"/>
      <c r="B1186" s="87"/>
    </row>
    <row r="1187">
      <c r="A1187" s="86"/>
      <c r="B1187" s="87"/>
    </row>
    <row r="1188">
      <c r="A1188" s="86"/>
      <c r="B1188" s="87"/>
    </row>
    <row r="1189">
      <c r="A1189" s="86"/>
      <c r="B1189" s="87"/>
    </row>
    <row r="1190">
      <c r="A1190" s="86"/>
      <c r="B1190" s="87"/>
    </row>
    <row r="1191">
      <c r="A1191" s="86"/>
      <c r="B1191" s="87"/>
    </row>
    <row r="1192">
      <c r="A1192" s="86"/>
      <c r="B1192" s="87"/>
    </row>
    <row r="1193">
      <c r="A1193" s="86"/>
      <c r="B1193" s="87"/>
    </row>
    <row r="1194">
      <c r="A1194" s="86"/>
      <c r="B1194" s="87"/>
    </row>
    <row r="1195">
      <c r="A1195" s="86"/>
      <c r="B1195" s="87"/>
    </row>
    <row r="1196">
      <c r="A1196" s="86"/>
      <c r="B1196" s="87"/>
    </row>
    <row r="1197">
      <c r="A1197" s="86"/>
      <c r="B1197" s="87"/>
    </row>
    <row r="1198">
      <c r="A1198" s="86"/>
      <c r="B1198" s="87"/>
    </row>
    <row r="1199">
      <c r="A1199" s="86"/>
      <c r="B1199" s="87"/>
    </row>
    <row r="1200">
      <c r="A1200" s="86"/>
      <c r="B1200" s="87"/>
    </row>
    <row r="1201">
      <c r="A1201" s="86"/>
      <c r="B1201" s="87"/>
    </row>
    <row r="1202">
      <c r="A1202" s="86"/>
      <c r="B1202" s="87"/>
    </row>
    <row r="1203">
      <c r="A1203" s="86"/>
      <c r="B1203" s="87"/>
    </row>
    <row r="1204">
      <c r="A1204" s="86"/>
      <c r="B1204" s="87"/>
    </row>
    <row r="1205">
      <c r="A1205" s="86"/>
      <c r="B1205" s="87"/>
    </row>
    <row r="1206">
      <c r="A1206" s="86"/>
      <c r="B1206" s="87"/>
    </row>
    <row r="1207">
      <c r="A1207" s="86"/>
      <c r="B1207" s="87"/>
    </row>
    <row r="1208">
      <c r="A1208" s="86"/>
      <c r="B1208" s="87"/>
    </row>
    <row r="1209">
      <c r="A1209" s="86"/>
      <c r="B1209" s="87"/>
    </row>
    <row r="1210">
      <c r="A1210" s="86"/>
      <c r="B1210" s="87"/>
    </row>
    <row r="1211">
      <c r="A1211" s="86"/>
      <c r="B1211" s="87"/>
    </row>
    <row r="1212">
      <c r="A1212" s="86"/>
      <c r="B1212" s="87"/>
    </row>
    <row r="1213">
      <c r="A1213" s="86"/>
      <c r="B1213" s="87"/>
    </row>
    <row r="1214">
      <c r="A1214" s="86"/>
      <c r="B1214" s="87"/>
    </row>
    <row r="1215">
      <c r="A1215" s="86"/>
      <c r="B1215" s="87"/>
    </row>
    <row r="1216">
      <c r="A1216" s="86"/>
      <c r="B1216" s="87"/>
    </row>
    <row r="1217">
      <c r="A1217" s="86"/>
      <c r="B1217" s="87"/>
    </row>
    <row r="1218">
      <c r="A1218" s="86"/>
      <c r="B1218" s="87"/>
    </row>
    <row r="1219">
      <c r="A1219" s="86"/>
      <c r="B1219" s="87"/>
    </row>
    <row r="1220">
      <c r="A1220" s="86"/>
      <c r="B1220" s="87"/>
    </row>
    <row r="1221">
      <c r="A1221" s="86"/>
      <c r="B1221" s="87"/>
    </row>
    <row r="1222">
      <c r="A1222" s="86"/>
      <c r="B1222" s="87"/>
    </row>
    <row r="1223">
      <c r="A1223" s="86"/>
      <c r="B1223" s="87"/>
    </row>
    <row r="1224">
      <c r="A1224" s="86"/>
      <c r="B1224" s="87"/>
    </row>
    <row r="1225">
      <c r="A1225" s="86"/>
      <c r="B1225" s="87"/>
    </row>
    <row r="1226">
      <c r="A1226" s="86"/>
      <c r="B1226" s="87"/>
    </row>
    <row r="1227">
      <c r="A1227" s="86"/>
      <c r="B1227" s="87"/>
    </row>
    <row r="1228">
      <c r="A1228" s="86"/>
      <c r="B1228" s="87"/>
    </row>
    <row r="1229">
      <c r="A1229" s="86"/>
      <c r="B1229" s="87"/>
    </row>
    <row r="1230">
      <c r="A1230" s="86"/>
      <c r="B1230" s="87"/>
    </row>
    <row r="1231">
      <c r="A1231" s="86"/>
      <c r="B1231" s="87"/>
    </row>
    <row r="1232">
      <c r="A1232" s="86"/>
      <c r="B1232" s="87"/>
    </row>
    <row r="1233">
      <c r="A1233" s="86"/>
      <c r="B1233" s="87"/>
    </row>
    <row r="1234">
      <c r="A1234" s="86"/>
      <c r="B1234" s="87"/>
    </row>
    <row r="1235">
      <c r="A1235" s="86"/>
      <c r="B1235" s="87"/>
    </row>
    <row r="1236">
      <c r="A1236" s="86"/>
      <c r="B1236" s="87"/>
    </row>
    <row r="1237">
      <c r="A1237" s="86"/>
      <c r="B1237" s="87"/>
    </row>
    <row r="1238">
      <c r="A1238" s="86"/>
      <c r="B1238" s="87"/>
    </row>
    <row r="1239">
      <c r="A1239" s="86"/>
      <c r="B1239" s="87"/>
    </row>
    <row r="1240">
      <c r="A1240" s="86"/>
      <c r="B1240" s="87"/>
    </row>
    <row r="1241">
      <c r="A1241" s="86"/>
      <c r="B1241" s="87"/>
    </row>
    <row r="1242">
      <c r="A1242" s="86"/>
      <c r="B1242" s="87"/>
    </row>
    <row r="1243">
      <c r="A1243" s="86"/>
      <c r="B1243" s="87"/>
    </row>
    <row r="1244">
      <c r="A1244" s="86"/>
      <c r="B1244" s="87"/>
    </row>
    <row r="1245">
      <c r="A1245" s="86"/>
      <c r="B1245" s="87"/>
    </row>
    <row r="1246">
      <c r="A1246" s="86"/>
      <c r="B1246" s="87"/>
    </row>
    <row r="1247">
      <c r="A1247" s="86"/>
      <c r="B1247" s="87"/>
    </row>
    <row r="1248">
      <c r="A1248" s="86"/>
      <c r="B1248" s="87"/>
    </row>
    <row r="1249">
      <c r="A1249" s="86"/>
      <c r="B1249" s="87"/>
    </row>
    <row r="1250">
      <c r="A1250" s="86"/>
      <c r="B1250" s="87"/>
    </row>
    <row r="1251">
      <c r="A1251" s="86"/>
      <c r="B1251" s="87"/>
    </row>
    <row r="1252">
      <c r="A1252" s="86"/>
      <c r="B1252" s="87"/>
    </row>
    <row r="1253">
      <c r="A1253" s="86"/>
      <c r="B1253" s="87"/>
    </row>
    <row r="1254">
      <c r="A1254" s="86"/>
      <c r="B1254" s="87"/>
    </row>
    <row r="1255">
      <c r="A1255" s="86"/>
      <c r="B1255" s="87"/>
    </row>
    <row r="1256">
      <c r="A1256" s="86"/>
      <c r="B1256" s="87"/>
    </row>
    <row r="1257">
      <c r="A1257" s="86"/>
      <c r="B1257" s="87"/>
    </row>
    <row r="1258">
      <c r="A1258" s="86"/>
      <c r="B1258" s="87"/>
    </row>
    <row r="1259">
      <c r="A1259" s="86"/>
      <c r="B1259" s="87"/>
    </row>
    <row r="1260">
      <c r="A1260" s="86"/>
      <c r="B1260" s="87"/>
    </row>
    <row r="1261">
      <c r="A1261" s="86"/>
      <c r="B1261" s="87"/>
    </row>
    <row r="1262">
      <c r="A1262" s="86"/>
      <c r="B1262" s="87"/>
    </row>
    <row r="1263">
      <c r="A1263" s="86"/>
      <c r="B1263" s="87"/>
    </row>
    <row r="1264">
      <c r="A1264" s="86"/>
      <c r="B1264" s="87"/>
    </row>
    <row r="1265">
      <c r="A1265" s="86"/>
      <c r="B1265" s="87"/>
    </row>
    <row r="1266">
      <c r="A1266" s="86"/>
      <c r="B1266" s="87"/>
    </row>
    <row r="1267">
      <c r="A1267" s="86"/>
      <c r="B1267" s="87"/>
    </row>
    <row r="1268">
      <c r="A1268" s="86"/>
      <c r="B1268" s="87"/>
    </row>
    <row r="1269">
      <c r="A1269" s="86"/>
      <c r="B1269" s="87"/>
    </row>
    <row r="1270">
      <c r="A1270" s="86"/>
      <c r="B1270" s="87"/>
    </row>
    <row r="1271">
      <c r="A1271" s="86"/>
      <c r="B1271" s="87"/>
    </row>
    <row r="1272">
      <c r="A1272" s="86"/>
      <c r="B1272" s="87"/>
    </row>
    <row r="1273">
      <c r="A1273" s="86"/>
      <c r="B1273" s="87"/>
    </row>
    <row r="1274">
      <c r="A1274" s="86"/>
      <c r="B1274" s="87"/>
    </row>
    <row r="1275">
      <c r="A1275" s="86"/>
      <c r="B1275" s="87"/>
    </row>
    <row r="1276">
      <c r="A1276" s="86"/>
      <c r="B1276" s="87"/>
    </row>
    <row r="1277">
      <c r="A1277" s="86"/>
      <c r="B1277" s="87"/>
    </row>
    <row r="1278">
      <c r="A1278" s="86"/>
      <c r="B1278" s="87"/>
    </row>
    <row r="1279">
      <c r="A1279" s="86"/>
      <c r="B1279" s="87"/>
    </row>
    <row r="1280">
      <c r="A1280" s="86"/>
      <c r="B1280" s="87"/>
    </row>
    <row r="1281">
      <c r="A1281" s="86"/>
      <c r="B1281" s="87"/>
    </row>
    <row r="1282">
      <c r="A1282" s="86"/>
      <c r="B1282" s="87"/>
    </row>
    <row r="1283">
      <c r="A1283" s="86"/>
      <c r="B1283" s="87"/>
    </row>
    <row r="1284">
      <c r="A1284" s="86"/>
      <c r="B1284" s="87"/>
    </row>
    <row r="1285">
      <c r="A1285" s="86"/>
      <c r="B1285" s="87"/>
    </row>
    <row r="1286">
      <c r="A1286" s="86"/>
      <c r="B1286" s="87"/>
    </row>
    <row r="1287">
      <c r="A1287" s="86"/>
      <c r="B1287" s="87"/>
    </row>
    <row r="1288">
      <c r="A1288" s="86"/>
      <c r="B1288" s="87"/>
    </row>
    <row r="1289">
      <c r="A1289" s="86"/>
      <c r="B1289" s="87"/>
    </row>
    <row r="1290">
      <c r="A1290" s="86"/>
      <c r="B1290" s="87"/>
    </row>
    <row r="1291">
      <c r="A1291" s="86"/>
      <c r="B1291" s="87"/>
    </row>
    <row r="1292">
      <c r="A1292" s="86"/>
      <c r="B1292" s="87"/>
    </row>
    <row r="1293">
      <c r="A1293" s="86"/>
      <c r="B1293" s="87"/>
    </row>
    <row r="1294">
      <c r="A1294" s="86"/>
      <c r="B1294" s="87"/>
    </row>
    <row r="1295">
      <c r="A1295" s="86"/>
      <c r="B1295" s="87"/>
    </row>
    <row r="1296">
      <c r="A1296" s="86"/>
      <c r="B1296" s="87"/>
    </row>
    <row r="1297">
      <c r="A1297" s="86"/>
      <c r="B1297" s="87"/>
    </row>
    <row r="1298">
      <c r="A1298" s="86"/>
      <c r="B1298" s="87"/>
    </row>
    <row r="1299">
      <c r="A1299" s="86"/>
      <c r="B1299" s="87"/>
    </row>
    <row r="1300">
      <c r="A1300" s="86"/>
      <c r="B1300" s="87"/>
    </row>
    <row r="1301">
      <c r="A1301" s="86"/>
      <c r="B1301" s="87"/>
    </row>
    <row r="1302">
      <c r="A1302" s="86"/>
      <c r="B1302" s="87"/>
    </row>
    <row r="1303">
      <c r="A1303" s="86"/>
      <c r="B1303" s="87"/>
    </row>
    <row r="1304">
      <c r="A1304" s="86"/>
      <c r="B1304" s="87"/>
    </row>
    <row r="1305">
      <c r="A1305" s="86"/>
      <c r="B1305" s="87"/>
    </row>
    <row r="1306">
      <c r="A1306" s="86"/>
      <c r="B1306" s="87"/>
    </row>
    <row r="1307">
      <c r="A1307" s="86"/>
      <c r="B1307" s="87"/>
    </row>
    <row r="1308">
      <c r="A1308" s="86"/>
      <c r="B1308" s="87"/>
    </row>
    <row r="1309">
      <c r="A1309" s="86"/>
      <c r="B1309" s="87"/>
    </row>
    <row r="1310">
      <c r="A1310" s="86"/>
      <c r="B1310" s="87"/>
    </row>
    <row r="1311">
      <c r="A1311" s="86"/>
      <c r="B1311" s="87"/>
    </row>
    <row r="1312">
      <c r="A1312" s="86"/>
      <c r="B1312" s="87"/>
    </row>
    <row r="1313">
      <c r="A1313" s="86"/>
      <c r="B1313" s="87"/>
    </row>
    <row r="1314">
      <c r="A1314" s="86"/>
      <c r="B1314" s="87"/>
    </row>
    <row r="1315">
      <c r="A1315" s="86"/>
      <c r="B1315" s="87"/>
    </row>
    <row r="1316">
      <c r="A1316" s="86"/>
      <c r="B1316" s="87"/>
    </row>
    <row r="1317">
      <c r="A1317" s="86"/>
      <c r="B1317" s="87"/>
    </row>
    <row r="1318">
      <c r="A1318" s="86"/>
      <c r="B1318" s="87"/>
    </row>
    <row r="1319">
      <c r="A1319" s="86"/>
      <c r="B1319" s="87"/>
    </row>
    <row r="1320">
      <c r="A1320" s="86"/>
      <c r="B1320" s="87"/>
    </row>
    <row r="1321">
      <c r="A1321" s="86"/>
      <c r="B1321" s="87"/>
    </row>
    <row r="1322">
      <c r="A1322" s="86"/>
      <c r="B1322" s="87"/>
    </row>
    <row r="1323">
      <c r="A1323" s="86"/>
      <c r="B1323" s="87"/>
    </row>
    <row r="1324">
      <c r="A1324" s="86"/>
      <c r="B1324" s="87"/>
    </row>
    <row r="1325">
      <c r="A1325" s="86"/>
      <c r="B1325" s="87"/>
    </row>
    <row r="1326">
      <c r="A1326" s="86"/>
      <c r="B1326" s="87"/>
    </row>
    <row r="1327">
      <c r="A1327" s="86"/>
      <c r="B1327" s="87"/>
    </row>
    <row r="1328">
      <c r="A1328" s="86"/>
      <c r="B1328" s="87"/>
    </row>
    <row r="1329">
      <c r="A1329" s="86"/>
      <c r="B1329" s="87"/>
    </row>
    <row r="1330">
      <c r="A1330" s="86"/>
      <c r="B1330" s="87"/>
    </row>
    <row r="1331">
      <c r="A1331" s="86"/>
      <c r="B1331" s="87"/>
    </row>
    <row r="1332">
      <c r="A1332" s="86"/>
      <c r="B1332" s="87"/>
    </row>
    <row r="1333">
      <c r="A1333" s="86"/>
      <c r="B1333" s="87"/>
    </row>
    <row r="1334">
      <c r="A1334" s="86"/>
      <c r="B1334" s="87"/>
    </row>
    <row r="1335">
      <c r="A1335" s="86"/>
      <c r="B1335" s="87"/>
    </row>
    <row r="1336">
      <c r="A1336" s="86"/>
      <c r="B1336" s="87"/>
    </row>
    <row r="1337">
      <c r="A1337" s="86"/>
      <c r="B1337" s="87"/>
    </row>
    <row r="1338">
      <c r="A1338" s="86"/>
      <c r="B1338" s="87"/>
    </row>
    <row r="1339">
      <c r="A1339" s="86"/>
      <c r="B1339" s="87"/>
    </row>
    <row r="1340">
      <c r="A1340" s="86"/>
      <c r="B1340" s="87"/>
    </row>
    <row r="1341">
      <c r="A1341" s="86"/>
      <c r="B1341" s="87"/>
    </row>
    <row r="1342">
      <c r="A1342" s="86"/>
      <c r="B1342" s="87"/>
    </row>
    <row r="1343">
      <c r="A1343" s="86"/>
      <c r="B1343" s="87"/>
    </row>
    <row r="1344">
      <c r="A1344" s="86"/>
      <c r="B1344" s="87"/>
    </row>
    <row r="1345">
      <c r="A1345" s="86"/>
      <c r="B1345" s="87"/>
    </row>
    <row r="1346">
      <c r="A1346" s="86"/>
      <c r="B1346" s="87"/>
    </row>
    <row r="1347">
      <c r="A1347" s="86"/>
      <c r="B1347" s="87"/>
    </row>
    <row r="1348">
      <c r="A1348" s="86"/>
      <c r="B1348" s="87"/>
    </row>
    <row r="1349">
      <c r="A1349" s="86"/>
      <c r="B1349" s="87"/>
    </row>
    <row r="1350">
      <c r="A1350" s="86"/>
      <c r="B1350" s="87"/>
    </row>
    <row r="1351">
      <c r="A1351" s="86"/>
      <c r="B1351" s="87"/>
    </row>
    <row r="1352">
      <c r="A1352" s="86"/>
      <c r="B1352" s="87"/>
    </row>
    <row r="1353">
      <c r="A1353" s="86"/>
      <c r="B1353" s="87"/>
    </row>
    <row r="1354">
      <c r="A1354" s="86"/>
      <c r="B1354" s="87"/>
    </row>
    <row r="1355">
      <c r="A1355" s="86"/>
      <c r="B1355" s="87"/>
    </row>
    <row r="1356">
      <c r="A1356" s="86"/>
      <c r="B1356" s="87"/>
    </row>
    <row r="1357">
      <c r="A1357" s="86"/>
      <c r="B1357" s="87"/>
    </row>
    <row r="1358">
      <c r="A1358" s="86"/>
      <c r="B1358" s="87"/>
    </row>
    <row r="1359">
      <c r="A1359" s="86"/>
      <c r="B1359" s="87"/>
    </row>
    <row r="1360">
      <c r="A1360" s="86"/>
      <c r="B1360" s="87"/>
    </row>
    <row r="1361">
      <c r="A1361" s="86"/>
      <c r="B1361" s="87"/>
    </row>
    <row r="1362">
      <c r="A1362" s="86"/>
      <c r="B1362" s="87"/>
    </row>
    <row r="1363">
      <c r="A1363" s="86"/>
      <c r="B1363" s="87"/>
    </row>
    <row r="1364">
      <c r="A1364" s="86"/>
      <c r="B1364" s="87"/>
    </row>
    <row r="1365">
      <c r="A1365" s="86"/>
      <c r="B1365" s="87"/>
    </row>
    <row r="1366">
      <c r="A1366" s="86"/>
      <c r="B1366" s="87"/>
    </row>
    <row r="1367">
      <c r="A1367" s="86"/>
      <c r="B1367" s="87"/>
    </row>
    <row r="1368">
      <c r="A1368" s="86"/>
      <c r="B1368" s="87"/>
    </row>
    <row r="1369">
      <c r="A1369" s="86"/>
      <c r="B1369" s="87"/>
    </row>
    <row r="1370">
      <c r="A1370" s="86"/>
      <c r="B1370" s="87"/>
    </row>
    <row r="1371">
      <c r="A1371" s="86"/>
      <c r="B1371" s="87"/>
    </row>
    <row r="1372">
      <c r="A1372" s="86"/>
      <c r="B1372" s="87"/>
    </row>
    <row r="1373">
      <c r="A1373" s="86"/>
      <c r="B1373" s="87"/>
    </row>
    <row r="1374">
      <c r="A1374" s="86"/>
      <c r="B1374" s="87"/>
    </row>
    <row r="1375">
      <c r="A1375" s="86"/>
      <c r="B1375" s="87"/>
    </row>
    <row r="1376">
      <c r="A1376" s="86"/>
      <c r="B1376" s="87"/>
    </row>
    <row r="1377">
      <c r="A1377" s="86"/>
      <c r="B1377" s="87"/>
    </row>
    <row r="1378">
      <c r="A1378" s="86"/>
      <c r="B1378" s="87"/>
    </row>
    <row r="1379">
      <c r="A1379" s="86"/>
      <c r="B1379" s="87"/>
    </row>
    <row r="1380">
      <c r="A1380" s="86"/>
      <c r="B1380" s="87"/>
    </row>
    <row r="1381">
      <c r="A1381" s="86"/>
      <c r="B1381" s="87"/>
    </row>
    <row r="1382">
      <c r="A1382" s="86"/>
      <c r="B1382" s="87"/>
    </row>
    <row r="1383">
      <c r="A1383" s="86"/>
      <c r="B1383" s="87"/>
    </row>
    <row r="1384">
      <c r="A1384" s="86"/>
      <c r="B1384" s="87"/>
    </row>
    <row r="1385">
      <c r="A1385" s="86"/>
      <c r="B1385" s="87"/>
    </row>
    <row r="1386">
      <c r="A1386" s="86"/>
      <c r="B1386" s="87"/>
    </row>
    <row r="1387">
      <c r="A1387" s="86"/>
      <c r="B1387" s="87"/>
    </row>
    <row r="1388">
      <c r="A1388" s="86"/>
      <c r="B1388" s="87"/>
    </row>
    <row r="1389">
      <c r="A1389" s="86"/>
      <c r="B1389" s="87"/>
    </row>
    <row r="1390">
      <c r="A1390" s="86"/>
      <c r="B1390" s="87"/>
    </row>
    <row r="1391">
      <c r="A1391" s="86"/>
      <c r="B1391" s="87"/>
    </row>
    <row r="1392">
      <c r="A1392" s="86"/>
      <c r="B1392" s="87"/>
    </row>
    <row r="1393">
      <c r="A1393" s="86"/>
      <c r="B1393" s="87"/>
    </row>
    <row r="1394">
      <c r="A1394" s="86"/>
      <c r="B1394" s="87"/>
    </row>
    <row r="1395">
      <c r="A1395" s="86"/>
      <c r="B1395" s="87"/>
    </row>
    <row r="1396">
      <c r="A1396" s="86"/>
      <c r="B1396" s="87"/>
    </row>
    <row r="1397">
      <c r="A1397" s="86"/>
      <c r="B1397" s="87"/>
    </row>
    <row r="1398">
      <c r="A1398" s="86"/>
      <c r="B1398" s="87"/>
    </row>
    <row r="1399">
      <c r="A1399" s="86"/>
      <c r="B1399" s="87"/>
    </row>
    <row r="1400">
      <c r="A1400" s="86"/>
      <c r="B1400" s="87"/>
    </row>
    <row r="1401">
      <c r="A1401" s="86"/>
      <c r="B1401" s="87"/>
    </row>
    <row r="1402">
      <c r="A1402" s="86"/>
      <c r="B1402" s="87"/>
    </row>
    <row r="1403">
      <c r="A1403" s="86"/>
      <c r="B1403" s="87"/>
    </row>
    <row r="1404">
      <c r="A1404" s="86"/>
      <c r="B1404" s="87"/>
    </row>
    <row r="1405">
      <c r="A1405" s="86"/>
      <c r="B1405" s="87"/>
    </row>
    <row r="1406">
      <c r="A1406" s="86"/>
      <c r="B1406" s="87"/>
    </row>
    <row r="1407">
      <c r="A1407" s="86"/>
      <c r="B1407" s="87"/>
    </row>
    <row r="1408">
      <c r="A1408" s="86"/>
      <c r="B1408" s="87"/>
    </row>
    <row r="1409">
      <c r="A1409" s="86"/>
      <c r="B1409" s="87"/>
    </row>
    <row r="1410">
      <c r="A1410" s="86"/>
      <c r="B1410" s="87"/>
    </row>
    <row r="1411">
      <c r="A1411" s="86"/>
      <c r="B1411" s="87"/>
    </row>
    <row r="1412">
      <c r="A1412" s="86"/>
      <c r="B1412" s="87"/>
    </row>
    <row r="1413">
      <c r="A1413" s="86"/>
      <c r="B1413" s="87"/>
    </row>
    <row r="1414">
      <c r="A1414" s="86"/>
      <c r="B1414" s="87"/>
    </row>
    <row r="1415">
      <c r="A1415" s="86"/>
      <c r="B1415" s="87"/>
    </row>
    <row r="1416">
      <c r="A1416" s="86"/>
      <c r="B1416" s="87"/>
    </row>
    <row r="1417">
      <c r="A1417" s="86"/>
      <c r="B1417" s="87"/>
    </row>
    <row r="1418">
      <c r="A1418" s="86"/>
      <c r="B1418" s="87"/>
    </row>
    <row r="1419">
      <c r="A1419" s="86"/>
      <c r="B1419" s="87"/>
    </row>
    <row r="1420">
      <c r="A1420" s="86"/>
      <c r="B1420" s="87"/>
    </row>
    <row r="1421">
      <c r="A1421" s="86"/>
      <c r="B1421" s="87"/>
    </row>
    <row r="1422">
      <c r="A1422" s="86"/>
      <c r="B1422" s="87"/>
    </row>
    <row r="1423">
      <c r="A1423" s="86"/>
      <c r="B1423" s="87"/>
    </row>
    <row r="1424">
      <c r="A1424" s="86"/>
      <c r="B1424" s="87"/>
    </row>
    <row r="1425">
      <c r="A1425" s="86"/>
      <c r="B1425" s="87"/>
    </row>
    <row r="1426">
      <c r="A1426" s="86"/>
      <c r="B1426" s="87"/>
    </row>
    <row r="1427">
      <c r="A1427" s="86"/>
      <c r="B1427" s="87"/>
    </row>
    <row r="1428">
      <c r="A1428" s="86"/>
      <c r="B1428" s="87"/>
    </row>
    <row r="1429">
      <c r="A1429" s="86"/>
      <c r="B1429" s="87"/>
    </row>
    <row r="1430">
      <c r="A1430" s="86"/>
      <c r="B1430" s="87"/>
    </row>
    <row r="1431">
      <c r="A1431" s="86"/>
      <c r="B1431" s="87"/>
    </row>
    <row r="1432">
      <c r="A1432" s="86"/>
      <c r="B1432" s="87"/>
    </row>
    <row r="1433">
      <c r="A1433" s="86"/>
      <c r="B1433" s="87"/>
    </row>
    <row r="1434">
      <c r="A1434" s="86"/>
      <c r="B1434" s="87"/>
    </row>
    <row r="1435">
      <c r="A1435" s="86"/>
      <c r="B1435" s="87"/>
    </row>
    <row r="1436">
      <c r="A1436" s="86"/>
      <c r="B1436" s="87"/>
    </row>
    <row r="1437">
      <c r="A1437" s="86"/>
      <c r="B1437" s="87"/>
    </row>
    <row r="1438">
      <c r="A1438" s="86"/>
      <c r="B1438" s="87"/>
    </row>
    <row r="1439">
      <c r="A1439" s="86"/>
      <c r="B1439" s="87"/>
    </row>
    <row r="1440">
      <c r="A1440" s="86"/>
      <c r="B1440" s="87"/>
    </row>
    <row r="1441">
      <c r="A1441" s="86"/>
      <c r="B1441" s="87"/>
    </row>
    <row r="1442">
      <c r="A1442" s="86"/>
      <c r="B1442" s="87"/>
    </row>
    <row r="1443">
      <c r="A1443" s="86"/>
      <c r="B1443" s="87"/>
    </row>
    <row r="1444">
      <c r="A1444" s="86"/>
      <c r="B1444" s="87"/>
    </row>
    <row r="1445">
      <c r="A1445" s="86"/>
      <c r="B1445" s="87"/>
    </row>
    <row r="1446">
      <c r="A1446" s="86"/>
      <c r="B1446" s="87"/>
    </row>
    <row r="1447">
      <c r="A1447" s="86"/>
      <c r="B1447" s="87"/>
    </row>
    <row r="1448">
      <c r="A1448" s="86"/>
      <c r="B1448" s="87"/>
    </row>
    <row r="1449">
      <c r="A1449" s="86"/>
      <c r="B1449" s="87"/>
    </row>
    <row r="1450">
      <c r="A1450" s="86"/>
      <c r="B1450" s="87"/>
    </row>
    <row r="1451">
      <c r="A1451" s="86"/>
      <c r="B1451" s="87"/>
    </row>
    <row r="1452">
      <c r="A1452" s="86"/>
      <c r="B1452" s="87"/>
    </row>
    <row r="1453">
      <c r="A1453" s="86"/>
      <c r="B1453" s="87"/>
    </row>
    <row r="1454">
      <c r="A1454" s="86"/>
      <c r="B1454" s="87"/>
    </row>
    <row r="1455">
      <c r="A1455" s="86"/>
      <c r="B1455" s="87"/>
    </row>
    <row r="1456">
      <c r="A1456" s="86"/>
      <c r="B1456" s="87"/>
    </row>
    <row r="1457">
      <c r="A1457" s="86"/>
      <c r="B1457" s="87"/>
    </row>
    <row r="1458">
      <c r="A1458" s="86"/>
      <c r="B1458" s="87"/>
    </row>
    <row r="1459">
      <c r="A1459" s="86"/>
      <c r="B1459" s="87"/>
    </row>
    <row r="1460">
      <c r="A1460" s="86"/>
      <c r="B1460" s="87"/>
    </row>
    <row r="1461">
      <c r="A1461" s="86"/>
      <c r="B1461" s="87"/>
    </row>
    <row r="1462">
      <c r="A1462" s="86"/>
      <c r="B1462" s="87"/>
    </row>
    <row r="1463">
      <c r="A1463" s="86"/>
      <c r="B1463" s="87"/>
    </row>
    <row r="1464">
      <c r="A1464" s="86"/>
      <c r="B1464" s="87"/>
    </row>
    <row r="1465">
      <c r="A1465" s="86"/>
      <c r="B1465" s="87"/>
    </row>
    <row r="1466">
      <c r="A1466" s="86"/>
      <c r="B1466" s="87"/>
    </row>
    <row r="1467">
      <c r="A1467" s="86"/>
      <c r="B1467" s="87"/>
    </row>
    <row r="1468">
      <c r="A1468" s="86"/>
      <c r="B1468" s="87"/>
    </row>
    <row r="1469">
      <c r="A1469" s="86"/>
      <c r="B1469" s="87"/>
    </row>
    <row r="1470">
      <c r="A1470" s="86"/>
      <c r="B1470" s="87"/>
    </row>
    <row r="1471">
      <c r="A1471" s="86"/>
      <c r="B1471" s="87"/>
    </row>
    <row r="1472">
      <c r="A1472" s="86"/>
      <c r="B1472" s="87"/>
    </row>
    <row r="1473">
      <c r="A1473" s="86"/>
      <c r="B1473" s="87"/>
    </row>
    <row r="1474">
      <c r="A1474" s="86"/>
      <c r="B1474" s="87"/>
    </row>
    <row r="1475">
      <c r="A1475" s="86"/>
      <c r="B1475" s="87"/>
    </row>
    <row r="1476">
      <c r="A1476" s="86"/>
      <c r="B1476" s="87"/>
    </row>
    <row r="1477">
      <c r="A1477" s="86"/>
      <c r="B1477" s="87"/>
    </row>
    <row r="1478">
      <c r="A1478" s="86"/>
      <c r="B1478" s="87"/>
    </row>
    <row r="1479">
      <c r="A1479" s="86"/>
      <c r="B1479" s="87"/>
    </row>
    <row r="1480">
      <c r="A1480" s="86"/>
      <c r="B1480" s="87"/>
    </row>
    <row r="1481">
      <c r="A1481" s="86"/>
      <c r="B1481" s="87"/>
    </row>
    <row r="1482">
      <c r="A1482" s="86"/>
      <c r="B1482" s="87"/>
    </row>
    <row r="1483">
      <c r="A1483" s="86"/>
      <c r="B1483" s="87"/>
    </row>
    <row r="1484">
      <c r="A1484" s="86"/>
      <c r="B1484" s="87"/>
    </row>
    <row r="1485">
      <c r="A1485" s="86"/>
      <c r="B1485" s="87"/>
    </row>
    <row r="1486">
      <c r="A1486" s="86"/>
      <c r="B1486" s="87"/>
    </row>
    <row r="1487">
      <c r="A1487" s="86"/>
      <c r="B1487" s="87"/>
    </row>
    <row r="1488">
      <c r="A1488" s="86"/>
      <c r="B1488" s="87"/>
    </row>
    <row r="1489">
      <c r="A1489" s="86"/>
      <c r="B1489" s="87"/>
    </row>
    <row r="1490">
      <c r="A1490" s="86"/>
      <c r="B1490" s="87"/>
    </row>
    <row r="1491">
      <c r="A1491" s="86"/>
      <c r="B1491" s="87"/>
    </row>
    <row r="1492">
      <c r="A1492" s="86"/>
      <c r="B1492" s="87"/>
    </row>
    <row r="1493">
      <c r="A1493" s="86"/>
      <c r="B1493" s="87"/>
    </row>
    <row r="1494">
      <c r="A1494" s="86"/>
      <c r="B1494" s="87"/>
    </row>
    <row r="1495">
      <c r="A1495" s="86"/>
      <c r="B1495" s="87"/>
    </row>
    <row r="1496">
      <c r="A1496" s="86"/>
      <c r="B1496" s="87"/>
    </row>
    <row r="1497">
      <c r="A1497" s="86"/>
      <c r="B1497" s="87"/>
    </row>
    <row r="1498">
      <c r="A1498" s="86"/>
      <c r="B1498" s="87"/>
    </row>
    <row r="1499">
      <c r="A1499" s="86"/>
      <c r="B1499" s="87"/>
    </row>
    <row r="1500">
      <c r="A1500" s="86"/>
      <c r="B1500" s="87"/>
    </row>
    <row r="1501">
      <c r="A1501" s="86"/>
      <c r="B1501" s="87"/>
    </row>
    <row r="1502">
      <c r="A1502" s="86"/>
      <c r="B1502" s="87"/>
    </row>
    <row r="1503">
      <c r="A1503" s="86"/>
      <c r="B1503" s="87"/>
    </row>
    <row r="1504">
      <c r="A1504" s="86"/>
      <c r="B1504" s="87"/>
    </row>
    <row r="1505">
      <c r="A1505" s="86"/>
      <c r="B1505" s="87"/>
    </row>
    <row r="1506">
      <c r="A1506" s="86"/>
      <c r="B1506" s="87"/>
    </row>
    <row r="1507">
      <c r="A1507" s="86"/>
      <c r="B1507" s="87"/>
    </row>
    <row r="1508">
      <c r="A1508" s="86"/>
      <c r="B1508" s="87"/>
    </row>
    <row r="1509">
      <c r="A1509" s="86"/>
      <c r="B1509" s="87"/>
    </row>
    <row r="1510">
      <c r="A1510" s="86"/>
      <c r="B1510" s="87"/>
    </row>
    <row r="1511">
      <c r="A1511" s="86"/>
      <c r="B1511" s="87"/>
    </row>
    <row r="1512">
      <c r="A1512" s="86"/>
      <c r="B1512" s="87"/>
    </row>
    <row r="1513">
      <c r="A1513" s="86"/>
      <c r="B1513" s="87"/>
    </row>
    <row r="1514">
      <c r="A1514" s="86"/>
      <c r="B1514" s="87"/>
    </row>
    <row r="1515">
      <c r="A1515" s="86"/>
      <c r="B1515" s="87"/>
    </row>
    <row r="1516">
      <c r="A1516" s="86"/>
      <c r="B1516" s="87"/>
    </row>
    <row r="1517">
      <c r="A1517" s="86"/>
      <c r="B1517" s="87"/>
    </row>
    <row r="1518">
      <c r="A1518" s="86"/>
      <c r="B1518" s="87"/>
    </row>
    <row r="1519">
      <c r="A1519" s="86"/>
      <c r="B1519" s="87"/>
    </row>
    <row r="1520">
      <c r="A1520" s="86"/>
      <c r="B1520" s="87"/>
    </row>
    <row r="1521">
      <c r="A1521" s="86"/>
      <c r="B1521" s="87"/>
    </row>
    <row r="1522">
      <c r="A1522" s="86"/>
      <c r="B1522" s="87"/>
    </row>
    <row r="1523">
      <c r="A1523" s="86"/>
      <c r="B1523" s="87"/>
    </row>
    <row r="1524">
      <c r="A1524" s="86"/>
      <c r="B1524" s="87"/>
    </row>
    <row r="1525">
      <c r="A1525" s="86"/>
      <c r="B1525" s="87"/>
    </row>
    <row r="1526">
      <c r="A1526" s="86"/>
      <c r="B1526" s="87"/>
    </row>
    <row r="1527">
      <c r="A1527" s="86"/>
      <c r="B1527" s="87"/>
    </row>
    <row r="1528">
      <c r="A1528" s="86"/>
      <c r="B1528" s="87"/>
    </row>
    <row r="1529">
      <c r="A1529" s="86"/>
      <c r="B1529" s="87"/>
    </row>
    <row r="1530">
      <c r="A1530" s="86"/>
      <c r="B1530" s="87"/>
    </row>
    <row r="1531">
      <c r="A1531" s="86"/>
      <c r="B1531" s="87"/>
    </row>
    <row r="1532">
      <c r="A1532" s="86"/>
      <c r="B1532" s="87"/>
    </row>
    <row r="1533">
      <c r="A1533" s="86"/>
      <c r="B1533" s="87"/>
    </row>
    <row r="1534">
      <c r="A1534" s="86"/>
      <c r="B1534" s="87"/>
    </row>
    <row r="1535">
      <c r="A1535" s="86"/>
      <c r="B1535" s="87"/>
    </row>
    <row r="1536">
      <c r="A1536" s="86"/>
      <c r="B1536" s="87"/>
    </row>
    <row r="1537">
      <c r="A1537" s="86"/>
      <c r="B1537" s="87"/>
    </row>
    <row r="1538">
      <c r="A1538" s="86"/>
      <c r="B1538" s="87"/>
    </row>
    <row r="1539">
      <c r="A1539" s="86"/>
      <c r="B1539" s="87"/>
    </row>
    <row r="1540">
      <c r="A1540" s="86"/>
      <c r="B1540" s="87"/>
    </row>
    <row r="1541">
      <c r="A1541" s="86"/>
      <c r="B1541" s="87"/>
    </row>
    <row r="1542">
      <c r="A1542" s="86"/>
      <c r="B1542" s="87"/>
    </row>
    <row r="1543">
      <c r="A1543" s="86"/>
      <c r="B1543" s="87"/>
    </row>
    <row r="1544">
      <c r="A1544" s="86"/>
      <c r="B1544" s="87"/>
    </row>
    <row r="1545">
      <c r="A1545" s="86"/>
      <c r="B1545" s="87"/>
    </row>
    <row r="1546">
      <c r="A1546" s="86"/>
      <c r="B1546" s="87"/>
    </row>
    <row r="1547">
      <c r="A1547" s="86"/>
      <c r="B1547" s="87"/>
    </row>
    <row r="1548">
      <c r="A1548" s="86"/>
      <c r="B1548" s="87"/>
    </row>
    <row r="1549">
      <c r="A1549" s="86"/>
      <c r="B1549" s="87"/>
    </row>
    <row r="1550">
      <c r="A1550" s="86"/>
      <c r="B1550" s="87"/>
    </row>
    <row r="1551">
      <c r="A1551" s="86"/>
      <c r="B1551" s="87"/>
    </row>
    <row r="1552">
      <c r="A1552" s="86"/>
      <c r="B1552" s="87"/>
    </row>
    <row r="1553">
      <c r="A1553" s="86"/>
      <c r="B1553" s="87"/>
    </row>
    <row r="1554">
      <c r="A1554" s="86"/>
      <c r="B1554" s="87"/>
    </row>
    <row r="1555">
      <c r="A1555" s="86"/>
      <c r="B1555" s="87"/>
    </row>
    <row r="1556">
      <c r="A1556" s="86"/>
      <c r="B1556" s="87"/>
    </row>
    <row r="1557">
      <c r="A1557" s="86"/>
      <c r="B1557" s="87"/>
    </row>
    <row r="1558">
      <c r="A1558" s="86"/>
      <c r="B1558" s="87"/>
    </row>
    <row r="1559">
      <c r="A1559" s="86"/>
      <c r="B1559" s="87"/>
    </row>
    <row r="1560">
      <c r="A1560" s="86"/>
      <c r="B1560" s="87"/>
    </row>
    <row r="1561">
      <c r="A1561" s="86"/>
      <c r="B1561" s="87"/>
    </row>
    <row r="1562">
      <c r="A1562" s="86"/>
      <c r="B1562" s="87"/>
    </row>
    <row r="1563">
      <c r="A1563" s="86"/>
      <c r="B1563" s="87"/>
    </row>
    <row r="1564">
      <c r="A1564" s="86"/>
      <c r="B1564" s="87"/>
    </row>
    <row r="1565">
      <c r="A1565" s="86"/>
      <c r="B1565" s="87"/>
    </row>
    <row r="1566">
      <c r="A1566" s="86"/>
      <c r="B1566" s="87"/>
    </row>
    <row r="1567">
      <c r="A1567" s="86"/>
      <c r="B1567" s="87"/>
    </row>
    <row r="1568">
      <c r="A1568" s="86"/>
      <c r="B1568" s="87"/>
    </row>
    <row r="1569">
      <c r="A1569" s="86"/>
      <c r="B1569" s="87"/>
    </row>
    <row r="1570">
      <c r="A1570" s="86"/>
      <c r="B1570" s="87"/>
    </row>
    <row r="1571">
      <c r="A1571" s="86"/>
      <c r="B1571" s="87"/>
    </row>
    <row r="1572">
      <c r="A1572" s="86"/>
      <c r="B1572" s="87"/>
    </row>
    <row r="1573">
      <c r="A1573" s="86"/>
      <c r="B1573" s="87"/>
    </row>
    <row r="1574">
      <c r="A1574" s="86"/>
      <c r="B1574" s="87"/>
    </row>
    <row r="1575">
      <c r="A1575" s="86"/>
      <c r="B1575" s="87"/>
    </row>
    <row r="1576">
      <c r="A1576" s="86"/>
      <c r="B1576" s="87"/>
    </row>
    <row r="1577">
      <c r="A1577" s="86"/>
      <c r="B1577" s="87"/>
    </row>
    <row r="1578">
      <c r="A1578" s="86"/>
      <c r="B1578" s="87"/>
    </row>
    <row r="1579">
      <c r="A1579" s="86"/>
      <c r="B1579" s="87"/>
    </row>
    <row r="1580">
      <c r="A1580" s="86"/>
      <c r="B1580" s="87"/>
    </row>
    <row r="1581">
      <c r="A1581" s="86"/>
      <c r="B1581" s="87"/>
    </row>
    <row r="1582">
      <c r="A1582" s="86"/>
      <c r="B1582" s="87"/>
    </row>
    <row r="1583">
      <c r="A1583" s="86"/>
      <c r="B1583" s="87"/>
    </row>
    <row r="1584">
      <c r="A1584" s="86"/>
      <c r="B1584" s="87"/>
    </row>
    <row r="1585">
      <c r="A1585" s="86"/>
      <c r="B1585" s="87"/>
    </row>
    <row r="1586">
      <c r="A1586" s="86"/>
      <c r="B1586" s="87"/>
    </row>
    <row r="1587">
      <c r="A1587" s="86"/>
      <c r="B1587" s="87"/>
    </row>
    <row r="1588">
      <c r="A1588" s="86"/>
      <c r="B1588" s="87"/>
    </row>
    <row r="1589">
      <c r="A1589" s="86"/>
      <c r="B1589" s="87"/>
    </row>
    <row r="1590">
      <c r="A1590" s="86"/>
      <c r="B1590" s="87"/>
    </row>
    <row r="1591">
      <c r="A1591" s="86"/>
      <c r="B1591" s="87"/>
    </row>
    <row r="1592">
      <c r="A1592" s="86"/>
      <c r="B1592" s="87"/>
    </row>
    <row r="1593">
      <c r="A1593" s="86"/>
      <c r="B1593" s="87"/>
    </row>
    <row r="1594">
      <c r="A1594" s="86"/>
      <c r="B1594" s="87"/>
    </row>
    <row r="1595">
      <c r="A1595" s="86"/>
      <c r="B1595" s="87"/>
    </row>
    <row r="1596">
      <c r="A1596" s="86"/>
      <c r="B1596" s="87"/>
    </row>
    <row r="1597">
      <c r="A1597" s="86"/>
      <c r="B1597" s="87"/>
    </row>
    <row r="1598">
      <c r="A1598" s="86"/>
      <c r="B1598" s="87"/>
    </row>
    <row r="1599">
      <c r="A1599" s="86"/>
      <c r="B1599" s="87"/>
    </row>
    <row r="1600">
      <c r="A1600" s="86"/>
      <c r="B1600" s="87"/>
    </row>
    <row r="1601">
      <c r="A1601" s="86"/>
      <c r="B1601" s="87"/>
    </row>
    <row r="1602">
      <c r="A1602" s="86"/>
      <c r="B1602" s="87"/>
    </row>
    <row r="1603">
      <c r="A1603" s="86"/>
      <c r="B1603" s="87"/>
    </row>
    <row r="1604">
      <c r="A1604" s="86"/>
      <c r="B1604" s="87"/>
    </row>
    <row r="1605">
      <c r="A1605" s="86"/>
      <c r="B1605" s="87"/>
    </row>
    <row r="1606">
      <c r="A1606" s="86"/>
      <c r="B1606" s="87"/>
    </row>
    <row r="1607">
      <c r="A1607" s="86"/>
      <c r="B1607" s="87"/>
    </row>
    <row r="1608">
      <c r="A1608" s="86"/>
      <c r="B1608" s="87"/>
    </row>
    <row r="1609">
      <c r="A1609" s="86"/>
      <c r="B1609" s="87"/>
    </row>
    <row r="1610">
      <c r="A1610" s="86"/>
      <c r="B1610" s="87"/>
    </row>
    <row r="1611">
      <c r="A1611" s="86"/>
      <c r="B1611" s="87"/>
    </row>
    <row r="1612">
      <c r="A1612" s="86"/>
      <c r="B1612" s="87"/>
    </row>
    <row r="1613">
      <c r="A1613" s="86"/>
      <c r="B1613" s="87"/>
    </row>
    <row r="1614">
      <c r="A1614" s="86"/>
      <c r="B1614" s="87"/>
    </row>
    <row r="1615">
      <c r="A1615" s="86"/>
      <c r="B1615" s="87"/>
    </row>
    <row r="1616">
      <c r="A1616" s="86"/>
      <c r="B1616" s="87"/>
    </row>
    <row r="1617">
      <c r="A1617" s="86"/>
      <c r="B1617" s="87"/>
    </row>
    <row r="1618">
      <c r="A1618" s="86"/>
      <c r="B1618" s="87"/>
    </row>
    <row r="1619">
      <c r="A1619" s="86"/>
      <c r="B1619" s="87"/>
    </row>
    <row r="1620">
      <c r="A1620" s="86"/>
      <c r="B1620" s="87"/>
    </row>
    <row r="1621">
      <c r="A1621" s="86"/>
      <c r="B1621" s="87"/>
    </row>
    <row r="1622">
      <c r="A1622" s="86"/>
      <c r="B1622" s="87"/>
    </row>
    <row r="1623">
      <c r="A1623" s="86"/>
      <c r="B1623" s="87"/>
    </row>
    <row r="1624">
      <c r="A1624" s="86"/>
      <c r="B1624" s="87"/>
    </row>
    <row r="1625">
      <c r="A1625" s="86"/>
      <c r="B1625" s="87"/>
    </row>
    <row r="1626">
      <c r="A1626" s="86"/>
      <c r="B1626" s="87"/>
    </row>
    <row r="1627">
      <c r="A1627" s="86"/>
      <c r="B1627" s="87"/>
    </row>
    <row r="1628">
      <c r="A1628" s="86"/>
      <c r="B1628" s="87"/>
    </row>
    <row r="1629">
      <c r="A1629" s="86"/>
      <c r="B1629" s="87"/>
    </row>
    <row r="1630">
      <c r="A1630" s="86"/>
      <c r="B1630" s="87"/>
    </row>
    <row r="1631">
      <c r="A1631" s="86"/>
      <c r="B1631" s="87"/>
    </row>
    <row r="1632">
      <c r="A1632" s="86"/>
      <c r="B1632" s="87"/>
    </row>
    <row r="1633">
      <c r="A1633" s="86"/>
      <c r="B1633" s="87"/>
    </row>
    <row r="1634">
      <c r="A1634" s="86"/>
      <c r="B1634" s="87"/>
    </row>
    <row r="1635">
      <c r="A1635" s="86"/>
      <c r="B1635" s="87"/>
    </row>
    <row r="1636">
      <c r="A1636" s="86"/>
      <c r="B1636" s="87"/>
    </row>
    <row r="1637">
      <c r="A1637" s="86"/>
      <c r="B1637" s="87"/>
    </row>
    <row r="1638">
      <c r="A1638" s="86"/>
      <c r="B1638" s="87"/>
    </row>
    <row r="1639">
      <c r="A1639" s="86"/>
      <c r="B1639" s="87"/>
    </row>
    <row r="1640">
      <c r="A1640" s="86"/>
      <c r="B1640" s="87"/>
    </row>
    <row r="1641">
      <c r="A1641" s="86"/>
      <c r="B1641" s="87"/>
    </row>
    <row r="1642">
      <c r="A1642" s="86"/>
      <c r="B1642" s="87"/>
    </row>
    <row r="1643">
      <c r="A1643" s="86"/>
      <c r="B1643" s="87"/>
    </row>
    <row r="1644">
      <c r="A1644" s="86"/>
      <c r="B1644" s="87"/>
    </row>
    <row r="1645">
      <c r="A1645" s="86"/>
      <c r="B1645" s="87"/>
    </row>
    <row r="1646">
      <c r="A1646" s="86"/>
      <c r="B1646" s="87"/>
    </row>
    <row r="1647">
      <c r="A1647" s="86"/>
      <c r="B1647" s="87"/>
    </row>
    <row r="1648">
      <c r="A1648" s="86"/>
      <c r="B1648" s="87"/>
    </row>
    <row r="1649">
      <c r="A1649" s="86"/>
      <c r="B1649" s="87"/>
    </row>
    <row r="1650">
      <c r="A1650" s="86"/>
      <c r="B1650" s="87"/>
    </row>
    <row r="1651">
      <c r="A1651" s="86"/>
      <c r="B1651" s="8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41.14"/>
  </cols>
  <sheetData>
    <row r="1">
      <c r="A1" s="89" t="s">
        <v>33</v>
      </c>
      <c r="B1" s="90" t="s">
        <v>34</v>
      </c>
    </row>
  </sheetData>
  <drawing r:id="rId1"/>
</worksheet>
</file>