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한국아이콘\매출\"/>
    </mc:Choice>
  </mc:AlternateContent>
  <xr:revisionPtr revIDLastSave="0" documentId="8_{1AAF8A87-2570-494B-AB2C-60E4963BF954}" xr6:coauthVersionLast="47" xr6:coauthVersionMax="47" xr10:uidLastSave="{00000000-0000-0000-0000-000000000000}"/>
  <bookViews>
    <workbookView xWindow="-110" yWindow="-110" windowWidth="19420" windowHeight="10420" activeTab="1" xr2:uid="{515E5CB0-DF23-447A-A211-9838D323DC4D}"/>
  </bookViews>
  <sheets>
    <sheet name="판매현황24년 1월" sheetId="1" r:id="rId1"/>
    <sheet name="판매현황24년 2월" sheetId="2" r:id="rId2"/>
    <sheet name="판매현황24년 3월" sheetId="4" r:id="rId3"/>
    <sheet name="Sheet2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2" l="1"/>
  <c r="P67" i="2"/>
  <c r="H67" i="2"/>
  <c r="G67" i="2"/>
  <c r="F67" i="2"/>
  <c r="H66" i="2"/>
  <c r="F25" i="2"/>
  <c r="F26" i="2"/>
  <c r="F24" i="2"/>
  <c r="P65" i="2"/>
  <c r="P64" i="2" l="1"/>
  <c r="O64" i="2"/>
  <c r="Q55" i="2"/>
  <c r="P55" i="2"/>
  <c r="Q54" i="2"/>
  <c r="R54" i="2"/>
  <c r="H55" i="2"/>
  <c r="G55" i="2"/>
  <c r="F55" i="2"/>
  <c r="K62" i="2"/>
  <c r="P62" i="2" s="1"/>
  <c r="P60" i="2"/>
  <c r="Q60" i="2" s="1"/>
  <c r="R60" i="2" s="1"/>
  <c r="P58" i="2"/>
  <c r="M59" i="2"/>
  <c r="P59" i="2" s="1"/>
  <c r="Q59" i="2" s="1"/>
  <c r="R59" i="2" s="1"/>
  <c r="M60" i="2"/>
  <c r="M58" i="2"/>
  <c r="P57" i="2"/>
  <c r="O30" i="2"/>
  <c r="Q56" i="2"/>
  <c r="R56" i="2" s="1"/>
  <c r="K52" i="2"/>
  <c r="P52" i="2" s="1"/>
  <c r="P53" i="2"/>
  <c r="M53" i="2"/>
  <c r="M52" i="2"/>
  <c r="M51" i="2"/>
  <c r="P51" i="2" s="1"/>
  <c r="Q51" i="2" s="1"/>
  <c r="R51" i="2" s="1"/>
  <c r="M50" i="2"/>
  <c r="P50" i="2" s="1"/>
  <c r="Q50" i="2" s="1"/>
  <c r="R50" i="2" s="1"/>
  <c r="M49" i="2"/>
  <c r="P49" i="2" s="1"/>
  <c r="Q49" i="2" s="1"/>
  <c r="R49" i="2" s="1"/>
  <c r="M48" i="2"/>
  <c r="K47" i="2"/>
  <c r="P47" i="2" s="1"/>
  <c r="Q47" i="2" s="1"/>
  <c r="R47" i="2" s="1"/>
  <c r="M46" i="2"/>
  <c r="P46" i="2" s="1"/>
  <c r="Q46" i="2" s="1"/>
  <c r="R46" i="2" s="1"/>
  <c r="M44" i="2"/>
  <c r="P44" i="2" s="1"/>
  <c r="Q44" i="2" s="1"/>
  <c r="R44" i="2" s="1"/>
  <c r="M45" i="2"/>
  <c r="P45" i="2" s="1"/>
  <c r="M43" i="2"/>
  <c r="P43" i="2" s="1"/>
  <c r="Q43" i="2" s="1"/>
  <c r="R43" i="2" s="1"/>
  <c r="K41" i="2"/>
  <c r="P41" i="2" s="1"/>
  <c r="Q41" i="2" s="1"/>
  <c r="R41" i="2" s="1"/>
  <c r="K40" i="2"/>
  <c r="P40" i="2" s="1"/>
  <c r="Q40" i="2" s="1"/>
  <c r="R40" i="2" s="1"/>
  <c r="K39" i="2"/>
  <c r="P39" i="2" s="1"/>
  <c r="Q39" i="2" s="1"/>
  <c r="R39" i="2" s="1"/>
  <c r="P36" i="2"/>
  <c r="Q36" i="2" s="1"/>
  <c r="R36" i="2" s="1"/>
  <c r="K37" i="2"/>
  <c r="P37" i="2" s="1"/>
  <c r="Q37" i="2" s="1"/>
  <c r="R37" i="2" s="1"/>
  <c r="K36" i="2"/>
  <c r="M35" i="2"/>
  <c r="P35" i="2" s="1"/>
  <c r="Q35" i="2" s="1"/>
  <c r="R35" i="2" s="1"/>
  <c r="M34" i="2"/>
  <c r="P34" i="2" s="1"/>
  <c r="Q34" i="2" s="1"/>
  <c r="R34" i="2" s="1"/>
  <c r="M33" i="2"/>
  <c r="P33" i="2" s="1"/>
  <c r="Q33" i="2" s="1"/>
  <c r="R33" i="2" s="1"/>
  <c r="K32" i="2"/>
  <c r="P32" i="2" s="1"/>
  <c r="Q32" i="2" s="1"/>
  <c r="R32" i="2" s="1"/>
  <c r="K31" i="2"/>
  <c r="P31" i="2" s="1"/>
  <c r="P29" i="2"/>
  <c r="Q29" i="2" s="1"/>
  <c r="R29" i="2" s="1"/>
  <c r="M28" i="2"/>
  <c r="P28" i="2" s="1"/>
  <c r="O25" i="2"/>
  <c r="O27" i="2" s="1"/>
  <c r="P61" i="2" l="1"/>
  <c r="Q62" i="2"/>
  <c r="P63" i="2"/>
  <c r="Q57" i="2"/>
  <c r="Q58" i="2"/>
  <c r="Q52" i="2"/>
  <c r="R52" i="2" s="1"/>
  <c r="Q53" i="2"/>
  <c r="R53" i="2" s="1"/>
  <c r="P30" i="2"/>
  <c r="Q28" i="2"/>
  <c r="P38" i="2"/>
  <c r="Q31" i="2"/>
  <c r="P42" i="2"/>
  <c r="Q42" i="2" s="1"/>
  <c r="P48" i="2"/>
  <c r="Q48" i="2" s="1"/>
  <c r="R48" i="2" s="1"/>
  <c r="Q45" i="2"/>
  <c r="L26" i="2"/>
  <c r="R62" i="2" l="1"/>
  <c r="Q63" i="2"/>
  <c r="R45" i="2"/>
  <c r="Q61" i="2"/>
  <c r="R58" i="2"/>
  <c r="Q38" i="2"/>
  <c r="R31" i="2"/>
  <c r="R28" i="2"/>
  <c r="Q30" i="2"/>
  <c r="N25" i="2"/>
  <c r="P25" i="2" s="1"/>
  <c r="Q25" i="2" s="1"/>
  <c r="R25" i="2" s="1"/>
  <c r="M26" i="2"/>
  <c r="M25" i="2"/>
  <c r="M24" i="2"/>
  <c r="P24" i="2" s="1"/>
  <c r="M22" i="2"/>
  <c r="P22" i="2" s="1"/>
  <c r="Q22" i="2" s="1"/>
  <c r="R22" i="2" s="1"/>
  <c r="P17" i="2"/>
  <c r="Q17" i="2" s="1"/>
  <c r="R17" i="2" s="1"/>
  <c r="M17" i="2"/>
  <c r="M18" i="2"/>
  <c r="M19" i="2"/>
  <c r="M20" i="2"/>
  <c r="M21" i="2"/>
  <c r="M16" i="2"/>
  <c r="O16" i="2" s="1"/>
  <c r="P16" i="2" s="1"/>
  <c r="Q16" i="2" s="1"/>
  <c r="R16" i="2" s="1"/>
  <c r="M15" i="2"/>
  <c r="O15" i="2" s="1"/>
  <c r="O14" i="2"/>
  <c r="P27" i="2" l="1"/>
  <c r="O23" i="2"/>
  <c r="P15" i="2"/>
  <c r="M13" i="2"/>
  <c r="P13" i="2" s="1"/>
  <c r="M9" i="2"/>
  <c r="P9" i="2" s="1"/>
  <c r="Q9" i="2" s="1"/>
  <c r="R9" i="2" s="1"/>
  <c r="M10" i="2"/>
  <c r="P10" i="2" s="1"/>
  <c r="Q10" i="2" s="1"/>
  <c r="R10" i="2" s="1"/>
  <c r="M11" i="2"/>
  <c r="P11" i="2" s="1"/>
  <c r="Q11" i="2" s="1"/>
  <c r="R11" i="2" s="1"/>
  <c r="M8" i="2"/>
  <c r="P8" i="2" s="1"/>
  <c r="P6" i="2"/>
  <c r="Q6" i="2" s="1"/>
  <c r="P5" i="2"/>
  <c r="Q5" i="2" s="1"/>
  <c r="Q7" i="2" s="1"/>
  <c r="C24" i="4"/>
  <c r="Q21" i="4"/>
  <c r="P21" i="4"/>
  <c r="H21" i="4"/>
  <c r="G21" i="4"/>
  <c r="F21" i="4"/>
  <c r="Q18" i="4"/>
  <c r="Q19" i="4" s="1"/>
  <c r="P18" i="4"/>
  <c r="P19" i="4" s="1"/>
  <c r="O18" i="4"/>
  <c r="H18" i="4"/>
  <c r="H19" i="4" s="1"/>
  <c r="G18" i="4"/>
  <c r="G19" i="4" s="1"/>
  <c r="F18" i="4"/>
  <c r="F19" i="4" s="1"/>
  <c r="Q8" i="2" l="1"/>
  <c r="P12" i="2"/>
  <c r="P14" i="2"/>
  <c r="Q13" i="2"/>
  <c r="P7" i="2"/>
  <c r="P23" i="2"/>
  <c r="Q15" i="2"/>
  <c r="C70" i="2"/>
  <c r="G26" i="2"/>
  <c r="G25" i="2"/>
  <c r="H25" i="2" s="1"/>
  <c r="Q24" i="2"/>
  <c r="G33" i="2"/>
  <c r="H33" i="2" s="1"/>
  <c r="G34" i="2"/>
  <c r="H34" i="2" s="1"/>
  <c r="G35" i="2"/>
  <c r="H35" i="2" s="1"/>
  <c r="F38" i="2"/>
  <c r="C87" i="1"/>
  <c r="Q84" i="1"/>
  <c r="P84" i="1"/>
  <c r="H84" i="1"/>
  <c r="G84" i="1"/>
  <c r="F84" i="1"/>
  <c r="H82" i="1"/>
  <c r="G82" i="1"/>
  <c r="F82" i="1"/>
  <c r="H81" i="1"/>
  <c r="G81" i="1"/>
  <c r="F81" i="1"/>
  <c r="G30" i="1"/>
  <c r="F30" i="1"/>
  <c r="O68" i="1"/>
  <c r="O81" i="1" s="1"/>
  <c r="Q67" i="1"/>
  <c r="R67" i="1"/>
  <c r="P67" i="1"/>
  <c r="K67" i="1"/>
  <c r="Q66" i="1"/>
  <c r="Q68" i="1" s="1"/>
  <c r="Q81" i="1" s="1"/>
  <c r="Q82" i="1" s="1"/>
  <c r="P66" i="1"/>
  <c r="P68" i="1" s="1"/>
  <c r="P81" i="1" s="1"/>
  <c r="P82" i="1" s="1"/>
  <c r="M66" i="1"/>
  <c r="Q65" i="1"/>
  <c r="R65" i="1"/>
  <c r="P65" i="1"/>
  <c r="M65" i="1"/>
  <c r="Q64" i="1"/>
  <c r="R64" i="1" s="1"/>
  <c r="P64" i="1"/>
  <c r="M64" i="1"/>
  <c r="Q63" i="1"/>
  <c r="R63" i="1" s="1"/>
  <c r="P63" i="1"/>
  <c r="M63" i="1"/>
  <c r="Q62" i="1"/>
  <c r="R62" i="1" s="1"/>
  <c r="P62" i="1"/>
  <c r="M62" i="1"/>
  <c r="Q61" i="1"/>
  <c r="R61" i="1" s="1"/>
  <c r="P61" i="1"/>
  <c r="M61" i="1"/>
  <c r="R60" i="1"/>
  <c r="Q60" i="1"/>
  <c r="P60" i="1"/>
  <c r="M60" i="1"/>
  <c r="O59" i="1"/>
  <c r="M59" i="1"/>
  <c r="R55" i="1"/>
  <c r="Q55" i="1"/>
  <c r="P55" i="1"/>
  <c r="O55" i="1"/>
  <c r="M56" i="1"/>
  <c r="M57" i="1"/>
  <c r="M58" i="1"/>
  <c r="M55" i="1"/>
  <c r="Q54" i="1"/>
  <c r="P54" i="1"/>
  <c r="O54" i="1"/>
  <c r="R53" i="1"/>
  <c r="Q53" i="1"/>
  <c r="P53" i="1"/>
  <c r="M53" i="1"/>
  <c r="Q52" i="1"/>
  <c r="P52" i="1"/>
  <c r="O52" i="1"/>
  <c r="P50" i="1"/>
  <c r="Q50" i="1"/>
  <c r="R50" i="1" s="1"/>
  <c r="P51" i="1"/>
  <c r="Q51" i="1"/>
  <c r="R51" i="1"/>
  <c r="R49" i="1"/>
  <c r="Q49" i="1"/>
  <c r="P49" i="1"/>
  <c r="K50" i="1"/>
  <c r="K51" i="1"/>
  <c r="K49" i="1"/>
  <c r="Q48" i="1"/>
  <c r="P48" i="1"/>
  <c r="O48" i="1"/>
  <c r="M45" i="1"/>
  <c r="P45" i="1" s="1"/>
  <c r="Q45" i="1" s="1"/>
  <c r="R45" i="1" s="1"/>
  <c r="R44" i="1"/>
  <c r="Q44" i="1"/>
  <c r="P44" i="1"/>
  <c r="M44" i="1"/>
  <c r="R43" i="1"/>
  <c r="Q43" i="1"/>
  <c r="O43" i="1"/>
  <c r="P43" i="1" s="1"/>
  <c r="M43" i="1"/>
  <c r="K47" i="1"/>
  <c r="P47" i="1" s="1"/>
  <c r="Q47" i="1" s="1"/>
  <c r="R47" i="1" s="1"/>
  <c r="K46" i="1"/>
  <c r="P46" i="1" s="1"/>
  <c r="Q46" i="1" s="1"/>
  <c r="R46" i="1" s="1"/>
  <c r="H48" i="1"/>
  <c r="G48" i="1"/>
  <c r="F48" i="1"/>
  <c r="E48" i="1"/>
  <c r="G47" i="1"/>
  <c r="G46" i="1"/>
  <c r="F47" i="1"/>
  <c r="H47" i="1" s="1"/>
  <c r="F46" i="1"/>
  <c r="H46" i="1" s="1"/>
  <c r="O42" i="1"/>
  <c r="K41" i="1"/>
  <c r="P41" i="1" s="1"/>
  <c r="O40" i="1"/>
  <c r="M39" i="1"/>
  <c r="P39" i="1" s="1"/>
  <c r="Q14" i="2" l="1"/>
  <c r="R13" i="2"/>
  <c r="Q27" i="2"/>
  <c r="Q64" i="2" s="1"/>
  <c r="Q65" i="2" s="1"/>
  <c r="R24" i="2"/>
  <c r="Q23" i="2"/>
  <c r="R15" i="2"/>
  <c r="Q12" i="2"/>
  <c r="R8" i="2"/>
  <c r="R66" i="1"/>
  <c r="F27" i="2"/>
  <c r="F64" i="2" s="1"/>
  <c r="F65" i="2" s="1"/>
  <c r="G24" i="2"/>
  <c r="G27" i="2" s="1"/>
  <c r="G64" i="2" s="1"/>
  <c r="G65" i="2" s="1"/>
  <c r="H26" i="2"/>
  <c r="G38" i="2"/>
  <c r="H38" i="2"/>
  <c r="P59" i="1"/>
  <c r="Q59" i="1" s="1"/>
  <c r="R59" i="1" s="1"/>
  <c r="Q41" i="1"/>
  <c r="P42" i="1"/>
  <c r="P40" i="1"/>
  <c r="Q39" i="1"/>
  <c r="O38" i="1"/>
  <c r="M37" i="1"/>
  <c r="P37" i="1" s="1"/>
  <c r="P38" i="1" s="1"/>
  <c r="O33" i="1"/>
  <c r="M34" i="1"/>
  <c r="M33" i="1"/>
  <c r="P33" i="1" s="1"/>
  <c r="O35" i="1"/>
  <c r="O36" i="1" s="1"/>
  <c r="M35" i="1"/>
  <c r="H24" i="2" l="1"/>
  <c r="H27" i="2" s="1"/>
  <c r="H64" i="2" s="1"/>
  <c r="H65" i="2" s="1"/>
  <c r="Q33" i="1"/>
  <c r="R39" i="1"/>
  <c r="Q40" i="1"/>
  <c r="P35" i="1"/>
  <c r="Q35" i="1" s="1"/>
  <c r="R35" i="1" s="1"/>
  <c r="Q42" i="1"/>
  <c r="R41" i="1"/>
  <c r="O32" i="1"/>
  <c r="O30" i="1"/>
  <c r="M31" i="1"/>
  <c r="P31" i="1" s="1"/>
  <c r="M29" i="1"/>
  <c r="P29" i="1" s="1"/>
  <c r="Q29" i="1" s="1"/>
  <c r="R29" i="1" s="1"/>
  <c r="K28" i="1"/>
  <c r="P28" i="1" s="1"/>
  <c r="P26" i="1"/>
  <c r="Q26" i="1" s="1"/>
  <c r="R26" i="1" s="1"/>
  <c r="M26" i="1"/>
  <c r="P30" i="1" l="1"/>
  <c r="Q28" i="1"/>
  <c r="P32" i="1"/>
  <c r="Q31" i="1"/>
  <c r="P36" i="1"/>
  <c r="R33" i="1"/>
  <c r="Q36" i="1"/>
  <c r="Q30" i="1" l="1"/>
  <c r="R28" i="1"/>
  <c r="Q32" i="1"/>
  <c r="R31" i="1"/>
  <c r="M25" i="1" l="1"/>
  <c r="M24" i="1"/>
  <c r="P24" i="1" s="1"/>
  <c r="Q24" i="1" s="1"/>
  <c r="R24" i="1" s="1"/>
  <c r="O19" i="1"/>
  <c r="M20" i="1"/>
  <c r="M21" i="1"/>
  <c r="M22" i="1"/>
  <c r="M23" i="1"/>
  <c r="M19" i="1"/>
  <c r="P19" i="1" s="1"/>
  <c r="P13" i="1"/>
  <c r="P14" i="1" s="1"/>
  <c r="O18" i="1"/>
  <c r="P16" i="1"/>
  <c r="Q16" i="1" s="1"/>
  <c r="R16" i="1" s="1"/>
  <c r="M16" i="1"/>
  <c r="M17" i="1"/>
  <c r="P15" i="1"/>
  <c r="P18" i="1" s="1"/>
  <c r="O15" i="1"/>
  <c r="M15" i="1"/>
  <c r="P11" i="1"/>
  <c r="P12" i="1" s="1"/>
  <c r="P9" i="1"/>
  <c r="P10" i="1" s="1"/>
  <c r="P7" i="1"/>
  <c r="Q7" i="1" s="1"/>
  <c r="Q8" i="1" s="1"/>
  <c r="O6" i="1"/>
  <c r="P5" i="1"/>
  <c r="P6" i="1" s="1"/>
  <c r="G38" i="1"/>
  <c r="F37" i="1"/>
  <c r="G45" i="1"/>
  <c r="H45" i="1" s="1"/>
  <c r="G44" i="1"/>
  <c r="H44" i="1" s="1"/>
  <c r="P70" i="1"/>
  <c r="M76" i="1"/>
  <c r="P76" i="1" s="1"/>
  <c r="Q76" i="1" s="1"/>
  <c r="R76" i="1" s="1"/>
  <c r="M75" i="1"/>
  <c r="P75" i="1" s="1"/>
  <c r="Q75" i="1" s="1"/>
  <c r="R75" i="1" s="1"/>
  <c r="M74" i="1"/>
  <c r="P74" i="1" s="1"/>
  <c r="Q74" i="1" s="1"/>
  <c r="R74" i="1" s="1"/>
  <c r="M73" i="1"/>
  <c r="P73" i="1" s="1"/>
  <c r="Q73" i="1" s="1"/>
  <c r="R73" i="1" s="1"/>
  <c r="M72" i="1"/>
  <c r="P72" i="1" s="1"/>
  <c r="Q72" i="1" s="1"/>
  <c r="R72" i="1" s="1"/>
  <c r="M71" i="1"/>
  <c r="P71" i="1" s="1"/>
  <c r="Q71" i="1" s="1"/>
  <c r="Q69" i="1"/>
  <c r="Q70" i="1" s="1"/>
  <c r="Q19" i="1" l="1"/>
  <c r="P25" i="1"/>
  <c r="Q25" i="1" s="1"/>
  <c r="R25" i="1" s="1"/>
  <c r="Q13" i="1"/>
  <c r="Q14" i="1" s="1"/>
  <c r="O25" i="1"/>
  <c r="O27" i="1" s="1"/>
  <c r="F38" i="1"/>
  <c r="Q37" i="1"/>
  <c r="H37" i="1"/>
  <c r="H38" i="1" s="1"/>
  <c r="Q15" i="1"/>
  <c r="Q5" i="1"/>
  <c r="Q6" i="1" s="1"/>
  <c r="P8" i="1"/>
  <c r="Q11" i="1"/>
  <c r="Q12" i="1" s="1"/>
  <c r="Q9" i="1"/>
  <c r="Q10" i="1" s="1"/>
  <c r="Q77" i="1"/>
  <c r="R71" i="1"/>
  <c r="P77" i="1"/>
  <c r="R69" i="1"/>
  <c r="P79" i="1"/>
  <c r="Q79" i="1" s="1"/>
  <c r="P78" i="1"/>
  <c r="H29" i="1"/>
  <c r="Q38" i="1" l="1"/>
  <c r="R37" i="1"/>
  <c r="Q27" i="1"/>
  <c r="R19" i="1"/>
  <c r="P27" i="1"/>
  <c r="Q18" i="1"/>
  <c r="R15" i="1"/>
  <c r="Q78" i="1"/>
  <c r="Q80" i="1" s="1"/>
  <c r="P8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김윤옥</author>
  </authors>
  <commentList>
    <comment ref="O25" authorId="0" shapeId="0" xr:uid="{B953FDA2-3C72-49E2-B798-B5C2A776EBA4}">
      <text>
        <r>
          <rPr>
            <b/>
            <sz val="9"/>
            <color indexed="81"/>
            <rFont val="돋움"/>
            <family val="3"/>
            <charset val="129"/>
          </rPr>
          <t>김윤옥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나머지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다음달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>20K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>.</t>
        </r>
      </text>
    </comment>
    <comment ref="O33" authorId="0" shapeId="0" xr:uid="{3284ACB4-4EF9-4AE1-85D0-3919DD4F0320}">
      <text>
        <r>
          <rPr>
            <b/>
            <sz val="9"/>
            <color indexed="81"/>
            <rFont val="돋움"/>
            <family val="3"/>
            <charset val="129"/>
          </rPr>
          <t>김윤옥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EHR-03 240K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>,
HER-04 60K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운임</t>
        </r>
        <r>
          <rPr>
            <sz val="9"/>
            <color indexed="81"/>
            <rFont val="Tahoma"/>
            <family val="2"/>
          </rPr>
          <t>370140</t>
        </r>
        <r>
          <rPr>
            <sz val="9"/>
            <color indexed="81"/>
            <rFont val="돋움"/>
            <family val="3"/>
            <charset val="129"/>
          </rPr>
          <t>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일괄적용</t>
        </r>
      </text>
    </comment>
    <comment ref="O55" authorId="0" shapeId="0" xr:uid="{8F0DF82B-F7AB-43C5-9B9F-B7639ED2D02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총중량</t>
        </r>
        <r>
          <rPr>
            <sz val="9"/>
            <color indexed="81"/>
            <rFont val="Tahoma"/>
            <family val="2"/>
          </rPr>
          <t xml:space="preserve">338KG
</t>
        </r>
        <r>
          <rPr>
            <sz val="9"/>
            <color indexed="81"/>
            <rFont val="돋움"/>
            <family val="3"/>
            <charset val="129"/>
          </rPr>
          <t>이노베이션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135KG,</t>
        </r>
        <r>
          <rPr>
            <sz val="9"/>
            <color indexed="81"/>
            <rFont val="돋움"/>
            <family val="3"/>
            <charset val="129"/>
          </rPr>
          <t>효성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163KG.</t>
        </r>
        <r>
          <rPr>
            <sz val="9"/>
            <color indexed="81"/>
            <rFont val="돋움"/>
            <family val="3"/>
            <charset val="129"/>
          </rPr>
          <t>효성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>40KG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김윤옥</author>
  </authors>
  <commentList>
    <comment ref="O25" authorId="0" shapeId="0" xr:uid="{77116423-0280-4EA6-9681-5646F3CB5251}">
      <text>
        <r>
          <rPr>
            <b/>
            <sz val="9"/>
            <color indexed="81"/>
            <rFont val="돋움"/>
            <family val="3"/>
            <charset val="129"/>
          </rPr>
          <t>김윤옥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사급자재발송운임</t>
        </r>
        <r>
          <rPr>
            <sz val="9"/>
            <color indexed="81"/>
            <rFont val="Tahoma"/>
            <family val="2"/>
          </rPr>
          <t xml:space="preserve"> 115590</t>
        </r>
        <r>
          <rPr>
            <sz val="9"/>
            <color indexed="81"/>
            <rFont val="돋움"/>
            <family val="3"/>
            <charset val="129"/>
          </rPr>
          <t xml:space="preserve">원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김윤옥</author>
  </authors>
  <commentList>
    <comment ref="B5" authorId="0" shapeId="0" xr:uid="{318B5409-671D-457E-A5FA-106DCE7E0EE8}">
      <text>
        <r>
          <rPr>
            <b/>
            <sz val="9"/>
            <color indexed="81"/>
            <rFont val="돋움"/>
            <family val="3"/>
            <charset val="129"/>
          </rPr>
          <t>김윤옥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한국전자기술연구원매출</t>
        </r>
      </text>
    </comment>
  </commentList>
</comments>
</file>

<file path=xl/sharedStrings.xml><?xml version="1.0" encoding="utf-8"?>
<sst xmlns="http://schemas.openxmlformats.org/spreadsheetml/2006/main" count="557" uniqueCount="248">
  <si>
    <t>노랑색표기는 예상금액</t>
    <phoneticPr fontId="2" type="noConversion"/>
  </si>
  <si>
    <t>순번</t>
    <phoneticPr fontId="2" type="noConversion"/>
  </si>
  <si>
    <t>매출금액</t>
    <phoneticPr fontId="2" type="noConversion"/>
  </si>
  <si>
    <t>매입금액</t>
    <phoneticPr fontId="2" type="noConversion"/>
  </si>
  <si>
    <t>매출이윤</t>
    <phoneticPr fontId="2" type="noConversion"/>
  </si>
  <si>
    <t>마진율%</t>
    <phoneticPr fontId="2" type="noConversion"/>
  </si>
  <si>
    <r>
      <rPr>
        <b/>
        <sz val="11"/>
        <rFont val="돋움"/>
        <family val="3"/>
        <charset val="129"/>
      </rPr>
      <t>매출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거래처</t>
    </r>
    <phoneticPr fontId="2" type="noConversion"/>
  </si>
  <si>
    <t>일별</t>
  </si>
  <si>
    <t>품목명[규격]</t>
  </si>
  <si>
    <t>수량</t>
  </si>
  <si>
    <t>공급가액</t>
  </si>
  <si>
    <t>부가세</t>
  </si>
  <si>
    <t>합계</t>
  </si>
  <si>
    <r>
      <rPr>
        <b/>
        <sz val="11"/>
        <rFont val="맑은 고딕"/>
        <family val="2"/>
      </rPr>
      <t>매입처</t>
    </r>
    <phoneticPr fontId="2" type="noConversion"/>
  </si>
  <si>
    <r>
      <rPr>
        <b/>
        <sz val="11"/>
        <rFont val="맑은 고딕"/>
        <family val="2"/>
      </rPr>
      <t>원화단가</t>
    </r>
    <phoneticPr fontId="2" type="noConversion"/>
  </si>
  <si>
    <r>
      <rPr>
        <b/>
        <sz val="11"/>
        <rFont val="맑은 고딕"/>
        <family val="2"/>
      </rPr>
      <t>원화금액</t>
    </r>
    <phoneticPr fontId="2" type="noConversion"/>
  </si>
  <si>
    <r>
      <t>USD</t>
    </r>
    <r>
      <rPr>
        <b/>
        <sz val="11"/>
        <rFont val="맑은 고딕"/>
        <family val="2"/>
      </rPr>
      <t>단가</t>
    </r>
    <phoneticPr fontId="2" type="noConversion"/>
  </si>
  <si>
    <r>
      <t>USD</t>
    </r>
    <r>
      <rPr>
        <b/>
        <sz val="11"/>
        <rFont val="맑은 고딕"/>
        <family val="2"/>
      </rPr>
      <t>금액</t>
    </r>
    <phoneticPr fontId="2" type="noConversion"/>
  </si>
  <si>
    <r>
      <rPr>
        <b/>
        <sz val="11"/>
        <rFont val="맑은 고딕"/>
        <family val="2"/>
      </rPr>
      <t>관세</t>
    </r>
    <phoneticPr fontId="2" type="noConversion"/>
  </si>
  <si>
    <t>운임외부대비</t>
    <phoneticPr fontId="2" type="noConversion"/>
  </si>
  <si>
    <r>
      <rPr>
        <b/>
        <sz val="11"/>
        <rFont val="맑은 고딕"/>
        <family val="2"/>
      </rPr>
      <t>구입가액</t>
    </r>
    <phoneticPr fontId="2" type="noConversion"/>
  </si>
  <si>
    <t>비고</t>
    <phoneticPr fontId="2" type="noConversion"/>
  </si>
  <si>
    <t>주식회사 로보티즈</t>
  </si>
  <si>
    <t>주식회사 로보티즈 계</t>
  </si>
  <si>
    <t>주식회사 휴이노</t>
  </si>
  <si>
    <t>주식회사 휴이노 계</t>
  </si>
  <si>
    <t>에스씨에스프로주식회사</t>
  </si>
  <si>
    <t>SJJ-001LA [RJ9,BOTTOM TAP,GOLD FLASH, 4PIN]</t>
  </si>
  <si>
    <t>SINOTECH</t>
    <phoneticPr fontId="2" type="noConversion"/>
  </si>
  <si>
    <t>SJJ-009LA [6P6C Side Entry Jack,Tab Up]</t>
  </si>
  <si>
    <t>SMD-015LA [DC-JACK, DIN422]</t>
  </si>
  <si>
    <t>에스씨에스프로주식회사 계</t>
  </si>
  <si>
    <t>주식회사 엠씨넥스</t>
  </si>
  <si>
    <t>주식회사 엠씨넥스 계</t>
  </si>
  <si>
    <t>유한회사 티지앤컴퍼니</t>
  </si>
  <si>
    <t>PHISON</t>
    <phoneticPr fontId="2" type="noConversion"/>
  </si>
  <si>
    <t>유한회사 티지앤컴퍼니 계</t>
  </si>
  <si>
    <t>ACES</t>
    <phoneticPr fontId="2" type="noConversion"/>
  </si>
  <si>
    <t>CABLE-CN5:CSM60</t>
  </si>
  <si>
    <t>TM TECH</t>
    <phoneticPr fontId="2" type="noConversion"/>
  </si>
  <si>
    <t>BL:HPHICN23120125 25박스,338KG</t>
    <phoneticPr fontId="2" type="noConversion"/>
  </si>
  <si>
    <t>CABLE: TE_IF:CSM60</t>
  </si>
  <si>
    <t>CABLE: CN51_52:CSM60</t>
  </si>
  <si>
    <t>CABLE: CN14_CN15:CSM60</t>
  </si>
  <si>
    <t>천종전자</t>
    <phoneticPr fontId="2" type="noConversion"/>
  </si>
  <si>
    <t>BL:HYHY23120207 16KG</t>
    <phoneticPr fontId="2" type="noConversion"/>
  </si>
  <si>
    <t>탑텍</t>
    <phoneticPr fontId="2" type="noConversion"/>
  </si>
  <si>
    <t>주식화사 창성아이텍</t>
  </si>
  <si>
    <t>1102C-2(8mm)</t>
  </si>
  <si>
    <t>화이트전자</t>
    <phoneticPr fontId="2" type="noConversion"/>
  </si>
  <si>
    <t>1102(9.5mm)</t>
  </si>
  <si>
    <t>주식화사 창성아이텍 계</t>
  </si>
  <si>
    <t>효성티앤에스 ㈜</t>
  </si>
  <si>
    <t>B04B-XASK-1</t>
  </si>
  <si>
    <t>한국제이에스티</t>
    <phoneticPr fontId="2" type="noConversion"/>
  </si>
  <si>
    <t>USB_CABLE:AM TO MINIB:D/A:1M</t>
    <phoneticPr fontId="2" type="noConversion"/>
  </si>
  <si>
    <t>효성티앤에스 ㈜ 계</t>
  </si>
  <si>
    <t>기산전자(주)</t>
  </si>
  <si>
    <t>기산전자(주) 계</t>
  </si>
  <si>
    <t>GEH (HUIZHOU GALAXIA ELECTRONICS CO.,LTD)</t>
  </si>
  <si>
    <t>CABLE_ASSY: CN1 IF_NFA:RC50</t>
  </si>
  <si>
    <t>RC1/F→CN1 (NFA RC60 CABLE)</t>
  </si>
  <si>
    <t>GEH (HUIZHOU GALAXIA ELECTRONICS CO.,LTD) 계</t>
  </si>
  <si>
    <t>Dongguan QianZhong Electronic</t>
  </si>
  <si>
    <t>심텍</t>
    <phoneticPr fontId="2" type="noConversion"/>
  </si>
  <si>
    <t>Dongguan QianZhong Electronic 계</t>
  </si>
  <si>
    <r>
      <t>2023</t>
    </r>
    <r>
      <rPr>
        <b/>
        <sz val="10"/>
        <color indexed="8"/>
        <rFont val="맑은 고딕"/>
        <family val="2"/>
      </rPr>
      <t>년도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맑은 고딕"/>
        <family val="2"/>
      </rPr>
      <t>누계</t>
    </r>
    <phoneticPr fontId="2" type="noConversion"/>
  </si>
  <si>
    <r>
      <rPr>
        <b/>
        <sz val="12"/>
        <rFont val="돋움"/>
        <family val="3"/>
        <charset val="129"/>
      </rPr>
      <t>회사명</t>
    </r>
    <r>
      <rPr>
        <b/>
        <sz val="12"/>
        <rFont val="Arial"/>
        <family val="2"/>
      </rPr>
      <t xml:space="preserve"> : (</t>
    </r>
    <r>
      <rPr>
        <b/>
        <sz val="12"/>
        <rFont val="돋움"/>
        <family val="3"/>
        <charset val="129"/>
      </rPr>
      <t>주</t>
    </r>
    <r>
      <rPr>
        <b/>
        <sz val="12"/>
        <rFont val="Arial"/>
        <family val="2"/>
      </rPr>
      <t>)</t>
    </r>
    <r>
      <rPr>
        <b/>
        <sz val="12"/>
        <rFont val="돋움"/>
        <family val="3"/>
        <charset val="129"/>
      </rPr>
      <t>한국아이콘</t>
    </r>
    <r>
      <rPr>
        <b/>
        <sz val="12"/>
        <rFont val="Arial"/>
        <family val="2"/>
      </rPr>
      <t xml:space="preserve"> / 2024/01/01  ~ 2024/01/31</t>
    </r>
    <phoneticPr fontId="2" type="noConversion"/>
  </si>
  <si>
    <r>
      <rPr>
        <sz val="10"/>
        <rFont val="돋움"/>
        <family val="3"/>
        <charset val="129"/>
      </rPr>
      <t>수입적용환율</t>
    </r>
    <r>
      <rPr>
        <sz val="10"/>
        <rFont val="Arial"/>
        <family val="2"/>
      </rPr>
      <t xml:space="preserve">: </t>
    </r>
    <r>
      <rPr>
        <sz val="10"/>
        <rFont val="돋움"/>
        <family val="3"/>
        <charset val="129"/>
      </rPr>
      <t>송금일기준</t>
    </r>
    <r>
      <rPr>
        <sz val="10"/>
        <rFont val="Arial"/>
        <family val="2"/>
      </rPr>
      <t>. 3</t>
    </r>
    <r>
      <rPr>
        <sz val="10"/>
        <rFont val="돋움"/>
        <family val="3"/>
        <charset val="129"/>
      </rPr>
      <t>자무역및수출적용환율</t>
    </r>
    <r>
      <rPr>
        <sz val="10"/>
        <rFont val="Arial"/>
        <family val="2"/>
      </rPr>
      <t/>
    </r>
    <phoneticPr fontId="2" type="noConversion"/>
  </si>
  <si>
    <r>
      <t>2024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</si>
  <si>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r>
      <t>2024</t>
    </r>
    <r>
      <rPr>
        <b/>
        <sz val="10"/>
        <color indexed="8"/>
        <rFont val="맑은 고딕"/>
        <family val="2"/>
      </rPr>
      <t>년도</t>
    </r>
    <r>
      <rPr>
        <b/>
        <sz val="10"/>
        <color indexed="8"/>
        <rFont val="Arial"/>
        <family val="2"/>
      </rPr>
      <t xml:space="preserve"> </t>
    </r>
    <r>
      <rPr>
        <b/>
        <sz val="10"/>
        <color indexed="8"/>
        <rFont val="맑은 고딕"/>
        <family val="2"/>
      </rPr>
      <t>누계</t>
    </r>
    <phoneticPr fontId="2" type="noConversion"/>
  </si>
  <si>
    <r>
      <t>2023</t>
    </r>
    <r>
      <rPr>
        <sz val="10"/>
        <color indexed="8"/>
        <rFont val="맑은 고딕"/>
        <family val="2"/>
      </rPr>
      <t>년</t>
    </r>
    <r>
      <rPr>
        <sz val="10"/>
        <color indexed="8"/>
        <rFont val="Arial"/>
        <family val="2"/>
      </rPr>
      <t>1</t>
    </r>
    <r>
      <rPr>
        <sz val="10"/>
        <color indexed="8"/>
        <rFont val="맑은 고딕"/>
        <family val="2"/>
      </rPr>
      <t>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맑은 고딕"/>
        <family val="2"/>
      </rPr>
      <t>합계</t>
    </r>
    <phoneticPr fontId="2" type="noConversion"/>
  </si>
  <si>
    <t>24년 누적마진율</t>
    <phoneticPr fontId="2" type="noConversion"/>
  </si>
  <si>
    <t>23년 누적마진율</t>
    <phoneticPr fontId="2" type="noConversion"/>
  </si>
  <si>
    <t xml:space="preserve">2024/01/01 </t>
  </si>
  <si>
    <t xml:space="preserve">2024/01/17 </t>
  </si>
  <si>
    <t xml:space="preserve">2024/01/18 </t>
  </si>
  <si>
    <t xml:space="preserve">2024/01/26 </t>
  </si>
  <si>
    <t xml:space="preserve">2024/01/10 </t>
  </si>
  <si>
    <t>SJM-023LD [6P2C Side Entry Jack Gold Flash W/panel]</t>
  </si>
  <si>
    <t>SJU-0006ALA [USB A/F R/A DIP]</t>
  </si>
  <si>
    <t>SBA135-3 [TERMINAL, Battery]</t>
  </si>
  <si>
    <t>SJL-003LC [RJ45, TOP TAP, WITH LED,NO SHIELD ,GOLD FLASH, 8 PIN]</t>
  </si>
  <si>
    <t xml:space="preserve">2024/01/31 </t>
  </si>
  <si>
    <t>샘플비용</t>
  </si>
  <si>
    <t xml:space="preserve">2024/01/03 </t>
  </si>
  <si>
    <t xml:space="preserve">2024/01/12 </t>
  </si>
  <si>
    <t>(주)신원이앤제이</t>
  </si>
  <si>
    <t xml:space="preserve">2024/01/16 </t>
  </si>
  <si>
    <t>EHR-04</t>
  </si>
  <si>
    <t>(주)신원이앤제이 계</t>
  </si>
  <si>
    <t xml:space="preserve">2024/01/15 </t>
  </si>
  <si>
    <t>B06B-XASK-1</t>
  </si>
  <si>
    <t>BM50B-SHLDS-G-TFT</t>
  </si>
  <si>
    <t xml:space="preserve">2024/01/23 </t>
  </si>
  <si>
    <t>3321000035 BCU50:HALL_FFC</t>
  </si>
  <si>
    <t>주식회사 지엔에스 트레이닝</t>
  </si>
  <si>
    <t xml:space="preserve">2024/01/02 </t>
  </si>
  <si>
    <t>50281-00801-001,8P wafer</t>
  </si>
  <si>
    <t>주식회사 지엔에스 트레이닝 계</t>
  </si>
  <si>
    <t>주식회사금오전자</t>
  </si>
  <si>
    <t>PGC05303 TR plunger 10u / Barrel : 4u T&amp;R packing</t>
  </si>
  <si>
    <t>주식회사금오전자 계</t>
  </si>
  <si>
    <t>주식회사 라투스</t>
  </si>
  <si>
    <t xml:space="preserve">2024/01/24 </t>
  </si>
  <si>
    <t>주식회사 라투스 계</t>
  </si>
  <si>
    <t>(주)스마트디앤씨</t>
  </si>
  <si>
    <t>LED LS (CL-BIT1608DBW-10K-02/WHITE)</t>
  </si>
  <si>
    <t>(주)스마트디앤씨 계</t>
  </si>
  <si>
    <t>WP-C099 CABLE [UL2725#28*1P+#24*2C+ SA610/S4B+SA611/P4B L=1000MM 후작업]</t>
  </si>
  <si>
    <t>S4B-EH-GU</t>
  </si>
  <si>
    <t>센시리온오토모티브솔루션즈코리아 주식회사</t>
  </si>
  <si>
    <t>센시리온오토모티브솔루션즈코리아 주식회사 계</t>
  </si>
  <si>
    <t>신비앤텍 주식회사</t>
  </si>
  <si>
    <t>신비앤텍 주식회사 계</t>
  </si>
  <si>
    <t>주식회사 드림에이스</t>
  </si>
  <si>
    <t>주식회사 드림에이스 계</t>
  </si>
  <si>
    <t>1102VD-2 [3.5phi.L=8.35mm]</t>
  </si>
  <si>
    <t>(주)서용엔지니어링</t>
  </si>
  <si>
    <t>(주)서용엔지니어링 계</t>
  </si>
  <si>
    <r>
      <t>2024/01/</t>
    </r>
    <r>
      <rPr>
        <sz val="10"/>
        <rFont val="Arial"/>
        <family val="2"/>
      </rPr>
      <t>1-31</t>
    </r>
    <r>
      <rPr>
        <sz val="10"/>
        <rFont val="Arial"/>
        <family val="2"/>
      </rPr>
      <t xml:space="preserve"> </t>
    </r>
    <phoneticPr fontId="2" type="noConversion"/>
  </si>
  <si>
    <r>
      <t>C</t>
    </r>
    <r>
      <rPr>
        <sz val="10"/>
        <rFont val="Arial"/>
        <family val="2"/>
      </rPr>
      <t>ABLE</t>
    </r>
    <phoneticPr fontId="2" type="noConversion"/>
  </si>
  <si>
    <t xml:space="preserve">2024/01/08 </t>
  </si>
  <si>
    <t>주식회사 에스알브이포지셔닝(SRV positioning)</t>
  </si>
  <si>
    <t>HZ9065113-10,000mah</t>
  </si>
  <si>
    <t>2pin 2.84mmH 7mmH_SMT female connector</t>
  </si>
  <si>
    <t>2pin 2.84mmPH magnetic cable connector(1.0m tpe2A AWG24X2C)</t>
  </si>
  <si>
    <t>주식회사 에스알브이포지셔닝(SRV positioning) 계</t>
  </si>
  <si>
    <t xml:space="preserve">2024/01/22 </t>
  </si>
  <si>
    <t>기타</t>
    <phoneticPr fontId="2" type="noConversion"/>
  </si>
  <si>
    <r>
      <rPr>
        <sz val="10"/>
        <rFont val="돋움"/>
        <family val="3"/>
        <charset val="129"/>
      </rPr>
      <t>샘플비용</t>
    </r>
    <r>
      <rPr>
        <sz val="10"/>
        <rFont val="Arial"/>
        <family val="2"/>
      </rPr>
      <t>(BG95M6LA-64-SGNS)</t>
    </r>
    <phoneticPr fontId="2" type="noConversion"/>
  </si>
  <si>
    <r>
      <rPr>
        <sz val="10"/>
        <rFont val="돋움"/>
        <family val="3"/>
        <charset val="129"/>
      </rPr>
      <t>샘플비용</t>
    </r>
    <r>
      <rPr>
        <sz val="10"/>
        <rFont val="Arial"/>
        <family val="2"/>
      </rPr>
      <t>(14pin 2.54mmPH pogo pin)</t>
    </r>
    <phoneticPr fontId="2" type="noConversion"/>
  </si>
  <si>
    <r>
      <rPr>
        <sz val="10"/>
        <rFont val="돋움"/>
        <family val="3"/>
        <charset val="129"/>
      </rPr>
      <t>샘플비용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운송비</t>
    </r>
    <r>
      <rPr>
        <sz val="10"/>
        <rFont val="Arial"/>
        <family val="2"/>
      </rPr>
      <t>)</t>
    </r>
    <phoneticPr fontId="2" type="noConversion"/>
  </si>
  <si>
    <r>
      <rPr>
        <sz val="10"/>
        <rFont val="돋움"/>
        <family val="3"/>
        <charset val="129"/>
      </rPr>
      <t>샘플비용</t>
    </r>
    <r>
      <rPr>
        <sz val="10"/>
        <rFont val="Arial"/>
        <family val="2"/>
      </rPr>
      <t>(7</t>
    </r>
    <r>
      <rPr>
        <sz val="10"/>
        <rFont val="돋움"/>
        <family val="3"/>
        <charset val="129"/>
      </rPr>
      <t>종</t>
    </r>
    <r>
      <rPr>
        <sz val="10"/>
        <rFont val="Arial"/>
        <family val="2"/>
      </rPr>
      <t>)</t>
    </r>
    <phoneticPr fontId="2" type="noConversion"/>
  </si>
  <si>
    <t>VATS</t>
    <phoneticPr fontId="2" type="noConversion"/>
  </si>
  <si>
    <t>BL:HR36104420 22KG</t>
    <phoneticPr fontId="2" type="noConversion"/>
  </si>
  <si>
    <t>QH</t>
    <phoneticPr fontId="2" type="noConversion"/>
  </si>
  <si>
    <t>BL:7745-9143-7111 2KG</t>
  </si>
  <si>
    <t>BL:7745-9143-7111 2KG</t>
    <phoneticPr fontId="2" type="noConversion"/>
  </si>
  <si>
    <t>BL:HR36104467 15박스,225KG</t>
    <phoneticPr fontId="2" type="noConversion"/>
  </si>
  <si>
    <t>BL:7748-0932-8090 6.8KG-&gt;7.8KG</t>
    <phoneticPr fontId="2" type="noConversion"/>
  </si>
  <si>
    <t>BL:HR36104637 9박스,135KG</t>
    <phoneticPr fontId="2" type="noConversion"/>
  </si>
  <si>
    <r>
      <rPr>
        <sz val="10"/>
        <rFont val="돋움"/>
        <family val="3"/>
        <charset val="129"/>
      </rPr>
      <t>샘플비용</t>
    </r>
    <r>
      <rPr>
        <sz val="10"/>
        <rFont val="Arial"/>
        <family val="2"/>
      </rPr>
      <t>(SBA313-1(</t>
    </r>
    <phoneticPr fontId="2" type="noConversion"/>
  </si>
  <si>
    <t>BL:7745-5057-8310 0.5KG-&gt;0.9KG</t>
    <phoneticPr fontId="2" type="noConversion"/>
  </si>
  <si>
    <t>12505WS-03(P)</t>
    <phoneticPr fontId="2" type="noConversion"/>
  </si>
  <si>
    <t>SM12B-SRSS-TB</t>
    <phoneticPr fontId="2" type="noConversion"/>
  </si>
  <si>
    <t>ESO512GTLCG-ECC-2AK / 512G:M.2:2280:PHISON</t>
    <phoneticPr fontId="2" type="noConversion"/>
  </si>
  <si>
    <t>BL:7089-0214-6907 4.8KG-&gt;9.2KG</t>
    <phoneticPr fontId="2" type="noConversion"/>
  </si>
  <si>
    <t>EHR-03</t>
    <phoneticPr fontId="2" type="noConversion"/>
  </si>
  <si>
    <t>SEH-001T-P0.6</t>
    <phoneticPr fontId="2" type="noConversion"/>
  </si>
  <si>
    <t>BL:7743-2830-5723 11박스, 부피중량62KG</t>
    <phoneticPr fontId="2" type="noConversion"/>
  </si>
  <si>
    <t>23년 1월 입고재고</t>
    <phoneticPr fontId="2" type="noConversion"/>
  </si>
  <si>
    <t>BL:7745-9725-0030 3.6KG</t>
    <phoneticPr fontId="2" type="noConversion"/>
  </si>
  <si>
    <t>AMOS</t>
    <phoneticPr fontId="2" type="noConversion"/>
  </si>
  <si>
    <t>BL:7745-9924-7769 5.7KG-&gt;7.8kg</t>
    <phoneticPr fontId="2" type="noConversion"/>
  </si>
  <si>
    <t>제이엠테크놀로지</t>
    <phoneticPr fontId="2" type="noConversion"/>
  </si>
  <si>
    <t>지티엘</t>
    <phoneticPr fontId="2" type="noConversion"/>
  </si>
  <si>
    <r>
      <t xml:space="preserve">WP-C1000 CABLE [UL2725#28*1P+#24*2C+SA610/S4B+JST HER-4 L=1200MM </t>
    </r>
    <r>
      <rPr>
        <sz val="10"/>
        <rFont val="돋움"/>
        <family val="3"/>
        <charset val="129"/>
      </rPr>
      <t>후작업</t>
    </r>
    <r>
      <rPr>
        <sz val="10"/>
        <rFont val="Arial"/>
        <family val="2"/>
      </rPr>
      <t>]</t>
    </r>
    <phoneticPr fontId="2" type="noConversion"/>
  </si>
  <si>
    <t>SFH80-DV1141-L/Female Header [Vertical DIP 1*14*2.54mm]</t>
    <phoneticPr fontId="2" type="noConversion"/>
  </si>
  <si>
    <t>BL:7739-9793-8618 2박스,11KG</t>
    <phoneticPr fontId="2" type="noConversion"/>
  </si>
  <si>
    <t>A-MIC_SMD_MMO324013SNR-AS001</t>
    <phoneticPr fontId="2" type="noConversion"/>
  </si>
  <si>
    <t>MARQUESS</t>
    <phoneticPr fontId="2" type="noConversion"/>
  </si>
  <si>
    <t>7741-1093-2656 2박스</t>
    <phoneticPr fontId="2" type="noConversion"/>
  </si>
  <si>
    <t>103010021( 4P-2.54PH-3.5H-SMD-110gf+/-20gf ) [4P-2.54PH-3.5H-SMD-110gf+/-20gf]</t>
    <phoneticPr fontId="2" type="noConversion"/>
  </si>
  <si>
    <t>BL:7746-8093-9786 1KG-&gt;3KG</t>
    <phoneticPr fontId="2" type="noConversion"/>
  </si>
  <si>
    <t>코라테크</t>
    <phoneticPr fontId="2" type="noConversion"/>
  </si>
  <si>
    <t>CABLE: USB_Mini_REC0G</t>
    <phoneticPr fontId="2" type="noConversion"/>
  </si>
  <si>
    <t>CABLE:BCU50:ALM_LED</t>
    <phoneticPr fontId="2" type="noConversion"/>
  </si>
  <si>
    <t>S28B-PHDSS</t>
    <phoneticPr fontId="2" type="noConversion"/>
  </si>
  <si>
    <t>S34B-PHDSS</t>
    <phoneticPr fontId="2" type="noConversion"/>
  </si>
  <si>
    <t>BL:HYHY24010161 4박스,27KG</t>
    <phoneticPr fontId="2" type="noConversion"/>
  </si>
  <si>
    <t>1월 베트남커미션</t>
    <phoneticPr fontId="2" type="noConversion"/>
  </si>
  <si>
    <t>2024년도 누계</t>
    <phoneticPr fontId="2" type="noConversion"/>
  </si>
  <si>
    <t>ID-15A2-H FILTER(15A 250V)</t>
  </si>
  <si>
    <t xml:space="preserve">2024/02/27 </t>
  </si>
  <si>
    <t>주식회사 코빌시스 계</t>
  </si>
  <si>
    <t xml:space="preserve">2024/02/02 </t>
  </si>
  <si>
    <t>주식회사 코빌시스</t>
  </si>
  <si>
    <t>1-776228-1(TE)케이블 임가공</t>
  </si>
  <si>
    <t xml:space="preserve">2024/02/01 </t>
  </si>
  <si>
    <t>주식회사 제이컴퍼니 계</t>
  </si>
  <si>
    <t xml:space="preserve">2024/02/28 </t>
  </si>
  <si>
    <t>주식회사 제이컴퍼니</t>
  </si>
  <si>
    <r>
      <t>N</t>
    </r>
    <r>
      <rPr>
        <sz val="10"/>
        <rFont val="Arial"/>
        <family val="2"/>
      </rPr>
      <t>F CABLE</t>
    </r>
    <phoneticPr fontId="2" type="noConversion"/>
  </si>
  <si>
    <t xml:space="preserve">2024/02/06 </t>
  </si>
  <si>
    <t>1101NEA-2</t>
  </si>
  <si>
    <t>주식회사 윌로그 계</t>
  </si>
  <si>
    <t>LC76GABEK</t>
  </si>
  <si>
    <t xml:space="preserve">2024/02/05 </t>
  </si>
  <si>
    <t>주식회사 윌로그</t>
  </si>
  <si>
    <t>BG95M6LATEA-64-SGNS</t>
  </si>
  <si>
    <t>EG21GLGDTEA-128-SGNS</t>
  </si>
  <si>
    <t>UMTS-LTEEVB-KIT</t>
  </si>
  <si>
    <t>FH01-20SS [PIN HEADER_2.54mm_1x20_FEMALE (S/T)]</t>
  </si>
  <si>
    <t xml:space="preserve">2024/02/26 </t>
  </si>
  <si>
    <t>PH01-20SS [PIN HEADER_2.54mm_1x20_MALE (S/T)]</t>
  </si>
  <si>
    <t>B3B-EH-A</t>
  </si>
  <si>
    <t>B4B-EH-GU (4P S/T WHITE)</t>
  </si>
  <si>
    <t>WP-C1000 CABLE [UL2725#28*1P+#24*2C+SA610/S4B+JST HER-4 L=1200MM 후작업]</t>
  </si>
  <si>
    <t>SM50B-SHLDS-G-TF</t>
  </si>
  <si>
    <t xml:space="preserve">2024/02/22 </t>
  </si>
  <si>
    <t>DF3A-5P-2DS Tin</t>
  </si>
  <si>
    <t xml:space="preserve">2024/02/19 </t>
  </si>
  <si>
    <t>S34B-PHDSS</t>
  </si>
  <si>
    <t>S28B-PHDSS</t>
  </si>
  <si>
    <t>S03B-XASK-1</t>
  </si>
  <si>
    <t>08FLZT-SM1-TF</t>
  </si>
  <si>
    <t>BM20B-SRDS-G-TF</t>
  </si>
  <si>
    <t>S8B-ZR-SM4A-TF</t>
  </si>
  <si>
    <t>SM40B-SHLDS-G-TF</t>
  </si>
  <si>
    <t>S06B-XASK-1</t>
  </si>
  <si>
    <t>ESO01TBTLCG-ECC-4AK:M.2:2280:PHISON/1TB/KC</t>
  </si>
  <si>
    <t xml:space="preserve">2024/02/23 </t>
  </si>
  <si>
    <t>ESO512GTLCG-ECC-2AK / M.2:2280:PHISON/512G/KC</t>
  </si>
  <si>
    <t>QZ-3010-W0024 (12PIN POGO B2B CABLE)</t>
  </si>
  <si>
    <t>QZ-3010-W0025 (RADER MODULE CABLE)</t>
  </si>
  <si>
    <t>RC-GX-15-005 (DC POWER CABLE)</t>
  </si>
  <si>
    <t>CSCC215-2038B001C1AH</t>
  </si>
  <si>
    <t xml:space="preserve">2024/02/07 </t>
  </si>
  <si>
    <t>SJJ-003ALB [RJ11,BOTTOM TAP, GOLD FLASH,6PIN]</t>
  </si>
  <si>
    <t>DC JACK SJDC044F ( 2.0 )</t>
  </si>
  <si>
    <t>티엠텍 (서부대리점) 계</t>
  </si>
  <si>
    <t>BL309-25S22-TAH0</t>
  </si>
  <si>
    <t>티엠텍 (서부대리점)</t>
  </si>
  <si>
    <t>CABLE_ASSY:CN1 1F(RC_to_RBU):BRM24</t>
  </si>
  <si>
    <r>
      <t>2024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</si>
  <si>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t>2월 베트남커미션</t>
    <phoneticPr fontId="2" type="noConversion"/>
  </si>
  <si>
    <t>RM500QGLAB-M20-SGASA</t>
    <phoneticPr fontId="2" type="noConversion"/>
  </si>
  <si>
    <r>
      <t>2024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3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합계</t>
    </r>
    <phoneticPr fontId="2" type="noConversion"/>
  </si>
  <si>
    <r>
      <rPr>
        <sz val="10"/>
        <rFont val="돋움"/>
        <family val="3"/>
        <charset val="129"/>
      </rPr>
      <t>샘플</t>
    </r>
    <r>
      <rPr>
        <sz val="10"/>
        <rFont val="Arial"/>
        <family val="2"/>
      </rPr>
      <t>7</t>
    </r>
    <r>
      <rPr>
        <sz val="10"/>
        <rFont val="돋움"/>
        <family val="3"/>
        <charset val="129"/>
      </rPr>
      <t>종비용</t>
    </r>
    <phoneticPr fontId="2" type="noConversion"/>
  </si>
  <si>
    <t>더블유피지코리아</t>
    <phoneticPr fontId="2" type="noConversion"/>
  </si>
  <si>
    <t>SCG</t>
    <phoneticPr fontId="2" type="noConversion"/>
  </si>
  <si>
    <t>BL:7748-6509-9760 5.6KG-&gt;7.1KG</t>
    <phoneticPr fontId="2" type="noConversion"/>
  </si>
  <si>
    <t>SJJ-001LA [RJ9,BOTTOM TAP,GOLD FLASH, 4PIN]</t>
    <phoneticPr fontId="2" type="noConversion"/>
  </si>
  <si>
    <t>BL:HR36105508 15박스,181KG</t>
    <phoneticPr fontId="2" type="noConversion"/>
  </si>
  <si>
    <t>GREENCONN</t>
    <phoneticPr fontId="2" type="noConversion"/>
  </si>
  <si>
    <t>BL:5551-8698-6638 2박스,14KG-&gt;18.5KG</t>
    <phoneticPr fontId="2" type="noConversion"/>
  </si>
  <si>
    <t>JI SHENG</t>
    <phoneticPr fontId="2" type="noConversion"/>
  </si>
  <si>
    <t>BL:HYHY23120394 340KG(25박스,1파렛트)</t>
    <phoneticPr fontId="2" type="noConversion"/>
  </si>
  <si>
    <t>BL:7746-3468-4038 8.3KG,2박스</t>
    <phoneticPr fontId="2" type="noConversion"/>
  </si>
  <si>
    <t>BL:7290-6999-7123 9.6KG-&gt;15.7KG</t>
    <phoneticPr fontId="2" type="noConversion"/>
  </si>
  <si>
    <t>티엠텍</t>
    <phoneticPr fontId="2" type="noConversion"/>
  </si>
  <si>
    <t>B3B-EH-GU (3P S/T WHITE)</t>
    <phoneticPr fontId="2" type="noConversion"/>
  </si>
  <si>
    <t>씨앤텍</t>
    <phoneticPr fontId="2" type="noConversion"/>
  </si>
  <si>
    <t>경남전자</t>
    <phoneticPr fontId="2" type="noConversion"/>
  </si>
  <si>
    <t>샘플비용</t>
    <phoneticPr fontId="2" type="noConversion"/>
  </si>
  <si>
    <r>
      <t>2023</t>
    </r>
    <r>
      <rPr>
        <sz val="10"/>
        <color indexed="8"/>
        <rFont val="맑은 고딕"/>
        <family val="2"/>
      </rPr>
      <t>년</t>
    </r>
    <r>
      <rPr>
        <sz val="10"/>
        <color indexed="8"/>
        <rFont val="Arial"/>
        <family val="2"/>
      </rPr>
      <t>2</t>
    </r>
    <r>
      <rPr>
        <sz val="10"/>
        <color indexed="8"/>
        <rFont val="맑은 고딕"/>
        <family val="2"/>
      </rPr>
      <t>월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맑은 고딕"/>
        <family val="2"/>
      </rPr>
      <t>합계</t>
    </r>
    <phoneticPr fontId="2" type="noConversion"/>
  </si>
  <si>
    <r>
      <rPr>
        <b/>
        <sz val="12"/>
        <rFont val="돋움"/>
        <family val="3"/>
        <charset val="129"/>
      </rPr>
      <t>회사명</t>
    </r>
    <r>
      <rPr>
        <b/>
        <sz val="12"/>
        <rFont val="Arial"/>
        <family val="2"/>
      </rPr>
      <t xml:space="preserve"> : (</t>
    </r>
    <r>
      <rPr>
        <b/>
        <sz val="12"/>
        <rFont val="돋움"/>
        <family val="3"/>
        <charset val="129"/>
      </rPr>
      <t>주</t>
    </r>
    <r>
      <rPr>
        <b/>
        <sz val="12"/>
        <rFont val="Arial"/>
        <family val="2"/>
      </rPr>
      <t>)</t>
    </r>
    <r>
      <rPr>
        <b/>
        <sz val="12"/>
        <rFont val="돋움"/>
        <family val="3"/>
        <charset val="129"/>
      </rPr>
      <t>한국아이콘</t>
    </r>
    <r>
      <rPr>
        <b/>
        <sz val="12"/>
        <rFont val="Arial"/>
        <family val="2"/>
      </rPr>
      <t xml:space="preserve"> / 2024/02/01  ~ 2024/02/28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</si>
</sst>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#,##0_);[Red]\(#,##0\)"/>
    <numFmt numFmtId="178" formatCode="#,##0.00_);[Red]\(#,##0.00\)"/>
  </numFmts>
  <fonts count="26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name val="Arial"/>
      <family val="3"/>
      <charset val="129"/>
    </font>
    <font>
      <b/>
      <sz val="12"/>
      <name val="돋움"/>
      <family val="3"/>
      <charset val="129"/>
    </font>
    <font>
      <b/>
      <sz val="12"/>
      <name val="Arial"/>
      <family val="2"/>
    </font>
    <font>
      <sz val="10"/>
      <color indexed="8"/>
      <name val="맑은 고딕"/>
      <family val="2"/>
      <scheme val="minor"/>
    </font>
    <font>
      <sz val="10"/>
      <name val="Arial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name val="맑은 고딕"/>
      <family val="2"/>
    </font>
    <font>
      <b/>
      <sz val="11"/>
      <name val="Arial"/>
      <family val="3"/>
      <charset val="129"/>
    </font>
    <font>
      <b/>
      <sz val="11"/>
      <name val="Arial"/>
      <family val="2"/>
    </font>
    <font>
      <sz val="10"/>
      <color indexed="8"/>
      <name val="돋움"/>
      <family val="3"/>
      <charset val="129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맑은 고딕"/>
      <family val="2"/>
    </font>
    <font>
      <sz val="10"/>
      <color indexed="8"/>
      <name val="맑은 고딕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rgb="FF000000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4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41" fontId="15" fillId="0" borderId="8" xfId="1" applyFont="1" applyBorder="1" applyAlignment="1">
      <alignment horizontal="center" vertical="center"/>
    </xf>
    <xf numFmtId="41" fontId="15" fillId="0" borderId="8" xfId="1" applyFont="1" applyFill="1" applyBorder="1" applyAlignment="1">
      <alignment horizontal="center" vertical="center"/>
    </xf>
    <xf numFmtId="176" fontId="15" fillId="0" borderId="8" xfId="1" applyNumberFormat="1" applyFont="1" applyFill="1" applyBorder="1" applyAlignment="1">
      <alignment horizontal="center" vertical="center"/>
    </xf>
    <xf numFmtId="177" fontId="13" fillId="0" borderId="8" xfId="1" applyNumberFormat="1" applyFont="1" applyFill="1" applyBorder="1" applyAlignment="1">
      <alignment horizontal="center" vertical="center"/>
    </xf>
    <xf numFmtId="177" fontId="15" fillId="3" borderId="10" xfId="1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3" fontId="9" fillId="0" borderId="12" xfId="0" applyNumberFormat="1" applyFont="1" applyBorder="1" applyAlignment="1">
      <alignment horizontal="right" vertical="center"/>
    </xf>
    <xf numFmtId="0" fontId="16" fillId="0" borderId="13" xfId="0" applyFont="1" applyBorder="1">
      <alignment vertical="center"/>
    </xf>
    <xf numFmtId="41" fontId="17" fillId="0" borderId="14" xfId="1" applyFont="1" applyBorder="1">
      <alignment vertical="center"/>
    </xf>
    <xf numFmtId="0" fontId="17" fillId="0" borderId="14" xfId="0" applyFont="1" applyBorder="1">
      <alignment vertical="center"/>
    </xf>
    <xf numFmtId="176" fontId="17" fillId="0" borderId="14" xfId="0" applyNumberFormat="1" applyFont="1" applyBorder="1">
      <alignment vertical="center"/>
    </xf>
    <xf numFmtId="41" fontId="17" fillId="0" borderId="15" xfId="1" applyFont="1" applyBorder="1" applyAlignment="1">
      <alignment horizontal="right" vertical="center"/>
    </xf>
    <xf numFmtId="177" fontId="17" fillId="4" borderId="16" xfId="0" applyNumberFormat="1" applyFont="1" applyFill="1" applyBorder="1">
      <alignment vertical="center"/>
    </xf>
    <xf numFmtId="3" fontId="17" fillId="0" borderId="18" xfId="0" applyNumberFormat="1" applyFont="1" applyBorder="1">
      <alignment vertical="center"/>
    </xf>
    <xf numFmtId="178" fontId="17" fillId="0" borderId="17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3" fontId="9" fillId="2" borderId="12" xfId="0" applyNumberFormat="1" applyFont="1" applyFill="1" applyBorder="1" applyAlignment="1">
      <alignment horizontal="right" vertical="center"/>
    </xf>
    <xf numFmtId="0" fontId="16" fillId="2" borderId="13" xfId="0" applyFont="1" applyFill="1" applyBorder="1">
      <alignment vertical="center"/>
    </xf>
    <xf numFmtId="41" fontId="17" fillId="2" borderId="14" xfId="1" applyFont="1" applyFill="1" applyBorder="1">
      <alignment vertical="center"/>
    </xf>
    <xf numFmtId="0" fontId="17" fillId="2" borderId="14" xfId="0" applyFont="1" applyFill="1" applyBorder="1">
      <alignment vertical="center"/>
    </xf>
    <xf numFmtId="176" fontId="17" fillId="2" borderId="14" xfId="0" applyNumberFormat="1" applyFont="1" applyFill="1" applyBorder="1">
      <alignment vertical="center"/>
    </xf>
    <xf numFmtId="41" fontId="17" fillId="2" borderId="15" xfId="1" applyFont="1" applyFill="1" applyBorder="1" applyAlignment="1">
      <alignment horizontal="right" vertical="center"/>
    </xf>
    <xf numFmtId="177" fontId="17" fillId="2" borderId="16" xfId="0" applyNumberFormat="1" applyFont="1" applyFill="1" applyBorder="1">
      <alignment vertical="center"/>
    </xf>
    <xf numFmtId="3" fontId="17" fillId="2" borderId="18" xfId="0" applyNumberFormat="1" applyFont="1" applyFill="1" applyBorder="1">
      <alignment vertical="center"/>
    </xf>
    <xf numFmtId="178" fontId="17" fillId="2" borderId="17" xfId="0" applyNumberFormat="1" applyFont="1" applyFill="1" applyBorder="1">
      <alignment vertical="center"/>
    </xf>
    <xf numFmtId="177" fontId="17" fillId="4" borderId="15" xfId="0" applyNumberFormat="1" applyFont="1" applyFill="1" applyBorder="1">
      <alignment vertical="center"/>
    </xf>
    <xf numFmtId="177" fontId="17" fillId="0" borderId="26" xfId="0" applyNumberFormat="1" applyFont="1" applyBorder="1">
      <alignment vertical="center"/>
    </xf>
    <xf numFmtId="3" fontId="17" fillId="0" borderId="20" xfId="0" applyNumberFormat="1" applyFont="1" applyBorder="1">
      <alignment vertical="center"/>
    </xf>
    <xf numFmtId="178" fontId="17" fillId="0" borderId="19" xfId="0" applyNumberFormat="1" applyFont="1" applyBorder="1">
      <alignment vertical="center"/>
    </xf>
    <xf numFmtId="0" fontId="0" fillId="3" borderId="27" xfId="0" applyFill="1" applyBorder="1">
      <alignment vertical="center"/>
    </xf>
    <xf numFmtId="3" fontId="9" fillId="3" borderId="31" xfId="0" applyNumberFormat="1" applyFont="1" applyFill="1" applyBorder="1" applyAlignment="1">
      <alignment horizontal="right" vertical="center"/>
    </xf>
    <xf numFmtId="0" fontId="17" fillId="3" borderId="7" xfId="0" applyFont="1" applyFill="1" applyBorder="1">
      <alignment vertical="center"/>
    </xf>
    <xf numFmtId="41" fontId="17" fillId="3" borderId="8" xfId="1" applyFont="1" applyFill="1" applyBorder="1">
      <alignment vertical="center"/>
    </xf>
    <xf numFmtId="0" fontId="17" fillId="3" borderId="8" xfId="0" applyFont="1" applyFill="1" applyBorder="1">
      <alignment vertical="center"/>
    </xf>
    <xf numFmtId="176" fontId="17" fillId="3" borderId="8" xfId="0" applyNumberFormat="1" applyFont="1" applyFill="1" applyBorder="1">
      <alignment vertical="center"/>
    </xf>
    <xf numFmtId="3" fontId="9" fillId="3" borderId="32" xfId="0" applyNumberFormat="1" applyFont="1" applyFill="1" applyBorder="1" applyAlignment="1">
      <alignment horizontal="right" vertical="center"/>
    </xf>
    <xf numFmtId="178" fontId="17" fillId="3" borderId="33" xfId="0" applyNumberFormat="1" applyFont="1" applyFill="1" applyBorder="1">
      <alignment vertical="center"/>
    </xf>
    <xf numFmtId="41" fontId="18" fillId="0" borderId="0" xfId="1" applyFont="1">
      <alignment vertical="center"/>
    </xf>
    <xf numFmtId="41" fontId="18" fillId="0" borderId="0" xfId="1" applyFont="1" applyBorder="1">
      <alignment vertical="center"/>
    </xf>
    <xf numFmtId="41" fontId="17" fillId="0" borderId="0" xfId="1" applyFont="1" applyAlignment="1">
      <alignment vertical="center"/>
    </xf>
    <xf numFmtId="41" fontId="17" fillId="0" borderId="0" xfId="1" applyFont="1" applyAlignment="1">
      <alignment horizontal="center" vertical="center"/>
    </xf>
    <xf numFmtId="43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0" fillId="4" borderId="22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1" xfId="0" applyFill="1" applyBorder="1">
      <alignment vertical="center"/>
    </xf>
    <xf numFmtId="41" fontId="17" fillId="0" borderId="14" xfId="1" applyFont="1" applyFill="1" applyBorder="1">
      <alignment vertical="center"/>
    </xf>
    <xf numFmtId="0" fontId="23" fillId="0" borderId="0" xfId="0" applyFont="1">
      <alignment vertical="center"/>
    </xf>
    <xf numFmtId="176" fontId="17" fillId="0" borderId="14" xfId="1" applyNumberFormat="1" applyFont="1" applyBorder="1">
      <alignment vertical="center"/>
    </xf>
    <xf numFmtId="177" fontId="17" fillId="0" borderId="36" xfId="0" applyNumberFormat="1" applyFont="1" applyBorder="1">
      <alignment vertical="center"/>
    </xf>
    <xf numFmtId="177" fontId="17" fillId="2" borderId="36" xfId="0" applyNumberFormat="1" applyFont="1" applyFill="1" applyBorder="1">
      <alignment vertical="center"/>
    </xf>
    <xf numFmtId="3" fontId="9" fillId="3" borderId="38" xfId="0" applyNumberFormat="1" applyFont="1" applyFill="1" applyBorder="1" applyAlignment="1">
      <alignment horizontal="right" vertical="center"/>
    </xf>
    <xf numFmtId="41" fontId="0" fillId="0" borderId="0" xfId="0" applyNumberFormat="1">
      <alignment vertical="center"/>
    </xf>
    <xf numFmtId="14" fontId="9" fillId="0" borderId="12" xfId="0" applyNumberFormat="1" applyFont="1" applyBorder="1" applyAlignment="1">
      <alignment horizontal="center" vertical="center"/>
    </xf>
    <xf numFmtId="177" fontId="17" fillId="2" borderId="15" xfId="0" applyNumberFormat="1" applyFont="1" applyFill="1" applyBorder="1">
      <alignment vertical="center"/>
    </xf>
    <xf numFmtId="177" fontId="17" fillId="2" borderId="26" xfId="0" applyNumberFormat="1" applyFont="1" applyFill="1" applyBorder="1">
      <alignment vertical="center"/>
    </xf>
    <xf numFmtId="3" fontId="17" fillId="2" borderId="20" xfId="0" applyNumberFormat="1" applyFont="1" applyFill="1" applyBorder="1">
      <alignment vertical="center"/>
    </xf>
    <xf numFmtId="178" fontId="17" fillId="2" borderId="19" xfId="0" applyNumberFormat="1" applyFont="1" applyFill="1" applyBorder="1">
      <alignment vertical="center"/>
    </xf>
    <xf numFmtId="0" fontId="8" fillId="0" borderId="12" xfId="0" applyFont="1" applyBorder="1" applyAlignment="1">
      <alignment horizontal="left" vertical="center"/>
    </xf>
    <xf numFmtId="177" fontId="13" fillId="3" borderId="2" xfId="0" applyNumberFormat="1" applyFont="1" applyFill="1" applyBorder="1" applyAlignment="1">
      <alignment horizontal="center" vertical="center"/>
    </xf>
    <xf numFmtId="177" fontId="13" fillId="3" borderId="7" xfId="0" applyNumberFormat="1" applyFont="1" applyFill="1" applyBorder="1" applyAlignment="1">
      <alignment horizontal="center" vertical="center"/>
    </xf>
    <xf numFmtId="178" fontId="13" fillId="3" borderId="4" xfId="0" applyNumberFormat="1" applyFont="1" applyFill="1" applyBorder="1" applyAlignment="1">
      <alignment horizontal="center" vertical="center"/>
    </xf>
    <xf numFmtId="178" fontId="13" fillId="3" borderId="9" xfId="0" applyNumberFormat="1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3" fontId="17" fillId="0" borderId="13" xfId="0" applyNumberFormat="1" applyFont="1" applyBorder="1" applyAlignment="1">
      <alignment horizontal="right" vertical="center"/>
    </xf>
    <xf numFmtId="3" fontId="17" fillId="0" borderId="18" xfId="0" applyNumberFormat="1" applyFont="1" applyBorder="1" applyAlignment="1">
      <alignment horizontal="right" vertical="center"/>
    </xf>
    <xf numFmtId="178" fontId="17" fillId="0" borderId="21" xfId="0" applyNumberFormat="1" applyFont="1" applyBorder="1" applyAlignment="1">
      <alignment horizontal="right" vertical="center"/>
    </xf>
    <xf numFmtId="178" fontId="17" fillId="0" borderId="17" xfId="0" applyNumberFormat="1" applyFont="1" applyBorder="1" applyAlignment="1">
      <alignment horizontal="right" vertical="center"/>
    </xf>
    <xf numFmtId="3" fontId="17" fillId="0" borderId="25" xfId="0" applyNumberFormat="1" applyFont="1" applyBorder="1" applyAlignment="1">
      <alignment horizontal="right" vertical="center"/>
    </xf>
    <xf numFmtId="178" fontId="17" fillId="0" borderId="24" xfId="0" applyNumberFormat="1" applyFont="1" applyBorder="1" applyAlignment="1">
      <alignment horizontal="right" vertical="center"/>
    </xf>
    <xf numFmtId="177" fontId="17" fillId="0" borderId="37" xfId="0" applyNumberFormat="1" applyFont="1" applyBorder="1" applyAlignment="1">
      <alignment horizontal="right" vertical="center"/>
    </xf>
    <xf numFmtId="177" fontId="17" fillId="0" borderId="36" xfId="0" applyNumberFormat="1" applyFont="1" applyBorder="1" applyAlignment="1">
      <alignment horizontal="right" vertical="center"/>
    </xf>
    <xf numFmtId="177" fontId="17" fillId="4" borderId="14" xfId="0" applyNumberFormat="1" applyFont="1" applyFill="1" applyBorder="1" applyAlignment="1">
      <alignment horizontal="right" vertical="center"/>
    </xf>
    <xf numFmtId="177" fontId="17" fillId="4" borderId="23" xfId="0" applyNumberFormat="1" applyFont="1" applyFill="1" applyBorder="1" applyAlignment="1">
      <alignment horizontal="right" vertical="center"/>
    </xf>
    <xf numFmtId="177" fontId="17" fillId="4" borderId="16" xfId="0" applyNumberFormat="1" applyFont="1" applyFill="1" applyBorder="1" applyAlignment="1">
      <alignment horizontal="right" vertical="center"/>
    </xf>
    <xf numFmtId="177" fontId="17" fillId="0" borderId="35" xfId="0" applyNumberFormat="1" applyFont="1" applyBorder="1" applyAlignment="1">
      <alignment horizontal="righ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/>
    </xf>
    <xf numFmtId="41" fontId="18" fillId="0" borderId="34" xfId="1" applyFont="1" applyBorder="1" applyAlignment="1">
      <alignment horizontal="center" vertical="center"/>
    </xf>
    <xf numFmtId="41" fontId="17" fillId="0" borderId="0" xfId="1" applyFont="1" applyBorder="1" applyAlignment="1">
      <alignment horizontal="center" vertical="center"/>
    </xf>
    <xf numFmtId="41" fontId="18" fillId="0" borderId="0" xfId="1" applyFont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77" fontId="17" fillId="0" borderId="21" xfId="0" applyNumberFormat="1" applyFont="1" applyBorder="1" applyAlignment="1">
      <alignment horizontal="right" vertical="center"/>
    </xf>
    <xf numFmtId="177" fontId="17" fillId="0" borderId="17" xfId="0" applyNumberFormat="1" applyFont="1" applyBorder="1" applyAlignment="1">
      <alignment horizontal="right" vertical="center"/>
    </xf>
    <xf numFmtId="41" fontId="17" fillId="0" borderId="14" xfId="1" applyFont="1" applyBorder="1" applyAlignment="1">
      <alignment horizontal="right" vertical="center"/>
    </xf>
    <xf numFmtId="41" fontId="17" fillId="0" borderId="16" xfId="1" applyFont="1" applyBorder="1" applyAlignment="1">
      <alignment horizontal="right" vertical="center"/>
    </xf>
    <xf numFmtId="177" fontId="17" fillId="0" borderId="24" xfId="0" applyNumberFormat="1" applyFont="1" applyBorder="1" applyAlignment="1">
      <alignment horizontal="right" vertical="center"/>
    </xf>
    <xf numFmtId="0" fontId="9" fillId="0" borderId="1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AB4C-7056-4675-BA94-BDCFD64B63C4}">
  <dimension ref="A1:S87"/>
  <sheetViews>
    <sheetView workbookViewId="0">
      <pane ySplit="4" topLeftCell="A80" activePane="bottomLeft" state="frozen"/>
      <selection pane="bottomLeft" activeCell="P82" sqref="P82:Q82"/>
    </sheetView>
  </sheetViews>
  <sheetFormatPr defaultRowHeight="17" x14ac:dyDescent="0.45"/>
  <cols>
    <col min="1" max="1" width="4.25" customWidth="1"/>
    <col min="2" max="2" width="19.58203125" customWidth="1"/>
    <col min="3" max="3" width="12" customWidth="1"/>
    <col min="4" max="4" width="23.5" customWidth="1"/>
    <col min="5" max="5" width="8.83203125" customWidth="1"/>
    <col min="6" max="6" width="13.58203125" customWidth="1"/>
    <col min="7" max="7" width="12" customWidth="1"/>
    <col min="8" max="8" width="13.58203125" customWidth="1"/>
    <col min="9" max="9" width="14.25" customWidth="1"/>
    <col min="10" max="10" width="9" style="2"/>
    <col min="11" max="11" width="11.5" style="2" bestFit="1" customWidth="1"/>
    <col min="12" max="12" width="8.5" customWidth="1"/>
    <col min="13" max="13" width="9.58203125" style="59" bestFit="1" customWidth="1"/>
    <col min="14" max="14" width="10.5" style="2" bestFit="1" customWidth="1"/>
    <col min="15" max="15" width="11.75" style="5" customWidth="1"/>
    <col min="16" max="16" width="12.58203125" style="5" customWidth="1"/>
    <col min="17" max="17" width="12.25" customWidth="1"/>
    <col min="18" max="18" width="9.08203125" style="6" customWidth="1"/>
    <col min="19" max="19" width="14.75" style="7" customWidth="1"/>
  </cols>
  <sheetData>
    <row r="1" spans="1:19" ht="30" customHeight="1" x14ac:dyDescent="0.45">
      <c r="B1" s="1" t="s">
        <v>67</v>
      </c>
      <c r="M1" s="3"/>
      <c r="O1" s="4"/>
      <c r="P1" s="4"/>
      <c r="Q1" s="5"/>
    </row>
    <row r="2" spans="1:19" ht="30" customHeight="1" thickBot="1" x14ac:dyDescent="0.5">
      <c r="B2" s="8" t="s">
        <v>68</v>
      </c>
      <c r="G2" s="9" t="s">
        <v>0</v>
      </c>
      <c r="M2" s="3"/>
      <c r="O2" s="4"/>
      <c r="P2" s="4"/>
      <c r="Q2" s="5"/>
    </row>
    <row r="3" spans="1:19" ht="24" customHeight="1" x14ac:dyDescent="0.45">
      <c r="A3" s="82" t="s">
        <v>1</v>
      </c>
      <c r="B3" s="84" t="s">
        <v>2</v>
      </c>
      <c r="C3" s="85"/>
      <c r="D3" s="85"/>
      <c r="E3" s="85"/>
      <c r="F3" s="85"/>
      <c r="G3" s="85"/>
      <c r="H3" s="86"/>
      <c r="I3" s="87" t="s">
        <v>3</v>
      </c>
      <c r="J3" s="88"/>
      <c r="K3" s="88"/>
      <c r="L3" s="88"/>
      <c r="M3" s="88"/>
      <c r="N3" s="88"/>
      <c r="O3" s="88"/>
      <c r="P3" s="89"/>
      <c r="Q3" s="76" t="s">
        <v>4</v>
      </c>
      <c r="R3" s="78" t="s">
        <v>5</v>
      </c>
    </row>
    <row r="4" spans="1:19" ht="24" customHeight="1" thickBot="1" x14ac:dyDescent="0.5">
      <c r="A4" s="83"/>
      <c r="B4" s="10" t="s">
        <v>6</v>
      </c>
      <c r="C4" s="11" t="s">
        <v>7</v>
      </c>
      <c r="D4" s="11" t="s">
        <v>8</v>
      </c>
      <c r="E4" s="11" t="s">
        <v>9</v>
      </c>
      <c r="F4" s="12" t="s">
        <v>10</v>
      </c>
      <c r="G4" s="11" t="s">
        <v>11</v>
      </c>
      <c r="H4" s="13" t="s">
        <v>12</v>
      </c>
      <c r="I4" s="14" t="s">
        <v>13</v>
      </c>
      <c r="J4" s="15" t="s">
        <v>14</v>
      </c>
      <c r="K4" s="16" t="s">
        <v>15</v>
      </c>
      <c r="L4" s="11" t="s">
        <v>16</v>
      </c>
      <c r="M4" s="17" t="s">
        <v>17</v>
      </c>
      <c r="N4" s="15" t="s">
        <v>18</v>
      </c>
      <c r="O4" s="18" t="s">
        <v>19</v>
      </c>
      <c r="P4" s="19" t="s">
        <v>20</v>
      </c>
      <c r="Q4" s="77"/>
      <c r="R4" s="79"/>
      <c r="S4" s="7" t="s">
        <v>21</v>
      </c>
    </row>
    <row r="5" spans="1:19" s="7" customFormat="1" ht="21" customHeight="1" x14ac:dyDescent="0.45">
      <c r="A5" s="80"/>
      <c r="B5" s="20" t="s">
        <v>103</v>
      </c>
      <c r="C5" s="21" t="s">
        <v>104</v>
      </c>
      <c r="D5" s="22" t="s">
        <v>131</v>
      </c>
      <c r="E5" s="23">
        <v>20</v>
      </c>
      <c r="F5" s="23">
        <v>50000</v>
      </c>
      <c r="G5" s="23">
        <v>5000</v>
      </c>
      <c r="H5" s="23">
        <v>55000</v>
      </c>
      <c r="I5" s="24"/>
      <c r="J5" s="25"/>
      <c r="K5" s="25"/>
      <c r="L5" s="26"/>
      <c r="M5" s="27"/>
      <c r="N5" s="28"/>
      <c r="O5" s="29"/>
      <c r="P5" s="66">
        <f>F5</f>
        <v>50000</v>
      </c>
      <c r="Q5" s="30">
        <f>F5-P5</f>
        <v>0</v>
      </c>
      <c r="R5" s="31">
        <v>0</v>
      </c>
      <c r="S5" s="32"/>
    </row>
    <row r="6" spans="1:19" s="7" customFormat="1" ht="21" customHeight="1" x14ac:dyDescent="0.45">
      <c r="A6" s="81"/>
      <c r="B6" s="110" t="s">
        <v>105</v>
      </c>
      <c r="C6" s="110"/>
      <c r="D6" s="110"/>
      <c r="E6" s="33">
        <v>20</v>
      </c>
      <c r="F6" s="33">
        <v>50000</v>
      </c>
      <c r="G6" s="33">
        <v>5000</v>
      </c>
      <c r="H6" s="33">
        <v>55000</v>
      </c>
      <c r="I6" s="34"/>
      <c r="J6" s="35"/>
      <c r="K6" s="35"/>
      <c r="L6" s="36"/>
      <c r="M6" s="37"/>
      <c r="N6" s="38"/>
      <c r="O6" s="39">
        <f>SUM(O5)</f>
        <v>0</v>
      </c>
      <c r="P6" s="67">
        <f>SUM(P5)</f>
        <v>50000</v>
      </c>
      <c r="Q6" s="40">
        <f>SUM(Q5)</f>
        <v>0</v>
      </c>
      <c r="R6" s="41"/>
      <c r="S6" s="32"/>
    </row>
    <row r="7" spans="1:19" s="7" customFormat="1" ht="21" customHeight="1" x14ac:dyDescent="0.45">
      <c r="A7" s="80"/>
      <c r="B7" s="20" t="s">
        <v>111</v>
      </c>
      <c r="C7" s="21" t="s">
        <v>97</v>
      </c>
      <c r="D7" s="22" t="s">
        <v>132</v>
      </c>
      <c r="E7" s="23">
        <v>1</v>
      </c>
      <c r="F7" s="23">
        <v>50000</v>
      </c>
      <c r="G7" s="23">
        <v>5000</v>
      </c>
      <c r="H7" s="23">
        <v>55000</v>
      </c>
      <c r="I7" s="24"/>
      <c r="J7" s="25"/>
      <c r="K7" s="25"/>
      <c r="L7" s="26"/>
      <c r="M7" s="27"/>
      <c r="N7" s="28"/>
      <c r="O7" s="29"/>
      <c r="P7" s="66">
        <f>F7</f>
        <v>50000</v>
      </c>
      <c r="Q7" s="30">
        <f>F7-P7</f>
        <v>0</v>
      </c>
      <c r="R7" s="31">
        <v>0</v>
      </c>
      <c r="S7" s="32"/>
    </row>
    <row r="8" spans="1:19" s="7" customFormat="1" ht="21" customHeight="1" x14ac:dyDescent="0.45">
      <c r="A8" s="81"/>
      <c r="B8" s="110" t="s">
        <v>112</v>
      </c>
      <c r="C8" s="110"/>
      <c r="D8" s="110"/>
      <c r="E8" s="33">
        <v>1</v>
      </c>
      <c r="F8" s="33">
        <v>50000</v>
      </c>
      <c r="G8" s="33">
        <v>5000</v>
      </c>
      <c r="H8" s="33">
        <v>55000</v>
      </c>
      <c r="I8" s="34"/>
      <c r="J8" s="35"/>
      <c r="K8" s="35"/>
      <c r="L8" s="36"/>
      <c r="M8" s="37"/>
      <c r="N8" s="38"/>
      <c r="O8" s="39">
        <v>0</v>
      </c>
      <c r="P8" s="67">
        <f>SUM(P7)</f>
        <v>50000</v>
      </c>
      <c r="Q8" s="40">
        <f>SUM(Q7)</f>
        <v>0</v>
      </c>
      <c r="R8" s="41"/>
      <c r="S8" s="32"/>
    </row>
    <row r="9" spans="1:19" s="7" customFormat="1" ht="21" customHeight="1" x14ac:dyDescent="0.45">
      <c r="A9" s="80"/>
      <c r="B9" s="20" t="s">
        <v>113</v>
      </c>
      <c r="C9" s="21" t="s">
        <v>78</v>
      </c>
      <c r="D9" s="22" t="s">
        <v>133</v>
      </c>
      <c r="E9" s="23">
        <v>10060</v>
      </c>
      <c r="F9" s="23">
        <v>176930</v>
      </c>
      <c r="G9" s="23">
        <v>17693</v>
      </c>
      <c r="H9" s="23">
        <v>194623</v>
      </c>
      <c r="I9" s="24"/>
      <c r="J9" s="25"/>
      <c r="K9" s="25"/>
      <c r="L9" s="26"/>
      <c r="M9" s="27"/>
      <c r="N9" s="28"/>
      <c r="O9" s="29"/>
      <c r="P9" s="66">
        <f>F9</f>
        <v>176930</v>
      </c>
      <c r="Q9" s="30">
        <f>F9-P9</f>
        <v>0</v>
      </c>
      <c r="R9" s="31">
        <v>0</v>
      </c>
      <c r="S9" s="32"/>
    </row>
    <row r="10" spans="1:19" s="7" customFormat="1" ht="21" customHeight="1" x14ac:dyDescent="0.45">
      <c r="A10" s="81"/>
      <c r="B10" s="110" t="s">
        <v>114</v>
      </c>
      <c r="C10" s="110"/>
      <c r="D10" s="110"/>
      <c r="E10" s="33">
        <v>10060</v>
      </c>
      <c r="F10" s="33">
        <v>176930</v>
      </c>
      <c r="G10" s="33">
        <v>17693</v>
      </c>
      <c r="H10" s="33">
        <v>194623</v>
      </c>
      <c r="I10" s="34"/>
      <c r="J10" s="35"/>
      <c r="K10" s="35"/>
      <c r="L10" s="36"/>
      <c r="M10" s="37"/>
      <c r="N10" s="38"/>
      <c r="O10" s="39">
        <v>0</v>
      </c>
      <c r="P10" s="67">
        <f>SUM(P9)</f>
        <v>176930</v>
      </c>
      <c r="Q10" s="40">
        <f>SUM(Q9)</f>
        <v>0</v>
      </c>
      <c r="R10" s="41"/>
      <c r="S10" s="32"/>
    </row>
    <row r="11" spans="1:19" s="7" customFormat="1" ht="21" customHeight="1" x14ac:dyDescent="0.45">
      <c r="A11" s="90"/>
      <c r="B11" s="20" t="s">
        <v>118</v>
      </c>
      <c r="C11" s="21" t="s">
        <v>76</v>
      </c>
      <c r="D11" s="22" t="s">
        <v>130</v>
      </c>
      <c r="E11" s="23">
        <v>5</v>
      </c>
      <c r="F11" s="23">
        <v>82625</v>
      </c>
      <c r="G11" s="23">
        <v>8262</v>
      </c>
      <c r="H11" s="23">
        <v>90887</v>
      </c>
      <c r="I11" s="24"/>
      <c r="J11" s="25"/>
      <c r="K11" s="25"/>
      <c r="L11" s="26"/>
      <c r="M11" s="27"/>
      <c r="N11" s="28"/>
      <c r="O11" s="29"/>
      <c r="P11" s="66">
        <f>F11</f>
        <v>82625</v>
      </c>
      <c r="Q11" s="30">
        <f>F11-P11</f>
        <v>0</v>
      </c>
      <c r="R11" s="31">
        <v>0</v>
      </c>
      <c r="S11" s="32"/>
    </row>
    <row r="12" spans="1:19" s="7" customFormat="1" ht="21" customHeight="1" x14ac:dyDescent="0.45">
      <c r="A12" s="91"/>
      <c r="B12" s="110" t="s">
        <v>119</v>
      </c>
      <c r="C12" s="110"/>
      <c r="D12" s="110"/>
      <c r="E12" s="33">
        <v>5</v>
      </c>
      <c r="F12" s="33">
        <v>82625</v>
      </c>
      <c r="G12" s="33">
        <v>8262</v>
      </c>
      <c r="H12" s="33">
        <v>90887</v>
      </c>
      <c r="I12" s="34"/>
      <c r="J12" s="35"/>
      <c r="K12" s="35"/>
      <c r="L12" s="36"/>
      <c r="M12" s="37"/>
      <c r="N12" s="38"/>
      <c r="O12" s="39">
        <v>0</v>
      </c>
      <c r="P12" s="67">
        <f>SUM(P11)</f>
        <v>82625</v>
      </c>
      <c r="Q12" s="40">
        <f>SUM(Q11)</f>
        <v>0</v>
      </c>
      <c r="R12" s="41"/>
      <c r="S12" s="32"/>
    </row>
    <row r="13" spans="1:19" s="7" customFormat="1" ht="21" customHeight="1" x14ac:dyDescent="0.45">
      <c r="A13" s="90"/>
      <c r="B13" s="20" t="s">
        <v>115</v>
      </c>
      <c r="C13" s="21" t="s">
        <v>94</v>
      </c>
      <c r="D13" s="22" t="s">
        <v>133</v>
      </c>
      <c r="E13" s="23">
        <v>16</v>
      </c>
      <c r="F13" s="23">
        <v>2305200</v>
      </c>
      <c r="G13" s="23">
        <v>230520</v>
      </c>
      <c r="H13" s="23">
        <v>2535720</v>
      </c>
      <c r="I13" s="24"/>
      <c r="J13" s="25"/>
      <c r="K13" s="25"/>
      <c r="L13" s="26"/>
      <c r="M13" s="27"/>
      <c r="N13" s="28"/>
      <c r="O13" s="29"/>
      <c r="P13" s="66">
        <f>F13</f>
        <v>2305200</v>
      </c>
      <c r="Q13" s="30">
        <f>F13-P13</f>
        <v>0</v>
      </c>
      <c r="R13" s="31">
        <v>0</v>
      </c>
      <c r="S13" s="32"/>
    </row>
    <row r="14" spans="1:19" s="7" customFormat="1" ht="21" customHeight="1" x14ac:dyDescent="0.45">
      <c r="A14" s="91"/>
      <c r="B14" s="110" t="s">
        <v>116</v>
      </c>
      <c r="C14" s="110"/>
      <c r="D14" s="110"/>
      <c r="E14" s="33">
        <v>16</v>
      </c>
      <c r="F14" s="33">
        <v>2305200</v>
      </c>
      <c r="G14" s="33">
        <v>230520</v>
      </c>
      <c r="H14" s="33">
        <v>2535720</v>
      </c>
      <c r="I14" s="34"/>
      <c r="J14" s="35"/>
      <c r="K14" s="35"/>
      <c r="L14" s="36"/>
      <c r="M14" s="37"/>
      <c r="N14" s="38"/>
      <c r="O14" s="39">
        <v>0</v>
      </c>
      <c r="P14" s="67">
        <f>SUM(P13)</f>
        <v>2305200</v>
      </c>
      <c r="Q14" s="40">
        <f>SUM(Q13)</f>
        <v>0</v>
      </c>
      <c r="R14" s="41"/>
      <c r="S14" s="32"/>
    </row>
    <row r="15" spans="1:19" s="7" customFormat="1" ht="21" customHeight="1" x14ac:dyDescent="0.45">
      <c r="A15" s="90"/>
      <c r="B15" s="20" t="s">
        <v>123</v>
      </c>
      <c r="C15" s="21" t="s">
        <v>122</v>
      </c>
      <c r="D15" s="20" t="s">
        <v>124</v>
      </c>
      <c r="E15" s="23">
        <v>100</v>
      </c>
      <c r="F15" s="23">
        <v>1144500</v>
      </c>
      <c r="G15" s="23">
        <v>114450</v>
      </c>
      <c r="H15" s="23">
        <v>1258950</v>
      </c>
      <c r="I15" s="24" t="s">
        <v>134</v>
      </c>
      <c r="J15" s="25"/>
      <c r="K15" s="25"/>
      <c r="L15" s="26">
        <v>6.2</v>
      </c>
      <c r="M15" s="27">
        <f>E15*L15</f>
        <v>620</v>
      </c>
      <c r="N15" s="28"/>
      <c r="O15" s="29">
        <f>25000+139872</f>
        <v>164872</v>
      </c>
      <c r="P15" s="66">
        <f>M15*1311.6+O15</f>
        <v>978064</v>
      </c>
      <c r="Q15" s="30">
        <f>F15-P15</f>
        <v>166436</v>
      </c>
      <c r="R15" s="31">
        <f>Q15/F15*100</f>
        <v>14.542245522062036</v>
      </c>
      <c r="S15" s="32" t="s">
        <v>135</v>
      </c>
    </row>
    <row r="16" spans="1:19" s="7" customFormat="1" ht="21" customHeight="1" x14ac:dyDescent="0.45">
      <c r="A16" s="111"/>
      <c r="B16" s="20" t="s">
        <v>123</v>
      </c>
      <c r="C16" s="21" t="s">
        <v>122</v>
      </c>
      <c r="D16" s="20" t="s">
        <v>125</v>
      </c>
      <c r="E16" s="23">
        <v>100</v>
      </c>
      <c r="F16" s="23">
        <v>114500</v>
      </c>
      <c r="G16" s="23">
        <v>11450</v>
      </c>
      <c r="H16" s="23">
        <v>125950</v>
      </c>
      <c r="I16" s="24" t="s">
        <v>136</v>
      </c>
      <c r="J16" s="25"/>
      <c r="K16" s="25"/>
      <c r="L16" s="26">
        <v>0.65</v>
      </c>
      <c r="M16" s="27">
        <f t="shared" ref="M16:M17" si="0">E16*L16</f>
        <v>65</v>
      </c>
      <c r="N16" s="28"/>
      <c r="O16" s="100">
        <v>33410</v>
      </c>
      <c r="P16" s="98">
        <f>165*1320+O16</f>
        <v>251210</v>
      </c>
      <c r="Q16" s="92">
        <f>F16+F17-P16</f>
        <v>39590</v>
      </c>
      <c r="R16" s="94">
        <f>Q16/290800*100</f>
        <v>13.614167812929848</v>
      </c>
      <c r="S16" s="32" t="s">
        <v>138</v>
      </c>
    </row>
    <row r="17" spans="1:19" s="7" customFormat="1" ht="21" customHeight="1" x14ac:dyDescent="0.45">
      <c r="A17" s="111"/>
      <c r="B17" s="20" t="s">
        <v>123</v>
      </c>
      <c r="C17" s="21" t="s">
        <v>122</v>
      </c>
      <c r="D17" s="20" t="s">
        <v>126</v>
      </c>
      <c r="E17" s="23">
        <v>100</v>
      </c>
      <c r="F17" s="23">
        <v>176300</v>
      </c>
      <c r="G17" s="23">
        <v>17630</v>
      </c>
      <c r="H17" s="23">
        <v>193930</v>
      </c>
      <c r="I17" s="24" t="s">
        <v>136</v>
      </c>
      <c r="J17" s="25"/>
      <c r="K17" s="25"/>
      <c r="L17" s="26">
        <v>1</v>
      </c>
      <c r="M17" s="27">
        <f t="shared" si="0"/>
        <v>100</v>
      </c>
      <c r="N17" s="28"/>
      <c r="O17" s="102"/>
      <c r="P17" s="99"/>
      <c r="Q17" s="93"/>
      <c r="R17" s="95"/>
      <c r="S17" s="64" t="s">
        <v>137</v>
      </c>
    </row>
    <row r="18" spans="1:19" s="7" customFormat="1" ht="21" customHeight="1" x14ac:dyDescent="0.45">
      <c r="A18" s="91"/>
      <c r="B18" s="110" t="s">
        <v>127</v>
      </c>
      <c r="C18" s="110"/>
      <c r="D18" s="110"/>
      <c r="E18" s="33">
        <v>300</v>
      </c>
      <c r="F18" s="33">
        <v>1435300</v>
      </c>
      <c r="G18" s="33">
        <v>143530</v>
      </c>
      <c r="H18" s="33">
        <v>1578830</v>
      </c>
      <c r="I18" s="34"/>
      <c r="J18" s="35"/>
      <c r="K18" s="35"/>
      <c r="L18" s="36"/>
      <c r="M18" s="37"/>
      <c r="N18" s="38"/>
      <c r="O18" s="39">
        <f>SUM(O15:O17)</f>
        <v>198282</v>
      </c>
      <c r="P18" s="67">
        <f>SUM(P15:P17)</f>
        <v>1229274</v>
      </c>
      <c r="Q18" s="40">
        <f>SUM(Q15:Q17)</f>
        <v>206026</v>
      </c>
      <c r="R18" s="41"/>
      <c r="S18" s="32"/>
    </row>
    <row r="19" spans="1:19" s="7" customFormat="1" ht="21" customHeight="1" x14ac:dyDescent="0.45">
      <c r="A19" s="80"/>
      <c r="B19" s="20" t="s">
        <v>26</v>
      </c>
      <c r="C19" s="21" t="s">
        <v>78</v>
      </c>
      <c r="D19" s="20" t="s">
        <v>27</v>
      </c>
      <c r="E19" s="23">
        <v>30000</v>
      </c>
      <c r="F19" s="23">
        <v>2334000</v>
      </c>
      <c r="G19" s="23">
        <v>233400</v>
      </c>
      <c r="H19" s="23">
        <v>2567400</v>
      </c>
      <c r="I19" s="24" t="s">
        <v>28</v>
      </c>
      <c r="J19" s="25"/>
      <c r="K19" s="25"/>
      <c r="L19" s="26">
        <v>4.3999999999999997E-2</v>
      </c>
      <c r="M19" s="27">
        <f>E19*L19</f>
        <v>1320</v>
      </c>
      <c r="N19" s="28"/>
      <c r="O19" s="100">
        <f>25000+579510</f>
        <v>604510</v>
      </c>
      <c r="P19" s="98">
        <f>SUM(M19:M23)*1330+O19</f>
        <v>6356760</v>
      </c>
      <c r="Q19" s="92">
        <f>SUM(F19:F23)-P19</f>
        <v>1423340</v>
      </c>
      <c r="R19" s="94">
        <f>Q19/7780100*100</f>
        <v>18.294623462423363</v>
      </c>
      <c r="S19" s="32" t="s">
        <v>139</v>
      </c>
    </row>
    <row r="20" spans="1:19" s="7" customFormat="1" ht="21" customHeight="1" x14ac:dyDescent="0.45">
      <c r="A20" s="112"/>
      <c r="B20" s="20" t="s">
        <v>26</v>
      </c>
      <c r="C20" s="21" t="s">
        <v>78</v>
      </c>
      <c r="D20" s="20" t="s">
        <v>29</v>
      </c>
      <c r="E20" s="23">
        <v>40000</v>
      </c>
      <c r="F20" s="23">
        <v>3164800</v>
      </c>
      <c r="G20" s="23">
        <v>316480</v>
      </c>
      <c r="H20" s="23">
        <v>3481280</v>
      </c>
      <c r="I20" s="24" t="s">
        <v>28</v>
      </c>
      <c r="J20" s="25"/>
      <c r="K20" s="25"/>
      <c r="L20" s="26">
        <v>4.2999999999999997E-2</v>
      </c>
      <c r="M20" s="27">
        <f t="shared" ref="M20:M26" si="1">E20*L20</f>
        <v>1719.9999999999998</v>
      </c>
      <c r="N20" s="28"/>
      <c r="O20" s="101"/>
      <c r="P20" s="103"/>
      <c r="Q20" s="96"/>
      <c r="R20" s="97"/>
      <c r="S20" s="32"/>
    </row>
    <row r="21" spans="1:19" s="7" customFormat="1" ht="21" customHeight="1" x14ac:dyDescent="0.45">
      <c r="A21" s="112"/>
      <c r="B21" s="20" t="s">
        <v>26</v>
      </c>
      <c r="C21" s="21" t="s">
        <v>78</v>
      </c>
      <c r="D21" s="20" t="s">
        <v>79</v>
      </c>
      <c r="E21" s="23">
        <v>5000</v>
      </c>
      <c r="F21" s="23">
        <v>619750</v>
      </c>
      <c r="G21" s="23">
        <v>61975</v>
      </c>
      <c r="H21" s="23">
        <v>681725</v>
      </c>
      <c r="I21" s="24" t="s">
        <v>28</v>
      </c>
      <c r="J21" s="25"/>
      <c r="K21" s="25"/>
      <c r="L21" s="26">
        <v>7.0000000000000007E-2</v>
      </c>
      <c r="M21" s="27">
        <f t="shared" si="1"/>
        <v>350.00000000000006</v>
      </c>
      <c r="N21" s="28"/>
      <c r="O21" s="101"/>
      <c r="P21" s="103"/>
      <c r="Q21" s="96"/>
      <c r="R21" s="97"/>
      <c r="S21" s="32"/>
    </row>
    <row r="22" spans="1:19" s="7" customFormat="1" ht="21" customHeight="1" x14ac:dyDescent="0.45">
      <c r="A22" s="112"/>
      <c r="B22" s="20" t="s">
        <v>26</v>
      </c>
      <c r="C22" s="21" t="s">
        <v>78</v>
      </c>
      <c r="D22" s="20" t="s">
        <v>80</v>
      </c>
      <c r="E22" s="23">
        <v>10000</v>
      </c>
      <c r="F22" s="23">
        <v>738500</v>
      </c>
      <c r="G22" s="23">
        <v>73850</v>
      </c>
      <c r="H22" s="23">
        <v>812350</v>
      </c>
      <c r="I22" s="24" t="s">
        <v>28</v>
      </c>
      <c r="J22" s="25"/>
      <c r="K22" s="25"/>
      <c r="L22" s="26">
        <v>4.3999999999999997E-2</v>
      </c>
      <c r="M22" s="27">
        <f t="shared" si="1"/>
        <v>440</v>
      </c>
      <c r="N22" s="28"/>
      <c r="O22" s="101"/>
      <c r="P22" s="103"/>
      <c r="Q22" s="96"/>
      <c r="R22" s="97"/>
      <c r="S22" s="32"/>
    </row>
    <row r="23" spans="1:19" s="7" customFormat="1" ht="21" customHeight="1" x14ac:dyDescent="0.45">
      <c r="A23" s="112"/>
      <c r="B23" s="20" t="s">
        <v>26</v>
      </c>
      <c r="C23" s="21" t="s">
        <v>78</v>
      </c>
      <c r="D23" s="20" t="s">
        <v>30</v>
      </c>
      <c r="E23" s="23">
        <v>5000</v>
      </c>
      <c r="F23" s="23">
        <v>923050</v>
      </c>
      <c r="G23" s="23">
        <v>92305</v>
      </c>
      <c r="H23" s="23">
        <v>1015355</v>
      </c>
      <c r="I23" s="24" t="s">
        <v>28</v>
      </c>
      <c r="J23" s="25"/>
      <c r="K23" s="25"/>
      <c r="L23" s="26">
        <v>9.9000000000000005E-2</v>
      </c>
      <c r="M23" s="27">
        <f t="shared" si="1"/>
        <v>495</v>
      </c>
      <c r="N23" s="28"/>
      <c r="O23" s="102"/>
      <c r="P23" s="99"/>
      <c r="Q23" s="93"/>
      <c r="R23" s="95"/>
      <c r="S23" s="32"/>
    </row>
    <row r="24" spans="1:19" s="7" customFormat="1" ht="21" customHeight="1" x14ac:dyDescent="0.45">
      <c r="A24" s="112"/>
      <c r="B24" s="20" t="s">
        <v>26</v>
      </c>
      <c r="C24" s="21" t="s">
        <v>75</v>
      </c>
      <c r="D24" s="20" t="s">
        <v>81</v>
      </c>
      <c r="E24" s="23">
        <v>10000</v>
      </c>
      <c r="F24" s="23">
        <v>2676000</v>
      </c>
      <c r="G24" s="23">
        <v>267600</v>
      </c>
      <c r="H24" s="23">
        <v>2943600</v>
      </c>
      <c r="I24" s="24" t="s">
        <v>28</v>
      </c>
      <c r="J24" s="25"/>
      <c r="K24" s="25"/>
      <c r="L24" s="26">
        <v>0.13</v>
      </c>
      <c r="M24" s="27">
        <f t="shared" si="1"/>
        <v>1300</v>
      </c>
      <c r="N24" s="28"/>
      <c r="O24" s="29">
        <v>99740</v>
      </c>
      <c r="P24" s="66">
        <f>M24*1340</f>
        <v>1742000</v>
      </c>
      <c r="Q24" s="30">
        <f>F24-P24</f>
        <v>934000</v>
      </c>
      <c r="R24" s="31">
        <f>Q24/F24*100</f>
        <v>34.902840059790734</v>
      </c>
      <c r="S24" s="32" t="s">
        <v>140</v>
      </c>
    </row>
    <row r="25" spans="1:19" s="7" customFormat="1" ht="21" customHeight="1" x14ac:dyDescent="0.45">
      <c r="A25" s="112"/>
      <c r="B25" s="20" t="s">
        <v>26</v>
      </c>
      <c r="C25" s="21" t="s">
        <v>75</v>
      </c>
      <c r="D25" s="20" t="s">
        <v>82</v>
      </c>
      <c r="E25" s="23">
        <v>10000</v>
      </c>
      <c r="F25" s="23">
        <v>2301400</v>
      </c>
      <c r="G25" s="23">
        <v>230140</v>
      </c>
      <c r="H25" s="23">
        <v>2531540</v>
      </c>
      <c r="I25" s="24" t="s">
        <v>28</v>
      </c>
      <c r="J25" s="25"/>
      <c r="K25" s="25"/>
      <c r="L25" s="26">
        <v>0.12</v>
      </c>
      <c r="M25" s="27">
        <f t="shared" si="1"/>
        <v>1200</v>
      </c>
      <c r="N25" s="28"/>
      <c r="O25" s="29">
        <f>398086/2940*M25</f>
        <v>162484.08163265308</v>
      </c>
      <c r="P25" s="66">
        <f>M25*1340+O25</f>
        <v>1770484.081632653</v>
      </c>
      <c r="Q25" s="30">
        <f>F25-P25</f>
        <v>530915.91836734698</v>
      </c>
      <c r="R25" s="31">
        <f>Q25/F25*100</f>
        <v>23.069258641146561</v>
      </c>
      <c r="S25" s="32" t="s">
        <v>141</v>
      </c>
    </row>
    <row r="26" spans="1:19" s="7" customFormat="1" ht="21" customHeight="1" x14ac:dyDescent="0.45">
      <c r="A26" s="112"/>
      <c r="B26" s="20" t="s">
        <v>26</v>
      </c>
      <c r="C26" s="21" t="s">
        <v>83</v>
      </c>
      <c r="D26" s="22" t="s">
        <v>142</v>
      </c>
      <c r="E26" s="23">
        <v>200</v>
      </c>
      <c r="F26" s="23">
        <v>80000</v>
      </c>
      <c r="G26" s="23">
        <v>8000</v>
      </c>
      <c r="H26" s="23">
        <v>88000</v>
      </c>
      <c r="I26" s="24" t="s">
        <v>28</v>
      </c>
      <c r="J26" s="25"/>
      <c r="K26" s="25"/>
      <c r="L26" s="26">
        <v>0.11</v>
      </c>
      <c r="M26" s="27">
        <f t="shared" si="1"/>
        <v>22</v>
      </c>
      <c r="N26" s="28"/>
      <c r="O26" s="29">
        <v>28840</v>
      </c>
      <c r="P26" s="66">
        <f>M26*1310+O26</f>
        <v>57660</v>
      </c>
      <c r="Q26" s="30">
        <f>F26-P26</f>
        <v>22340</v>
      </c>
      <c r="R26" s="31">
        <f>Q26/F26*100</f>
        <v>27.925000000000001</v>
      </c>
      <c r="S26" s="32" t="s">
        <v>143</v>
      </c>
    </row>
    <row r="27" spans="1:19" s="7" customFormat="1" ht="21" customHeight="1" x14ac:dyDescent="0.45">
      <c r="A27" s="81"/>
      <c r="B27" s="110" t="s">
        <v>31</v>
      </c>
      <c r="C27" s="110"/>
      <c r="D27" s="110"/>
      <c r="E27" s="33">
        <v>110200</v>
      </c>
      <c r="F27" s="33">
        <v>12837500</v>
      </c>
      <c r="G27" s="33">
        <v>1283750</v>
      </c>
      <c r="H27" s="33">
        <v>14121250</v>
      </c>
      <c r="I27" s="34"/>
      <c r="J27" s="35"/>
      <c r="K27" s="35"/>
      <c r="L27" s="36"/>
      <c r="M27" s="37"/>
      <c r="N27" s="38"/>
      <c r="O27" s="39">
        <f>SUM(O19:O26)</f>
        <v>895574.08163265302</v>
      </c>
      <c r="P27" s="67">
        <f>SUM(P19:P26)</f>
        <v>9926904.0816326533</v>
      </c>
      <c r="Q27" s="40">
        <f>SUM(Q19:Q26)</f>
        <v>2910595.9183673467</v>
      </c>
      <c r="R27" s="41"/>
      <c r="S27" s="32"/>
    </row>
    <row r="28" spans="1:19" s="7" customFormat="1" ht="21" customHeight="1" x14ac:dyDescent="0.45">
      <c r="A28" s="80"/>
      <c r="B28" s="20" t="s">
        <v>32</v>
      </c>
      <c r="C28" s="21" t="s">
        <v>85</v>
      </c>
      <c r="D28" s="20" t="s">
        <v>144</v>
      </c>
      <c r="E28" s="23">
        <v>6000</v>
      </c>
      <c r="F28" s="23">
        <v>318000</v>
      </c>
      <c r="G28" s="23">
        <v>31800</v>
      </c>
      <c r="H28" s="23">
        <v>349800</v>
      </c>
      <c r="I28" s="24" t="s">
        <v>64</v>
      </c>
      <c r="J28" s="25">
        <v>46</v>
      </c>
      <c r="K28" s="25">
        <f>E28*J28</f>
        <v>276000</v>
      </c>
      <c r="L28" s="26"/>
      <c r="M28" s="27"/>
      <c r="N28" s="28"/>
      <c r="O28" s="29"/>
      <c r="P28" s="66">
        <f>K28</f>
        <v>276000</v>
      </c>
      <c r="Q28" s="30">
        <f>F28-P28</f>
        <v>42000</v>
      </c>
      <c r="R28" s="31">
        <f>Q28/F28*100</f>
        <v>13.20754716981132</v>
      </c>
      <c r="S28" s="32"/>
    </row>
    <row r="29" spans="1:19" s="7" customFormat="1" ht="21" customHeight="1" x14ac:dyDescent="0.45">
      <c r="A29" s="112"/>
      <c r="B29" s="20" t="s">
        <v>32</v>
      </c>
      <c r="C29" s="21" t="s">
        <v>85</v>
      </c>
      <c r="D29" s="20" t="s">
        <v>145</v>
      </c>
      <c r="E29" s="23">
        <v>6000</v>
      </c>
      <c r="F29" s="23">
        <v>2193156</v>
      </c>
      <c r="G29" s="23">
        <v>219315</v>
      </c>
      <c r="H29" s="23">
        <f>F29+G29</f>
        <v>2412471</v>
      </c>
      <c r="I29" s="24" t="s">
        <v>54</v>
      </c>
      <c r="J29" s="25"/>
      <c r="K29" s="25"/>
      <c r="L29" s="26">
        <v>0.16850000000000001</v>
      </c>
      <c r="M29" s="27">
        <f>E29*L29</f>
        <v>1011.0000000000001</v>
      </c>
      <c r="N29" s="28"/>
      <c r="O29" s="29"/>
      <c r="P29" s="66">
        <f>M29*1296</f>
        <v>1310256.0000000002</v>
      </c>
      <c r="Q29" s="30">
        <f>F29-P29</f>
        <v>882899.99999999977</v>
      </c>
      <c r="R29" s="31">
        <f>Q29/F29*100</f>
        <v>40.257054217757414</v>
      </c>
      <c r="S29" s="32"/>
    </row>
    <row r="30" spans="1:19" s="7" customFormat="1" ht="21" customHeight="1" x14ac:dyDescent="0.45">
      <c r="A30" s="81"/>
      <c r="B30" s="110" t="s">
        <v>33</v>
      </c>
      <c r="C30" s="110"/>
      <c r="D30" s="110"/>
      <c r="E30" s="33">
        <v>12001</v>
      </c>
      <c r="F30" s="33">
        <f>SUM(F28:F29)</f>
        <v>2511156</v>
      </c>
      <c r="G30" s="33">
        <f>SUM(G28:G29)</f>
        <v>251115</v>
      </c>
      <c r="H30" s="33">
        <v>2762271</v>
      </c>
      <c r="I30" s="34"/>
      <c r="J30" s="35"/>
      <c r="K30" s="35"/>
      <c r="L30" s="36"/>
      <c r="M30" s="37"/>
      <c r="N30" s="38"/>
      <c r="O30" s="39">
        <f>SUM(O28:O29)</f>
        <v>0</v>
      </c>
      <c r="P30" s="67">
        <f>SUM(P28:P29)</f>
        <v>1586256.0000000002</v>
      </c>
      <c r="Q30" s="40">
        <f>SUM(Q28:Q29)</f>
        <v>924899.99999999977</v>
      </c>
      <c r="R30" s="41"/>
      <c r="S30" s="32"/>
    </row>
    <row r="31" spans="1:19" s="7" customFormat="1" ht="21" customHeight="1" x14ac:dyDescent="0.45">
      <c r="A31" s="80"/>
      <c r="B31" s="20" t="s">
        <v>34</v>
      </c>
      <c r="C31" s="21" t="s">
        <v>86</v>
      </c>
      <c r="D31" s="20" t="s">
        <v>146</v>
      </c>
      <c r="E31" s="23">
        <v>319</v>
      </c>
      <c r="F31" s="23">
        <v>12728100</v>
      </c>
      <c r="G31" s="23">
        <v>1272810</v>
      </c>
      <c r="H31" s="23">
        <v>14000910</v>
      </c>
      <c r="I31" s="24" t="s">
        <v>35</v>
      </c>
      <c r="J31" s="25"/>
      <c r="K31" s="25"/>
      <c r="L31" s="26">
        <v>27</v>
      </c>
      <c r="M31" s="27">
        <f>E31*L31</f>
        <v>8613</v>
      </c>
      <c r="N31" s="28"/>
      <c r="O31" s="29">
        <v>123570</v>
      </c>
      <c r="P31" s="66">
        <f>M31*1315+O31</f>
        <v>11449665</v>
      </c>
      <c r="Q31" s="30">
        <f>F31-P31</f>
        <v>1278435</v>
      </c>
      <c r="R31" s="31">
        <f>Q31/F31*100</f>
        <v>10.04419355599029</v>
      </c>
      <c r="S31" s="32" t="s">
        <v>147</v>
      </c>
    </row>
    <row r="32" spans="1:19" s="7" customFormat="1" ht="21" customHeight="1" x14ac:dyDescent="0.45">
      <c r="A32" s="81"/>
      <c r="B32" s="110" t="s">
        <v>36</v>
      </c>
      <c r="C32" s="110"/>
      <c r="D32" s="110"/>
      <c r="E32" s="33">
        <v>319</v>
      </c>
      <c r="F32" s="33">
        <v>12728100</v>
      </c>
      <c r="G32" s="33">
        <v>1272810</v>
      </c>
      <c r="H32" s="33">
        <v>14000910</v>
      </c>
      <c r="I32" s="34"/>
      <c r="J32" s="35"/>
      <c r="K32" s="35"/>
      <c r="L32" s="36"/>
      <c r="M32" s="37"/>
      <c r="N32" s="38"/>
      <c r="O32" s="39">
        <f>SUM(O31)</f>
        <v>123570</v>
      </c>
      <c r="P32" s="67">
        <f>SUM(P31)</f>
        <v>11449665</v>
      </c>
      <c r="Q32" s="40">
        <f>SUM(Q31)</f>
        <v>1278435</v>
      </c>
      <c r="R32" s="41"/>
      <c r="S32" s="32"/>
    </row>
    <row r="33" spans="1:19" s="7" customFormat="1" ht="21" customHeight="1" x14ac:dyDescent="0.45">
      <c r="A33" s="80"/>
      <c r="B33" s="20" t="s">
        <v>87</v>
      </c>
      <c r="C33" s="21" t="s">
        <v>88</v>
      </c>
      <c r="D33" s="20" t="s">
        <v>148</v>
      </c>
      <c r="E33" s="23">
        <v>160000</v>
      </c>
      <c r="F33" s="23">
        <v>1753600</v>
      </c>
      <c r="G33" s="23">
        <v>175360</v>
      </c>
      <c r="H33" s="23">
        <v>1928960</v>
      </c>
      <c r="I33" s="24" t="s">
        <v>54</v>
      </c>
      <c r="J33" s="25"/>
      <c r="K33" s="25"/>
      <c r="L33" s="26">
        <v>4.7999999999999996E-3</v>
      </c>
      <c r="M33" s="27">
        <f>E33*L33</f>
        <v>767.99999999999989</v>
      </c>
      <c r="N33" s="28"/>
      <c r="O33" s="100">
        <f>152.24*1315+370140</f>
        <v>570335.6</v>
      </c>
      <c r="P33" s="98">
        <f>(M33+M34)*1315+O33</f>
        <v>1777505.5999999996</v>
      </c>
      <c r="Q33" s="92">
        <f>SUM(F33:F34)-P33</f>
        <v>320494.40000000037</v>
      </c>
      <c r="R33" s="94">
        <f>Q33/2098000*100</f>
        <v>15.276186844613937</v>
      </c>
      <c r="S33" s="32" t="s">
        <v>150</v>
      </c>
    </row>
    <row r="34" spans="1:19" s="7" customFormat="1" ht="21" customHeight="1" x14ac:dyDescent="0.45">
      <c r="A34" s="112"/>
      <c r="B34" s="20" t="s">
        <v>87</v>
      </c>
      <c r="C34" s="21" t="s">
        <v>88</v>
      </c>
      <c r="D34" s="20" t="s">
        <v>89</v>
      </c>
      <c r="E34" s="23">
        <v>30000</v>
      </c>
      <c r="F34" s="23">
        <v>344400</v>
      </c>
      <c r="G34" s="23">
        <v>34440</v>
      </c>
      <c r="H34" s="23">
        <v>378840</v>
      </c>
      <c r="I34" s="24" t="s">
        <v>54</v>
      </c>
      <c r="J34" s="25"/>
      <c r="K34" s="25"/>
      <c r="L34" s="26">
        <v>5.0000000000000001E-3</v>
      </c>
      <c r="M34" s="27">
        <f>E34*L34</f>
        <v>150</v>
      </c>
      <c r="N34" s="28"/>
      <c r="O34" s="102"/>
      <c r="P34" s="99"/>
      <c r="Q34" s="93"/>
      <c r="R34" s="95"/>
      <c r="S34" s="32"/>
    </row>
    <row r="35" spans="1:19" s="7" customFormat="1" ht="21" customHeight="1" x14ac:dyDescent="0.45">
      <c r="A35" s="112"/>
      <c r="B35" s="20" t="s">
        <v>87</v>
      </c>
      <c r="C35" s="21" t="s">
        <v>88</v>
      </c>
      <c r="D35" s="20" t="s">
        <v>149</v>
      </c>
      <c r="E35" s="23">
        <v>360000</v>
      </c>
      <c r="F35" s="23">
        <v>2898000</v>
      </c>
      <c r="G35" s="23">
        <v>289800</v>
      </c>
      <c r="H35" s="23">
        <v>3187800</v>
      </c>
      <c r="I35" s="24" t="s">
        <v>54</v>
      </c>
      <c r="J35" s="63"/>
      <c r="K35" s="63"/>
      <c r="L35" s="26">
        <v>2.5000000000000001E-3</v>
      </c>
      <c r="M35" s="27">
        <f>E35*L35</f>
        <v>900</v>
      </c>
      <c r="N35" s="28"/>
      <c r="O35" s="42">
        <f>734560/2</f>
        <v>367280</v>
      </c>
      <c r="P35" s="43">
        <f>M35*1315+O35</f>
        <v>1550780</v>
      </c>
      <c r="Q35" s="30">
        <f>F35-P35</f>
        <v>1347220</v>
      </c>
      <c r="R35" s="31">
        <f>Q35/F35*100</f>
        <v>46.487922705314013</v>
      </c>
      <c r="S35" s="32" t="s">
        <v>151</v>
      </c>
    </row>
    <row r="36" spans="1:19" s="7" customFormat="1" ht="21" customHeight="1" x14ac:dyDescent="0.45">
      <c r="A36" s="81"/>
      <c r="B36" s="110" t="s">
        <v>90</v>
      </c>
      <c r="C36" s="110"/>
      <c r="D36" s="110"/>
      <c r="E36" s="33">
        <v>550000</v>
      </c>
      <c r="F36" s="33">
        <v>4996000</v>
      </c>
      <c r="G36" s="33">
        <v>499600</v>
      </c>
      <c r="H36" s="33">
        <v>5495600</v>
      </c>
      <c r="I36" s="34"/>
      <c r="J36" s="35"/>
      <c r="K36" s="35"/>
      <c r="L36" s="36"/>
      <c r="M36" s="37"/>
      <c r="N36" s="38"/>
      <c r="O36" s="39">
        <f>SUM(O33:O35)</f>
        <v>937615.6</v>
      </c>
      <c r="P36" s="67">
        <f>SUM(P33:P35)</f>
        <v>3328285.5999999996</v>
      </c>
      <c r="Q36" s="40">
        <f>SUM(Q33:Q35)</f>
        <v>1667714.4000000004</v>
      </c>
      <c r="R36" s="41"/>
      <c r="S36" s="32"/>
    </row>
    <row r="37" spans="1:19" s="7" customFormat="1" ht="21" customHeight="1" x14ac:dyDescent="0.45">
      <c r="A37" s="90"/>
      <c r="B37" s="20" t="s">
        <v>96</v>
      </c>
      <c r="C37" s="21" t="s">
        <v>97</v>
      </c>
      <c r="D37" s="20" t="s">
        <v>98</v>
      </c>
      <c r="E37" s="23">
        <v>10000</v>
      </c>
      <c r="F37" s="23">
        <f>1200*1305</f>
        <v>1566000</v>
      </c>
      <c r="G37" s="23">
        <v>0</v>
      </c>
      <c r="H37" s="23">
        <f>F37</f>
        <v>1566000</v>
      </c>
      <c r="I37" s="24" t="s">
        <v>37</v>
      </c>
      <c r="J37" s="25"/>
      <c r="K37" s="25"/>
      <c r="L37" s="26">
        <v>0.08</v>
      </c>
      <c r="M37" s="27">
        <f>E37*L37</f>
        <v>800</v>
      </c>
      <c r="N37" s="28"/>
      <c r="O37" s="29">
        <v>51650</v>
      </c>
      <c r="P37" s="66">
        <f>M37*1316+O37</f>
        <v>1104450</v>
      </c>
      <c r="Q37" s="30">
        <f>F37-P37</f>
        <v>461550</v>
      </c>
      <c r="R37" s="31">
        <f>Q37/F37*100</f>
        <v>29.473180076628353</v>
      </c>
      <c r="S37" s="32" t="s">
        <v>152</v>
      </c>
    </row>
    <row r="38" spans="1:19" s="7" customFormat="1" ht="21" customHeight="1" x14ac:dyDescent="0.45">
      <c r="A38" s="91"/>
      <c r="B38" s="110" t="s">
        <v>99</v>
      </c>
      <c r="C38" s="110"/>
      <c r="D38" s="110"/>
      <c r="E38" s="33">
        <v>10000</v>
      </c>
      <c r="F38" s="33">
        <f>SUM(F37)</f>
        <v>1566000</v>
      </c>
      <c r="G38" s="33">
        <f>SUM(G37)</f>
        <v>0</v>
      </c>
      <c r="H38" s="33">
        <f>SUM(H37)</f>
        <v>1566000</v>
      </c>
      <c r="I38" s="34"/>
      <c r="J38" s="35"/>
      <c r="K38" s="35"/>
      <c r="L38" s="36"/>
      <c r="M38" s="37"/>
      <c r="N38" s="38"/>
      <c r="O38" s="39">
        <f>SUM(O37)</f>
        <v>51650</v>
      </c>
      <c r="P38" s="67">
        <f>SUM(P37)</f>
        <v>1104450</v>
      </c>
      <c r="Q38" s="40">
        <f>SUM(Q37)</f>
        <v>461550</v>
      </c>
      <c r="R38" s="41"/>
      <c r="S38" s="32"/>
    </row>
    <row r="39" spans="1:19" s="7" customFormat="1" ht="21" customHeight="1" x14ac:dyDescent="0.45">
      <c r="A39" s="80"/>
      <c r="B39" s="20" t="s">
        <v>100</v>
      </c>
      <c r="C39" s="21" t="s">
        <v>97</v>
      </c>
      <c r="D39" s="20" t="s">
        <v>101</v>
      </c>
      <c r="E39" s="23">
        <v>5000</v>
      </c>
      <c r="F39" s="23">
        <v>2600000</v>
      </c>
      <c r="G39" s="23">
        <v>260000</v>
      </c>
      <c r="H39" s="23">
        <v>2860000</v>
      </c>
      <c r="I39" s="24" t="s">
        <v>153</v>
      </c>
      <c r="J39" s="25"/>
      <c r="K39" s="25"/>
      <c r="L39" s="26">
        <v>0.25</v>
      </c>
      <c r="M39" s="27">
        <f>E39*L39</f>
        <v>1250</v>
      </c>
      <c r="N39" s="28"/>
      <c r="O39" s="29">
        <v>82060</v>
      </c>
      <c r="P39" s="66">
        <f>M39*1330+O39</f>
        <v>1744560</v>
      </c>
      <c r="Q39" s="30">
        <f>F39-P39</f>
        <v>855440</v>
      </c>
      <c r="R39" s="31">
        <f>Q39/F39*100</f>
        <v>32.901538461538458</v>
      </c>
      <c r="S39" s="32" t="s">
        <v>154</v>
      </c>
    </row>
    <row r="40" spans="1:19" s="7" customFormat="1" ht="21" customHeight="1" x14ac:dyDescent="0.45">
      <c r="A40" s="81"/>
      <c r="B40" s="110" t="s">
        <v>102</v>
      </c>
      <c r="C40" s="110"/>
      <c r="D40" s="110"/>
      <c r="E40" s="33">
        <v>5000</v>
      </c>
      <c r="F40" s="33">
        <v>2600000</v>
      </c>
      <c r="G40" s="33">
        <v>260000</v>
      </c>
      <c r="H40" s="33">
        <v>2860000</v>
      </c>
      <c r="I40" s="34"/>
      <c r="J40" s="35"/>
      <c r="K40" s="35"/>
      <c r="L40" s="36"/>
      <c r="M40" s="37"/>
      <c r="N40" s="38"/>
      <c r="O40" s="39">
        <f>SUM(O39)</f>
        <v>82060</v>
      </c>
      <c r="P40" s="67">
        <f>SUM(P39)</f>
        <v>1744560</v>
      </c>
      <c r="Q40" s="40">
        <f>SUM(Q39)</f>
        <v>855440</v>
      </c>
      <c r="R40" s="41"/>
      <c r="S40" s="32"/>
    </row>
    <row r="41" spans="1:19" s="7" customFormat="1" ht="21" customHeight="1" x14ac:dyDescent="0.45">
      <c r="A41" s="80"/>
      <c r="B41" s="20" t="s">
        <v>106</v>
      </c>
      <c r="C41" s="21" t="s">
        <v>91</v>
      </c>
      <c r="D41" s="20" t="s">
        <v>107</v>
      </c>
      <c r="E41" s="23">
        <v>88000</v>
      </c>
      <c r="F41" s="23">
        <v>2288000</v>
      </c>
      <c r="G41" s="23">
        <v>228800</v>
      </c>
      <c r="H41" s="23">
        <v>2516800</v>
      </c>
      <c r="I41" s="24" t="s">
        <v>155</v>
      </c>
      <c r="J41" s="65">
        <v>17.8</v>
      </c>
      <c r="K41" s="25">
        <f>E41*J41</f>
        <v>1566400</v>
      </c>
      <c r="L41" s="26"/>
      <c r="M41" s="27"/>
      <c r="N41" s="28"/>
      <c r="O41" s="29"/>
      <c r="P41" s="66">
        <f>K41</f>
        <v>1566400</v>
      </c>
      <c r="Q41" s="30">
        <f>F41-P41</f>
        <v>721600</v>
      </c>
      <c r="R41" s="31">
        <f>Q41/F41*100</f>
        <v>31.538461538461537</v>
      </c>
      <c r="S41" s="32"/>
    </row>
    <row r="42" spans="1:19" s="7" customFormat="1" ht="21" customHeight="1" x14ac:dyDescent="0.45">
      <c r="A42" s="81"/>
      <c r="B42" s="110" t="s">
        <v>108</v>
      </c>
      <c r="C42" s="110"/>
      <c r="D42" s="110"/>
      <c r="E42" s="33">
        <v>88000</v>
      </c>
      <c r="F42" s="33">
        <v>2288000</v>
      </c>
      <c r="G42" s="33">
        <v>228800</v>
      </c>
      <c r="H42" s="33">
        <v>2516800</v>
      </c>
      <c r="I42" s="34"/>
      <c r="J42" s="35"/>
      <c r="K42" s="35"/>
      <c r="L42" s="36"/>
      <c r="M42" s="37"/>
      <c r="N42" s="38"/>
      <c r="O42" s="39">
        <f>SUM(O41)</f>
        <v>0</v>
      </c>
      <c r="P42" s="67">
        <f>SUM(P41)</f>
        <v>1566400</v>
      </c>
      <c r="Q42" s="40">
        <f>SUM(Q41)</f>
        <v>721600</v>
      </c>
      <c r="R42" s="41"/>
      <c r="S42" s="32"/>
    </row>
    <row r="43" spans="1:19" s="7" customFormat="1" ht="21" customHeight="1" x14ac:dyDescent="0.45">
      <c r="A43" s="112"/>
      <c r="B43" s="20" t="s">
        <v>22</v>
      </c>
      <c r="C43" s="21" t="s">
        <v>78</v>
      </c>
      <c r="D43" s="20" t="s">
        <v>158</v>
      </c>
      <c r="E43" s="23">
        <v>5000</v>
      </c>
      <c r="F43" s="23">
        <v>745000</v>
      </c>
      <c r="G43" s="23">
        <v>74500</v>
      </c>
      <c r="H43" s="23">
        <v>819500</v>
      </c>
      <c r="I43" s="24" t="s">
        <v>28</v>
      </c>
      <c r="J43" s="25"/>
      <c r="K43" s="25"/>
      <c r="L43" s="26">
        <v>9.5000000000000001E-2</v>
      </c>
      <c r="M43" s="27">
        <f>E43*L43</f>
        <v>475</v>
      </c>
      <c r="N43" s="28"/>
      <c r="O43" s="29">
        <f>133950/2</f>
        <v>66975</v>
      </c>
      <c r="P43" s="66">
        <f>M43*1350+O43</f>
        <v>708225</v>
      </c>
      <c r="Q43" s="30">
        <f>F43-P43</f>
        <v>36775</v>
      </c>
      <c r="R43" s="31">
        <f>Q43/F43*100</f>
        <v>4.9362416107382554</v>
      </c>
      <c r="S43" s="32" t="s">
        <v>159</v>
      </c>
    </row>
    <row r="44" spans="1:19" s="7" customFormat="1" ht="21" customHeight="1" x14ac:dyDescent="0.45">
      <c r="A44" s="112"/>
      <c r="B44" s="20" t="s">
        <v>22</v>
      </c>
      <c r="C44" s="21" t="s">
        <v>78</v>
      </c>
      <c r="D44" s="20" t="s">
        <v>160</v>
      </c>
      <c r="E44" s="23">
        <v>30000</v>
      </c>
      <c r="F44" s="23">
        <v>8935401</v>
      </c>
      <c r="G44" s="23">
        <f>F44*10%</f>
        <v>893540.10000000009</v>
      </c>
      <c r="H44" s="23">
        <f>F44+G44</f>
        <v>9828941.0999999996</v>
      </c>
      <c r="I44" s="24" t="s">
        <v>161</v>
      </c>
      <c r="J44" s="25"/>
      <c r="K44" s="25"/>
      <c r="L44" s="26">
        <v>0.15</v>
      </c>
      <c r="M44" s="27">
        <f>E44*L44</f>
        <v>4500</v>
      </c>
      <c r="N44" s="28"/>
      <c r="O44" s="29">
        <v>81210</v>
      </c>
      <c r="P44" s="66">
        <f>M44*1303+O44</f>
        <v>5944710</v>
      </c>
      <c r="Q44" s="30">
        <f>F44-P44</f>
        <v>2990691</v>
      </c>
      <c r="R44" s="31">
        <f>Q44/F44*100</f>
        <v>33.470137490192101</v>
      </c>
      <c r="S44" s="32" t="s">
        <v>162</v>
      </c>
    </row>
    <row r="45" spans="1:19" s="7" customFormat="1" ht="21" customHeight="1" x14ac:dyDescent="0.45">
      <c r="A45" s="112"/>
      <c r="B45" s="20" t="s">
        <v>22</v>
      </c>
      <c r="C45" s="21" t="s">
        <v>78</v>
      </c>
      <c r="D45" s="20" t="s">
        <v>110</v>
      </c>
      <c r="E45" s="23">
        <v>2000</v>
      </c>
      <c r="F45" s="23">
        <v>343770</v>
      </c>
      <c r="G45" s="23">
        <f>F45*10%</f>
        <v>34377</v>
      </c>
      <c r="H45" s="23">
        <f>F45+G45</f>
        <v>378147</v>
      </c>
      <c r="I45" s="24" t="s">
        <v>54</v>
      </c>
      <c r="J45" s="25"/>
      <c r="K45" s="25"/>
      <c r="L45" s="26">
        <v>0.11119999999999999</v>
      </c>
      <c r="M45" s="27">
        <f>E45*L45</f>
        <v>222.39999999999998</v>
      </c>
      <c r="N45" s="28"/>
      <c r="O45" s="29"/>
      <c r="P45" s="66">
        <f>M45*1309</f>
        <v>291121.59999999998</v>
      </c>
      <c r="Q45" s="30">
        <f>F45-P45</f>
        <v>52648.400000000023</v>
      </c>
      <c r="R45" s="31">
        <f>Q45/F45*100</f>
        <v>15.315007126858079</v>
      </c>
      <c r="S45" s="32"/>
    </row>
    <row r="46" spans="1:19" s="7" customFormat="1" ht="21" customHeight="1" x14ac:dyDescent="0.45">
      <c r="A46" s="112"/>
      <c r="B46" s="20" t="s">
        <v>22</v>
      </c>
      <c r="C46" s="21" t="s">
        <v>88</v>
      </c>
      <c r="D46" s="20" t="s">
        <v>157</v>
      </c>
      <c r="E46" s="23">
        <v>470</v>
      </c>
      <c r="F46" s="23">
        <f>2715400+3665790</f>
        <v>6381190</v>
      </c>
      <c r="G46" s="23">
        <f>271540+366579</f>
        <v>638119</v>
      </c>
      <c r="H46" s="23">
        <f>F46+G46</f>
        <v>7019309</v>
      </c>
      <c r="I46" s="24" t="s">
        <v>156</v>
      </c>
      <c r="J46" s="25">
        <v>10500</v>
      </c>
      <c r="K46" s="25">
        <f>E46*J46</f>
        <v>4935000</v>
      </c>
      <c r="L46" s="26"/>
      <c r="M46" s="27"/>
      <c r="N46" s="28"/>
      <c r="O46" s="42"/>
      <c r="P46" s="43">
        <f>K46</f>
        <v>4935000</v>
      </c>
      <c r="Q46" s="44">
        <f>F46-P46</f>
        <v>1446190</v>
      </c>
      <c r="R46" s="45">
        <f>Q46/F46*100</f>
        <v>22.663327686528689</v>
      </c>
      <c r="S46" s="32"/>
    </row>
    <row r="47" spans="1:19" s="7" customFormat="1" ht="21" customHeight="1" x14ac:dyDescent="0.45">
      <c r="A47" s="112"/>
      <c r="B47" s="20" t="s">
        <v>22</v>
      </c>
      <c r="C47" s="21" t="s">
        <v>88</v>
      </c>
      <c r="D47" s="20" t="s">
        <v>109</v>
      </c>
      <c r="E47" s="23">
        <v>470</v>
      </c>
      <c r="F47" s="23">
        <f>4536000+6123600</f>
        <v>10659600</v>
      </c>
      <c r="G47" s="23">
        <f>453600+612360</f>
        <v>1065960</v>
      </c>
      <c r="H47" s="23">
        <f>F47+G47</f>
        <v>11725560</v>
      </c>
      <c r="I47" s="24" t="s">
        <v>156</v>
      </c>
      <c r="J47" s="25">
        <v>16800</v>
      </c>
      <c r="K47" s="25">
        <f t="shared" ref="K47" si="2">E47*J47</f>
        <v>7896000</v>
      </c>
      <c r="L47" s="26"/>
      <c r="M47" s="27"/>
      <c r="N47" s="28"/>
      <c r="O47" s="42"/>
      <c r="P47" s="43">
        <f t="shared" ref="P47" si="3">K47</f>
        <v>7896000</v>
      </c>
      <c r="Q47" s="44">
        <f t="shared" ref="Q47" si="4">F47-P47</f>
        <v>2763600</v>
      </c>
      <c r="R47" s="45">
        <f t="shared" ref="R47" si="5">Q47/F47*100</f>
        <v>25.925925925925924</v>
      </c>
      <c r="S47" s="32"/>
    </row>
    <row r="48" spans="1:19" s="7" customFormat="1" ht="21" customHeight="1" x14ac:dyDescent="0.45">
      <c r="A48" s="81"/>
      <c r="B48" s="110" t="s">
        <v>23</v>
      </c>
      <c r="C48" s="110"/>
      <c r="D48" s="110"/>
      <c r="E48" s="33">
        <f>SUM(E43:E47)</f>
        <v>37940</v>
      </c>
      <c r="F48" s="33">
        <f>SUM(F43:F47)</f>
        <v>27064961</v>
      </c>
      <c r="G48" s="33">
        <f>SUM(G43:G47)</f>
        <v>2706496.1</v>
      </c>
      <c r="H48" s="33">
        <f>SUM(H43:H47)</f>
        <v>29771457.100000001</v>
      </c>
      <c r="I48" s="34"/>
      <c r="J48" s="35"/>
      <c r="K48" s="35"/>
      <c r="L48" s="36"/>
      <c r="M48" s="37"/>
      <c r="N48" s="38"/>
      <c r="O48" s="39">
        <f>SUM(O43:O47)</f>
        <v>148185</v>
      </c>
      <c r="P48" s="67">
        <f>SUM(P43:P47)</f>
        <v>19775056.600000001</v>
      </c>
      <c r="Q48" s="40">
        <f>SUM(Q43:Q47)</f>
        <v>7289904.4000000004</v>
      </c>
      <c r="R48" s="41"/>
      <c r="S48" s="32"/>
    </row>
    <row r="49" spans="1:19" s="7" customFormat="1" ht="21" customHeight="1" x14ac:dyDescent="0.45">
      <c r="A49" s="90"/>
      <c r="B49" s="20" t="s">
        <v>47</v>
      </c>
      <c r="C49" s="21" t="s">
        <v>97</v>
      </c>
      <c r="D49" s="20" t="s">
        <v>48</v>
      </c>
      <c r="E49" s="23">
        <v>42000</v>
      </c>
      <c r="F49" s="23">
        <v>924000</v>
      </c>
      <c r="G49" s="23">
        <v>92400</v>
      </c>
      <c r="H49" s="23">
        <v>1016400</v>
      </c>
      <c r="I49" s="24" t="s">
        <v>49</v>
      </c>
      <c r="J49" s="25">
        <v>18</v>
      </c>
      <c r="K49" s="25">
        <f>E49*J49</f>
        <v>756000</v>
      </c>
      <c r="L49" s="26"/>
      <c r="M49" s="27"/>
      <c r="N49" s="28"/>
      <c r="O49" s="29"/>
      <c r="P49" s="66">
        <f>K49</f>
        <v>756000</v>
      </c>
      <c r="Q49" s="30">
        <f>F49-P49</f>
        <v>168000</v>
      </c>
      <c r="R49" s="31">
        <f>Q49/F49*100</f>
        <v>18.181818181818183</v>
      </c>
      <c r="S49" s="32"/>
    </row>
    <row r="50" spans="1:19" s="7" customFormat="1" ht="21" customHeight="1" x14ac:dyDescent="0.45">
      <c r="A50" s="111"/>
      <c r="B50" s="20" t="s">
        <v>47</v>
      </c>
      <c r="C50" s="21" t="s">
        <v>97</v>
      </c>
      <c r="D50" s="20" t="s">
        <v>50</v>
      </c>
      <c r="E50" s="23">
        <v>6000</v>
      </c>
      <c r="F50" s="23">
        <v>150000</v>
      </c>
      <c r="G50" s="23">
        <v>15000</v>
      </c>
      <c r="H50" s="23">
        <v>165000</v>
      </c>
      <c r="I50" s="24" t="s">
        <v>49</v>
      </c>
      <c r="J50" s="25">
        <v>21</v>
      </c>
      <c r="K50" s="25">
        <f t="shared" ref="K50:K51" si="6">E50*J50</f>
        <v>126000</v>
      </c>
      <c r="L50" s="26"/>
      <c r="M50" s="27"/>
      <c r="N50" s="28"/>
      <c r="O50" s="29"/>
      <c r="P50" s="66">
        <f t="shared" ref="P50:P51" si="7">K50</f>
        <v>126000</v>
      </c>
      <c r="Q50" s="30">
        <f t="shared" ref="Q50:Q51" si="8">F50-P50</f>
        <v>24000</v>
      </c>
      <c r="R50" s="31">
        <f t="shared" ref="R50:R51" si="9">Q50/F50*100</f>
        <v>16</v>
      </c>
      <c r="S50" s="32"/>
    </row>
    <row r="51" spans="1:19" s="7" customFormat="1" ht="21" customHeight="1" x14ac:dyDescent="0.45">
      <c r="A51" s="111"/>
      <c r="B51" s="20" t="s">
        <v>47</v>
      </c>
      <c r="C51" s="21" t="s">
        <v>97</v>
      </c>
      <c r="D51" s="20" t="s">
        <v>117</v>
      </c>
      <c r="E51" s="23">
        <v>2000</v>
      </c>
      <c r="F51" s="23">
        <v>68000</v>
      </c>
      <c r="G51" s="23">
        <v>6800</v>
      </c>
      <c r="H51" s="23">
        <v>74800</v>
      </c>
      <c r="I51" s="24" t="s">
        <v>49</v>
      </c>
      <c r="J51" s="25">
        <v>27</v>
      </c>
      <c r="K51" s="25">
        <f t="shared" si="6"/>
        <v>54000</v>
      </c>
      <c r="L51" s="26"/>
      <c r="M51" s="27"/>
      <c r="N51" s="28"/>
      <c r="O51" s="29"/>
      <c r="P51" s="66">
        <f t="shared" si="7"/>
        <v>54000</v>
      </c>
      <c r="Q51" s="30">
        <f t="shared" si="8"/>
        <v>14000</v>
      </c>
      <c r="R51" s="31">
        <f t="shared" si="9"/>
        <v>20.588235294117645</v>
      </c>
      <c r="S51" s="32"/>
    </row>
    <row r="52" spans="1:19" s="7" customFormat="1" ht="21" customHeight="1" x14ac:dyDescent="0.45">
      <c r="A52" s="91"/>
      <c r="B52" s="110" t="s">
        <v>51</v>
      </c>
      <c r="C52" s="110"/>
      <c r="D52" s="110"/>
      <c r="E52" s="33">
        <v>50000</v>
      </c>
      <c r="F52" s="33">
        <v>1142000</v>
      </c>
      <c r="G52" s="33">
        <v>114200</v>
      </c>
      <c r="H52" s="33">
        <v>1256200</v>
      </c>
      <c r="I52" s="34"/>
      <c r="J52" s="35"/>
      <c r="K52" s="35"/>
      <c r="L52" s="36"/>
      <c r="M52" s="37"/>
      <c r="N52" s="38"/>
      <c r="O52" s="39">
        <f>SUM(O49:O51)</f>
        <v>0</v>
      </c>
      <c r="P52" s="67">
        <f>SUM(P49:P51)</f>
        <v>936000</v>
      </c>
      <c r="Q52" s="40">
        <f>SUM(Q49:Q51)</f>
        <v>206000</v>
      </c>
      <c r="R52" s="41"/>
      <c r="S52" s="32"/>
    </row>
    <row r="53" spans="1:19" s="7" customFormat="1" ht="21" customHeight="1" x14ac:dyDescent="0.45">
      <c r="A53" s="90"/>
      <c r="B53" s="20" t="s">
        <v>24</v>
      </c>
      <c r="C53" s="21" t="s">
        <v>122</v>
      </c>
      <c r="D53" s="20" t="s">
        <v>163</v>
      </c>
      <c r="E53" s="23">
        <v>1000</v>
      </c>
      <c r="F53" s="23">
        <v>657800</v>
      </c>
      <c r="G53" s="23">
        <v>65780</v>
      </c>
      <c r="H53" s="23">
        <v>723580</v>
      </c>
      <c r="I53" s="24" t="s">
        <v>136</v>
      </c>
      <c r="J53" s="25"/>
      <c r="K53" s="25"/>
      <c r="L53" s="26">
        <v>0.37</v>
      </c>
      <c r="M53" s="27">
        <f>E53*L53</f>
        <v>370</v>
      </c>
      <c r="N53" s="28"/>
      <c r="O53" s="29">
        <v>46260</v>
      </c>
      <c r="P53" s="66">
        <f>M53*1320+O53</f>
        <v>534660</v>
      </c>
      <c r="Q53" s="30">
        <f>F53-P53</f>
        <v>123140</v>
      </c>
      <c r="R53" s="31">
        <f>Q53/F53*100</f>
        <v>18.719975676497416</v>
      </c>
      <c r="S53" s="32" t="s">
        <v>164</v>
      </c>
    </row>
    <row r="54" spans="1:19" s="7" customFormat="1" ht="21" customHeight="1" x14ac:dyDescent="0.45">
      <c r="A54" s="91"/>
      <c r="B54" s="110" t="s">
        <v>25</v>
      </c>
      <c r="C54" s="110"/>
      <c r="D54" s="110"/>
      <c r="E54" s="33">
        <v>1000</v>
      </c>
      <c r="F54" s="33">
        <v>657800</v>
      </c>
      <c r="G54" s="33">
        <v>65780</v>
      </c>
      <c r="H54" s="33">
        <v>723580</v>
      </c>
      <c r="I54" s="34"/>
      <c r="J54" s="35"/>
      <c r="K54" s="35"/>
      <c r="L54" s="36"/>
      <c r="M54" s="37"/>
      <c r="N54" s="38"/>
      <c r="O54" s="39">
        <f>SUM(O53)</f>
        <v>46260</v>
      </c>
      <c r="P54" s="67">
        <f>SUM(P53)</f>
        <v>534660</v>
      </c>
      <c r="Q54" s="40">
        <f>SUM(Q53)</f>
        <v>123140</v>
      </c>
      <c r="R54" s="41"/>
      <c r="S54" s="32"/>
    </row>
    <row r="55" spans="1:19" s="7" customFormat="1" ht="21" customHeight="1" x14ac:dyDescent="0.45">
      <c r="A55" s="80"/>
      <c r="B55" s="20" t="s">
        <v>52</v>
      </c>
      <c r="C55" s="21" t="s">
        <v>91</v>
      </c>
      <c r="D55" s="20" t="s">
        <v>38</v>
      </c>
      <c r="E55" s="23">
        <v>200</v>
      </c>
      <c r="F55" s="23">
        <v>1658000</v>
      </c>
      <c r="G55" s="23">
        <v>165800</v>
      </c>
      <c r="H55" s="23">
        <v>1823800</v>
      </c>
      <c r="I55" s="24" t="s">
        <v>39</v>
      </c>
      <c r="J55" s="25"/>
      <c r="K55" s="25"/>
      <c r="L55" s="26">
        <v>4.5999999999999996</v>
      </c>
      <c r="M55" s="27">
        <f>E55*L55</f>
        <v>919.99999999999989</v>
      </c>
      <c r="N55" s="28"/>
      <c r="O55" s="100">
        <f>668685/338*40</f>
        <v>79134.319526627223</v>
      </c>
      <c r="P55" s="98">
        <f>8214*1320+O55</f>
        <v>10921614.319526628</v>
      </c>
      <c r="Q55" s="92">
        <f>SUM(F55:F58)-P55</f>
        <v>3548385.6804733723</v>
      </c>
      <c r="R55" s="94">
        <f>Q55/14470000*100</f>
        <v>24.522361302511211</v>
      </c>
      <c r="S55" s="32" t="s">
        <v>40</v>
      </c>
    </row>
    <row r="56" spans="1:19" s="7" customFormat="1" ht="21" customHeight="1" x14ac:dyDescent="0.45">
      <c r="A56" s="112"/>
      <c r="B56" s="20" t="s">
        <v>52</v>
      </c>
      <c r="C56" s="21" t="s">
        <v>91</v>
      </c>
      <c r="D56" s="20" t="s">
        <v>41</v>
      </c>
      <c r="E56" s="23">
        <v>200</v>
      </c>
      <c r="F56" s="23">
        <v>6098400</v>
      </c>
      <c r="G56" s="23">
        <v>609840</v>
      </c>
      <c r="H56" s="23">
        <v>6708240</v>
      </c>
      <c r="I56" s="24" t="s">
        <v>39</v>
      </c>
      <c r="J56" s="25"/>
      <c r="K56" s="25"/>
      <c r="L56" s="26">
        <v>16.940000000000001</v>
      </c>
      <c r="M56" s="27">
        <f t="shared" ref="M56:M66" si="10">E56*L56</f>
        <v>3388.0000000000005</v>
      </c>
      <c r="N56" s="28"/>
      <c r="O56" s="101"/>
      <c r="P56" s="103"/>
      <c r="Q56" s="96"/>
      <c r="R56" s="97"/>
      <c r="S56" s="32"/>
    </row>
    <row r="57" spans="1:19" s="7" customFormat="1" ht="21" customHeight="1" x14ac:dyDescent="0.45">
      <c r="A57" s="112"/>
      <c r="B57" s="20" t="s">
        <v>52</v>
      </c>
      <c r="C57" s="21" t="s">
        <v>91</v>
      </c>
      <c r="D57" s="20" t="s">
        <v>42</v>
      </c>
      <c r="E57" s="23">
        <v>200</v>
      </c>
      <c r="F57" s="23">
        <v>3247200</v>
      </c>
      <c r="G57" s="23">
        <v>324720</v>
      </c>
      <c r="H57" s="23">
        <v>3571920</v>
      </c>
      <c r="I57" s="24" t="s">
        <v>39</v>
      </c>
      <c r="J57" s="25"/>
      <c r="K57" s="25"/>
      <c r="L57" s="26">
        <v>9.02</v>
      </c>
      <c r="M57" s="27">
        <f t="shared" si="10"/>
        <v>1804</v>
      </c>
      <c r="N57" s="28"/>
      <c r="O57" s="101"/>
      <c r="P57" s="103"/>
      <c r="Q57" s="96"/>
      <c r="R57" s="97"/>
      <c r="S57" s="32"/>
    </row>
    <row r="58" spans="1:19" s="7" customFormat="1" ht="21" customHeight="1" x14ac:dyDescent="0.45">
      <c r="A58" s="112"/>
      <c r="B58" s="20" t="s">
        <v>52</v>
      </c>
      <c r="C58" s="21" t="s">
        <v>91</v>
      </c>
      <c r="D58" s="20" t="s">
        <v>43</v>
      </c>
      <c r="E58" s="23">
        <v>200</v>
      </c>
      <c r="F58" s="23">
        <v>3466400</v>
      </c>
      <c r="G58" s="23">
        <v>346640</v>
      </c>
      <c r="H58" s="23">
        <v>3813040</v>
      </c>
      <c r="I58" s="24" t="s">
        <v>39</v>
      </c>
      <c r="J58" s="25"/>
      <c r="K58" s="25"/>
      <c r="L58" s="26">
        <v>9.6300000000000008</v>
      </c>
      <c r="M58" s="27">
        <f t="shared" si="10"/>
        <v>1926.0000000000002</v>
      </c>
      <c r="N58" s="28"/>
      <c r="O58" s="102"/>
      <c r="P58" s="99"/>
      <c r="Q58" s="93"/>
      <c r="R58" s="95"/>
      <c r="S58" s="32"/>
    </row>
    <row r="59" spans="1:19" s="7" customFormat="1" ht="21" customHeight="1" x14ac:dyDescent="0.45">
      <c r="A59" s="112"/>
      <c r="B59" s="20" t="s">
        <v>52</v>
      </c>
      <c r="C59" s="21" t="s">
        <v>91</v>
      </c>
      <c r="D59" s="20" t="s">
        <v>166</v>
      </c>
      <c r="E59" s="23">
        <v>200</v>
      </c>
      <c r="F59" s="23">
        <v>343200</v>
      </c>
      <c r="G59" s="23">
        <v>34320</v>
      </c>
      <c r="H59" s="23">
        <v>377520</v>
      </c>
      <c r="I59" s="24" t="s">
        <v>44</v>
      </c>
      <c r="J59" s="25"/>
      <c r="K59" s="25"/>
      <c r="L59" s="26">
        <v>0.88</v>
      </c>
      <c r="M59" s="27">
        <f t="shared" si="10"/>
        <v>176</v>
      </c>
      <c r="N59" s="28"/>
      <c r="O59" s="29">
        <f>119000/800*200</f>
        <v>29750</v>
      </c>
      <c r="P59" s="66">
        <f>M59*1320+N59+O59</f>
        <v>262070</v>
      </c>
      <c r="Q59" s="30">
        <f t="shared" ref="Q59:Q67" si="11">F59-P59</f>
        <v>81130</v>
      </c>
      <c r="R59" s="31">
        <f t="shared" ref="R59:R67" si="12">Q59/F59*100</f>
        <v>23.639277389277389</v>
      </c>
      <c r="S59" s="32" t="s">
        <v>45</v>
      </c>
    </row>
    <row r="60" spans="1:19" s="7" customFormat="1" ht="21" customHeight="1" x14ac:dyDescent="0.45">
      <c r="A60" s="112"/>
      <c r="B60" s="20" t="s">
        <v>52</v>
      </c>
      <c r="C60" s="21" t="s">
        <v>76</v>
      </c>
      <c r="D60" s="20" t="s">
        <v>167</v>
      </c>
      <c r="E60" s="23">
        <v>2000</v>
      </c>
      <c r="F60" s="23">
        <v>680000</v>
      </c>
      <c r="G60" s="23">
        <v>68000</v>
      </c>
      <c r="H60" s="23">
        <v>748000</v>
      </c>
      <c r="I60" s="24" t="s">
        <v>44</v>
      </c>
      <c r="J60" s="25"/>
      <c r="K60" s="25"/>
      <c r="L60" s="26">
        <v>0.2</v>
      </c>
      <c r="M60" s="27">
        <f t="shared" si="10"/>
        <v>400</v>
      </c>
      <c r="N60" s="28"/>
      <c r="O60" s="29">
        <v>60000</v>
      </c>
      <c r="P60" s="66">
        <f>M60*1320+O60</f>
        <v>588000</v>
      </c>
      <c r="Q60" s="30">
        <f t="shared" si="11"/>
        <v>92000</v>
      </c>
      <c r="R60" s="31">
        <f t="shared" si="12"/>
        <v>13.529411764705882</v>
      </c>
      <c r="S60" s="32"/>
    </row>
    <row r="61" spans="1:19" s="7" customFormat="1" ht="21" customHeight="1" x14ac:dyDescent="0.45">
      <c r="A61" s="112"/>
      <c r="B61" s="20" t="s">
        <v>52</v>
      </c>
      <c r="C61" s="21" t="s">
        <v>76</v>
      </c>
      <c r="D61" s="20" t="s">
        <v>168</v>
      </c>
      <c r="E61" s="23">
        <v>400</v>
      </c>
      <c r="F61" s="23">
        <v>240000</v>
      </c>
      <c r="G61" s="23">
        <v>24000</v>
      </c>
      <c r="H61" s="23">
        <v>264000</v>
      </c>
      <c r="I61" s="24" t="s">
        <v>54</v>
      </c>
      <c r="J61" s="25"/>
      <c r="K61" s="25"/>
      <c r="L61" s="26">
        <v>0.33</v>
      </c>
      <c r="M61" s="27">
        <f t="shared" si="10"/>
        <v>132</v>
      </c>
      <c r="N61" s="28"/>
      <c r="O61" s="29"/>
      <c r="P61" s="66">
        <f>M61*1168</f>
        <v>154176</v>
      </c>
      <c r="Q61" s="30">
        <f t="shared" si="11"/>
        <v>85824</v>
      </c>
      <c r="R61" s="31">
        <f t="shared" si="12"/>
        <v>35.76</v>
      </c>
      <c r="S61" s="32"/>
    </row>
    <row r="62" spans="1:19" s="7" customFormat="1" ht="21" customHeight="1" x14ac:dyDescent="0.45">
      <c r="A62" s="112"/>
      <c r="B62" s="20" t="s">
        <v>52</v>
      </c>
      <c r="C62" s="21" t="s">
        <v>76</v>
      </c>
      <c r="D62" s="20" t="s">
        <v>169</v>
      </c>
      <c r="E62" s="23">
        <v>400</v>
      </c>
      <c r="F62" s="23">
        <v>264000</v>
      </c>
      <c r="G62" s="23">
        <v>26400</v>
      </c>
      <c r="H62" s="23">
        <v>290400</v>
      </c>
      <c r="I62" s="24" t="s">
        <v>54</v>
      </c>
      <c r="J62" s="25"/>
      <c r="K62" s="25"/>
      <c r="L62" s="26">
        <v>0.38</v>
      </c>
      <c r="M62" s="27">
        <f t="shared" si="10"/>
        <v>152</v>
      </c>
      <c r="N62" s="28"/>
      <c r="O62" s="29"/>
      <c r="P62" s="66">
        <f>M62*1191</f>
        <v>181032</v>
      </c>
      <c r="Q62" s="30">
        <f t="shared" si="11"/>
        <v>82968</v>
      </c>
      <c r="R62" s="31">
        <f t="shared" si="12"/>
        <v>31.427272727272726</v>
      </c>
      <c r="S62" s="32"/>
    </row>
    <row r="63" spans="1:19" s="7" customFormat="1" ht="21" customHeight="1" x14ac:dyDescent="0.45">
      <c r="A63" s="112"/>
      <c r="B63" s="20" t="s">
        <v>52</v>
      </c>
      <c r="C63" s="21" t="s">
        <v>76</v>
      </c>
      <c r="D63" s="20" t="s">
        <v>92</v>
      </c>
      <c r="E63" s="23">
        <v>800</v>
      </c>
      <c r="F63" s="23">
        <v>59200</v>
      </c>
      <c r="G63" s="23">
        <v>5920</v>
      </c>
      <c r="H63" s="23">
        <v>65120</v>
      </c>
      <c r="I63" s="24" t="s">
        <v>54</v>
      </c>
      <c r="J63" s="25"/>
      <c r="K63" s="25"/>
      <c r="L63" s="26">
        <v>4.1000000000000002E-2</v>
      </c>
      <c r="M63" s="27">
        <f t="shared" si="10"/>
        <v>32.800000000000004</v>
      </c>
      <c r="N63" s="28"/>
      <c r="O63" s="29"/>
      <c r="P63" s="66">
        <f>M63*1229</f>
        <v>40311.200000000004</v>
      </c>
      <c r="Q63" s="30">
        <f t="shared" si="11"/>
        <v>18888.799999999996</v>
      </c>
      <c r="R63" s="31">
        <f t="shared" si="12"/>
        <v>31.906756756756749</v>
      </c>
      <c r="S63" s="32"/>
    </row>
    <row r="64" spans="1:19" s="7" customFormat="1" ht="21" customHeight="1" x14ac:dyDescent="0.45">
      <c r="A64" s="112"/>
      <c r="B64" s="20" t="s">
        <v>52</v>
      </c>
      <c r="C64" s="21" t="s">
        <v>76</v>
      </c>
      <c r="D64" s="20" t="s">
        <v>53</v>
      </c>
      <c r="E64" s="23">
        <v>4000</v>
      </c>
      <c r="F64" s="23">
        <v>260000</v>
      </c>
      <c r="G64" s="23">
        <v>26000</v>
      </c>
      <c r="H64" s="23">
        <v>286000</v>
      </c>
      <c r="I64" s="24" t="s">
        <v>54</v>
      </c>
      <c r="J64" s="25"/>
      <c r="K64" s="25"/>
      <c r="L64" s="26">
        <v>3.73E-2</v>
      </c>
      <c r="M64" s="27">
        <f t="shared" si="10"/>
        <v>149.19999999999999</v>
      </c>
      <c r="N64" s="28"/>
      <c r="O64" s="29"/>
      <c r="P64" s="66">
        <f>M64*1320</f>
        <v>196943.99999999997</v>
      </c>
      <c r="Q64" s="30">
        <f t="shared" si="11"/>
        <v>63056.000000000029</v>
      </c>
      <c r="R64" s="31">
        <f t="shared" si="12"/>
        <v>24.252307692307703</v>
      </c>
      <c r="S64" s="32"/>
    </row>
    <row r="65" spans="1:19" s="7" customFormat="1" ht="21" customHeight="1" x14ac:dyDescent="0.45">
      <c r="A65" s="112"/>
      <c r="B65" s="20" t="s">
        <v>52</v>
      </c>
      <c r="C65" s="21" t="s">
        <v>76</v>
      </c>
      <c r="D65" s="20" t="s">
        <v>93</v>
      </c>
      <c r="E65" s="23">
        <v>4200</v>
      </c>
      <c r="F65" s="23">
        <v>4620000</v>
      </c>
      <c r="G65" s="23">
        <v>462000</v>
      </c>
      <c r="H65" s="23">
        <v>5082000</v>
      </c>
      <c r="I65" s="24" t="s">
        <v>54</v>
      </c>
      <c r="J65" s="25"/>
      <c r="K65" s="25"/>
      <c r="L65" s="26">
        <v>0.51470000000000005</v>
      </c>
      <c r="M65" s="27">
        <f t="shared" si="10"/>
        <v>2161.7400000000002</v>
      </c>
      <c r="N65" s="28"/>
      <c r="O65" s="29"/>
      <c r="P65" s="66">
        <f>M65*1340</f>
        <v>2896731.6</v>
      </c>
      <c r="Q65" s="30">
        <f t="shared" si="11"/>
        <v>1723268.4</v>
      </c>
      <c r="R65" s="31">
        <f t="shared" si="12"/>
        <v>37.300181818181812</v>
      </c>
      <c r="S65" s="32"/>
    </row>
    <row r="66" spans="1:19" s="7" customFormat="1" ht="21" customHeight="1" x14ac:dyDescent="0.45">
      <c r="A66" s="112"/>
      <c r="B66" s="20" t="s">
        <v>52</v>
      </c>
      <c r="C66" s="21" t="s">
        <v>76</v>
      </c>
      <c r="D66" s="20" t="s">
        <v>55</v>
      </c>
      <c r="E66" s="23">
        <v>500</v>
      </c>
      <c r="F66" s="23">
        <v>1027500</v>
      </c>
      <c r="G66" s="23">
        <v>102750</v>
      </c>
      <c r="H66" s="23">
        <v>1130250</v>
      </c>
      <c r="I66" s="24" t="s">
        <v>44</v>
      </c>
      <c r="J66" s="25"/>
      <c r="K66" s="25"/>
      <c r="L66" s="26">
        <v>1.1100000000000001</v>
      </c>
      <c r="M66" s="27">
        <f t="shared" si="10"/>
        <v>555</v>
      </c>
      <c r="N66" s="28"/>
      <c r="O66" s="29">
        <v>155000</v>
      </c>
      <c r="P66" s="66">
        <f>M66*1320+O66</f>
        <v>887600</v>
      </c>
      <c r="Q66" s="30">
        <f t="shared" si="11"/>
        <v>139900</v>
      </c>
      <c r="R66" s="31">
        <f t="shared" si="12"/>
        <v>13.615571776155718</v>
      </c>
      <c r="S66" s="32" t="s">
        <v>170</v>
      </c>
    </row>
    <row r="67" spans="1:19" s="7" customFormat="1" ht="21" customHeight="1" x14ac:dyDescent="0.45">
      <c r="A67" s="112"/>
      <c r="B67" s="20" t="s">
        <v>52</v>
      </c>
      <c r="C67" s="21" t="s">
        <v>94</v>
      </c>
      <c r="D67" s="20" t="s">
        <v>95</v>
      </c>
      <c r="E67" s="23">
        <v>3000</v>
      </c>
      <c r="F67" s="23">
        <v>756000</v>
      </c>
      <c r="G67" s="23">
        <v>75600</v>
      </c>
      <c r="H67" s="23">
        <v>831600</v>
      </c>
      <c r="I67" s="24" t="s">
        <v>165</v>
      </c>
      <c r="J67" s="25">
        <v>194</v>
      </c>
      <c r="K67" s="25">
        <f>E67*J67</f>
        <v>582000</v>
      </c>
      <c r="L67" s="26"/>
      <c r="M67" s="27"/>
      <c r="N67" s="28"/>
      <c r="O67" s="29"/>
      <c r="P67" s="66">
        <f>K67</f>
        <v>582000</v>
      </c>
      <c r="Q67" s="30">
        <f t="shared" si="11"/>
        <v>174000</v>
      </c>
      <c r="R67" s="31">
        <f t="shared" si="12"/>
        <v>23.015873015873016</v>
      </c>
      <c r="S67" s="32"/>
    </row>
    <row r="68" spans="1:19" s="7" customFormat="1" ht="21" customHeight="1" x14ac:dyDescent="0.45">
      <c r="A68" s="81"/>
      <c r="B68" s="110" t="s">
        <v>56</v>
      </c>
      <c r="C68" s="110"/>
      <c r="D68" s="110"/>
      <c r="E68" s="33">
        <v>16300</v>
      </c>
      <c r="F68" s="33">
        <v>22719900</v>
      </c>
      <c r="G68" s="33">
        <v>2271990</v>
      </c>
      <c r="H68" s="33">
        <v>24991890</v>
      </c>
      <c r="I68" s="34"/>
      <c r="J68" s="35"/>
      <c r="K68" s="35"/>
      <c r="L68" s="36"/>
      <c r="M68" s="37"/>
      <c r="N68" s="38"/>
      <c r="O68" s="39">
        <f>SUM(O55:O67)</f>
        <v>323884.31952662719</v>
      </c>
      <c r="P68" s="67">
        <f>SUM(P55:P67)</f>
        <v>16710479.119526627</v>
      </c>
      <c r="Q68" s="40">
        <f>SUM(Q55:Q67)</f>
        <v>6009420.8804733716</v>
      </c>
      <c r="R68" s="41"/>
      <c r="S68" s="32"/>
    </row>
    <row r="69" spans="1:19" s="7" customFormat="1" ht="21" customHeight="1" x14ac:dyDescent="0.45">
      <c r="A69" s="111"/>
      <c r="B69" s="20" t="s">
        <v>57</v>
      </c>
      <c r="C69" s="21" t="s">
        <v>120</v>
      </c>
      <c r="D69" s="20" t="s">
        <v>121</v>
      </c>
      <c r="E69" s="23">
        <v>57626</v>
      </c>
      <c r="F69" s="23">
        <v>94100680</v>
      </c>
      <c r="G69" s="23">
        <v>9410068</v>
      </c>
      <c r="H69" s="23">
        <v>103510748</v>
      </c>
      <c r="I69" s="24" t="s">
        <v>46</v>
      </c>
      <c r="J69" s="25"/>
      <c r="K69" s="25"/>
      <c r="L69" s="26"/>
      <c r="M69" s="27"/>
      <c r="N69" s="28"/>
      <c r="O69" s="29"/>
      <c r="P69" s="66">
        <v>83792190</v>
      </c>
      <c r="Q69" s="30">
        <f>F69-P69</f>
        <v>10308490</v>
      </c>
      <c r="R69" s="31">
        <f>Q69/F69*100</f>
        <v>10.954745491743525</v>
      </c>
      <c r="S69" s="32"/>
    </row>
    <row r="70" spans="1:19" s="7" customFormat="1" ht="21" customHeight="1" x14ac:dyDescent="0.45">
      <c r="A70" s="91"/>
      <c r="B70" s="110" t="s">
        <v>58</v>
      </c>
      <c r="C70" s="110"/>
      <c r="D70" s="110"/>
      <c r="E70" s="33">
        <v>57626</v>
      </c>
      <c r="F70" s="33">
        <v>94100680</v>
      </c>
      <c r="G70" s="33">
        <v>9410068</v>
      </c>
      <c r="H70" s="33">
        <v>103510748</v>
      </c>
      <c r="I70" s="34"/>
      <c r="J70" s="35"/>
      <c r="K70" s="35"/>
      <c r="L70" s="36"/>
      <c r="M70" s="37"/>
      <c r="N70" s="38"/>
      <c r="O70" s="39"/>
      <c r="P70" s="67">
        <f>SUM(P69)</f>
        <v>83792190</v>
      </c>
      <c r="Q70" s="40">
        <f>SUM(Q69)</f>
        <v>10308490</v>
      </c>
      <c r="R70" s="41"/>
      <c r="S70" s="32"/>
    </row>
    <row r="71" spans="1:19" s="7" customFormat="1" ht="21" customHeight="1" x14ac:dyDescent="0.45">
      <c r="A71" s="80"/>
      <c r="B71" s="20" t="s">
        <v>59</v>
      </c>
      <c r="C71" s="21" t="s">
        <v>74</v>
      </c>
      <c r="D71" s="20" t="s">
        <v>61</v>
      </c>
      <c r="E71" s="23">
        <v>16000</v>
      </c>
      <c r="F71" s="23">
        <v>82962880</v>
      </c>
      <c r="G71" s="23"/>
      <c r="H71" s="23">
        <v>82962880</v>
      </c>
      <c r="I71" s="24" t="s">
        <v>39</v>
      </c>
      <c r="J71" s="25"/>
      <c r="K71" s="25"/>
      <c r="L71" s="26">
        <v>3.09</v>
      </c>
      <c r="M71" s="27">
        <f>E71*L71</f>
        <v>49440</v>
      </c>
      <c r="N71" s="28"/>
      <c r="O71" s="29"/>
      <c r="P71" s="66">
        <f>M71*1300</f>
        <v>64272000</v>
      </c>
      <c r="Q71" s="30">
        <f>H71-P71</f>
        <v>18690880</v>
      </c>
      <c r="R71" s="31">
        <f>Q71/H71*100</f>
        <v>22.529208243493958</v>
      </c>
      <c r="S71" s="32"/>
    </row>
    <row r="72" spans="1:19" s="7" customFormat="1" ht="21" customHeight="1" x14ac:dyDescent="0.45">
      <c r="A72" s="112"/>
      <c r="B72" s="20" t="s">
        <v>59</v>
      </c>
      <c r="C72" s="21" t="s">
        <v>75</v>
      </c>
      <c r="D72" s="20" t="s">
        <v>60</v>
      </c>
      <c r="E72" s="23">
        <v>5000</v>
      </c>
      <c r="F72" s="23">
        <v>26180700</v>
      </c>
      <c r="G72" s="23"/>
      <c r="H72" s="23">
        <v>26180700</v>
      </c>
      <c r="I72" s="24" t="s">
        <v>39</v>
      </c>
      <c r="J72" s="25"/>
      <c r="K72" s="25"/>
      <c r="L72" s="26">
        <v>3.09</v>
      </c>
      <c r="M72" s="27">
        <f t="shared" ref="M72:M76" si="13">E72*L72</f>
        <v>15450</v>
      </c>
      <c r="N72" s="28"/>
      <c r="O72" s="29"/>
      <c r="P72" s="66">
        <f t="shared" ref="P72:P76" si="14">M72*1300</f>
        <v>20085000</v>
      </c>
      <c r="Q72" s="30">
        <f t="shared" ref="Q72:Q76" si="15">H72-P72</f>
        <v>6095700</v>
      </c>
      <c r="R72" s="31">
        <f t="shared" ref="R72:R76" si="16">Q72/H72*100</f>
        <v>23.283181885893043</v>
      </c>
      <c r="S72" s="32"/>
    </row>
    <row r="73" spans="1:19" s="7" customFormat="1" ht="21" customHeight="1" x14ac:dyDescent="0.45">
      <c r="A73" s="112"/>
      <c r="B73" s="20" t="s">
        <v>59</v>
      </c>
      <c r="C73" s="21" t="s">
        <v>75</v>
      </c>
      <c r="D73" s="20" t="s">
        <v>61</v>
      </c>
      <c r="E73" s="23">
        <v>16000</v>
      </c>
      <c r="F73" s="23">
        <v>82962880</v>
      </c>
      <c r="G73" s="23"/>
      <c r="H73" s="23">
        <v>82962880</v>
      </c>
      <c r="I73" s="24" t="s">
        <v>39</v>
      </c>
      <c r="J73" s="25"/>
      <c r="K73" s="25"/>
      <c r="L73" s="26">
        <v>3.09</v>
      </c>
      <c r="M73" s="27">
        <f t="shared" si="13"/>
        <v>49440</v>
      </c>
      <c r="N73" s="28"/>
      <c r="O73" s="29"/>
      <c r="P73" s="66">
        <f t="shared" si="14"/>
        <v>64272000</v>
      </c>
      <c r="Q73" s="30">
        <f t="shared" si="15"/>
        <v>18690880</v>
      </c>
      <c r="R73" s="31">
        <f t="shared" si="16"/>
        <v>22.529208243493958</v>
      </c>
      <c r="S73" s="32"/>
    </row>
    <row r="74" spans="1:19" s="7" customFormat="1" ht="21" customHeight="1" x14ac:dyDescent="0.45">
      <c r="A74" s="112"/>
      <c r="B74" s="20" t="s">
        <v>59</v>
      </c>
      <c r="C74" s="21" t="s">
        <v>76</v>
      </c>
      <c r="D74" s="20" t="s">
        <v>60</v>
      </c>
      <c r="E74" s="23">
        <v>2000</v>
      </c>
      <c r="F74" s="23">
        <v>10472280</v>
      </c>
      <c r="G74" s="23"/>
      <c r="H74" s="23">
        <v>10472280</v>
      </c>
      <c r="I74" s="24" t="s">
        <v>39</v>
      </c>
      <c r="J74" s="25"/>
      <c r="K74" s="25"/>
      <c r="L74" s="26">
        <v>3.09</v>
      </c>
      <c r="M74" s="27">
        <f t="shared" si="13"/>
        <v>6180</v>
      </c>
      <c r="N74" s="28"/>
      <c r="O74" s="29"/>
      <c r="P74" s="66">
        <f t="shared" si="14"/>
        <v>8034000</v>
      </c>
      <c r="Q74" s="30">
        <f t="shared" si="15"/>
        <v>2438280</v>
      </c>
      <c r="R74" s="31">
        <f t="shared" si="16"/>
        <v>23.283181885893043</v>
      </c>
      <c r="S74" s="32"/>
    </row>
    <row r="75" spans="1:19" s="7" customFormat="1" ht="21" customHeight="1" x14ac:dyDescent="0.45">
      <c r="A75" s="112"/>
      <c r="B75" s="20" t="s">
        <v>59</v>
      </c>
      <c r="C75" s="21" t="s">
        <v>77</v>
      </c>
      <c r="D75" s="20" t="s">
        <v>60</v>
      </c>
      <c r="E75" s="23">
        <v>6000</v>
      </c>
      <c r="F75" s="23">
        <v>31416840</v>
      </c>
      <c r="G75" s="23"/>
      <c r="H75" s="23">
        <v>31416840</v>
      </c>
      <c r="I75" s="24" t="s">
        <v>39</v>
      </c>
      <c r="J75" s="25"/>
      <c r="K75" s="25"/>
      <c r="L75" s="26">
        <v>3.09</v>
      </c>
      <c r="M75" s="27">
        <f t="shared" si="13"/>
        <v>18540</v>
      </c>
      <c r="N75" s="28"/>
      <c r="O75" s="29"/>
      <c r="P75" s="66">
        <f t="shared" si="14"/>
        <v>24102000</v>
      </c>
      <c r="Q75" s="30">
        <f t="shared" si="15"/>
        <v>7314840</v>
      </c>
      <c r="R75" s="31">
        <f t="shared" si="16"/>
        <v>23.283181885893043</v>
      </c>
      <c r="S75" s="32"/>
    </row>
    <row r="76" spans="1:19" s="7" customFormat="1" ht="21" customHeight="1" x14ac:dyDescent="0.45">
      <c r="A76" s="112"/>
      <c r="B76" s="20" t="s">
        <v>59</v>
      </c>
      <c r="C76" s="21" t="s">
        <v>77</v>
      </c>
      <c r="D76" s="20" t="s">
        <v>61</v>
      </c>
      <c r="E76" s="23">
        <v>8000</v>
      </c>
      <c r="F76" s="23">
        <v>41481440</v>
      </c>
      <c r="G76" s="23"/>
      <c r="H76" s="23">
        <v>41481440</v>
      </c>
      <c r="I76" s="24" t="s">
        <v>39</v>
      </c>
      <c r="J76" s="25"/>
      <c r="K76" s="25"/>
      <c r="L76" s="26">
        <v>3.09</v>
      </c>
      <c r="M76" s="27">
        <f t="shared" si="13"/>
        <v>24720</v>
      </c>
      <c r="N76" s="28"/>
      <c r="O76" s="29"/>
      <c r="P76" s="66">
        <f t="shared" si="14"/>
        <v>32136000</v>
      </c>
      <c r="Q76" s="30">
        <f t="shared" si="15"/>
        <v>9345440</v>
      </c>
      <c r="R76" s="31">
        <f t="shared" si="16"/>
        <v>22.529208243493958</v>
      </c>
      <c r="S76" s="32"/>
    </row>
    <row r="77" spans="1:19" s="7" customFormat="1" ht="21" customHeight="1" x14ac:dyDescent="0.45">
      <c r="A77" s="81"/>
      <c r="B77" s="110" t="s">
        <v>62</v>
      </c>
      <c r="C77" s="110"/>
      <c r="D77" s="110"/>
      <c r="E77" s="33">
        <v>53000</v>
      </c>
      <c r="F77" s="33">
        <v>275477020</v>
      </c>
      <c r="G77" s="33"/>
      <c r="H77" s="33">
        <v>275477020</v>
      </c>
      <c r="I77" s="34"/>
      <c r="J77" s="35"/>
      <c r="K77" s="35"/>
      <c r="L77" s="36"/>
      <c r="M77" s="37"/>
      <c r="N77" s="38"/>
      <c r="O77" s="39"/>
      <c r="P77" s="67">
        <f>SUM(P71:P76)</f>
        <v>212901000</v>
      </c>
      <c r="Q77" s="40">
        <f>SUM(Q71:Q76)</f>
        <v>62576020</v>
      </c>
      <c r="R77" s="41"/>
      <c r="S77" s="32"/>
    </row>
    <row r="78" spans="1:19" s="7" customFormat="1" ht="21" customHeight="1" x14ac:dyDescent="0.45">
      <c r="A78" s="62"/>
      <c r="B78" s="20" t="s">
        <v>63</v>
      </c>
      <c r="C78" s="21" t="s">
        <v>128</v>
      </c>
      <c r="D78" s="20" t="s">
        <v>84</v>
      </c>
      <c r="E78" s="23">
        <v>51</v>
      </c>
      <c r="F78" s="23">
        <v>184210</v>
      </c>
      <c r="G78" s="23"/>
      <c r="H78" s="23">
        <v>184210</v>
      </c>
      <c r="I78" s="24" t="s">
        <v>129</v>
      </c>
      <c r="J78" s="25"/>
      <c r="K78" s="25"/>
      <c r="L78" s="26"/>
      <c r="M78" s="27"/>
      <c r="N78" s="28"/>
      <c r="O78" s="29"/>
      <c r="P78" s="66">
        <f>H78</f>
        <v>184210</v>
      </c>
      <c r="Q78" s="30">
        <f>H78-P78</f>
        <v>0</v>
      </c>
      <c r="R78" s="31">
        <v>0</v>
      </c>
      <c r="S78" s="32"/>
    </row>
    <row r="79" spans="1:19" s="7" customFormat="1" ht="21" customHeight="1" x14ac:dyDescent="0.45">
      <c r="A79" s="60"/>
      <c r="B79" s="20" t="s">
        <v>63</v>
      </c>
      <c r="C79" s="21" t="s">
        <v>83</v>
      </c>
      <c r="D79" s="20" t="s">
        <v>84</v>
      </c>
      <c r="E79" s="23">
        <v>30</v>
      </c>
      <c r="F79" s="23">
        <v>87828</v>
      </c>
      <c r="G79" s="23"/>
      <c r="H79" s="23">
        <v>87828</v>
      </c>
      <c r="I79" s="24" t="s">
        <v>129</v>
      </c>
      <c r="J79" s="25"/>
      <c r="K79" s="25"/>
      <c r="L79" s="26"/>
      <c r="M79" s="27"/>
      <c r="N79" s="28"/>
      <c r="O79" s="29"/>
      <c r="P79" s="66">
        <f>H79</f>
        <v>87828</v>
      </c>
      <c r="Q79" s="30">
        <f>H79-P79</f>
        <v>0</v>
      </c>
      <c r="R79" s="31">
        <v>0</v>
      </c>
      <c r="S79" s="32"/>
    </row>
    <row r="80" spans="1:19" s="7" customFormat="1" ht="21" customHeight="1" x14ac:dyDescent="0.45">
      <c r="A80" s="61"/>
      <c r="B80" s="110" t="s">
        <v>65</v>
      </c>
      <c r="C80" s="110"/>
      <c r="D80" s="110"/>
      <c r="E80" s="33">
        <v>81</v>
      </c>
      <c r="F80" s="33">
        <v>272038</v>
      </c>
      <c r="G80" s="33"/>
      <c r="H80" s="33">
        <v>272038</v>
      </c>
      <c r="I80" s="34"/>
      <c r="J80" s="35"/>
      <c r="K80" s="35"/>
      <c r="L80" s="36"/>
      <c r="M80" s="37"/>
      <c r="N80" s="38"/>
      <c r="O80" s="39"/>
      <c r="P80" s="67">
        <f>SUM(P78:P79)</f>
        <v>272038</v>
      </c>
      <c r="Q80" s="40">
        <f>SUM(Q78:Q79)</f>
        <v>0</v>
      </c>
      <c r="R80" s="41"/>
      <c r="S80" s="32"/>
    </row>
    <row r="81" spans="1:19" s="7" customFormat="1" ht="21" customHeight="1" thickBot="1" x14ac:dyDescent="0.5">
      <c r="A81" s="46"/>
      <c r="B81" s="104" t="s">
        <v>69</v>
      </c>
      <c r="C81" s="105"/>
      <c r="D81" s="106"/>
      <c r="E81" s="47"/>
      <c r="F81" s="47">
        <f>F6+F8+F10+F12+F14+F18+F27+F30+F32+F36+F38+F40+F42+F48+F52+F54+F68+F70+F77+F80</f>
        <v>465061210</v>
      </c>
      <c r="G81" s="47">
        <f>G6+G8+G10+G12+G14+G18+G27+G30+G32+G36+G38+G40+G42+G48+G52+G54+G68+G70+G77+G80</f>
        <v>18774614.100000001</v>
      </c>
      <c r="H81" s="47">
        <f>H6+H8+H10+H12+H14+H18+H27+H30+H32+H36+H38+H40+H42+H48+H52+H54+H68+H70+H77+H80</f>
        <v>483835824.10000002</v>
      </c>
      <c r="I81" s="48"/>
      <c r="J81" s="49"/>
      <c r="K81" s="49"/>
      <c r="L81" s="50"/>
      <c r="M81" s="51"/>
      <c r="N81" s="47"/>
      <c r="O81" s="47">
        <f>O6+O8+O10+O12+O14+O18+O27+O30+O32+O36+O38+O40+O42+O48+O52+O54+O68+O70+O77+O80</f>
        <v>2807081.0011592801</v>
      </c>
      <c r="P81" s="68">
        <f>P6+P8+P10+P12+P14+P18+P27+P30+P32+P36+P38+P40+P42+P48+P52+P54+P68+P70+P77+P80</f>
        <v>369521973.40115929</v>
      </c>
      <c r="Q81" s="52">
        <f>Q6+Q8+Q10+Q12+Q14+Q18+Q27+Q30+Q32+Q36+Q38+Q40+Q42+Q48+Q52+Q54+Q68+Q70+Q77+Q80</f>
        <v>95539236.598840714</v>
      </c>
      <c r="R81" s="53"/>
    </row>
    <row r="82" spans="1:19" s="7" customFormat="1" ht="21" customHeight="1" x14ac:dyDescent="0.45">
      <c r="A82" s="54"/>
      <c r="B82" s="107" t="s">
        <v>70</v>
      </c>
      <c r="C82" s="107"/>
      <c r="D82" s="107"/>
      <c r="E82" s="55"/>
      <c r="F82" s="55">
        <f>F81</f>
        <v>465061210</v>
      </c>
      <c r="G82" s="55">
        <f>G81</f>
        <v>18774614.100000001</v>
      </c>
      <c r="H82" s="55">
        <f>H81</f>
        <v>483835824.10000002</v>
      </c>
      <c r="I82" s="54"/>
      <c r="J82" s="54"/>
      <c r="K82" s="54"/>
      <c r="L82" s="54"/>
      <c r="M82" s="54"/>
      <c r="N82" s="54"/>
      <c r="O82" s="54"/>
      <c r="P82" s="55">
        <f>P81</f>
        <v>369521973.40115929</v>
      </c>
      <c r="Q82" s="55">
        <f>Q81</f>
        <v>95539236.598840714</v>
      </c>
      <c r="R82" s="54"/>
      <c r="S82" s="7" t="s">
        <v>72</v>
      </c>
    </row>
    <row r="83" spans="1:19" s="7" customFormat="1" ht="21" customHeight="1" x14ac:dyDescent="0.45">
      <c r="A83" s="56"/>
      <c r="B83" s="108" t="s">
        <v>71</v>
      </c>
      <c r="C83" s="108"/>
      <c r="D83" s="108"/>
      <c r="E83" s="56"/>
      <c r="F83" s="57">
        <v>119888897</v>
      </c>
      <c r="G83" s="57">
        <v>11988890</v>
      </c>
      <c r="H83" s="57">
        <v>131877787</v>
      </c>
      <c r="I83" s="56"/>
      <c r="J83" s="56"/>
      <c r="K83" s="56"/>
      <c r="L83" s="56"/>
      <c r="M83" s="56"/>
      <c r="N83" s="56"/>
      <c r="O83" s="56"/>
      <c r="P83" s="56">
        <v>86995662</v>
      </c>
      <c r="Q83" s="56">
        <v>32893235</v>
      </c>
      <c r="R83" s="56"/>
      <c r="S83" s="58"/>
    </row>
    <row r="84" spans="1:19" s="7" customFormat="1" ht="21" customHeight="1" x14ac:dyDescent="0.45">
      <c r="A84" s="54"/>
      <c r="B84" s="109" t="s">
        <v>66</v>
      </c>
      <c r="C84" s="109"/>
      <c r="D84" s="109"/>
      <c r="E84" s="54"/>
      <c r="F84" s="54">
        <f>F83</f>
        <v>119888897</v>
      </c>
      <c r="G84" s="54">
        <f>G83</f>
        <v>11988890</v>
      </c>
      <c r="H84" s="54">
        <f>H83</f>
        <v>131877787</v>
      </c>
      <c r="I84" s="54"/>
      <c r="J84" s="54"/>
      <c r="K84" s="54"/>
      <c r="L84" s="54"/>
      <c r="M84" s="54"/>
      <c r="N84" s="54"/>
      <c r="O84" s="54"/>
      <c r="P84" s="54">
        <f>P83</f>
        <v>86995662</v>
      </c>
      <c r="Q84" s="54">
        <f>Q83</f>
        <v>32893235</v>
      </c>
      <c r="R84" s="54"/>
      <c r="S84" s="7" t="s">
        <v>73</v>
      </c>
    </row>
    <row r="85" spans="1:19" s="7" customFormat="1" ht="21" customHeight="1" x14ac:dyDescent="0.45">
      <c r="A85"/>
      <c r="B85"/>
      <c r="C85"/>
      <c r="D85"/>
      <c r="E85"/>
      <c r="F85"/>
      <c r="G85"/>
      <c r="H85"/>
      <c r="I85"/>
      <c r="J85" s="2"/>
      <c r="K85" s="2"/>
      <c r="L85"/>
      <c r="M85" s="59"/>
      <c r="N85" s="2"/>
      <c r="O85" s="5"/>
      <c r="P85" s="5"/>
      <c r="Q85"/>
      <c r="R85" s="6"/>
    </row>
    <row r="86" spans="1:19" x14ac:dyDescent="0.45">
      <c r="B86" t="s">
        <v>171</v>
      </c>
      <c r="C86" s="2">
        <v>21791133</v>
      </c>
    </row>
    <row r="87" spans="1:19" x14ac:dyDescent="0.45">
      <c r="B87" t="s">
        <v>172</v>
      </c>
      <c r="C87" s="69">
        <f>C86</f>
        <v>21791133</v>
      </c>
    </row>
  </sheetData>
  <mergeCells count="64">
    <mergeCell ref="Q33:Q34"/>
    <mergeCell ref="R33:R34"/>
    <mergeCell ref="O55:O58"/>
    <mergeCell ref="P55:P58"/>
    <mergeCell ref="Q55:Q58"/>
    <mergeCell ref="R55:R58"/>
    <mergeCell ref="P33:P34"/>
    <mergeCell ref="A55:A68"/>
    <mergeCell ref="O16:O17"/>
    <mergeCell ref="A37:A38"/>
    <mergeCell ref="A39:A40"/>
    <mergeCell ref="A41:A42"/>
    <mergeCell ref="B36:D36"/>
    <mergeCell ref="O33:O34"/>
    <mergeCell ref="A43:A48"/>
    <mergeCell ref="A49:A52"/>
    <mergeCell ref="A53:A54"/>
    <mergeCell ref="B80:D80"/>
    <mergeCell ref="A69:A70"/>
    <mergeCell ref="A71:A77"/>
    <mergeCell ref="A5:A6"/>
    <mergeCell ref="A11:A12"/>
    <mergeCell ref="A15:A18"/>
    <mergeCell ref="A19:A27"/>
    <mergeCell ref="A28:A30"/>
    <mergeCell ref="A31:A32"/>
    <mergeCell ref="B48:D48"/>
    <mergeCell ref="B8:D8"/>
    <mergeCell ref="B10:D10"/>
    <mergeCell ref="B14:D14"/>
    <mergeCell ref="B52:D52"/>
    <mergeCell ref="B6:D6"/>
    <mergeCell ref="A33:A36"/>
    <mergeCell ref="B81:D81"/>
    <mergeCell ref="B82:D82"/>
    <mergeCell ref="B83:D83"/>
    <mergeCell ref="B84:D84"/>
    <mergeCell ref="B12:D12"/>
    <mergeCell ref="B70:D70"/>
    <mergeCell ref="B54:D54"/>
    <mergeCell ref="B18:D18"/>
    <mergeCell ref="B77:D77"/>
    <mergeCell ref="B27:D27"/>
    <mergeCell ref="B32:D32"/>
    <mergeCell ref="B68:D68"/>
    <mergeCell ref="B38:D38"/>
    <mergeCell ref="B40:D40"/>
    <mergeCell ref="B42:D42"/>
    <mergeCell ref="B30:D30"/>
    <mergeCell ref="A13:A14"/>
    <mergeCell ref="Q16:Q17"/>
    <mergeCell ref="R16:R17"/>
    <mergeCell ref="Q19:Q23"/>
    <mergeCell ref="R19:R23"/>
    <mergeCell ref="P16:P17"/>
    <mergeCell ref="O19:O23"/>
    <mergeCell ref="P19:P23"/>
    <mergeCell ref="Q3:Q4"/>
    <mergeCell ref="R3:R4"/>
    <mergeCell ref="A7:A8"/>
    <mergeCell ref="A9:A10"/>
    <mergeCell ref="A3:A4"/>
    <mergeCell ref="B3:H3"/>
    <mergeCell ref="I3:P3"/>
  </mergeCells>
  <phoneticPr fontId="2" type="noConversion"/>
  <pageMargins left="0.7" right="0.7" top="0.75" bottom="0.75" header="0.3" footer="0.3"/>
  <pageSetup paperSize="9" orientation="portrait" r:id="rId1"/>
  <ignoredErrors>
    <ignoredError sqref="Q19 Q5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69BD4-0C78-43C7-AC3D-B837320F9EEA}">
  <dimension ref="A1:S70"/>
  <sheetViews>
    <sheetView tabSelected="1" workbookViewId="0">
      <pane ySplit="4" topLeftCell="A56" activePane="bottomLeft" state="frozen"/>
      <selection pane="bottomLeft" activeCell="B2" sqref="B2"/>
    </sheetView>
  </sheetViews>
  <sheetFormatPr defaultRowHeight="17" x14ac:dyDescent="0.45"/>
  <cols>
    <col min="1" max="1" width="4.25" customWidth="1"/>
    <col min="2" max="2" width="19.58203125" customWidth="1"/>
    <col min="3" max="3" width="12" customWidth="1"/>
    <col min="4" max="4" width="23.5" customWidth="1"/>
    <col min="5" max="5" width="8.83203125" customWidth="1"/>
    <col min="6" max="6" width="13.58203125" customWidth="1"/>
    <col min="7" max="7" width="12" customWidth="1"/>
    <col min="8" max="8" width="13.58203125" customWidth="1"/>
    <col min="9" max="9" width="14.25" customWidth="1"/>
    <col min="10" max="10" width="9" style="2"/>
    <col min="11" max="11" width="11.5" style="2" bestFit="1" customWidth="1"/>
    <col min="12" max="12" width="8.5" customWidth="1"/>
    <col min="13" max="13" width="9.58203125" style="59" bestFit="1" customWidth="1"/>
    <col min="14" max="14" width="10.5" style="2" bestFit="1" customWidth="1"/>
    <col min="15" max="15" width="11.75" style="5" customWidth="1"/>
    <col min="16" max="16" width="12.58203125" style="5" customWidth="1"/>
    <col min="17" max="17" width="12.25" customWidth="1"/>
    <col min="18" max="18" width="9.08203125" style="6" customWidth="1"/>
    <col min="19" max="19" width="14.75" style="7" customWidth="1"/>
  </cols>
  <sheetData>
    <row r="1" spans="1:19" ht="30" customHeight="1" x14ac:dyDescent="0.45">
      <c r="B1" s="1" t="s">
        <v>247</v>
      </c>
      <c r="M1" s="3"/>
      <c r="O1" s="4"/>
      <c r="P1" s="4"/>
      <c r="Q1" s="5"/>
    </row>
    <row r="2" spans="1:19" ht="30" customHeight="1" thickBot="1" x14ac:dyDescent="0.5">
      <c r="B2" s="8" t="s">
        <v>68</v>
      </c>
      <c r="G2" s="9" t="s">
        <v>0</v>
      </c>
      <c r="M2" s="3"/>
      <c r="O2" s="4"/>
      <c r="P2" s="4"/>
      <c r="Q2" s="5"/>
    </row>
    <row r="3" spans="1:19" ht="24" customHeight="1" x14ac:dyDescent="0.45">
      <c r="A3" s="82" t="s">
        <v>1</v>
      </c>
      <c r="B3" s="84" t="s">
        <v>2</v>
      </c>
      <c r="C3" s="85"/>
      <c r="D3" s="85"/>
      <c r="E3" s="85"/>
      <c r="F3" s="85"/>
      <c r="G3" s="85"/>
      <c r="H3" s="86"/>
      <c r="I3" s="87" t="s">
        <v>3</v>
      </c>
      <c r="J3" s="88"/>
      <c r="K3" s="88"/>
      <c r="L3" s="88"/>
      <c r="M3" s="88"/>
      <c r="N3" s="88"/>
      <c r="O3" s="88"/>
      <c r="P3" s="89"/>
      <c r="Q3" s="76" t="s">
        <v>4</v>
      </c>
      <c r="R3" s="78" t="s">
        <v>5</v>
      </c>
    </row>
    <row r="4" spans="1:19" ht="24" customHeight="1" thickBot="1" x14ac:dyDescent="0.5">
      <c r="A4" s="83"/>
      <c r="B4" s="10" t="s">
        <v>6</v>
      </c>
      <c r="C4" s="11" t="s">
        <v>7</v>
      </c>
      <c r="D4" s="11" t="s">
        <v>8</v>
      </c>
      <c r="E4" s="11" t="s">
        <v>9</v>
      </c>
      <c r="F4" s="12" t="s">
        <v>10</v>
      </c>
      <c r="G4" s="11" t="s">
        <v>11</v>
      </c>
      <c r="H4" s="13" t="s">
        <v>12</v>
      </c>
      <c r="I4" s="14" t="s">
        <v>13</v>
      </c>
      <c r="J4" s="15" t="s">
        <v>14</v>
      </c>
      <c r="K4" s="16" t="s">
        <v>15</v>
      </c>
      <c r="L4" s="11" t="s">
        <v>16</v>
      </c>
      <c r="M4" s="17" t="s">
        <v>17</v>
      </c>
      <c r="N4" s="15" t="s">
        <v>18</v>
      </c>
      <c r="O4" s="18" t="s">
        <v>19</v>
      </c>
      <c r="P4" s="19" t="s">
        <v>20</v>
      </c>
      <c r="Q4" s="77"/>
      <c r="R4" s="79"/>
      <c r="S4" s="7" t="s">
        <v>21</v>
      </c>
    </row>
    <row r="5" spans="1:19" s="7" customFormat="1" ht="21" customHeight="1" x14ac:dyDescent="0.45">
      <c r="A5" s="90"/>
      <c r="B5" s="20" t="s">
        <v>177</v>
      </c>
      <c r="C5" s="21" t="s">
        <v>179</v>
      </c>
      <c r="D5" s="20" t="s">
        <v>178</v>
      </c>
      <c r="E5" s="23">
        <v>110</v>
      </c>
      <c r="F5" s="23">
        <v>374000</v>
      </c>
      <c r="G5" s="23">
        <v>37400</v>
      </c>
      <c r="H5" s="23">
        <v>411400</v>
      </c>
      <c r="I5" s="24"/>
      <c r="J5" s="25"/>
      <c r="K5" s="25"/>
      <c r="L5" s="26"/>
      <c r="M5" s="27"/>
      <c r="N5" s="28"/>
      <c r="O5" s="29"/>
      <c r="P5" s="66">
        <f>F5</f>
        <v>374000</v>
      </c>
      <c r="Q5" s="30">
        <f>F5-P5</f>
        <v>0</v>
      </c>
      <c r="R5" s="31">
        <v>0</v>
      </c>
      <c r="S5" s="32"/>
    </row>
    <row r="6" spans="1:19" s="7" customFormat="1" ht="21" customHeight="1" x14ac:dyDescent="0.45">
      <c r="A6" s="111"/>
      <c r="B6" s="20" t="s">
        <v>177</v>
      </c>
      <c r="C6" s="21" t="s">
        <v>176</v>
      </c>
      <c r="D6" s="22" t="s">
        <v>229</v>
      </c>
      <c r="E6" s="23">
        <v>220</v>
      </c>
      <c r="F6" s="23">
        <v>348830</v>
      </c>
      <c r="G6" s="23">
        <v>34882</v>
      </c>
      <c r="H6" s="23">
        <v>383712</v>
      </c>
      <c r="I6" s="24"/>
      <c r="J6" s="25"/>
      <c r="K6" s="25"/>
      <c r="L6" s="26"/>
      <c r="M6" s="27"/>
      <c r="N6" s="28"/>
      <c r="O6" s="29"/>
      <c r="P6" s="66">
        <f>F6</f>
        <v>348830</v>
      </c>
      <c r="Q6" s="30">
        <f>F6-P6</f>
        <v>0</v>
      </c>
      <c r="R6" s="31">
        <v>0</v>
      </c>
      <c r="S6" s="32"/>
    </row>
    <row r="7" spans="1:19" s="7" customFormat="1" ht="21" customHeight="1" x14ac:dyDescent="0.45">
      <c r="A7" s="91"/>
      <c r="B7" s="110" t="s">
        <v>175</v>
      </c>
      <c r="C7" s="110"/>
      <c r="D7" s="110"/>
      <c r="E7" s="33">
        <v>330</v>
      </c>
      <c r="F7" s="33">
        <v>722830</v>
      </c>
      <c r="G7" s="33">
        <v>72282</v>
      </c>
      <c r="H7" s="33">
        <v>795112</v>
      </c>
      <c r="I7" s="34"/>
      <c r="J7" s="35"/>
      <c r="K7" s="35"/>
      <c r="L7" s="36"/>
      <c r="M7" s="37"/>
      <c r="N7" s="38"/>
      <c r="O7" s="39">
        <v>0</v>
      </c>
      <c r="P7" s="67">
        <f>SUM(P5:P6)</f>
        <v>722830</v>
      </c>
      <c r="Q7" s="40">
        <f>SUM(Q5:Q6)</f>
        <v>0</v>
      </c>
      <c r="R7" s="41"/>
      <c r="S7" s="32"/>
    </row>
    <row r="8" spans="1:19" s="7" customFormat="1" ht="21" customHeight="1" x14ac:dyDescent="0.45">
      <c r="A8" s="90"/>
      <c r="B8" s="20" t="s">
        <v>189</v>
      </c>
      <c r="C8" s="21" t="s">
        <v>188</v>
      </c>
      <c r="D8" s="20" t="s">
        <v>192</v>
      </c>
      <c r="E8" s="23">
        <v>3</v>
      </c>
      <c r="F8" s="23">
        <v>483264</v>
      </c>
      <c r="G8" s="23">
        <v>48326</v>
      </c>
      <c r="H8" s="23">
        <v>531590</v>
      </c>
      <c r="I8" s="24" t="s">
        <v>230</v>
      </c>
      <c r="J8" s="25"/>
      <c r="K8" s="25"/>
      <c r="L8" s="26">
        <v>72</v>
      </c>
      <c r="M8" s="27">
        <f>E8*L8</f>
        <v>216</v>
      </c>
      <c r="N8" s="28"/>
      <c r="O8" s="29"/>
      <c r="P8" s="66">
        <f>M8*1328</f>
        <v>286848</v>
      </c>
      <c r="Q8" s="30">
        <f>F8-P8</f>
        <v>196416</v>
      </c>
      <c r="R8" s="31">
        <f>Q8/F8*100</f>
        <v>40.643623361144222</v>
      </c>
      <c r="S8" s="32"/>
    </row>
    <row r="9" spans="1:19" s="7" customFormat="1" ht="21" customHeight="1" x14ac:dyDescent="0.45">
      <c r="A9" s="111"/>
      <c r="B9" s="20" t="s">
        <v>189</v>
      </c>
      <c r="C9" s="21" t="s">
        <v>188</v>
      </c>
      <c r="D9" s="20" t="s">
        <v>191</v>
      </c>
      <c r="E9" s="23">
        <v>2</v>
      </c>
      <c r="F9" s="23">
        <v>228208</v>
      </c>
      <c r="G9" s="23">
        <v>22820</v>
      </c>
      <c r="H9" s="23">
        <v>251028</v>
      </c>
      <c r="I9" s="24"/>
      <c r="J9" s="25"/>
      <c r="K9" s="25"/>
      <c r="L9" s="26">
        <v>45</v>
      </c>
      <c r="M9" s="27">
        <f t="shared" ref="M9:M11" si="0">E9*L9</f>
        <v>90</v>
      </c>
      <c r="N9" s="28"/>
      <c r="O9" s="29"/>
      <c r="P9" s="66">
        <f t="shared" ref="P9:P11" si="1">M9*1328</f>
        <v>119520</v>
      </c>
      <c r="Q9" s="30">
        <f t="shared" ref="Q9:Q11" si="2">F9-P9</f>
        <v>108688</v>
      </c>
      <c r="R9" s="31">
        <f t="shared" ref="R9:R11" si="3">Q9/F9*100</f>
        <v>47.626726495127251</v>
      </c>
      <c r="S9" s="32"/>
    </row>
    <row r="10" spans="1:19" s="7" customFormat="1" ht="21" customHeight="1" x14ac:dyDescent="0.45">
      <c r="A10" s="111"/>
      <c r="B10" s="20" t="s">
        <v>189</v>
      </c>
      <c r="C10" s="21" t="s">
        <v>188</v>
      </c>
      <c r="D10" s="20" t="s">
        <v>190</v>
      </c>
      <c r="E10" s="23">
        <v>2</v>
      </c>
      <c r="F10" s="23">
        <v>201360</v>
      </c>
      <c r="G10" s="23">
        <v>20136</v>
      </c>
      <c r="H10" s="23">
        <v>221496</v>
      </c>
      <c r="I10" s="24"/>
      <c r="J10" s="25"/>
      <c r="K10" s="25"/>
      <c r="L10" s="26">
        <v>33</v>
      </c>
      <c r="M10" s="27">
        <f t="shared" si="0"/>
        <v>66</v>
      </c>
      <c r="N10" s="28"/>
      <c r="O10" s="29"/>
      <c r="P10" s="66">
        <f t="shared" si="1"/>
        <v>87648</v>
      </c>
      <c r="Q10" s="30">
        <f t="shared" si="2"/>
        <v>113712</v>
      </c>
      <c r="R10" s="31">
        <f t="shared" si="3"/>
        <v>56.471990464839095</v>
      </c>
      <c r="S10" s="32"/>
    </row>
    <row r="11" spans="1:19" s="7" customFormat="1" ht="21" customHeight="1" x14ac:dyDescent="0.45">
      <c r="A11" s="111"/>
      <c r="B11" s="20" t="s">
        <v>189</v>
      </c>
      <c r="C11" s="21" t="s">
        <v>188</v>
      </c>
      <c r="D11" s="20" t="s">
        <v>187</v>
      </c>
      <c r="E11" s="23">
        <v>2</v>
      </c>
      <c r="F11" s="23">
        <v>228208</v>
      </c>
      <c r="G11" s="23">
        <v>22820</v>
      </c>
      <c r="H11" s="23">
        <v>251028</v>
      </c>
      <c r="I11" s="24"/>
      <c r="J11" s="25"/>
      <c r="K11" s="25"/>
      <c r="L11" s="26">
        <v>45</v>
      </c>
      <c r="M11" s="27">
        <f t="shared" si="0"/>
        <v>90</v>
      </c>
      <c r="N11" s="28"/>
      <c r="O11" s="42"/>
      <c r="P11" s="66">
        <f t="shared" si="1"/>
        <v>119520</v>
      </c>
      <c r="Q11" s="30">
        <f t="shared" si="2"/>
        <v>108688</v>
      </c>
      <c r="R11" s="31">
        <f t="shared" si="3"/>
        <v>47.626726495127251</v>
      </c>
      <c r="S11" s="32"/>
    </row>
    <row r="12" spans="1:19" s="7" customFormat="1" ht="21" customHeight="1" x14ac:dyDescent="0.45">
      <c r="A12" s="91"/>
      <c r="B12" s="110" t="s">
        <v>186</v>
      </c>
      <c r="C12" s="110"/>
      <c r="D12" s="110"/>
      <c r="E12" s="33">
        <v>9</v>
      </c>
      <c r="F12" s="33">
        <v>1141040</v>
      </c>
      <c r="G12" s="33">
        <v>114102</v>
      </c>
      <c r="H12" s="33">
        <v>1255142</v>
      </c>
      <c r="I12" s="34"/>
      <c r="J12" s="35"/>
      <c r="K12" s="35"/>
      <c r="L12" s="36"/>
      <c r="M12" s="37"/>
      <c r="N12" s="38"/>
      <c r="O12" s="71">
        <v>0</v>
      </c>
      <c r="P12" s="72">
        <f>SUM(P8:P11)</f>
        <v>613536</v>
      </c>
      <c r="Q12" s="73">
        <f>SUM(Q8:Q11)</f>
        <v>527504</v>
      </c>
      <c r="R12" s="74"/>
      <c r="S12" s="32"/>
    </row>
    <row r="13" spans="1:19" s="7" customFormat="1" ht="21" customHeight="1" x14ac:dyDescent="0.45">
      <c r="A13" s="90"/>
      <c r="B13" s="20" t="s">
        <v>223</v>
      </c>
      <c r="C13" s="21" t="s">
        <v>179</v>
      </c>
      <c r="D13" s="20" t="s">
        <v>222</v>
      </c>
      <c r="E13" s="23">
        <v>30000</v>
      </c>
      <c r="F13" s="23">
        <v>4380000</v>
      </c>
      <c r="G13" s="23">
        <v>438000</v>
      </c>
      <c r="H13" s="23">
        <v>4818000</v>
      </c>
      <c r="I13" s="24" t="s">
        <v>231</v>
      </c>
      <c r="J13" s="25"/>
      <c r="K13" s="25"/>
      <c r="L13" s="26">
        <v>9.7000000000000003E-2</v>
      </c>
      <c r="M13" s="27">
        <f>E13*L13</f>
        <v>2910</v>
      </c>
      <c r="N13" s="28"/>
      <c r="O13" s="29">
        <v>82380</v>
      </c>
      <c r="P13" s="66">
        <f>M13*1329+O13</f>
        <v>3949770</v>
      </c>
      <c r="Q13" s="30">
        <f>F13-P13</f>
        <v>430230</v>
      </c>
      <c r="R13" s="31">
        <f>Q13/F13*100</f>
        <v>9.8226027397260278</v>
      </c>
      <c r="S13" s="32" t="s">
        <v>232</v>
      </c>
    </row>
    <row r="14" spans="1:19" s="7" customFormat="1" ht="21" customHeight="1" x14ac:dyDescent="0.45">
      <c r="A14" s="91"/>
      <c r="B14" s="110" t="s">
        <v>221</v>
      </c>
      <c r="C14" s="110"/>
      <c r="D14" s="110"/>
      <c r="E14" s="33">
        <v>30000</v>
      </c>
      <c r="F14" s="33">
        <v>4380000</v>
      </c>
      <c r="G14" s="33">
        <v>438000</v>
      </c>
      <c r="H14" s="33">
        <v>4818000</v>
      </c>
      <c r="I14" s="34"/>
      <c r="J14" s="35"/>
      <c r="K14" s="35"/>
      <c r="L14" s="36"/>
      <c r="M14" s="37"/>
      <c r="N14" s="38"/>
      <c r="O14" s="39">
        <f>SUM(O13)</f>
        <v>82380</v>
      </c>
      <c r="P14" s="67">
        <f>SUM(P13)</f>
        <v>3949770</v>
      </c>
      <c r="Q14" s="40">
        <f>SUM(Q13)</f>
        <v>430230</v>
      </c>
      <c r="R14" s="41"/>
      <c r="S14" s="32"/>
    </row>
    <row r="15" spans="1:19" s="7" customFormat="1" ht="21" customHeight="1" x14ac:dyDescent="0.45">
      <c r="A15" s="90"/>
      <c r="B15" s="20" t="s">
        <v>26</v>
      </c>
      <c r="C15" s="21" t="s">
        <v>179</v>
      </c>
      <c r="D15" s="20" t="s">
        <v>233</v>
      </c>
      <c r="E15" s="23">
        <v>20000</v>
      </c>
      <c r="F15" s="23">
        <v>1574200</v>
      </c>
      <c r="G15" s="23">
        <v>157420</v>
      </c>
      <c r="H15" s="23">
        <v>1731620</v>
      </c>
      <c r="I15" s="24" t="s">
        <v>28</v>
      </c>
      <c r="J15" s="25"/>
      <c r="K15" s="25"/>
      <c r="L15" s="26">
        <v>4.3999999999999997E-2</v>
      </c>
      <c r="M15" s="27">
        <f>E15*L15</f>
        <v>880</v>
      </c>
      <c r="N15" s="28"/>
      <c r="O15" s="29">
        <f>398086/2940*M15</f>
        <v>119154.99319727892</v>
      </c>
      <c r="P15" s="66">
        <f>M15*1340+O15</f>
        <v>1298354.9931972788</v>
      </c>
      <c r="Q15" s="30">
        <f>F15-P15</f>
        <v>275845.00680272118</v>
      </c>
      <c r="R15" s="31">
        <f>Q15/F15*100</f>
        <v>17.5228691908729</v>
      </c>
      <c r="S15" s="32" t="s">
        <v>141</v>
      </c>
    </row>
    <row r="16" spans="1:19" s="7" customFormat="1" ht="21" customHeight="1" x14ac:dyDescent="0.45">
      <c r="A16" s="111"/>
      <c r="B16" s="20" t="s">
        <v>26</v>
      </c>
      <c r="C16" s="21" t="s">
        <v>179</v>
      </c>
      <c r="D16" s="20" t="s">
        <v>29</v>
      </c>
      <c r="E16" s="23">
        <v>20000</v>
      </c>
      <c r="F16" s="23">
        <v>1600800</v>
      </c>
      <c r="G16" s="23">
        <v>160080</v>
      </c>
      <c r="H16" s="23">
        <v>1760880</v>
      </c>
      <c r="I16" s="24" t="s">
        <v>28</v>
      </c>
      <c r="J16" s="25"/>
      <c r="K16" s="25"/>
      <c r="L16" s="26">
        <v>4.2999999999999997E-2</v>
      </c>
      <c r="M16" s="27">
        <f>E16*L16</f>
        <v>859.99999999999989</v>
      </c>
      <c r="N16" s="28"/>
      <c r="O16" s="29">
        <f>398086/2940*M16</f>
        <v>116446.92517006802</v>
      </c>
      <c r="P16" s="66">
        <f>M16*1340+O16</f>
        <v>1268846.9251700677</v>
      </c>
      <c r="Q16" s="30">
        <f>F16-P16</f>
        <v>331953.0748299323</v>
      </c>
      <c r="R16" s="31">
        <f>Q16/F16*100</f>
        <v>20.73669882745704</v>
      </c>
      <c r="S16" s="32" t="s">
        <v>141</v>
      </c>
    </row>
    <row r="17" spans="1:19" s="7" customFormat="1" ht="21" customHeight="1" x14ac:dyDescent="0.45">
      <c r="A17" s="111"/>
      <c r="B17" s="20" t="s">
        <v>26</v>
      </c>
      <c r="C17" s="21" t="s">
        <v>218</v>
      </c>
      <c r="D17" s="20" t="s">
        <v>220</v>
      </c>
      <c r="E17" s="23">
        <v>15000</v>
      </c>
      <c r="F17" s="23">
        <v>2130750</v>
      </c>
      <c r="G17" s="23">
        <v>213075</v>
      </c>
      <c r="H17" s="23">
        <v>2343825</v>
      </c>
      <c r="I17" s="24" t="s">
        <v>28</v>
      </c>
      <c r="J17" s="25"/>
      <c r="K17" s="25"/>
      <c r="L17" s="26">
        <v>0.08</v>
      </c>
      <c r="M17" s="27">
        <f t="shared" ref="M17:M22" si="4">E17*L17</f>
        <v>1200</v>
      </c>
      <c r="N17" s="28"/>
      <c r="O17" s="100">
        <v>525212</v>
      </c>
      <c r="P17" s="113">
        <f>4020*1330+O17</f>
        <v>5871812</v>
      </c>
      <c r="Q17" s="92">
        <f>SUM(F17:F21)-P17</f>
        <v>1396588</v>
      </c>
      <c r="R17" s="94">
        <f>Q17/7268400*100</f>
        <v>19.214517637994607</v>
      </c>
      <c r="S17" s="32" t="s">
        <v>234</v>
      </c>
    </row>
    <row r="18" spans="1:19" s="7" customFormat="1" ht="21" customHeight="1" x14ac:dyDescent="0.45">
      <c r="A18" s="111"/>
      <c r="B18" s="20" t="s">
        <v>26</v>
      </c>
      <c r="C18" s="21" t="s">
        <v>218</v>
      </c>
      <c r="D18" s="20" t="s">
        <v>27</v>
      </c>
      <c r="E18" s="23">
        <v>20000</v>
      </c>
      <c r="F18" s="23">
        <v>1566600</v>
      </c>
      <c r="G18" s="23">
        <v>156660</v>
      </c>
      <c r="H18" s="23">
        <v>1723260</v>
      </c>
      <c r="I18" s="24" t="s">
        <v>28</v>
      </c>
      <c r="J18" s="25"/>
      <c r="K18" s="25"/>
      <c r="L18" s="26">
        <v>4.3999999999999997E-2</v>
      </c>
      <c r="M18" s="27">
        <f t="shared" si="4"/>
        <v>880</v>
      </c>
      <c r="N18" s="28"/>
      <c r="O18" s="101"/>
      <c r="P18" s="117"/>
      <c r="Q18" s="96"/>
      <c r="R18" s="97"/>
      <c r="S18" s="32"/>
    </row>
    <row r="19" spans="1:19" s="7" customFormat="1" ht="21" customHeight="1" x14ac:dyDescent="0.45">
      <c r="A19" s="111"/>
      <c r="B19" s="20" t="s">
        <v>26</v>
      </c>
      <c r="C19" s="21" t="s">
        <v>218</v>
      </c>
      <c r="D19" s="20" t="s">
        <v>219</v>
      </c>
      <c r="E19" s="23">
        <v>5000</v>
      </c>
      <c r="F19" s="23">
        <v>464650</v>
      </c>
      <c r="G19" s="23">
        <v>46465</v>
      </c>
      <c r="H19" s="23">
        <v>511115</v>
      </c>
      <c r="I19" s="24" t="s">
        <v>28</v>
      </c>
      <c r="J19" s="25"/>
      <c r="K19" s="25"/>
      <c r="L19" s="26">
        <v>0.05</v>
      </c>
      <c r="M19" s="27">
        <f t="shared" si="4"/>
        <v>250</v>
      </c>
      <c r="N19" s="28"/>
      <c r="O19" s="101"/>
      <c r="P19" s="117"/>
      <c r="Q19" s="96"/>
      <c r="R19" s="97"/>
      <c r="S19" s="32"/>
    </row>
    <row r="20" spans="1:19" s="7" customFormat="1" ht="21" customHeight="1" x14ac:dyDescent="0.45">
      <c r="A20" s="111"/>
      <c r="B20" s="20" t="s">
        <v>26</v>
      </c>
      <c r="C20" s="21" t="s">
        <v>218</v>
      </c>
      <c r="D20" s="20" t="s">
        <v>79</v>
      </c>
      <c r="E20" s="23">
        <v>10000</v>
      </c>
      <c r="F20" s="23">
        <v>1247900</v>
      </c>
      <c r="G20" s="23">
        <v>124790</v>
      </c>
      <c r="H20" s="23">
        <v>1372690</v>
      </c>
      <c r="I20" s="24" t="s">
        <v>28</v>
      </c>
      <c r="J20" s="25"/>
      <c r="K20" s="25"/>
      <c r="L20" s="26">
        <v>7.0000000000000007E-2</v>
      </c>
      <c r="M20" s="27">
        <f t="shared" si="4"/>
        <v>700.00000000000011</v>
      </c>
      <c r="N20" s="28"/>
      <c r="O20" s="101"/>
      <c r="P20" s="117"/>
      <c r="Q20" s="96"/>
      <c r="R20" s="97"/>
      <c r="S20" s="32"/>
    </row>
    <row r="21" spans="1:19" s="7" customFormat="1" ht="21" customHeight="1" x14ac:dyDescent="0.45">
      <c r="A21" s="111"/>
      <c r="B21" s="20" t="s">
        <v>26</v>
      </c>
      <c r="C21" s="21" t="s">
        <v>218</v>
      </c>
      <c r="D21" s="20" t="s">
        <v>30</v>
      </c>
      <c r="E21" s="23">
        <v>10000</v>
      </c>
      <c r="F21" s="23">
        <v>1858500</v>
      </c>
      <c r="G21" s="23">
        <v>185850</v>
      </c>
      <c r="H21" s="23">
        <v>2044350</v>
      </c>
      <c r="I21" s="24" t="s">
        <v>28</v>
      </c>
      <c r="J21" s="25"/>
      <c r="K21" s="25"/>
      <c r="L21" s="26">
        <v>9.9000000000000005E-2</v>
      </c>
      <c r="M21" s="27">
        <f t="shared" si="4"/>
        <v>990</v>
      </c>
      <c r="N21" s="28"/>
      <c r="O21" s="102"/>
      <c r="P21" s="114"/>
      <c r="Q21" s="93"/>
      <c r="R21" s="95"/>
      <c r="S21" s="32"/>
    </row>
    <row r="22" spans="1:19" s="7" customFormat="1" ht="21" customHeight="1" x14ac:dyDescent="0.45">
      <c r="A22" s="111"/>
      <c r="B22" s="20" t="s">
        <v>26</v>
      </c>
      <c r="C22" s="21" t="s">
        <v>194</v>
      </c>
      <c r="D22" s="20" t="s">
        <v>217</v>
      </c>
      <c r="E22" s="23">
        <v>4000</v>
      </c>
      <c r="F22" s="23">
        <v>2960000</v>
      </c>
      <c r="G22" s="23">
        <v>296000</v>
      </c>
      <c r="H22" s="23">
        <v>3256000</v>
      </c>
      <c r="I22" s="24" t="s">
        <v>235</v>
      </c>
      <c r="J22" s="25"/>
      <c r="K22" s="25"/>
      <c r="L22" s="26">
        <v>0.42799999999999999</v>
      </c>
      <c r="M22" s="27">
        <f t="shared" si="4"/>
        <v>1712</v>
      </c>
      <c r="N22" s="28"/>
      <c r="O22" s="29">
        <v>168490</v>
      </c>
      <c r="P22" s="66">
        <f>M22*1330</f>
        <v>2276960</v>
      </c>
      <c r="Q22" s="30">
        <f>F22-P22</f>
        <v>683040</v>
      </c>
      <c r="R22" s="31">
        <f>Q22/F22*100</f>
        <v>23.075675675675676</v>
      </c>
      <c r="S22" s="32" t="s">
        <v>236</v>
      </c>
    </row>
    <row r="23" spans="1:19" s="7" customFormat="1" ht="21" customHeight="1" x14ac:dyDescent="0.45">
      <c r="A23" s="91"/>
      <c r="B23" s="110" t="s">
        <v>31</v>
      </c>
      <c r="C23" s="110"/>
      <c r="D23" s="110"/>
      <c r="E23" s="33">
        <v>104000</v>
      </c>
      <c r="F23" s="33">
        <v>13403400</v>
      </c>
      <c r="G23" s="33">
        <v>1340340</v>
      </c>
      <c r="H23" s="33">
        <v>14743740</v>
      </c>
      <c r="I23" s="34"/>
      <c r="J23" s="35"/>
      <c r="K23" s="35"/>
      <c r="L23" s="36"/>
      <c r="M23" s="37"/>
      <c r="N23" s="38"/>
      <c r="O23" s="39">
        <f>SUM(O15:O22)</f>
        <v>929303.91836734698</v>
      </c>
      <c r="P23" s="67">
        <f>SUM(P15:P22)</f>
        <v>10715973.918367347</v>
      </c>
      <c r="Q23" s="40">
        <f>SUM(Q15:Q22)</f>
        <v>2687426.0816326533</v>
      </c>
      <c r="R23" s="41"/>
      <c r="S23" s="32"/>
    </row>
    <row r="24" spans="1:19" s="7" customFormat="1" ht="21" customHeight="1" x14ac:dyDescent="0.45">
      <c r="A24" s="90"/>
      <c r="B24" s="20" t="s">
        <v>32</v>
      </c>
      <c r="C24" s="21" t="s">
        <v>179</v>
      </c>
      <c r="D24" s="20" t="s">
        <v>216</v>
      </c>
      <c r="E24" s="23">
        <v>5000</v>
      </c>
      <c r="F24" s="23">
        <f>9000*1328.11</f>
        <v>11952990</v>
      </c>
      <c r="G24" s="23">
        <f>F24*10%</f>
        <v>1195299</v>
      </c>
      <c r="H24" s="23">
        <f>F24+G24</f>
        <v>13148289</v>
      </c>
      <c r="I24" s="24" t="s">
        <v>237</v>
      </c>
      <c r="J24" s="25"/>
      <c r="K24" s="25"/>
      <c r="L24" s="26">
        <v>1.37</v>
      </c>
      <c r="M24" s="27">
        <f>E24*L24</f>
        <v>6850.0000000000009</v>
      </c>
      <c r="N24" s="28"/>
      <c r="O24" s="29">
        <v>591880</v>
      </c>
      <c r="P24" s="66">
        <f>M24*1292+O24</f>
        <v>9442080.0000000019</v>
      </c>
      <c r="Q24" s="30">
        <f>F24-P24</f>
        <v>2510909.9999999981</v>
      </c>
      <c r="R24" s="31">
        <f>Q24/F24*100</f>
        <v>21.006543132722424</v>
      </c>
      <c r="S24" s="32" t="s">
        <v>238</v>
      </c>
    </row>
    <row r="25" spans="1:19" s="7" customFormat="1" ht="21" customHeight="1" x14ac:dyDescent="0.45">
      <c r="A25" s="111"/>
      <c r="B25" s="20" t="s">
        <v>32</v>
      </c>
      <c r="C25" s="21" t="s">
        <v>179</v>
      </c>
      <c r="D25" s="20" t="s">
        <v>215</v>
      </c>
      <c r="E25" s="23">
        <v>5000</v>
      </c>
      <c r="F25" s="23">
        <f>2950*1328.11-1</f>
        <v>3917923.4999999995</v>
      </c>
      <c r="G25" s="23">
        <f t="shared" ref="G25:G26" si="5">F25*10%</f>
        <v>391792.35</v>
      </c>
      <c r="H25" s="23">
        <f t="shared" ref="H25:H26" si="6">F25+G25</f>
        <v>4309715.8499999996</v>
      </c>
      <c r="I25" s="24" t="s">
        <v>44</v>
      </c>
      <c r="J25" s="25"/>
      <c r="K25" s="25"/>
      <c r="L25" s="26">
        <v>0.38</v>
      </c>
      <c r="M25" s="27">
        <f>E25*L25</f>
        <v>1900</v>
      </c>
      <c r="N25" s="115">
        <f>72340</f>
        <v>72340</v>
      </c>
      <c r="O25" s="100">
        <f>85620+50000+115590</f>
        <v>251210</v>
      </c>
      <c r="P25" s="113">
        <f>14950*1330+N25+O25</f>
        <v>20207050</v>
      </c>
      <c r="Q25" s="92">
        <f>34380500-P25</f>
        <v>14173450</v>
      </c>
      <c r="R25" s="94">
        <f>Q25/34380500*100</f>
        <v>41.225258504093894</v>
      </c>
      <c r="S25" s="32" t="s">
        <v>239</v>
      </c>
    </row>
    <row r="26" spans="1:19" s="7" customFormat="1" ht="21" customHeight="1" x14ac:dyDescent="0.45">
      <c r="A26" s="111"/>
      <c r="B26" s="20" t="s">
        <v>32</v>
      </c>
      <c r="C26" s="21" t="s">
        <v>179</v>
      </c>
      <c r="D26" s="20" t="s">
        <v>214</v>
      </c>
      <c r="E26" s="23">
        <v>5000</v>
      </c>
      <c r="F26" s="23">
        <f>22900*1328.11</f>
        <v>30413718.999999996</v>
      </c>
      <c r="G26" s="23">
        <f t="shared" si="5"/>
        <v>3041371.9</v>
      </c>
      <c r="H26" s="23">
        <f t="shared" si="6"/>
        <v>33455090.899999995</v>
      </c>
      <c r="I26" s="24" t="s">
        <v>44</v>
      </c>
      <c r="J26" s="25"/>
      <c r="K26" s="25"/>
      <c r="L26" s="26">
        <f>1.33+1.15+0.13</f>
        <v>2.61</v>
      </c>
      <c r="M26" s="27">
        <f>E26*L26</f>
        <v>13050</v>
      </c>
      <c r="N26" s="116"/>
      <c r="O26" s="102"/>
      <c r="P26" s="114"/>
      <c r="Q26" s="93"/>
      <c r="R26" s="95"/>
      <c r="S26" s="32"/>
    </row>
    <row r="27" spans="1:19" s="7" customFormat="1" ht="21" customHeight="1" x14ac:dyDescent="0.45">
      <c r="A27" s="91"/>
      <c r="B27" s="110" t="s">
        <v>33</v>
      </c>
      <c r="C27" s="110"/>
      <c r="D27" s="110"/>
      <c r="E27" s="33">
        <v>15000</v>
      </c>
      <c r="F27" s="33">
        <f>SUM(F24:F26)</f>
        <v>46284632.5</v>
      </c>
      <c r="G27" s="33">
        <f>SUM(G24:G26)</f>
        <v>4628463.25</v>
      </c>
      <c r="H27" s="33">
        <f>SUM(H24:H26)</f>
        <v>50913095.75</v>
      </c>
      <c r="I27" s="34"/>
      <c r="J27" s="35"/>
      <c r="K27" s="35"/>
      <c r="L27" s="36"/>
      <c r="M27" s="37"/>
      <c r="N27" s="38"/>
      <c r="O27" s="39">
        <f>SUM(O24:O26)</f>
        <v>843090</v>
      </c>
      <c r="P27" s="67">
        <f>SUM(P24:P26)</f>
        <v>29649130</v>
      </c>
      <c r="Q27" s="40">
        <f>SUM(Q24:Q26)</f>
        <v>16684359.999999998</v>
      </c>
      <c r="R27" s="41"/>
      <c r="S27" s="32"/>
    </row>
    <row r="28" spans="1:19" s="7" customFormat="1" ht="21" customHeight="1" x14ac:dyDescent="0.45">
      <c r="A28" s="90"/>
      <c r="B28" s="20" t="s">
        <v>34</v>
      </c>
      <c r="C28" s="21" t="s">
        <v>212</v>
      </c>
      <c r="D28" s="20" t="s">
        <v>213</v>
      </c>
      <c r="E28" s="23">
        <v>784</v>
      </c>
      <c r="F28" s="23">
        <v>44945580</v>
      </c>
      <c r="G28" s="23">
        <v>4494558</v>
      </c>
      <c r="H28" s="23">
        <v>49440138</v>
      </c>
      <c r="I28" s="24" t="s">
        <v>35</v>
      </c>
      <c r="J28" s="25"/>
      <c r="K28" s="25"/>
      <c r="L28" s="26">
        <v>35</v>
      </c>
      <c r="M28" s="27">
        <f>E28*L28</f>
        <v>27440</v>
      </c>
      <c r="N28" s="28"/>
      <c r="O28" s="29">
        <v>166040</v>
      </c>
      <c r="P28" s="66">
        <f>M28*1342+O28</f>
        <v>36990520</v>
      </c>
      <c r="Q28" s="30">
        <f>F28-P28</f>
        <v>7955060</v>
      </c>
      <c r="R28" s="31">
        <f>Q28/F28*100</f>
        <v>17.699315483302254</v>
      </c>
      <c r="S28" s="32" t="s">
        <v>240</v>
      </c>
    </row>
    <row r="29" spans="1:19" s="7" customFormat="1" ht="21" customHeight="1" x14ac:dyDescent="0.45">
      <c r="A29" s="111"/>
      <c r="B29" s="20" t="s">
        <v>34</v>
      </c>
      <c r="C29" s="21" t="s">
        <v>212</v>
      </c>
      <c r="D29" s="20" t="s">
        <v>211</v>
      </c>
      <c r="E29" s="23">
        <v>2</v>
      </c>
      <c r="F29" s="23">
        <v>209310</v>
      </c>
      <c r="G29" s="23">
        <v>20931</v>
      </c>
      <c r="H29" s="23">
        <v>230241</v>
      </c>
      <c r="I29" s="24" t="s">
        <v>35</v>
      </c>
      <c r="J29" s="25"/>
      <c r="K29" s="25"/>
      <c r="L29" s="26"/>
      <c r="M29" s="27"/>
      <c r="N29" s="28"/>
      <c r="O29" s="29"/>
      <c r="P29" s="66">
        <f>F29</f>
        <v>209310</v>
      </c>
      <c r="Q29" s="30">
        <f>F29-P29</f>
        <v>0</v>
      </c>
      <c r="R29" s="31">
        <f>Q29/F29*100</f>
        <v>0</v>
      </c>
      <c r="S29" s="32"/>
    </row>
    <row r="30" spans="1:19" s="7" customFormat="1" ht="21" customHeight="1" x14ac:dyDescent="0.45">
      <c r="A30" s="91"/>
      <c r="B30" s="110" t="s">
        <v>36</v>
      </c>
      <c r="C30" s="110"/>
      <c r="D30" s="110"/>
      <c r="E30" s="33">
        <v>786</v>
      </c>
      <c r="F30" s="33">
        <v>45154890</v>
      </c>
      <c r="G30" s="33">
        <v>4515489</v>
      </c>
      <c r="H30" s="33">
        <v>49670379</v>
      </c>
      <c r="I30" s="34"/>
      <c r="J30" s="35"/>
      <c r="K30" s="35"/>
      <c r="L30" s="36"/>
      <c r="M30" s="37"/>
      <c r="N30" s="38"/>
      <c r="O30" s="39">
        <f>SUM(O28:O29)</f>
        <v>166040</v>
      </c>
      <c r="P30" s="67">
        <f>SUM(P28:P29)</f>
        <v>37199830</v>
      </c>
      <c r="Q30" s="40">
        <f>SUM(Q28:Q29)</f>
        <v>7955060</v>
      </c>
      <c r="R30" s="41"/>
      <c r="S30" s="32"/>
    </row>
    <row r="31" spans="1:19" s="7" customFormat="1" ht="21" customHeight="1" x14ac:dyDescent="0.45">
      <c r="A31" s="90"/>
      <c r="B31" s="20" t="s">
        <v>22</v>
      </c>
      <c r="C31" s="21" t="s">
        <v>176</v>
      </c>
      <c r="D31" s="20" t="s">
        <v>198</v>
      </c>
      <c r="E31" s="23">
        <v>170</v>
      </c>
      <c r="F31" s="23">
        <v>2308090</v>
      </c>
      <c r="G31" s="23">
        <v>230809</v>
      </c>
      <c r="H31" s="23">
        <v>2538899</v>
      </c>
      <c r="I31" s="24" t="s">
        <v>156</v>
      </c>
      <c r="J31" s="25">
        <v>10500</v>
      </c>
      <c r="K31" s="25">
        <f>E31*J31</f>
        <v>1785000</v>
      </c>
      <c r="L31" s="26"/>
      <c r="M31" s="27"/>
      <c r="N31" s="28"/>
      <c r="O31" s="29"/>
      <c r="P31" s="66">
        <f>K31</f>
        <v>1785000</v>
      </c>
      <c r="Q31" s="30">
        <f t="shared" ref="Q31:Q37" si="7">F31-P31</f>
        <v>523090</v>
      </c>
      <c r="R31" s="31">
        <f t="shared" ref="R31:R37" si="8">Q31/F31*100</f>
        <v>22.663327686528689</v>
      </c>
      <c r="S31" s="32"/>
    </row>
    <row r="32" spans="1:19" s="7" customFormat="1" ht="21" customHeight="1" x14ac:dyDescent="0.45">
      <c r="A32" s="111"/>
      <c r="B32" s="20" t="s">
        <v>22</v>
      </c>
      <c r="C32" s="21" t="s">
        <v>176</v>
      </c>
      <c r="D32" s="20" t="s">
        <v>109</v>
      </c>
      <c r="E32" s="23">
        <v>300</v>
      </c>
      <c r="F32" s="23">
        <v>6804000</v>
      </c>
      <c r="G32" s="23">
        <v>680400</v>
      </c>
      <c r="H32" s="23">
        <v>7484400</v>
      </c>
      <c r="I32" s="24" t="s">
        <v>156</v>
      </c>
      <c r="J32" s="25">
        <v>16800</v>
      </c>
      <c r="K32" s="25">
        <f>E32*J32</f>
        <v>5040000</v>
      </c>
      <c r="L32" s="26"/>
      <c r="M32" s="27"/>
      <c r="N32" s="28"/>
      <c r="O32" s="29"/>
      <c r="P32" s="66">
        <f>K32</f>
        <v>5040000</v>
      </c>
      <c r="Q32" s="30">
        <f t="shared" si="7"/>
        <v>1764000</v>
      </c>
      <c r="R32" s="31">
        <f t="shared" si="8"/>
        <v>25.925925925925924</v>
      </c>
      <c r="S32" s="32"/>
    </row>
    <row r="33" spans="1:19" s="7" customFormat="1" ht="21" customHeight="1" x14ac:dyDescent="0.45">
      <c r="A33" s="111"/>
      <c r="B33" s="20" t="s">
        <v>22</v>
      </c>
      <c r="C33" s="21" t="s">
        <v>188</v>
      </c>
      <c r="D33" s="20" t="s">
        <v>242</v>
      </c>
      <c r="E33" s="23">
        <v>24000</v>
      </c>
      <c r="F33" s="23">
        <v>1971748</v>
      </c>
      <c r="G33" s="23">
        <f>F33*10%</f>
        <v>197174.80000000002</v>
      </c>
      <c r="H33" s="23">
        <f>F33+G33</f>
        <v>2168922.7999999998</v>
      </c>
      <c r="I33" s="24" t="s">
        <v>54</v>
      </c>
      <c r="J33" s="25"/>
      <c r="K33" s="25"/>
      <c r="L33" s="26">
        <v>5.4899999999999997E-2</v>
      </c>
      <c r="M33" s="27">
        <f>E33*L33</f>
        <v>1317.6</v>
      </c>
      <c r="N33" s="28"/>
      <c r="O33" s="29"/>
      <c r="P33" s="66">
        <f>M33*1358</f>
        <v>1789300.7999999998</v>
      </c>
      <c r="Q33" s="30">
        <f t="shared" si="7"/>
        <v>182447.20000000019</v>
      </c>
      <c r="R33" s="31">
        <f t="shared" si="8"/>
        <v>9.2530688505833503</v>
      </c>
      <c r="S33" s="32"/>
    </row>
    <row r="34" spans="1:19" s="7" customFormat="1" ht="21" customHeight="1" x14ac:dyDescent="0.45">
      <c r="A34" s="111"/>
      <c r="B34" s="20" t="s">
        <v>22</v>
      </c>
      <c r="C34" s="21" t="s">
        <v>188</v>
      </c>
      <c r="D34" s="20" t="s">
        <v>197</v>
      </c>
      <c r="E34" s="23">
        <v>24000</v>
      </c>
      <c r="F34" s="23">
        <v>2862216</v>
      </c>
      <c r="G34" s="23">
        <f>F34*10%</f>
        <v>286221.60000000003</v>
      </c>
      <c r="H34" s="23">
        <f>F34+G34</f>
        <v>3148437.6</v>
      </c>
      <c r="I34" s="24" t="s">
        <v>54</v>
      </c>
      <c r="J34" s="25"/>
      <c r="K34" s="25"/>
      <c r="L34" s="26">
        <v>8.0199999999999994E-2</v>
      </c>
      <c r="M34" s="27">
        <f>E34*L34</f>
        <v>1924.8</v>
      </c>
      <c r="N34" s="28"/>
      <c r="O34" s="29"/>
      <c r="P34" s="66">
        <f>M34*1358</f>
        <v>2613878.4</v>
      </c>
      <c r="Q34" s="30">
        <f t="shared" si="7"/>
        <v>248337.60000000009</v>
      </c>
      <c r="R34" s="31">
        <f t="shared" si="8"/>
        <v>8.6764101661090596</v>
      </c>
      <c r="S34" s="32"/>
    </row>
    <row r="35" spans="1:19" s="7" customFormat="1" ht="21" customHeight="1" x14ac:dyDescent="0.45">
      <c r="A35" s="111"/>
      <c r="B35" s="20" t="s">
        <v>22</v>
      </c>
      <c r="C35" s="21" t="s">
        <v>188</v>
      </c>
      <c r="D35" s="20" t="s">
        <v>196</v>
      </c>
      <c r="E35" s="23">
        <v>48000</v>
      </c>
      <c r="F35" s="23">
        <v>1335700</v>
      </c>
      <c r="G35" s="23">
        <f>F35*10%</f>
        <v>133570</v>
      </c>
      <c r="H35" s="23">
        <f>F35+G35</f>
        <v>1469270</v>
      </c>
      <c r="I35" s="24" t="s">
        <v>54</v>
      </c>
      <c r="J35" s="25"/>
      <c r="K35" s="25"/>
      <c r="L35" s="26">
        <v>1.83E-2</v>
      </c>
      <c r="M35" s="27">
        <f>E35*L35</f>
        <v>878.4</v>
      </c>
      <c r="N35" s="28"/>
      <c r="O35" s="29"/>
      <c r="P35" s="66">
        <f>M35*1290</f>
        <v>1133136</v>
      </c>
      <c r="Q35" s="30">
        <f t="shared" si="7"/>
        <v>202564</v>
      </c>
      <c r="R35" s="31">
        <f t="shared" si="8"/>
        <v>15.165381447929924</v>
      </c>
      <c r="S35" s="32"/>
    </row>
    <row r="36" spans="1:19" s="7" customFormat="1" ht="21" customHeight="1" x14ac:dyDescent="0.45">
      <c r="A36" s="111"/>
      <c r="B36" s="20" t="s">
        <v>22</v>
      </c>
      <c r="C36" s="21" t="s">
        <v>194</v>
      </c>
      <c r="D36" s="20" t="s">
        <v>195</v>
      </c>
      <c r="E36" s="23">
        <v>18000</v>
      </c>
      <c r="F36" s="23">
        <v>1620000</v>
      </c>
      <c r="G36" s="23">
        <v>162000</v>
      </c>
      <c r="H36" s="23">
        <v>1782000</v>
      </c>
      <c r="I36" s="24" t="s">
        <v>241</v>
      </c>
      <c r="J36" s="25">
        <v>55</v>
      </c>
      <c r="K36" s="25">
        <f>E36*J36</f>
        <v>990000</v>
      </c>
      <c r="L36" s="26"/>
      <c r="M36" s="27"/>
      <c r="N36" s="28"/>
      <c r="O36" s="29"/>
      <c r="P36" s="66">
        <f>K36</f>
        <v>990000</v>
      </c>
      <c r="Q36" s="30">
        <f t="shared" si="7"/>
        <v>630000</v>
      </c>
      <c r="R36" s="31">
        <f t="shared" si="8"/>
        <v>38.888888888888893</v>
      </c>
      <c r="S36" s="32"/>
    </row>
    <row r="37" spans="1:19" s="7" customFormat="1" ht="21" customHeight="1" x14ac:dyDescent="0.45">
      <c r="A37" s="111"/>
      <c r="B37" s="20" t="s">
        <v>22</v>
      </c>
      <c r="C37" s="21" t="s">
        <v>194</v>
      </c>
      <c r="D37" s="20" t="s">
        <v>193</v>
      </c>
      <c r="E37" s="23">
        <v>8500</v>
      </c>
      <c r="F37" s="23">
        <v>1360000</v>
      </c>
      <c r="G37" s="23">
        <v>136000</v>
      </c>
      <c r="H37" s="23">
        <v>1496000</v>
      </c>
      <c r="I37" s="24" t="s">
        <v>241</v>
      </c>
      <c r="J37" s="25">
        <v>115</v>
      </c>
      <c r="K37" s="25">
        <f>E37*J37</f>
        <v>977500</v>
      </c>
      <c r="L37" s="26"/>
      <c r="M37" s="27"/>
      <c r="N37" s="28"/>
      <c r="O37" s="29"/>
      <c r="P37" s="66">
        <f>K37</f>
        <v>977500</v>
      </c>
      <c r="Q37" s="30">
        <f t="shared" si="7"/>
        <v>382500</v>
      </c>
      <c r="R37" s="31">
        <f t="shared" si="8"/>
        <v>28.125</v>
      </c>
      <c r="S37" s="32"/>
    </row>
    <row r="38" spans="1:19" s="7" customFormat="1" ht="21" customHeight="1" x14ac:dyDescent="0.45">
      <c r="A38" s="91"/>
      <c r="B38" s="110" t="s">
        <v>23</v>
      </c>
      <c r="C38" s="110"/>
      <c r="D38" s="110"/>
      <c r="E38" s="33">
        <v>122970</v>
      </c>
      <c r="F38" s="33">
        <f>SUM(F31:F37)</f>
        <v>18261754</v>
      </c>
      <c r="G38" s="33">
        <f>SUM(G31:G37)</f>
        <v>1826175.4000000001</v>
      </c>
      <c r="H38" s="33">
        <f>SUM(H31:H37)</f>
        <v>20087929.399999999</v>
      </c>
      <c r="I38" s="34"/>
      <c r="J38" s="35"/>
      <c r="K38" s="35"/>
      <c r="L38" s="36"/>
      <c r="M38" s="37"/>
      <c r="N38" s="38"/>
      <c r="O38" s="39">
        <v>0</v>
      </c>
      <c r="P38" s="67">
        <f>SUM(P31:P37)</f>
        <v>14328815.200000001</v>
      </c>
      <c r="Q38" s="40">
        <f>SUM(Q31:Q37)</f>
        <v>3932938.8000000003</v>
      </c>
      <c r="R38" s="41"/>
      <c r="S38" s="32"/>
    </row>
    <row r="39" spans="1:19" s="7" customFormat="1" ht="21" customHeight="1" x14ac:dyDescent="0.45">
      <c r="A39" s="90"/>
      <c r="B39" s="20" t="s">
        <v>47</v>
      </c>
      <c r="C39" s="21" t="s">
        <v>184</v>
      </c>
      <c r="D39" s="20" t="s">
        <v>185</v>
      </c>
      <c r="E39" s="23">
        <v>15000</v>
      </c>
      <c r="F39" s="23">
        <v>660000</v>
      </c>
      <c r="G39" s="23">
        <v>66000</v>
      </c>
      <c r="H39" s="23">
        <v>726000</v>
      </c>
      <c r="I39" s="24" t="s">
        <v>49</v>
      </c>
      <c r="J39" s="25">
        <v>40</v>
      </c>
      <c r="K39" s="25">
        <f t="shared" ref="K39:K41" si="9">E39*J39</f>
        <v>600000</v>
      </c>
      <c r="L39" s="26"/>
      <c r="M39" s="27"/>
      <c r="N39" s="28"/>
      <c r="O39" s="29"/>
      <c r="P39" s="66">
        <f t="shared" ref="P39:P41" si="10">K39</f>
        <v>600000</v>
      </c>
      <c r="Q39" s="30">
        <f t="shared" ref="Q39:Q42" si="11">F39-P39</f>
        <v>60000</v>
      </c>
      <c r="R39" s="31">
        <f t="shared" ref="R39:R41" si="12">Q39/F39*100</f>
        <v>9.0909090909090917</v>
      </c>
      <c r="S39" s="32"/>
    </row>
    <row r="40" spans="1:19" s="7" customFormat="1" ht="21" customHeight="1" x14ac:dyDescent="0.45">
      <c r="A40" s="111"/>
      <c r="B40" s="20" t="s">
        <v>47</v>
      </c>
      <c r="C40" s="21" t="s">
        <v>184</v>
      </c>
      <c r="D40" s="20" t="s">
        <v>48</v>
      </c>
      <c r="E40" s="23">
        <v>40000</v>
      </c>
      <c r="F40" s="23">
        <v>880000</v>
      </c>
      <c r="G40" s="23">
        <v>88000</v>
      </c>
      <c r="H40" s="23">
        <v>968000</v>
      </c>
      <c r="I40" s="24" t="s">
        <v>49</v>
      </c>
      <c r="J40" s="25">
        <v>18</v>
      </c>
      <c r="K40" s="25">
        <f t="shared" si="9"/>
        <v>720000</v>
      </c>
      <c r="L40" s="26"/>
      <c r="M40" s="27"/>
      <c r="N40" s="28"/>
      <c r="O40" s="29"/>
      <c r="P40" s="66">
        <f t="shared" si="10"/>
        <v>720000</v>
      </c>
      <c r="Q40" s="30">
        <f t="shared" si="11"/>
        <v>160000</v>
      </c>
      <c r="R40" s="31">
        <f t="shared" si="12"/>
        <v>18.181818181818183</v>
      </c>
      <c r="S40" s="32"/>
    </row>
    <row r="41" spans="1:19" s="7" customFormat="1" ht="21" customHeight="1" x14ac:dyDescent="0.45">
      <c r="A41" s="111"/>
      <c r="B41" s="20" t="s">
        <v>47</v>
      </c>
      <c r="C41" s="21" t="s">
        <v>184</v>
      </c>
      <c r="D41" s="20" t="s">
        <v>50</v>
      </c>
      <c r="E41" s="23">
        <v>12000</v>
      </c>
      <c r="F41" s="23">
        <v>300000</v>
      </c>
      <c r="G41" s="23">
        <v>30000</v>
      </c>
      <c r="H41" s="23">
        <v>330000</v>
      </c>
      <c r="I41" s="24" t="s">
        <v>49</v>
      </c>
      <c r="J41" s="25">
        <v>21</v>
      </c>
      <c r="K41" s="25">
        <f t="shared" si="9"/>
        <v>252000</v>
      </c>
      <c r="L41" s="26"/>
      <c r="M41" s="27"/>
      <c r="N41" s="28"/>
      <c r="O41" s="29"/>
      <c r="P41" s="66">
        <f t="shared" si="10"/>
        <v>252000</v>
      </c>
      <c r="Q41" s="30">
        <f t="shared" si="11"/>
        <v>48000</v>
      </c>
      <c r="R41" s="31">
        <f t="shared" si="12"/>
        <v>16</v>
      </c>
      <c r="S41" s="32"/>
    </row>
    <row r="42" spans="1:19" s="7" customFormat="1" ht="21" customHeight="1" x14ac:dyDescent="0.45">
      <c r="A42" s="91"/>
      <c r="B42" s="110" t="s">
        <v>51</v>
      </c>
      <c r="C42" s="110"/>
      <c r="D42" s="110"/>
      <c r="E42" s="33">
        <v>67000</v>
      </c>
      <c r="F42" s="33">
        <v>1840000</v>
      </c>
      <c r="G42" s="33">
        <v>184000</v>
      </c>
      <c r="H42" s="33">
        <v>2024000</v>
      </c>
      <c r="I42" s="34"/>
      <c r="J42" s="35"/>
      <c r="K42" s="35"/>
      <c r="L42" s="36"/>
      <c r="M42" s="37"/>
      <c r="N42" s="38"/>
      <c r="O42" s="39">
        <v>0</v>
      </c>
      <c r="P42" s="67">
        <f>SUM(P39:P41)</f>
        <v>1572000</v>
      </c>
      <c r="Q42" s="40">
        <f t="shared" si="11"/>
        <v>268000</v>
      </c>
      <c r="R42" s="41"/>
      <c r="S42" s="32"/>
    </row>
    <row r="43" spans="1:19" s="7" customFormat="1" ht="21" customHeight="1" x14ac:dyDescent="0.45">
      <c r="A43" s="90"/>
      <c r="B43" s="20" t="s">
        <v>52</v>
      </c>
      <c r="C43" s="21" t="s">
        <v>176</v>
      </c>
      <c r="D43" s="20" t="s">
        <v>210</v>
      </c>
      <c r="E43" s="23">
        <v>3800</v>
      </c>
      <c r="F43" s="23">
        <v>482600</v>
      </c>
      <c r="G43" s="23">
        <v>48260</v>
      </c>
      <c r="H43" s="23">
        <v>530860</v>
      </c>
      <c r="I43" s="24" t="s">
        <v>54</v>
      </c>
      <c r="J43" s="25"/>
      <c r="K43" s="25"/>
      <c r="L43" s="26">
        <v>7.3499999999999996E-2</v>
      </c>
      <c r="M43" s="27">
        <f>E43*L43</f>
        <v>279.3</v>
      </c>
      <c r="N43" s="28"/>
      <c r="O43" s="29"/>
      <c r="P43" s="66">
        <f>M43*1290</f>
        <v>360297</v>
      </c>
      <c r="Q43" s="30">
        <f>F43-P43</f>
        <v>122303</v>
      </c>
      <c r="R43" s="31">
        <f>Q43/F43*100</f>
        <v>25.34251968503937</v>
      </c>
      <c r="S43" s="32"/>
    </row>
    <row r="44" spans="1:19" s="7" customFormat="1" ht="21" customHeight="1" x14ac:dyDescent="0.45">
      <c r="A44" s="111"/>
      <c r="B44" s="20" t="s">
        <v>52</v>
      </c>
      <c r="C44" s="21" t="s">
        <v>176</v>
      </c>
      <c r="D44" s="20" t="s">
        <v>209</v>
      </c>
      <c r="E44" s="23">
        <v>8000</v>
      </c>
      <c r="F44" s="23">
        <v>8744000</v>
      </c>
      <c r="G44" s="23">
        <v>874400</v>
      </c>
      <c r="H44" s="23">
        <v>9618400</v>
      </c>
      <c r="I44" s="24" t="s">
        <v>54</v>
      </c>
      <c r="J44" s="25"/>
      <c r="K44" s="25"/>
      <c r="L44" s="26">
        <v>0.57750000000000001</v>
      </c>
      <c r="M44" s="27">
        <f t="shared" ref="M44:M46" si="13">E44*L44</f>
        <v>4620</v>
      </c>
      <c r="N44" s="28"/>
      <c r="O44" s="29"/>
      <c r="P44" s="66">
        <f t="shared" ref="P44" si="14">M44*1290</f>
        <v>5959800</v>
      </c>
      <c r="Q44" s="30">
        <f t="shared" ref="Q44:Q45" si="15">F44-P44</f>
        <v>2784200</v>
      </c>
      <c r="R44" s="31">
        <f t="shared" ref="R44:R45" si="16">Q44/F44*100</f>
        <v>31.841262580054895</v>
      </c>
      <c r="S44" s="32"/>
    </row>
    <row r="45" spans="1:19" s="7" customFormat="1" ht="21" customHeight="1" x14ac:dyDescent="0.45">
      <c r="A45" s="111"/>
      <c r="B45" s="20" t="s">
        <v>52</v>
      </c>
      <c r="C45" s="21" t="s">
        <v>176</v>
      </c>
      <c r="D45" s="20" t="s">
        <v>208</v>
      </c>
      <c r="E45" s="23">
        <v>2000</v>
      </c>
      <c r="F45" s="23">
        <v>540000</v>
      </c>
      <c r="G45" s="23">
        <v>54000</v>
      </c>
      <c r="H45" s="23">
        <v>594000</v>
      </c>
      <c r="I45" s="24" t="s">
        <v>54</v>
      </c>
      <c r="J45" s="25"/>
      <c r="K45" s="25"/>
      <c r="L45" s="26">
        <v>0.155</v>
      </c>
      <c r="M45" s="27">
        <f t="shared" si="13"/>
        <v>310</v>
      </c>
      <c r="N45" s="28"/>
      <c r="O45" s="29"/>
      <c r="P45" s="66">
        <f>M45*1188</f>
        <v>368280</v>
      </c>
      <c r="Q45" s="30">
        <f t="shared" si="15"/>
        <v>171720</v>
      </c>
      <c r="R45" s="31">
        <f t="shared" si="16"/>
        <v>31.8</v>
      </c>
      <c r="S45" s="32"/>
    </row>
    <row r="46" spans="1:19" s="7" customFormat="1" ht="21" customHeight="1" x14ac:dyDescent="0.45">
      <c r="A46" s="111"/>
      <c r="B46" s="20" t="s">
        <v>52</v>
      </c>
      <c r="C46" s="21" t="s">
        <v>176</v>
      </c>
      <c r="D46" s="20" t="s">
        <v>207</v>
      </c>
      <c r="E46" s="23">
        <v>1500</v>
      </c>
      <c r="F46" s="23">
        <v>1224000</v>
      </c>
      <c r="G46" s="23">
        <v>122400</v>
      </c>
      <c r="H46" s="23">
        <v>1346400</v>
      </c>
      <c r="I46" s="24" t="s">
        <v>54</v>
      </c>
      <c r="J46" s="25"/>
      <c r="K46" s="25"/>
      <c r="L46" s="26">
        <v>0.29970000000000002</v>
      </c>
      <c r="M46" s="27">
        <f t="shared" si="13"/>
        <v>449.55</v>
      </c>
      <c r="N46" s="28"/>
      <c r="O46" s="29"/>
      <c r="P46" s="66">
        <f>M46*1340</f>
        <v>602397</v>
      </c>
      <c r="Q46" s="30">
        <f t="shared" ref="Q46" si="17">F46-P46</f>
        <v>621603</v>
      </c>
      <c r="R46" s="31">
        <f t="shared" ref="R46" si="18">Q46/F46*100</f>
        <v>50.784558823529416</v>
      </c>
      <c r="S46" s="32"/>
    </row>
    <row r="47" spans="1:19" s="7" customFormat="1" ht="21" customHeight="1" x14ac:dyDescent="0.45">
      <c r="A47" s="111"/>
      <c r="B47" s="20" t="s">
        <v>52</v>
      </c>
      <c r="C47" s="21" t="s">
        <v>184</v>
      </c>
      <c r="D47" s="20" t="s">
        <v>95</v>
      </c>
      <c r="E47" s="23">
        <v>6000</v>
      </c>
      <c r="F47" s="23">
        <v>1512000</v>
      </c>
      <c r="G47" s="23">
        <v>151200</v>
      </c>
      <c r="H47" s="23">
        <v>1663200</v>
      </c>
      <c r="I47" s="24" t="s">
        <v>165</v>
      </c>
      <c r="J47" s="25">
        <v>194</v>
      </c>
      <c r="K47" s="25">
        <f>E47*J47</f>
        <v>1164000</v>
      </c>
      <c r="L47" s="26"/>
      <c r="M47" s="27"/>
      <c r="N47" s="28"/>
      <c r="O47" s="29"/>
      <c r="P47" s="66">
        <f>K47</f>
        <v>1164000</v>
      </c>
      <c r="Q47" s="30">
        <f t="shared" ref="Q47:Q48" si="19">F47-P47</f>
        <v>348000</v>
      </c>
      <c r="R47" s="31">
        <f t="shared" ref="R47:R48" si="20">Q47/F47*100</f>
        <v>23.015873015873016</v>
      </c>
      <c r="S47" s="32"/>
    </row>
    <row r="48" spans="1:19" s="7" customFormat="1" ht="21" customHeight="1" x14ac:dyDescent="0.45">
      <c r="A48" s="111"/>
      <c r="B48" s="20" t="s">
        <v>52</v>
      </c>
      <c r="C48" s="21" t="s">
        <v>184</v>
      </c>
      <c r="D48" s="20" t="s">
        <v>206</v>
      </c>
      <c r="E48" s="23">
        <v>3000</v>
      </c>
      <c r="F48" s="23">
        <v>897000</v>
      </c>
      <c r="G48" s="23">
        <v>89700</v>
      </c>
      <c r="H48" s="23">
        <v>986700</v>
      </c>
      <c r="I48" s="24" t="s">
        <v>54</v>
      </c>
      <c r="J48" s="25"/>
      <c r="K48" s="25"/>
      <c r="L48" s="26">
        <v>0.1704</v>
      </c>
      <c r="M48" s="27">
        <f t="shared" ref="M48:M51" si="21">E48*L48</f>
        <v>511.2</v>
      </c>
      <c r="N48" s="28"/>
      <c r="O48" s="29"/>
      <c r="P48" s="66">
        <f>M48*1300.8</f>
        <v>664968.95999999996</v>
      </c>
      <c r="Q48" s="30">
        <f t="shared" si="19"/>
        <v>232031.04000000004</v>
      </c>
      <c r="R48" s="31">
        <f t="shared" si="20"/>
        <v>25.867451505016724</v>
      </c>
      <c r="S48" s="32"/>
    </row>
    <row r="49" spans="1:19" s="7" customFormat="1" ht="21" customHeight="1" x14ac:dyDescent="0.45">
      <c r="A49" s="111"/>
      <c r="B49" s="20" t="s">
        <v>52</v>
      </c>
      <c r="C49" s="21" t="s">
        <v>202</v>
      </c>
      <c r="D49" s="20" t="s">
        <v>205</v>
      </c>
      <c r="E49" s="23">
        <v>10000</v>
      </c>
      <c r="F49" s="23">
        <v>640000</v>
      </c>
      <c r="G49" s="23">
        <v>64000</v>
      </c>
      <c r="H49" s="23">
        <v>704000</v>
      </c>
      <c r="I49" s="24" t="s">
        <v>54</v>
      </c>
      <c r="J49" s="25"/>
      <c r="K49" s="25"/>
      <c r="L49" s="26">
        <v>3.5999999999999997E-2</v>
      </c>
      <c r="M49" s="27">
        <f t="shared" si="21"/>
        <v>360</v>
      </c>
      <c r="N49" s="28"/>
      <c r="O49" s="29"/>
      <c r="P49" s="66">
        <f>M49*1205.4</f>
        <v>433944.00000000006</v>
      </c>
      <c r="Q49" s="30">
        <f>F49-P49</f>
        <v>206055.99999999994</v>
      </c>
      <c r="R49" s="31">
        <f>Q49/F49*100</f>
        <v>32.196249999999992</v>
      </c>
      <c r="S49" s="32"/>
    </row>
    <row r="50" spans="1:19" s="7" customFormat="1" ht="21" customHeight="1" x14ac:dyDescent="0.45">
      <c r="A50" s="111"/>
      <c r="B50" s="20" t="s">
        <v>52</v>
      </c>
      <c r="C50" s="21" t="s">
        <v>202</v>
      </c>
      <c r="D50" s="20" t="s">
        <v>204</v>
      </c>
      <c r="E50" s="23">
        <v>1000</v>
      </c>
      <c r="F50" s="23">
        <v>600000</v>
      </c>
      <c r="G50" s="23">
        <v>60000</v>
      </c>
      <c r="H50" s="23">
        <v>660000</v>
      </c>
      <c r="I50" s="24" t="s">
        <v>54</v>
      </c>
      <c r="J50" s="25"/>
      <c r="K50" s="25"/>
      <c r="L50" s="26">
        <v>0.33</v>
      </c>
      <c r="M50" s="27">
        <f t="shared" si="21"/>
        <v>330</v>
      </c>
      <c r="N50" s="28"/>
      <c r="O50" s="29"/>
      <c r="P50" s="66">
        <f>M50*1168</f>
        <v>385440</v>
      </c>
      <c r="Q50" s="30">
        <f>F50-P50</f>
        <v>214560</v>
      </c>
      <c r="R50" s="31">
        <f>Q50/F50*100</f>
        <v>35.76</v>
      </c>
      <c r="S50" s="32"/>
    </row>
    <row r="51" spans="1:19" s="7" customFormat="1" ht="21" customHeight="1" x14ac:dyDescent="0.45">
      <c r="A51" s="111"/>
      <c r="B51" s="20" t="s">
        <v>52</v>
      </c>
      <c r="C51" s="21" t="s">
        <v>202</v>
      </c>
      <c r="D51" s="20" t="s">
        <v>203</v>
      </c>
      <c r="E51" s="23">
        <v>1000</v>
      </c>
      <c r="F51" s="23">
        <v>660000</v>
      </c>
      <c r="G51" s="23">
        <v>66000</v>
      </c>
      <c r="H51" s="23">
        <v>726000</v>
      </c>
      <c r="I51" s="24" t="s">
        <v>54</v>
      </c>
      <c r="J51" s="25"/>
      <c r="K51" s="25"/>
      <c r="L51" s="26">
        <v>0.38</v>
      </c>
      <c r="M51" s="27">
        <f t="shared" si="21"/>
        <v>380</v>
      </c>
      <c r="N51" s="28"/>
      <c r="O51" s="29"/>
      <c r="P51" s="66">
        <f>M51*1190.4</f>
        <v>452352.00000000006</v>
      </c>
      <c r="Q51" s="30">
        <f>F51-P51</f>
        <v>207647.99999999994</v>
      </c>
      <c r="R51" s="31">
        <f>Q51/F51*100</f>
        <v>31.461818181818174</v>
      </c>
      <c r="S51" s="32"/>
    </row>
    <row r="52" spans="1:19" s="7" customFormat="1" ht="21" customHeight="1" x14ac:dyDescent="0.45">
      <c r="A52" s="111"/>
      <c r="B52" s="20" t="s">
        <v>52</v>
      </c>
      <c r="C52" s="21" t="s">
        <v>202</v>
      </c>
      <c r="D52" s="20" t="s">
        <v>201</v>
      </c>
      <c r="E52" s="23">
        <v>1000</v>
      </c>
      <c r="F52" s="23">
        <v>145000</v>
      </c>
      <c r="G52" s="23">
        <v>14500</v>
      </c>
      <c r="H52" s="23">
        <v>159500</v>
      </c>
      <c r="I52" s="24" t="s">
        <v>243</v>
      </c>
      <c r="J52" s="25">
        <v>110</v>
      </c>
      <c r="K52" s="25">
        <f>E52*J52</f>
        <v>110000</v>
      </c>
      <c r="L52" s="26"/>
      <c r="M52" s="27">
        <f t="shared" ref="M52:M53" si="22">E52*L52</f>
        <v>0</v>
      </c>
      <c r="N52" s="28"/>
      <c r="O52" s="29"/>
      <c r="P52" s="66">
        <f>K52</f>
        <v>110000</v>
      </c>
      <c r="Q52" s="30">
        <f t="shared" ref="Q52:Q53" si="23">F52-P52</f>
        <v>35000</v>
      </c>
      <c r="R52" s="31">
        <f t="shared" ref="R52:R53" si="24">Q52/F52*100</f>
        <v>24.137931034482758</v>
      </c>
      <c r="S52" s="32"/>
    </row>
    <row r="53" spans="1:19" s="7" customFormat="1" ht="21" customHeight="1" x14ac:dyDescent="0.45">
      <c r="A53" s="111"/>
      <c r="B53" s="20" t="s">
        <v>52</v>
      </c>
      <c r="C53" s="21" t="s">
        <v>200</v>
      </c>
      <c r="D53" s="20" t="s">
        <v>199</v>
      </c>
      <c r="E53" s="23">
        <v>12000</v>
      </c>
      <c r="F53" s="23">
        <v>19872000</v>
      </c>
      <c r="G53" s="23">
        <v>1987200</v>
      </c>
      <c r="H53" s="23">
        <v>21859200</v>
      </c>
      <c r="I53" s="24" t="s">
        <v>54</v>
      </c>
      <c r="J53" s="25"/>
      <c r="K53" s="25"/>
      <c r="L53" s="26">
        <v>0.85580000000000001</v>
      </c>
      <c r="M53" s="27">
        <f t="shared" si="22"/>
        <v>10269.6</v>
      </c>
      <c r="N53" s="28"/>
      <c r="O53" s="29"/>
      <c r="P53" s="66">
        <f>M53*1301</f>
        <v>13360749.6</v>
      </c>
      <c r="Q53" s="30">
        <f t="shared" si="23"/>
        <v>6511250.4000000004</v>
      </c>
      <c r="R53" s="31">
        <f t="shared" si="24"/>
        <v>32.765954106280191</v>
      </c>
      <c r="S53" s="32"/>
    </row>
    <row r="54" spans="1:19" s="7" customFormat="1" ht="21" customHeight="1" x14ac:dyDescent="0.45">
      <c r="A54" s="111"/>
      <c r="B54" s="20" t="s">
        <v>52</v>
      </c>
      <c r="C54" s="70">
        <v>45350</v>
      </c>
      <c r="D54" s="75" t="s">
        <v>245</v>
      </c>
      <c r="E54" s="23">
        <v>1</v>
      </c>
      <c r="F54" s="23">
        <v>50000</v>
      </c>
      <c r="G54" s="23">
        <v>5000</v>
      </c>
      <c r="H54" s="23">
        <v>55000</v>
      </c>
      <c r="I54" s="24"/>
      <c r="J54" s="25"/>
      <c r="K54" s="25"/>
      <c r="L54" s="26"/>
      <c r="M54" s="27"/>
      <c r="N54" s="28"/>
      <c r="O54" s="29"/>
      <c r="P54" s="66">
        <v>50000</v>
      </c>
      <c r="Q54" s="30">
        <f t="shared" ref="Q54" si="25">F54-P54</f>
        <v>0</v>
      </c>
      <c r="R54" s="31">
        <f t="shared" ref="R54" si="26">Q54/F54*100</f>
        <v>0</v>
      </c>
      <c r="S54" s="32"/>
    </row>
    <row r="55" spans="1:19" s="7" customFormat="1" ht="21" customHeight="1" x14ac:dyDescent="0.45">
      <c r="A55" s="91"/>
      <c r="B55" s="110" t="s">
        <v>56</v>
      </c>
      <c r="C55" s="110"/>
      <c r="D55" s="110"/>
      <c r="E55" s="33">
        <v>49300</v>
      </c>
      <c r="F55" s="33">
        <f>SUM(F43:F54)</f>
        <v>35366600</v>
      </c>
      <c r="G55" s="33">
        <f>SUM(G43:G54)</f>
        <v>3536660</v>
      </c>
      <c r="H55" s="33">
        <f>SUM(H43:H54)</f>
        <v>38903260</v>
      </c>
      <c r="I55" s="34"/>
      <c r="J55" s="35"/>
      <c r="K55" s="35"/>
      <c r="L55" s="36"/>
      <c r="M55" s="37"/>
      <c r="N55" s="38"/>
      <c r="O55" s="39">
        <v>0</v>
      </c>
      <c r="P55" s="67">
        <f>SUM(P43:P54)</f>
        <v>23912228.560000002</v>
      </c>
      <c r="Q55" s="40">
        <f>SUM(Q43:Q54)</f>
        <v>11454371.440000001</v>
      </c>
      <c r="R55" s="41"/>
      <c r="S55" s="32"/>
    </row>
    <row r="56" spans="1:19" s="7" customFormat="1" ht="21" customHeight="1" x14ac:dyDescent="0.45">
      <c r="A56" s="90"/>
      <c r="B56" s="20" t="s">
        <v>57</v>
      </c>
      <c r="C56" s="70">
        <v>45350</v>
      </c>
      <c r="D56" s="20" t="s">
        <v>183</v>
      </c>
      <c r="E56" s="23">
        <v>37280</v>
      </c>
      <c r="F56" s="23">
        <v>61682500</v>
      </c>
      <c r="G56" s="23">
        <v>6168250</v>
      </c>
      <c r="H56" s="23">
        <v>67850750</v>
      </c>
      <c r="I56" s="24" t="s">
        <v>46</v>
      </c>
      <c r="J56" s="25"/>
      <c r="K56" s="25"/>
      <c r="L56" s="26"/>
      <c r="M56" s="27"/>
      <c r="N56" s="28"/>
      <c r="O56" s="29"/>
      <c r="P56" s="66">
        <v>54906610</v>
      </c>
      <c r="Q56" s="30">
        <f>F56-P56</f>
        <v>6775890</v>
      </c>
      <c r="R56" s="31">
        <f>Q56/F56*100</f>
        <v>10.985109228711547</v>
      </c>
      <c r="S56" s="32"/>
    </row>
    <row r="57" spans="1:19" s="7" customFormat="1" ht="21" customHeight="1" x14ac:dyDescent="0.45">
      <c r="A57" s="91"/>
      <c r="B57" s="110" t="s">
        <v>58</v>
      </c>
      <c r="C57" s="110"/>
      <c r="D57" s="110"/>
      <c r="E57" s="33">
        <v>37280</v>
      </c>
      <c r="F57" s="33">
        <v>61682500</v>
      </c>
      <c r="G57" s="33">
        <v>6168250</v>
      </c>
      <c r="H57" s="33">
        <v>67850750</v>
      </c>
      <c r="I57" s="34"/>
      <c r="J57" s="35"/>
      <c r="K57" s="35"/>
      <c r="L57" s="36"/>
      <c r="M57" s="37"/>
      <c r="N57" s="38"/>
      <c r="O57" s="39">
        <v>0</v>
      </c>
      <c r="P57" s="67">
        <f>SUM(P56)</f>
        <v>54906610</v>
      </c>
      <c r="Q57" s="40">
        <f>SUM(Q56)</f>
        <v>6775890</v>
      </c>
      <c r="R57" s="41"/>
      <c r="S57" s="32"/>
    </row>
    <row r="58" spans="1:19" s="7" customFormat="1" ht="21" customHeight="1" x14ac:dyDescent="0.45">
      <c r="A58" s="90"/>
      <c r="B58" s="20" t="s">
        <v>59</v>
      </c>
      <c r="C58" s="21" t="s">
        <v>194</v>
      </c>
      <c r="D58" s="20" t="s">
        <v>224</v>
      </c>
      <c r="E58" s="23">
        <v>2100</v>
      </c>
      <c r="F58" s="23">
        <v>10728900</v>
      </c>
      <c r="G58" s="23"/>
      <c r="H58" s="23">
        <v>10728900</v>
      </c>
      <c r="I58" s="24" t="s">
        <v>39</v>
      </c>
      <c r="J58" s="25"/>
      <c r="K58" s="25"/>
      <c r="L58" s="26">
        <v>3.25</v>
      </c>
      <c r="M58" s="27">
        <f>E58*L58</f>
        <v>6825</v>
      </c>
      <c r="N58" s="28"/>
      <c r="O58" s="29"/>
      <c r="P58" s="66">
        <f>M58*1300</f>
        <v>8872500</v>
      </c>
      <c r="Q58" s="30">
        <f>F58-P58</f>
        <v>1856400</v>
      </c>
      <c r="R58" s="31">
        <f>Q58/F58*100</f>
        <v>17.302798982188293</v>
      </c>
      <c r="S58" s="32"/>
    </row>
    <row r="59" spans="1:19" s="7" customFormat="1" ht="21" customHeight="1" x14ac:dyDescent="0.45">
      <c r="A59" s="111"/>
      <c r="B59" s="20" t="s">
        <v>59</v>
      </c>
      <c r="C59" s="21" t="s">
        <v>194</v>
      </c>
      <c r="D59" s="20" t="s">
        <v>60</v>
      </c>
      <c r="E59" s="23">
        <v>13000</v>
      </c>
      <c r="F59" s="23">
        <v>68069820</v>
      </c>
      <c r="G59" s="23"/>
      <c r="H59" s="23">
        <v>68069820</v>
      </c>
      <c r="I59" s="24" t="s">
        <v>39</v>
      </c>
      <c r="J59" s="25"/>
      <c r="K59" s="25"/>
      <c r="L59" s="26">
        <v>3.09</v>
      </c>
      <c r="M59" s="27">
        <f t="shared" ref="M59:M60" si="27">E59*L59</f>
        <v>40170</v>
      </c>
      <c r="N59" s="28"/>
      <c r="O59" s="29"/>
      <c r="P59" s="66">
        <f t="shared" ref="P59:P60" si="28">M59*1300</f>
        <v>52221000</v>
      </c>
      <c r="Q59" s="30">
        <f t="shared" ref="Q59:Q60" si="29">F59-P59</f>
        <v>15848820</v>
      </c>
      <c r="R59" s="31">
        <f t="shared" ref="R59:R60" si="30">Q59/F59*100</f>
        <v>23.283181885893043</v>
      </c>
      <c r="S59" s="32"/>
    </row>
    <row r="60" spans="1:19" s="7" customFormat="1" ht="21" customHeight="1" x14ac:dyDescent="0.45">
      <c r="A60" s="111"/>
      <c r="B60" s="20" t="s">
        <v>59</v>
      </c>
      <c r="C60" s="21" t="s">
        <v>194</v>
      </c>
      <c r="D60" s="20" t="s">
        <v>61</v>
      </c>
      <c r="E60" s="23">
        <v>5000</v>
      </c>
      <c r="F60" s="23">
        <v>25925900</v>
      </c>
      <c r="G60" s="23"/>
      <c r="H60" s="23">
        <v>25925900</v>
      </c>
      <c r="I60" s="24" t="s">
        <v>39</v>
      </c>
      <c r="J60" s="25"/>
      <c r="K60" s="25"/>
      <c r="L60" s="26">
        <v>3.09</v>
      </c>
      <c r="M60" s="27">
        <f t="shared" si="27"/>
        <v>15450</v>
      </c>
      <c r="N60" s="28"/>
      <c r="O60" s="29"/>
      <c r="P60" s="66">
        <f t="shared" si="28"/>
        <v>20085000</v>
      </c>
      <c r="Q60" s="30">
        <f t="shared" si="29"/>
        <v>5840900</v>
      </c>
      <c r="R60" s="31">
        <f t="shared" si="30"/>
        <v>22.529208243493958</v>
      </c>
      <c r="S60" s="32"/>
    </row>
    <row r="61" spans="1:19" s="7" customFormat="1" ht="21" customHeight="1" x14ac:dyDescent="0.45">
      <c r="A61" s="91"/>
      <c r="B61" s="110" t="s">
        <v>62</v>
      </c>
      <c r="C61" s="110"/>
      <c r="D61" s="110"/>
      <c r="E61" s="33">
        <v>20100</v>
      </c>
      <c r="F61" s="33">
        <v>104724620</v>
      </c>
      <c r="G61" s="33"/>
      <c r="H61" s="33">
        <v>104724620</v>
      </c>
      <c r="I61" s="34"/>
      <c r="J61" s="35"/>
      <c r="K61" s="35"/>
      <c r="L61" s="36"/>
      <c r="M61" s="37"/>
      <c r="N61" s="38"/>
      <c r="O61" s="39">
        <v>0</v>
      </c>
      <c r="P61" s="67">
        <f>SUM(P58:P60)</f>
        <v>81178500</v>
      </c>
      <c r="Q61" s="40">
        <f>SUM(Q58:Q60)</f>
        <v>23546120</v>
      </c>
      <c r="R61" s="41"/>
      <c r="S61" s="32"/>
    </row>
    <row r="62" spans="1:19" s="7" customFormat="1" ht="21" customHeight="1" x14ac:dyDescent="0.45">
      <c r="A62" s="90"/>
      <c r="B62" s="20" t="s">
        <v>63</v>
      </c>
      <c r="C62" s="21" t="s">
        <v>174</v>
      </c>
      <c r="D62" s="20" t="s">
        <v>173</v>
      </c>
      <c r="E62" s="23">
        <v>800</v>
      </c>
      <c r="F62" s="23">
        <v>2511600</v>
      </c>
      <c r="G62" s="23"/>
      <c r="H62" s="23">
        <v>2511600</v>
      </c>
      <c r="I62" s="24" t="s">
        <v>244</v>
      </c>
      <c r="J62" s="25">
        <v>2300</v>
      </c>
      <c r="K62" s="25">
        <f>E62*J62</f>
        <v>1840000</v>
      </c>
      <c r="L62" s="26"/>
      <c r="M62" s="27"/>
      <c r="N62" s="28"/>
      <c r="O62" s="29"/>
      <c r="P62" s="66">
        <f>K62</f>
        <v>1840000</v>
      </c>
      <c r="Q62" s="30">
        <f>F62-P62</f>
        <v>671600</v>
      </c>
      <c r="R62" s="31">
        <f>Q62/F62*100</f>
        <v>26.739926739926741</v>
      </c>
      <c r="S62" s="32"/>
    </row>
    <row r="63" spans="1:19" s="7" customFormat="1" ht="21" customHeight="1" x14ac:dyDescent="0.45">
      <c r="A63" s="91"/>
      <c r="B63" s="110" t="s">
        <v>65</v>
      </c>
      <c r="C63" s="110"/>
      <c r="D63" s="110"/>
      <c r="E63" s="33">
        <v>800</v>
      </c>
      <c r="F63" s="33">
        <v>2511600</v>
      </c>
      <c r="G63" s="33"/>
      <c r="H63" s="33">
        <v>2511600</v>
      </c>
      <c r="I63" s="34"/>
      <c r="J63" s="35"/>
      <c r="K63" s="35"/>
      <c r="L63" s="36"/>
      <c r="M63" s="37"/>
      <c r="N63" s="38"/>
      <c r="O63" s="39">
        <v>0</v>
      </c>
      <c r="P63" s="67">
        <f>SUM(P62)</f>
        <v>1840000</v>
      </c>
      <c r="Q63" s="40">
        <f>SUM(Q62)</f>
        <v>671600</v>
      </c>
      <c r="R63" s="41"/>
      <c r="S63" s="32"/>
    </row>
    <row r="64" spans="1:19" s="7" customFormat="1" ht="21" customHeight="1" thickBot="1" x14ac:dyDescent="0.5">
      <c r="A64" s="46"/>
      <c r="B64" s="104" t="s">
        <v>225</v>
      </c>
      <c r="C64" s="105"/>
      <c r="D64" s="106"/>
      <c r="E64" s="47"/>
      <c r="F64" s="47">
        <f>F7+F12+F14+F23+F27+F30+F38+F42+F55+F57+F61+F63</f>
        <v>335473866.5</v>
      </c>
      <c r="G64" s="47">
        <f>G7+G12+G14+G23+G27+G30+G38+G42+G55+G57+G61+G63</f>
        <v>22823761.649999999</v>
      </c>
      <c r="H64" s="47">
        <f>H7+H12+H14+H23+H27+H30+H38+H42+H55+H57+H61+H63</f>
        <v>358297628.14999998</v>
      </c>
      <c r="I64" s="48"/>
      <c r="J64" s="49"/>
      <c r="K64" s="49"/>
      <c r="L64" s="50"/>
      <c r="M64" s="51"/>
      <c r="N64" s="47"/>
      <c r="O64" s="47">
        <f>O7+O12+O14+O23+O27+O30+O38+O42+O55+O57+O61+O63</f>
        <v>2020813.918367347</v>
      </c>
      <c r="P64" s="68">
        <f>P7+P12+P14+P23+P27+P30+P38+P42+P55+P57+P61+P63</f>
        <v>260589223.67836738</v>
      </c>
      <c r="Q64" s="52">
        <f>Q7+Q12+Q14+Q23+Q27+Q30+Q38+Q42+Q55+Q57+Q61+Q63</f>
        <v>74933500.321632653</v>
      </c>
      <c r="R64" s="53"/>
    </row>
    <row r="65" spans="1:19" s="7" customFormat="1" ht="21" customHeight="1" x14ac:dyDescent="0.45">
      <c r="A65" s="54"/>
      <c r="B65" s="107" t="s">
        <v>70</v>
      </c>
      <c r="C65" s="107"/>
      <c r="D65" s="107"/>
      <c r="E65" s="55"/>
      <c r="F65" s="55">
        <f>'판매현황24년 1월'!F82+'판매현황24년 2월'!F64</f>
        <v>800535076.5</v>
      </c>
      <c r="G65" s="55">
        <f>'판매현황24년 1월'!G82+'판매현황24년 2월'!G64</f>
        <v>41598375.75</v>
      </c>
      <c r="H65" s="55">
        <f>'판매현황24년 1월'!H82+'판매현황24년 2월'!H64</f>
        <v>842133452.25</v>
      </c>
      <c r="I65" s="54"/>
      <c r="J65" s="54"/>
      <c r="K65" s="54"/>
      <c r="L65" s="54"/>
      <c r="M65" s="54"/>
      <c r="N65" s="54"/>
      <c r="O65" s="54"/>
      <c r="P65" s="55">
        <f>'판매현황24년 1월'!P82+'판매현황24년 2월'!P64</f>
        <v>630111197.07952666</v>
      </c>
      <c r="Q65" s="55">
        <f>'판매현황24년 1월'!Q82+'판매현황24년 2월'!Q64</f>
        <v>170472736.92047337</v>
      </c>
      <c r="R65" s="54"/>
      <c r="S65" s="7" t="s">
        <v>72</v>
      </c>
    </row>
    <row r="66" spans="1:19" s="7" customFormat="1" ht="21" customHeight="1" x14ac:dyDescent="0.45">
      <c r="A66" s="56"/>
      <c r="B66" s="108" t="s">
        <v>246</v>
      </c>
      <c r="C66" s="108"/>
      <c r="D66" s="108"/>
      <c r="E66" s="56"/>
      <c r="F66" s="57">
        <v>155484483</v>
      </c>
      <c r="G66" s="57">
        <v>8689732</v>
      </c>
      <c r="H66" s="57">
        <f>164174215</f>
        <v>164174215</v>
      </c>
      <c r="I66" s="56"/>
      <c r="J66" s="56"/>
      <c r="K66" s="56"/>
      <c r="L66" s="56"/>
      <c r="M66" s="56"/>
      <c r="N66" s="56"/>
      <c r="O66" s="56"/>
      <c r="P66" s="56">
        <v>122602871</v>
      </c>
      <c r="Q66" s="56">
        <v>32881612</v>
      </c>
      <c r="R66" s="56"/>
      <c r="S66" s="58"/>
    </row>
    <row r="67" spans="1:19" s="7" customFormat="1" ht="21" customHeight="1" x14ac:dyDescent="0.45">
      <c r="A67" s="54"/>
      <c r="B67" s="109" t="s">
        <v>66</v>
      </c>
      <c r="C67" s="109"/>
      <c r="D67" s="109"/>
      <c r="E67" s="54"/>
      <c r="F67" s="54">
        <f>'판매현황24년 1월'!F84+'판매현황24년 2월'!F66</f>
        <v>275373380</v>
      </c>
      <c r="G67" s="54">
        <f>'판매현황24년 1월'!G84+'판매현황24년 2월'!G66</f>
        <v>20678622</v>
      </c>
      <c r="H67" s="54">
        <f>'판매현황24년 1월'!H84+'판매현황24년 2월'!H66</f>
        <v>296052002</v>
      </c>
      <c r="I67" s="54"/>
      <c r="J67" s="54"/>
      <c r="K67" s="54"/>
      <c r="L67" s="54"/>
      <c r="M67" s="54"/>
      <c r="N67" s="54"/>
      <c r="O67" s="54"/>
      <c r="P67" s="54">
        <f>'판매현황24년 1월'!P84+'판매현황24년 2월'!P66</f>
        <v>209598533</v>
      </c>
      <c r="Q67" s="54">
        <f>'판매현황24년 1월'!Q84+'판매현황24년 2월'!Q66</f>
        <v>65774847</v>
      </c>
      <c r="R67" s="54"/>
      <c r="S67" s="7" t="s">
        <v>73</v>
      </c>
    </row>
    <row r="68" spans="1:19" s="7" customFormat="1" ht="21" customHeight="1" x14ac:dyDescent="0.45">
      <c r="A68"/>
      <c r="B68"/>
      <c r="C68"/>
      <c r="D68"/>
      <c r="E68"/>
      <c r="F68"/>
      <c r="G68"/>
      <c r="H68"/>
      <c r="I68"/>
      <c r="J68" s="2"/>
      <c r="K68" s="2"/>
      <c r="L68"/>
      <c r="M68" s="59"/>
      <c r="N68" s="2"/>
      <c r="O68" s="5"/>
      <c r="P68" s="5"/>
      <c r="Q68"/>
      <c r="R68" s="6"/>
    </row>
    <row r="69" spans="1:19" ht="21" customHeight="1" x14ac:dyDescent="0.45">
      <c r="B69" t="s">
        <v>226</v>
      </c>
      <c r="C69" s="2">
        <v>27086163</v>
      </c>
    </row>
    <row r="70" spans="1:19" ht="21" customHeight="1" x14ac:dyDescent="0.45">
      <c r="B70" t="s">
        <v>172</v>
      </c>
      <c r="C70" s="69">
        <f>'판매현황24년 1월'!C87+'판매현황24년 2월'!C69</f>
        <v>48877296</v>
      </c>
    </row>
  </sheetData>
  <mergeCells count="42">
    <mergeCell ref="A62:A63"/>
    <mergeCell ref="B61:D61"/>
    <mergeCell ref="A39:A42"/>
    <mergeCell ref="A43:A55"/>
    <mergeCell ref="A56:A57"/>
    <mergeCell ref="A58:A61"/>
    <mergeCell ref="A15:A23"/>
    <mergeCell ref="A24:A27"/>
    <mergeCell ref="A28:A30"/>
    <mergeCell ref="A31:A38"/>
    <mergeCell ref="B67:D67"/>
    <mergeCell ref="B63:D63"/>
    <mergeCell ref="B57:D57"/>
    <mergeCell ref="B30:D30"/>
    <mergeCell ref="B64:D64"/>
    <mergeCell ref="B65:D65"/>
    <mergeCell ref="B66:D66"/>
    <mergeCell ref="B42:D42"/>
    <mergeCell ref="B38:D38"/>
    <mergeCell ref="B27:D27"/>
    <mergeCell ref="B23:D23"/>
    <mergeCell ref="B55:D55"/>
    <mergeCell ref="A5:A7"/>
    <mergeCell ref="A13:A14"/>
    <mergeCell ref="A3:A4"/>
    <mergeCell ref="B3:H3"/>
    <mergeCell ref="I3:P3"/>
    <mergeCell ref="A8:A12"/>
    <mergeCell ref="B7:D7"/>
    <mergeCell ref="B12:D12"/>
    <mergeCell ref="B14:D14"/>
    <mergeCell ref="Q3:Q4"/>
    <mergeCell ref="R3:R4"/>
    <mergeCell ref="O17:O21"/>
    <mergeCell ref="P17:P21"/>
    <mergeCell ref="Q17:Q21"/>
    <mergeCell ref="R17:R21"/>
    <mergeCell ref="O25:O26"/>
    <mergeCell ref="P25:P26"/>
    <mergeCell ref="Q25:Q26"/>
    <mergeCell ref="R25:R26"/>
    <mergeCell ref="N25:N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CA1F3-0A1D-48DB-B2D4-E2760E020FAA}">
  <dimension ref="A1:S24"/>
  <sheetViews>
    <sheetView workbookViewId="0">
      <pane ySplit="4" topLeftCell="A5" activePane="bottomLeft" state="frozen"/>
      <selection pane="bottomLeft" activeCell="D9" sqref="D9"/>
    </sheetView>
  </sheetViews>
  <sheetFormatPr defaultRowHeight="17" x14ac:dyDescent="0.45"/>
  <cols>
    <col min="1" max="1" width="4.25" customWidth="1"/>
    <col min="2" max="2" width="19.58203125" customWidth="1"/>
    <col min="3" max="3" width="12" customWidth="1"/>
    <col min="4" max="4" width="23.5" customWidth="1"/>
    <col min="5" max="5" width="8.83203125" customWidth="1"/>
    <col min="6" max="6" width="13.58203125" customWidth="1"/>
    <col min="7" max="7" width="12" customWidth="1"/>
    <col min="8" max="8" width="13.58203125" customWidth="1"/>
    <col min="9" max="9" width="14.25" customWidth="1"/>
    <col min="10" max="10" width="9" style="2"/>
    <col min="11" max="11" width="11.5" style="2" bestFit="1" customWidth="1"/>
    <col min="12" max="12" width="8.5" customWidth="1"/>
    <col min="13" max="13" width="9.58203125" style="59" bestFit="1" customWidth="1"/>
    <col min="14" max="14" width="10.5" style="2" bestFit="1" customWidth="1"/>
    <col min="15" max="15" width="11.75" style="5" customWidth="1"/>
    <col min="16" max="16" width="12.58203125" style="5" customWidth="1"/>
    <col min="17" max="17" width="12.25" customWidth="1"/>
    <col min="18" max="18" width="9.08203125" style="6" customWidth="1"/>
    <col min="19" max="19" width="14.75" style="7" customWidth="1"/>
  </cols>
  <sheetData>
    <row r="1" spans="1:19" ht="30" customHeight="1" x14ac:dyDescent="0.45">
      <c r="B1" s="1" t="s">
        <v>67</v>
      </c>
      <c r="M1" s="3"/>
      <c r="O1" s="4"/>
      <c r="P1" s="4"/>
      <c r="Q1" s="5"/>
    </row>
    <row r="2" spans="1:19" ht="30" customHeight="1" thickBot="1" x14ac:dyDescent="0.5">
      <c r="B2" s="8" t="s">
        <v>68</v>
      </c>
      <c r="G2" s="9" t="s">
        <v>0</v>
      </c>
      <c r="M2" s="3"/>
      <c r="O2" s="4"/>
      <c r="P2" s="4"/>
      <c r="Q2" s="5"/>
    </row>
    <row r="3" spans="1:19" ht="24" customHeight="1" x14ac:dyDescent="0.45">
      <c r="A3" s="82" t="s">
        <v>1</v>
      </c>
      <c r="B3" s="84" t="s">
        <v>2</v>
      </c>
      <c r="C3" s="85"/>
      <c r="D3" s="85"/>
      <c r="E3" s="85"/>
      <c r="F3" s="85"/>
      <c r="G3" s="85"/>
      <c r="H3" s="86"/>
      <c r="I3" s="87" t="s">
        <v>3</v>
      </c>
      <c r="J3" s="88"/>
      <c r="K3" s="88"/>
      <c r="L3" s="88"/>
      <c r="M3" s="88"/>
      <c r="N3" s="88"/>
      <c r="O3" s="88"/>
      <c r="P3" s="89"/>
      <c r="Q3" s="76" t="s">
        <v>4</v>
      </c>
      <c r="R3" s="78" t="s">
        <v>5</v>
      </c>
    </row>
    <row r="4" spans="1:19" ht="24" customHeight="1" thickBot="1" x14ac:dyDescent="0.5">
      <c r="A4" s="83"/>
      <c r="B4" s="10" t="s">
        <v>6</v>
      </c>
      <c r="C4" s="11" t="s">
        <v>7</v>
      </c>
      <c r="D4" s="11" t="s">
        <v>8</v>
      </c>
      <c r="E4" s="11" t="s">
        <v>9</v>
      </c>
      <c r="F4" s="12" t="s">
        <v>10</v>
      </c>
      <c r="G4" s="11" t="s">
        <v>11</v>
      </c>
      <c r="H4" s="13" t="s">
        <v>12</v>
      </c>
      <c r="I4" s="14" t="s">
        <v>13</v>
      </c>
      <c r="J4" s="15" t="s">
        <v>14</v>
      </c>
      <c r="K4" s="16" t="s">
        <v>15</v>
      </c>
      <c r="L4" s="11" t="s">
        <v>16</v>
      </c>
      <c r="M4" s="17" t="s">
        <v>17</v>
      </c>
      <c r="N4" s="15" t="s">
        <v>18</v>
      </c>
      <c r="O4" s="18" t="s">
        <v>19</v>
      </c>
      <c r="P4" s="19" t="s">
        <v>20</v>
      </c>
      <c r="Q4" s="77"/>
      <c r="R4" s="79"/>
      <c r="S4" s="7" t="s">
        <v>21</v>
      </c>
    </row>
    <row r="5" spans="1:19" s="7" customFormat="1" ht="21" customHeight="1" x14ac:dyDescent="0.45">
      <c r="A5" s="60"/>
      <c r="B5" s="20" t="s">
        <v>182</v>
      </c>
      <c r="C5" s="21" t="s">
        <v>181</v>
      </c>
      <c r="D5" s="20" t="s">
        <v>227</v>
      </c>
      <c r="E5" s="23">
        <v>2</v>
      </c>
      <c r="F5" s="23">
        <v>926500</v>
      </c>
      <c r="G5" s="23">
        <v>92650</v>
      </c>
      <c r="H5" s="23">
        <v>1019150</v>
      </c>
      <c r="I5" s="24"/>
      <c r="J5" s="25"/>
      <c r="K5" s="25"/>
      <c r="L5" s="26"/>
      <c r="M5" s="27"/>
      <c r="N5" s="28"/>
      <c r="O5" s="29"/>
      <c r="P5" s="66"/>
      <c r="Q5" s="30"/>
      <c r="R5" s="31"/>
      <c r="S5" s="32"/>
    </row>
    <row r="6" spans="1:19" s="7" customFormat="1" ht="21" customHeight="1" x14ac:dyDescent="0.45">
      <c r="A6" s="60"/>
      <c r="B6" s="118" t="s">
        <v>180</v>
      </c>
      <c r="C6" s="118"/>
      <c r="D6" s="118"/>
      <c r="E6" s="23">
        <v>2</v>
      </c>
      <c r="F6" s="23">
        <v>926500</v>
      </c>
      <c r="G6" s="23">
        <v>92650</v>
      </c>
      <c r="H6" s="23">
        <v>1019150</v>
      </c>
      <c r="I6" s="24"/>
      <c r="J6" s="25"/>
      <c r="K6" s="25"/>
      <c r="L6" s="26"/>
      <c r="M6" s="27"/>
      <c r="N6" s="28"/>
      <c r="O6" s="29"/>
      <c r="P6" s="66"/>
      <c r="Q6" s="30"/>
      <c r="R6" s="31"/>
      <c r="S6" s="32"/>
    </row>
    <row r="7" spans="1:19" s="7" customFormat="1" ht="21" customHeight="1" x14ac:dyDescent="0.45">
      <c r="A7" s="60"/>
      <c r="B7" s="20"/>
      <c r="C7" s="21"/>
      <c r="D7" s="20"/>
      <c r="E7" s="23"/>
      <c r="F7" s="23"/>
      <c r="G7" s="23"/>
      <c r="H7" s="23"/>
      <c r="I7" s="24"/>
      <c r="J7" s="25"/>
      <c r="K7" s="25"/>
      <c r="L7" s="26"/>
      <c r="M7" s="27"/>
      <c r="N7" s="28"/>
      <c r="O7" s="29"/>
      <c r="P7" s="66"/>
      <c r="Q7" s="30"/>
      <c r="R7" s="31"/>
      <c r="S7" s="32"/>
    </row>
    <row r="8" spans="1:19" s="7" customFormat="1" ht="21" customHeight="1" x14ac:dyDescent="0.45">
      <c r="A8" s="60"/>
      <c r="B8" s="20"/>
      <c r="C8" s="21"/>
      <c r="D8" s="20"/>
      <c r="E8" s="23"/>
      <c r="F8" s="23"/>
      <c r="G8" s="23"/>
      <c r="H8" s="23"/>
      <c r="I8" s="24"/>
      <c r="J8" s="25"/>
      <c r="K8" s="25"/>
      <c r="L8" s="26"/>
      <c r="M8" s="27"/>
      <c r="N8" s="28"/>
      <c r="O8" s="29"/>
      <c r="P8" s="66"/>
      <c r="Q8" s="30"/>
      <c r="R8" s="31"/>
      <c r="S8" s="32"/>
    </row>
    <row r="9" spans="1:19" s="7" customFormat="1" ht="21" customHeight="1" x14ac:dyDescent="0.45">
      <c r="A9" s="60"/>
      <c r="B9" s="20"/>
      <c r="C9" s="21"/>
      <c r="D9" s="20"/>
      <c r="E9" s="23"/>
      <c r="F9" s="23"/>
      <c r="G9" s="23"/>
      <c r="H9" s="23"/>
      <c r="I9" s="24"/>
      <c r="J9" s="25"/>
      <c r="K9" s="25"/>
      <c r="L9" s="26"/>
      <c r="M9" s="27"/>
      <c r="N9" s="28"/>
      <c r="O9" s="29"/>
      <c r="P9" s="66"/>
      <c r="Q9" s="30"/>
      <c r="R9" s="31"/>
      <c r="S9" s="32"/>
    </row>
    <row r="10" spans="1:19" s="7" customFormat="1" ht="21" customHeight="1" x14ac:dyDescent="0.45">
      <c r="A10" s="60"/>
      <c r="B10" s="20"/>
      <c r="C10" s="21"/>
      <c r="D10" s="20"/>
      <c r="E10" s="23"/>
      <c r="F10" s="23"/>
      <c r="G10" s="23"/>
      <c r="H10" s="23"/>
      <c r="I10" s="24"/>
      <c r="J10" s="25"/>
      <c r="K10" s="25"/>
      <c r="L10" s="26"/>
      <c r="M10" s="27"/>
      <c r="N10" s="28"/>
      <c r="O10" s="29"/>
      <c r="P10" s="66"/>
      <c r="Q10" s="30"/>
      <c r="R10" s="31"/>
      <c r="S10" s="32"/>
    </row>
    <row r="11" spans="1:19" s="7" customFormat="1" ht="21" customHeight="1" x14ac:dyDescent="0.45">
      <c r="A11" s="60"/>
      <c r="B11" s="20"/>
      <c r="C11" s="21"/>
      <c r="D11" s="20"/>
      <c r="E11" s="23"/>
      <c r="F11" s="23"/>
      <c r="G11" s="23"/>
      <c r="H11" s="23"/>
      <c r="I11" s="24"/>
      <c r="J11" s="25"/>
      <c r="K11" s="25"/>
      <c r="L11" s="26"/>
      <c r="M11" s="27"/>
      <c r="N11" s="28"/>
      <c r="O11" s="29"/>
      <c r="P11" s="66"/>
      <c r="Q11" s="30"/>
      <c r="R11" s="31"/>
      <c r="S11" s="32"/>
    </row>
    <row r="12" spans="1:19" s="7" customFormat="1" ht="21" customHeight="1" x14ac:dyDescent="0.45">
      <c r="A12" s="60"/>
      <c r="B12" s="20"/>
      <c r="C12" s="21"/>
      <c r="D12" s="20"/>
      <c r="E12" s="23"/>
      <c r="F12" s="23"/>
      <c r="G12" s="23"/>
      <c r="H12" s="23"/>
      <c r="I12" s="24"/>
      <c r="J12" s="25"/>
      <c r="K12" s="25"/>
      <c r="L12" s="26"/>
      <c r="M12" s="27"/>
      <c r="N12" s="28"/>
      <c r="O12" s="29"/>
      <c r="P12" s="66"/>
      <c r="Q12" s="30"/>
      <c r="R12" s="31"/>
      <c r="S12" s="32"/>
    </row>
    <row r="13" spans="1:19" s="7" customFormat="1" ht="21" customHeight="1" x14ac:dyDescent="0.45">
      <c r="A13" s="60"/>
      <c r="B13" s="20"/>
      <c r="C13" s="21"/>
      <c r="D13" s="20"/>
      <c r="E13" s="23"/>
      <c r="F13" s="23"/>
      <c r="G13" s="23"/>
      <c r="H13" s="23"/>
      <c r="I13" s="24"/>
      <c r="J13" s="25"/>
      <c r="K13" s="25"/>
      <c r="L13" s="26"/>
      <c r="M13" s="27"/>
      <c r="N13" s="28"/>
      <c r="O13" s="29"/>
      <c r="P13" s="66"/>
      <c r="Q13" s="30"/>
      <c r="R13" s="31"/>
      <c r="S13" s="32"/>
    </row>
    <row r="14" spans="1:19" s="7" customFormat="1" ht="21" customHeight="1" x14ac:dyDescent="0.45">
      <c r="A14" s="60"/>
      <c r="B14" s="20"/>
      <c r="C14" s="21"/>
      <c r="D14" s="20"/>
      <c r="E14" s="23"/>
      <c r="F14" s="23"/>
      <c r="G14" s="23"/>
      <c r="H14" s="23"/>
      <c r="I14" s="24"/>
      <c r="J14" s="25"/>
      <c r="K14" s="25"/>
      <c r="L14" s="26"/>
      <c r="M14" s="27"/>
      <c r="N14" s="28"/>
      <c r="O14" s="29"/>
      <c r="P14" s="66"/>
      <c r="Q14" s="30"/>
      <c r="R14" s="31"/>
      <c r="S14" s="32"/>
    </row>
    <row r="15" spans="1:19" s="7" customFormat="1" ht="21" customHeight="1" x14ac:dyDescent="0.45">
      <c r="A15" s="60"/>
      <c r="B15" s="20"/>
      <c r="C15" s="21"/>
      <c r="D15" s="20"/>
      <c r="E15" s="23"/>
      <c r="F15" s="23"/>
      <c r="G15" s="23"/>
      <c r="H15" s="23"/>
      <c r="I15" s="24"/>
      <c r="J15" s="25"/>
      <c r="K15" s="25"/>
      <c r="L15" s="26"/>
      <c r="M15" s="27"/>
      <c r="N15" s="28"/>
      <c r="O15" s="29"/>
      <c r="P15" s="66"/>
      <c r="Q15" s="30"/>
      <c r="R15" s="31"/>
      <c r="S15" s="32"/>
    </row>
    <row r="16" spans="1:19" s="7" customFormat="1" ht="21" customHeight="1" x14ac:dyDescent="0.45">
      <c r="A16" s="60"/>
      <c r="B16" s="20"/>
      <c r="C16" s="21"/>
      <c r="D16" s="20"/>
      <c r="E16" s="23"/>
      <c r="F16" s="23"/>
      <c r="G16" s="23"/>
      <c r="H16" s="23"/>
      <c r="I16" s="24"/>
      <c r="J16" s="25"/>
      <c r="K16" s="25"/>
      <c r="L16" s="26"/>
      <c r="M16" s="27"/>
      <c r="N16" s="28"/>
      <c r="O16" s="29"/>
      <c r="P16" s="66"/>
      <c r="Q16" s="30"/>
      <c r="R16" s="31"/>
      <c r="S16" s="32"/>
    </row>
    <row r="17" spans="1:19" s="7" customFormat="1" ht="21" customHeight="1" x14ac:dyDescent="0.45">
      <c r="A17" s="60"/>
      <c r="B17" s="20"/>
      <c r="C17" s="21"/>
      <c r="D17" s="20"/>
      <c r="E17" s="23"/>
      <c r="F17" s="23"/>
      <c r="G17" s="23"/>
      <c r="H17" s="23"/>
      <c r="I17" s="24"/>
      <c r="J17" s="25"/>
      <c r="K17" s="25"/>
      <c r="L17" s="26"/>
      <c r="M17" s="27"/>
      <c r="N17" s="28"/>
      <c r="O17" s="29"/>
      <c r="P17" s="66"/>
      <c r="Q17" s="30"/>
      <c r="R17" s="31"/>
      <c r="S17" s="32"/>
    </row>
    <row r="18" spans="1:19" s="7" customFormat="1" ht="21" customHeight="1" thickBot="1" x14ac:dyDescent="0.5">
      <c r="A18" s="46"/>
      <c r="B18" s="104" t="s">
        <v>228</v>
      </c>
      <c r="C18" s="105"/>
      <c r="D18" s="106"/>
      <c r="E18" s="47"/>
      <c r="F18" s="47" t="e">
        <f>#REF!+#REF!+#REF!+#REF!+#REF!+#REF!+#REF!+#REF!+#REF!+#REF!+#REF!+#REF!+#REF!+#REF!+#REF!+#REF!+#REF!+#REF!+#REF!+#REF!</f>
        <v>#REF!</v>
      </c>
      <c r="G18" s="47" t="e">
        <f>#REF!+#REF!+#REF!+#REF!+#REF!+#REF!+#REF!+#REF!+#REF!+#REF!+#REF!+#REF!+#REF!+#REF!+#REF!+#REF!+#REF!+#REF!+#REF!+#REF!</f>
        <v>#REF!</v>
      </c>
      <c r="H18" s="47" t="e">
        <f>#REF!+#REF!+#REF!+#REF!+#REF!+#REF!+#REF!+#REF!+#REF!+#REF!+#REF!+#REF!+#REF!+#REF!+#REF!+#REF!+#REF!+#REF!+#REF!+#REF!</f>
        <v>#REF!</v>
      </c>
      <c r="I18" s="48"/>
      <c r="J18" s="49"/>
      <c r="K18" s="49"/>
      <c r="L18" s="50"/>
      <c r="M18" s="51"/>
      <c r="N18" s="47"/>
      <c r="O18" s="47" t="e">
        <f>#REF!+#REF!+#REF!+#REF!+#REF!+#REF!+#REF!+#REF!+#REF!+#REF!+#REF!+#REF!+#REF!+#REF!+#REF!+#REF!+#REF!+#REF!+#REF!+#REF!</f>
        <v>#REF!</v>
      </c>
      <c r="P18" s="68" t="e">
        <f>#REF!+#REF!+#REF!+#REF!+#REF!+#REF!+#REF!+#REF!+#REF!+#REF!+#REF!+#REF!+#REF!+#REF!+#REF!+#REF!+#REF!+#REF!+#REF!+#REF!</f>
        <v>#REF!</v>
      </c>
      <c r="Q18" s="52" t="e">
        <f>#REF!+#REF!+#REF!+#REF!+#REF!+#REF!+#REF!+#REF!+#REF!+#REF!+#REF!+#REF!+#REF!+#REF!+#REF!+#REF!+#REF!+#REF!+#REF!+#REF!</f>
        <v>#REF!</v>
      </c>
      <c r="R18" s="53"/>
    </row>
    <row r="19" spans="1:19" s="7" customFormat="1" ht="21" customHeight="1" x14ac:dyDescent="0.45">
      <c r="A19" s="54"/>
      <c r="B19" s="107" t="s">
        <v>70</v>
      </c>
      <c r="C19" s="107"/>
      <c r="D19" s="107"/>
      <c r="E19" s="55"/>
      <c r="F19" s="55" t="e">
        <f>F18</f>
        <v>#REF!</v>
      </c>
      <c r="G19" s="55" t="e">
        <f>G18</f>
        <v>#REF!</v>
      </c>
      <c r="H19" s="55" t="e">
        <f>H18</f>
        <v>#REF!</v>
      </c>
      <c r="I19" s="54"/>
      <c r="J19" s="54"/>
      <c r="K19" s="54"/>
      <c r="L19" s="54"/>
      <c r="M19" s="54"/>
      <c r="N19" s="54"/>
      <c r="O19" s="54"/>
      <c r="P19" s="55" t="e">
        <f>P18</f>
        <v>#REF!</v>
      </c>
      <c r="Q19" s="55" t="e">
        <f>Q18</f>
        <v>#REF!</v>
      </c>
      <c r="R19" s="54"/>
      <c r="S19" s="7" t="s">
        <v>72</v>
      </c>
    </row>
    <row r="20" spans="1:19" s="7" customFormat="1" ht="21" customHeight="1" x14ac:dyDescent="0.45">
      <c r="A20" s="56"/>
      <c r="B20" s="108" t="s">
        <v>71</v>
      </c>
      <c r="C20" s="108"/>
      <c r="D20" s="108"/>
      <c r="E20" s="56"/>
      <c r="F20" s="57">
        <v>119888897</v>
      </c>
      <c r="G20" s="57">
        <v>11988890</v>
      </c>
      <c r="H20" s="57">
        <v>131877787</v>
      </c>
      <c r="I20" s="56"/>
      <c r="J20" s="56"/>
      <c r="K20" s="56"/>
      <c r="L20" s="56"/>
      <c r="M20" s="56"/>
      <c r="N20" s="56"/>
      <c r="O20" s="56"/>
      <c r="P20" s="56">
        <v>86995662</v>
      </c>
      <c r="Q20" s="56">
        <v>32893235</v>
      </c>
      <c r="R20" s="56"/>
      <c r="S20" s="58"/>
    </row>
    <row r="21" spans="1:19" s="7" customFormat="1" ht="21" customHeight="1" x14ac:dyDescent="0.45">
      <c r="A21" s="54"/>
      <c r="B21" s="109" t="s">
        <v>66</v>
      </c>
      <c r="C21" s="109"/>
      <c r="D21" s="109"/>
      <c r="E21" s="54"/>
      <c r="F21" s="54">
        <f>F20</f>
        <v>119888897</v>
      </c>
      <c r="G21" s="54">
        <f>G20</f>
        <v>11988890</v>
      </c>
      <c r="H21" s="54">
        <f>H20</f>
        <v>131877787</v>
      </c>
      <c r="I21" s="54"/>
      <c r="J21" s="54"/>
      <c r="K21" s="54"/>
      <c r="L21" s="54"/>
      <c r="M21" s="54"/>
      <c r="N21" s="54"/>
      <c r="O21" s="54"/>
      <c r="P21" s="54">
        <f>P20</f>
        <v>86995662</v>
      </c>
      <c r="Q21" s="54">
        <f>Q20</f>
        <v>32893235</v>
      </c>
      <c r="R21" s="54"/>
      <c r="S21" s="7" t="s">
        <v>73</v>
      </c>
    </row>
    <row r="22" spans="1:19" s="7" customFormat="1" ht="21" customHeight="1" x14ac:dyDescent="0.45">
      <c r="A22"/>
      <c r="B22"/>
      <c r="C22"/>
      <c r="D22"/>
      <c r="E22"/>
      <c r="F22"/>
      <c r="G22"/>
      <c r="H22"/>
      <c r="I22"/>
      <c r="J22" s="2"/>
      <c r="K22" s="2"/>
      <c r="L22"/>
      <c r="M22" s="59"/>
      <c r="N22" s="2"/>
      <c r="O22" s="5"/>
      <c r="P22" s="5"/>
      <c r="Q22"/>
      <c r="R22" s="6"/>
    </row>
    <row r="23" spans="1:19" x14ac:dyDescent="0.45">
      <c r="B23" t="s">
        <v>226</v>
      </c>
      <c r="C23" s="2">
        <v>27086163</v>
      </c>
    </row>
    <row r="24" spans="1:19" x14ac:dyDescent="0.45">
      <c r="B24" t="s">
        <v>172</v>
      </c>
      <c r="C24" s="69">
        <f>'판매현황24년 1월'!C87+'판매현황24년 3월'!C23</f>
        <v>48877296</v>
      </c>
    </row>
  </sheetData>
  <mergeCells count="10">
    <mergeCell ref="B18:D18"/>
    <mergeCell ref="B19:D19"/>
    <mergeCell ref="B20:D20"/>
    <mergeCell ref="B21:D21"/>
    <mergeCell ref="B6:D6"/>
    <mergeCell ref="A3:A4"/>
    <mergeCell ref="B3:H3"/>
    <mergeCell ref="I3:P3"/>
    <mergeCell ref="Q3:Q4"/>
    <mergeCell ref="R3:R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6A1F0-F46E-4F3B-937B-95FB8651DF1C}">
  <dimension ref="A1"/>
  <sheetViews>
    <sheetView workbookViewId="0">
      <selection activeCell="G20" sqref="G20"/>
    </sheetView>
  </sheetViews>
  <sheetFormatPr defaultRowHeight="17" x14ac:dyDescent="0.4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판매현황24년 1월</vt:lpstr>
      <vt:lpstr>판매현황24년 2월</vt:lpstr>
      <vt:lpstr>판매현황24년 3월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김윤옥</dc:creator>
  <cp:lastModifiedBy>욱 송</cp:lastModifiedBy>
  <dcterms:created xsi:type="dcterms:W3CDTF">2024-01-31T05:34:40Z</dcterms:created>
  <dcterms:modified xsi:type="dcterms:W3CDTF">2024-03-06T05:12:11Z</dcterms:modified>
</cp:coreProperties>
</file>