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2018mbp/Documents/6.4.20 Desktop to Sort/"/>
    </mc:Choice>
  </mc:AlternateContent>
  <xr:revisionPtr revIDLastSave="0" documentId="8_{1CAB5DFC-3DB6-FB41-A7FF-0106E77CD184}" xr6:coauthVersionLast="45" xr6:coauthVersionMax="45" xr10:uidLastSave="{00000000-0000-0000-0000-000000000000}"/>
  <bookViews>
    <workbookView xWindow="480" yWindow="960" windowWidth="25040" windowHeight="14500" xr2:uid="{6B01DC18-24FD-0B48-A09C-5D5911AFF5E7}"/>
  </bookViews>
  <sheets>
    <sheet name="Sheet1" sheetId="1" r:id="rId1"/>
  </sheets>
  <definedNames>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Sheet1!$C$5</definedName>
    <definedName name="solver_typ" localSheetId="0" hidden="1">1</definedName>
    <definedName name="solver_val" localSheetId="0" hidden="1">0</definedName>
    <definedName name="solver_ver" localSheetId="0"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9" i="1" l="1"/>
  <c r="B47" i="1"/>
  <c r="E42" i="1"/>
  <c r="E41" i="1"/>
  <c r="E40" i="1"/>
  <c r="E39" i="1"/>
  <c r="E38" i="1"/>
  <c r="E37" i="1"/>
  <c r="B37" i="1"/>
  <c r="E36" i="1"/>
  <c r="B36" i="1"/>
  <c r="E35" i="1"/>
  <c r="E34" i="1"/>
  <c r="B30" i="1"/>
  <c r="B38" i="1" s="1"/>
  <c r="G44" i="1" s="1"/>
  <c r="B28" i="1"/>
  <c r="B27" i="1"/>
  <c r="N25" i="1"/>
  <c r="M25" i="1" s="1"/>
  <c r="N24" i="1"/>
  <c r="N22" i="1"/>
  <c r="J22" i="1" s="1"/>
  <c r="H19" i="1"/>
  <c r="G19" i="1"/>
  <c r="F19" i="1"/>
  <c r="E19" i="1"/>
  <c r="H18" i="1"/>
  <c r="G18" i="1"/>
  <c r="F18" i="1"/>
  <c r="E18" i="1"/>
  <c r="H17" i="1"/>
  <c r="G17" i="1"/>
  <c r="F17" i="1"/>
  <c r="E17" i="1"/>
  <c r="M13" i="1"/>
  <c r="L13" i="1"/>
  <c r="L8" i="1" s="1"/>
  <c r="K13" i="1"/>
  <c r="J13" i="1"/>
  <c r="J8" i="1" s="1"/>
  <c r="I13" i="1"/>
  <c r="B13" i="1"/>
  <c r="B15" i="1" s="1"/>
  <c r="B21" i="1" s="1"/>
  <c r="M11" i="1"/>
  <c r="L11" i="1"/>
  <c r="K11" i="1"/>
  <c r="J11" i="1"/>
  <c r="I11" i="1"/>
  <c r="H11" i="1"/>
  <c r="G11" i="1"/>
  <c r="F11" i="1"/>
  <c r="E11" i="1"/>
  <c r="M9" i="1"/>
  <c r="L9" i="1"/>
  <c r="K9" i="1"/>
  <c r="J9" i="1"/>
  <c r="I9" i="1"/>
  <c r="B9" i="1"/>
  <c r="M8" i="1"/>
  <c r="K8" i="1"/>
  <c r="K12" i="1" s="1"/>
  <c r="I8" i="1"/>
  <c r="I20" i="1" s="1"/>
  <c r="H8" i="1"/>
  <c r="H10" i="1" s="1"/>
  <c r="G8" i="1"/>
  <c r="G12" i="1" s="1"/>
  <c r="F8" i="1"/>
  <c r="F20" i="1" s="1"/>
  <c r="E8" i="1"/>
  <c r="E20" i="1" s="1"/>
  <c r="M7" i="1"/>
  <c r="L7" i="1"/>
  <c r="K7" i="1"/>
  <c r="J7" i="1"/>
  <c r="N7" i="1" s="1"/>
  <c r="I7" i="1"/>
  <c r="M6" i="1"/>
  <c r="M19" i="1" s="1"/>
  <c r="L6" i="1"/>
  <c r="L19" i="1" s="1"/>
  <c r="K6" i="1"/>
  <c r="K19" i="1" s="1"/>
  <c r="J6" i="1"/>
  <c r="J19" i="1" s="1"/>
  <c r="I6" i="1"/>
  <c r="I19" i="1" s="1"/>
  <c r="M5" i="1"/>
  <c r="M18" i="1" s="1"/>
  <c r="L5" i="1"/>
  <c r="L18" i="1" s="1"/>
  <c r="K5" i="1"/>
  <c r="K18" i="1" s="1"/>
  <c r="J5" i="1"/>
  <c r="J18" i="1" s="1"/>
  <c r="I5" i="1"/>
  <c r="I18" i="1" s="1"/>
  <c r="M4" i="1"/>
  <c r="M17" i="1" s="1"/>
  <c r="L4" i="1"/>
  <c r="L17" i="1" s="1"/>
  <c r="K4" i="1"/>
  <c r="K17" i="1" s="1"/>
  <c r="J4" i="1"/>
  <c r="J17" i="1" s="1"/>
  <c r="I4" i="1"/>
  <c r="I17" i="1" s="1"/>
  <c r="N3" i="1"/>
  <c r="J28" i="1" s="1"/>
  <c r="L10" i="1" l="1"/>
  <c r="L21" i="1" s="1"/>
  <c r="L12" i="1"/>
  <c r="K20" i="1"/>
  <c r="E27" i="1"/>
  <c r="G28" i="1"/>
  <c r="F22" i="1"/>
  <c r="E25" i="1"/>
  <c r="G26" i="1"/>
  <c r="I27" i="1"/>
  <c r="K28" i="1"/>
  <c r="H21" i="1"/>
  <c r="M10" i="1"/>
  <c r="M21" i="1" s="1"/>
  <c r="H12" i="1"/>
  <c r="I25" i="1"/>
  <c r="K26" i="1"/>
  <c r="M27" i="1"/>
  <c r="G20" i="1"/>
  <c r="M22" i="1"/>
  <c r="J20" i="1"/>
  <c r="J12" i="1"/>
  <c r="J10" i="1"/>
  <c r="J21" i="1" s="1"/>
  <c r="N19" i="1"/>
  <c r="I10" i="1"/>
  <c r="I21" i="1" s="1"/>
  <c r="N6" i="1"/>
  <c r="N8" i="1"/>
  <c r="M24" i="1" s="1"/>
  <c r="F10" i="1"/>
  <c r="F21" i="1" s="1"/>
  <c r="E12" i="1"/>
  <c r="I12" i="1"/>
  <c r="M12" i="1"/>
  <c r="N18" i="1"/>
  <c r="H20" i="1"/>
  <c r="L20" i="1"/>
  <c r="G22" i="1"/>
  <c r="K22" i="1"/>
  <c r="H24" i="1"/>
  <c r="L24" i="1"/>
  <c r="F25" i="1"/>
  <c r="J25" i="1"/>
  <c r="H26" i="1"/>
  <c r="L26" i="1"/>
  <c r="F27" i="1"/>
  <c r="J27" i="1"/>
  <c r="H28" i="1"/>
  <c r="L28" i="1"/>
  <c r="E10" i="1"/>
  <c r="N11" i="1"/>
  <c r="G10" i="1"/>
  <c r="G21" i="1" s="1"/>
  <c r="K10" i="1"/>
  <c r="K21" i="1" s="1"/>
  <c r="F12" i="1"/>
  <c r="N17" i="1"/>
  <c r="M20" i="1"/>
  <c r="H22" i="1"/>
  <c r="L22" i="1"/>
  <c r="I24" i="1"/>
  <c r="G25" i="1"/>
  <c r="K25" i="1"/>
  <c r="E26" i="1"/>
  <c r="I26" i="1"/>
  <c r="M26" i="1"/>
  <c r="G27" i="1"/>
  <c r="K27" i="1"/>
  <c r="E28" i="1"/>
  <c r="I28" i="1"/>
  <c r="M28" i="1"/>
  <c r="E22" i="1"/>
  <c r="I22" i="1"/>
  <c r="H25" i="1"/>
  <c r="L25" i="1"/>
  <c r="F26" i="1"/>
  <c r="J26" i="1"/>
  <c r="H27" i="1"/>
  <c r="L27" i="1"/>
  <c r="F28" i="1"/>
  <c r="N20" i="1" l="1"/>
  <c r="E21" i="1"/>
  <c r="N10" i="1"/>
  <c r="B39" i="1"/>
  <c r="B40" i="1" s="1"/>
  <c r="J24" i="1"/>
  <c r="F24" i="1"/>
  <c r="K24" i="1"/>
  <c r="E24" i="1"/>
  <c r="G24" i="1"/>
  <c r="B41" i="1" l="1"/>
  <c r="B42" i="1" s="1"/>
  <c r="B20" i="1"/>
  <c r="B19" i="1" s="1"/>
  <c r="O10" i="1"/>
  <c r="N21" i="1"/>
  <c r="E43" i="1" s="1"/>
  <c r="E44" i="1" l="1"/>
  <c r="B18" i="1"/>
  <c r="E23" i="1"/>
  <c r="E29" i="1" s="1"/>
  <c r="E30" i="1" s="1"/>
  <c r="M23" i="1"/>
  <c r="M29" i="1" s="1"/>
  <c r="M30" i="1" s="1"/>
  <c r="M31" i="1" s="1"/>
  <c r="K23" i="1"/>
  <c r="K29" i="1" s="1"/>
  <c r="K30" i="1" s="1"/>
  <c r="K31" i="1" s="1"/>
  <c r="J23" i="1"/>
  <c r="J29" i="1" s="1"/>
  <c r="J30" i="1" s="1"/>
  <c r="J31" i="1" s="1"/>
  <c r="H23" i="1"/>
  <c r="H29" i="1" s="1"/>
  <c r="H30" i="1" s="1"/>
  <c r="H31" i="1" s="1"/>
  <c r="I23" i="1"/>
  <c r="I29" i="1" s="1"/>
  <c r="I30" i="1" s="1"/>
  <c r="I31" i="1" s="1"/>
  <c r="N29" i="1"/>
  <c r="O30" i="1" s="1"/>
  <c r="L23" i="1"/>
  <c r="L29" i="1" s="1"/>
  <c r="L30" i="1" s="1"/>
  <c r="L31" i="1" s="1"/>
  <c r="G23" i="1"/>
  <c r="G29" i="1" s="1"/>
  <c r="G30" i="1" s="1"/>
  <c r="G31" i="1" s="1"/>
  <c r="F23" i="1"/>
  <c r="F29" i="1" s="1"/>
  <c r="F30" i="1" s="1"/>
  <c r="F31" i="1" s="1"/>
  <c r="N30" i="1" l="1"/>
  <c r="N31" i="1" s="1"/>
  <c r="E31" i="1"/>
</calcChain>
</file>

<file path=xl/sharedStrings.xml><?xml version="1.0" encoding="utf-8"?>
<sst xmlns="http://schemas.openxmlformats.org/spreadsheetml/2006/main" count="133" uniqueCount="100">
  <si>
    <t xml:space="preserve">1. Maximize Production Run </t>
  </si>
  <si>
    <t>Category</t>
  </si>
  <si>
    <t>Expense</t>
  </si>
  <si>
    <t xml:space="preserve">Blue </t>
  </si>
  <si>
    <t>Black</t>
  </si>
  <si>
    <t>Red</t>
  </si>
  <si>
    <t>Purple</t>
  </si>
  <si>
    <t xml:space="preserve">New Color1 </t>
  </si>
  <si>
    <t xml:space="preserve">New Color2 </t>
  </si>
  <si>
    <t xml:space="preserve">New Color3 </t>
  </si>
  <si>
    <t>New Color4</t>
  </si>
  <si>
    <t xml:space="preserve">New Color5 </t>
  </si>
  <si>
    <t xml:space="preserve">Max Prod Total </t>
  </si>
  <si>
    <t xml:space="preserve">My first recommendation would be to maximize the number of units for each production run of a color.  Currently each production run is made for a particular customer. Which means the average units per production run can vary widely depending on the color of the ink. For black the average is 100 units, while purple is only 8.33 units. While you would increase inventory cost by holding ink you haven't sold,  you can limit the inventory held per color to a maximize of the units produced per production line. So in total you'd never hold more that 400 units. The inventory cost of holding 400 units of ink categratigies should be negliable and absolutely smaller than the switching cost of running production lines at less than 9% capacity. </t>
  </si>
  <si>
    <t xml:space="preserve">Adjustments made </t>
  </si>
  <si>
    <t>Indirect Labor</t>
  </si>
  <si>
    <t>Sales Volume (units)</t>
  </si>
  <si>
    <t>E13:H13</t>
  </si>
  <si>
    <t>Fringe benefits</t>
  </si>
  <si>
    <t>Unit Selling Price</t>
  </si>
  <si>
    <t>E8:I8</t>
  </si>
  <si>
    <t>Computer</t>
  </si>
  <si>
    <t>Materials/unit cost</t>
  </si>
  <si>
    <t>Machinery</t>
  </si>
  <si>
    <t>Direct labor hr/unit</t>
  </si>
  <si>
    <t>Maintenance</t>
  </si>
  <si>
    <t>Machine hr/unit</t>
  </si>
  <si>
    <t>Energy</t>
  </si>
  <si>
    <t>No. production runs</t>
  </si>
  <si>
    <t>Total</t>
  </si>
  <si>
    <t>Setup time/run(hours)</t>
  </si>
  <si>
    <t>Total setup time(hours)</t>
  </si>
  <si>
    <t xml:space="preserve">Historic Labor Calculations </t>
  </si>
  <si>
    <t>Number of product lines</t>
  </si>
  <si>
    <t xml:space="preserve">Units per Production Run </t>
  </si>
  <si>
    <t>Indirect - Changover</t>
  </si>
  <si>
    <t>Max Units per Production Run</t>
  </si>
  <si>
    <t xml:space="preserve">Labor Cost per hour of setup time  </t>
  </si>
  <si>
    <t>Income Statement Activity Based Costing Solving for Maximizing Operating Income</t>
  </si>
  <si>
    <t xml:space="preserve">2. Reallocate Machine Time to Additional Color Lines </t>
  </si>
  <si>
    <t xml:space="preserve">By switching to running production lines at maximum capacity, and lowering the number of hours spent in "switching time" you have opprotnity to increase the number of hours the machines are running. Historically the machines have been available for a total of 10,526 hours, spliting the time between 10,000 production hours and 526 switching hours. </t>
  </si>
  <si>
    <t>Max Production  Capacity Labor Calculations</t>
  </si>
  <si>
    <t>Sales</t>
  </si>
  <si>
    <t xml:space="preserve">E10:I10 </t>
  </si>
  <si>
    <t>Material Costs</t>
  </si>
  <si>
    <t xml:space="preserve">B38:B42 </t>
  </si>
  <si>
    <t>Direct Labor</t>
  </si>
  <si>
    <t>Indirect - Scheduling</t>
  </si>
  <si>
    <t>Indirect - Records</t>
  </si>
  <si>
    <t xml:space="preserve">3. Reallocate Labor Hours for Reduction of Switching Time </t>
  </si>
  <si>
    <t xml:space="preserve">Historical Machine Usage Per Year </t>
  </si>
  <si>
    <t>Fringe</t>
  </si>
  <si>
    <t xml:space="preserve">Historically it has required 526 labor hours, at $15.21 an hour for labor switching costs. By adjusting the switching time labor costs </t>
  </si>
  <si>
    <t xml:space="preserve">Historic Total Units </t>
  </si>
  <si>
    <t>Computer - Shipping docs</t>
  </si>
  <si>
    <t xml:space="preserve">E21:I21 </t>
  </si>
  <si>
    <t xml:space="preserve">Historic Production Runs </t>
  </si>
  <si>
    <t>Computer - Records</t>
  </si>
  <si>
    <t xml:space="preserve">B18:B21 </t>
  </si>
  <si>
    <t xml:space="preserve">Historic Total Machine Hours </t>
  </si>
  <si>
    <t xml:space="preserve">Historic Avg Units Per Prod Run </t>
  </si>
  <si>
    <t xml:space="preserve">Historic Avg Mach Hrs Per Prod Run </t>
  </si>
  <si>
    <t xml:space="preserve">Historic Total Machine Hrs Switching </t>
  </si>
  <si>
    <t>Total Cost</t>
  </si>
  <si>
    <t>4. Add additional production runs for new colors</t>
  </si>
  <si>
    <t xml:space="preserve">Historic Total Hours Mach Available </t>
  </si>
  <si>
    <t>Operating Income</t>
  </si>
  <si>
    <t xml:space="preserve">One of the industry trends is to provide additional ink colors for customers. Assuming that the new colors will have similar costs and sales volume as Purple, we can make X new colors by utlizing the machine and labor hours freed up by producing the maximium quanity in every production run. </t>
  </si>
  <si>
    <t>Return on sales</t>
  </si>
  <si>
    <t xml:space="preserve"> Machine Usage @ Max Capacity (Blue) </t>
  </si>
  <si>
    <t xml:space="preserve">Historic Total Blue Units </t>
  </si>
  <si>
    <t xml:space="preserve">Constraints </t>
  </si>
  <si>
    <t xml:space="preserve">Coresponding Cell </t>
  </si>
  <si>
    <t xml:space="preserve">Capacity Limits </t>
  </si>
  <si>
    <t>Historic Prod Run Blue</t>
  </si>
  <si>
    <t xml:space="preserve">Max Sales Blue </t>
  </si>
  <si>
    <t>&lt;=</t>
  </si>
  <si>
    <t xml:space="preserve">Historic Machine Hrs Blue </t>
  </si>
  <si>
    <t xml:space="preserve">Max Sales Black </t>
  </si>
  <si>
    <t>Hist Avg Units Per Prod Run Blue</t>
  </si>
  <si>
    <t xml:space="preserve">Max Sales Red </t>
  </si>
  <si>
    <t>Hist Avg Mach Hrs Per Prod Run Blue</t>
  </si>
  <si>
    <t xml:space="preserve">Max Sales Purple </t>
  </si>
  <si>
    <t xml:space="preserve">Max Machine Hours Available </t>
  </si>
  <si>
    <t xml:space="preserve">Max Sales Each New Color1 </t>
  </si>
  <si>
    <t xml:space="preserve">Total Production Runs </t>
  </si>
  <si>
    <t>Max Sales Each New Color2</t>
  </si>
  <si>
    <t xml:space="preserve">Total Machine Hours in Production </t>
  </si>
  <si>
    <t>Max Sales Each New Color3</t>
  </si>
  <si>
    <t xml:space="preserve">Total Machine Hours Switching </t>
  </si>
  <si>
    <t>Max Sales Each New Color4</t>
  </si>
  <si>
    <t xml:space="preserve">Total Machine Hours Utlized </t>
  </si>
  <si>
    <t>Max Sales Each New Color5</t>
  </si>
  <si>
    <t xml:space="preserve">Max Indirect Labor Costs </t>
  </si>
  <si>
    <t xml:space="preserve">Historic Calculations from Income Statement </t>
  </si>
  <si>
    <t xml:space="preserve">Max Total Mach Hours </t>
  </si>
  <si>
    <t xml:space="preserve">Historic Scheduling Costs </t>
  </si>
  <si>
    <t xml:space="preserve">Historic Scheduling Cost per Prod Run </t>
  </si>
  <si>
    <t xml:space="preserve">Historic Indirect Records </t>
  </si>
  <si>
    <t>Historic Indirect Records per Prod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</si>
</sst>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_);[Red]\(&quot;$&quot;#,##0.0\)"/>
    <numFmt numFmtId="165" formatCode="_(&quot;$&quot;* #,##0_);_(&quot;$&quot;* \(#,##0\);_(&quot;$&quot;* &quot;-&quot;??_);_(@_)"/>
  </numFmts>
  <fonts count="5">
    <font>
      <sz val="12"/>
      <color theme="1"/>
      <name val="Calibri"/>
      <family val="2"/>
      <scheme val="minor"/>
    </font>
    <font>
      <sz val="12"/>
      <color theme="1"/>
      <name val="Calibri"/>
      <family val="2"/>
      <scheme val="minor"/>
    </font>
    <font>
      <b/>
      <u/>
      <sz val="11"/>
      <color theme="1"/>
      <name val="Calibri"/>
      <family val="2"/>
      <scheme val="minor"/>
    </font>
    <font>
      <sz val="10"/>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0" xfId="0" applyFill="1"/>
    <xf numFmtId="0" fontId="0" fillId="0" borderId="9" xfId="0" applyBorder="1"/>
    <xf numFmtId="44" fontId="0" fillId="0" borderId="0" xfId="1" applyFont="1" applyFill="1" applyBorder="1"/>
    <xf numFmtId="44" fontId="0" fillId="0" borderId="0" xfId="0" applyNumberFormat="1"/>
    <xf numFmtId="44" fontId="0" fillId="0" borderId="9" xfId="0" applyNumberFormat="1" applyBorder="1"/>
    <xf numFmtId="2" fontId="0" fillId="0" borderId="0" xfId="0" applyNumberFormat="1"/>
    <xf numFmtId="2" fontId="0" fillId="0" borderId="9" xfId="0" applyNumberFormat="1" applyBorder="1"/>
    <xf numFmtId="0" fontId="0" fillId="0" borderId="10" xfId="0" applyBorder="1"/>
    <xf numFmtId="0" fontId="0" fillId="0" borderId="11" xfId="0" applyBorder="1"/>
    <xf numFmtId="6" fontId="0" fillId="0" borderId="9" xfId="0" applyNumberFormat="1" applyBorder="1"/>
    <xf numFmtId="0" fontId="0" fillId="3" borderId="0" xfId="0" applyFill="1"/>
    <xf numFmtId="164" fontId="0" fillId="0" borderId="9" xfId="0" applyNumberFormat="1" applyBorder="1" applyAlignment="1">
      <alignment vertical="top" wrapText="1"/>
    </xf>
    <xf numFmtId="0" fontId="0" fillId="0" borderId="14" xfId="0" applyBorder="1"/>
    <xf numFmtId="0" fontId="0" fillId="0" borderId="15" xfId="0" applyBorder="1"/>
    <xf numFmtId="2" fontId="0" fillId="0" borderId="15" xfId="0" applyNumberFormat="1" applyBorder="1"/>
    <xf numFmtId="2" fontId="0" fillId="0" borderId="16" xfId="0" applyNumberFormat="1" applyBorder="1"/>
    <xf numFmtId="0" fontId="0" fillId="0" borderId="9" xfId="0" applyBorder="1" applyAlignment="1">
      <alignment vertical="top" wrapText="1"/>
    </xf>
    <xf numFmtId="0" fontId="2" fillId="0" borderId="0" xfId="0" applyFont="1"/>
    <xf numFmtId="0" fontId="2" fillId="0" borderId="0" xfId="0" applyFont="1" applyAlignment="1">
      <alignment horizontal="center"/>
    </xf>
    <xf numFmtId="0" fontId="3" fillId="0" borderId="0" xfId="0" applyFont="1" applyAlignment="1">
      <alignment vertical="top" wrapText="1"/>
    </xf>
    <xf numFmtId="0" fontId="0" fillId="0" borderId="14" xfId="0" applyBorder="1" applyAlignment="1">
      <alignment vertical="top" wrapText="1"/>
    </xf>
    <xf numFmtId="8" fontId="0" fillId="0" borderId="16" xfId="0" applyNumberFormat="1" applyBorder="1" applyAlignment="1">
      <alignment vertical="top" wrapText="1"/>
    </xf>
    <xf numFmtId="0" fontId="3" fillId="0" borderId="0" xfId="0" applyFont="1" applyAlignment="1">
      <alignment vertical="top"/>
    </xf>
    <xf numFmtId="0" fontId="0" fillId="0" borderId="0" xfId="0" applyAlignment="1">
      <alignment vertical="top" wrapText="1"/>
    </xf>
    <xf numFmtId="165" fontId="0" fillId="0" borderId="0" xfId="1" applyNumberFormat="1" applyFont="1" applyFill="1" applyBorder="1"/>
    <xf numFmtId="165" fontId="0" fillId="0" borderId="9" xfId="1" applyNumberFormat="1" applyFont="1" applyBorder="1"/>
    <xf numFmtId="6" fontId="4" fillId="0" borderId="0" xfId="0" applyNumberFormat="1" applyFont="1"/>
    <xf numFmtId="165" fontId="0" fillId="0" borderId="9" xfId="0" applyNumberFormat="1" applyBorder="1" applyAlignment="1">
      <alignment vertical="top" wrapText="1"/>
    </xf>
    <xf numFmtId="165" fontId="0" fillId="0" borderId="0" xfId="1" applyNumberFormat="1" applyFont="1" applyBorder="1"/>
    <xf numFmtId="165" fontId="0" fillId="0" borderId="9" xfId="1" applyNumberFormat="1" applyFont="1" applyFill="1" applyBorder="1"/>
    <xf numFmtId="8" fontId="0" fillId="0" borderId="9" xfId="0" applyNumberFormat="1" applyBorder="1" applyAlignment="1">
      <alignment vertical="top" wrapText="1"/>
    </xf>
    <xf numFmtId="2" fontId="0" fillId="0" borderId="9" xfId="0" applyNumberFormat="1" applyBorder="1" applyAlignment="1">
      <alignment vertical="top" wrapText="1"/>
    </xf>
    <xf numFmtId="8" fontId="0" fillId="0" borderId="16" xfId="0" applyNumberFormat="1" applyBorder="1"/>
    <xf numFmtId="165" fontId="0" fillId="4" borderId="0" xfId="1" applyNumberFormat="1" applyFont="1" applyFill="1" applyBorder="1"/>
    <xf numFmtId="0" fontId="3" fillId="0" borderId="8" xfId="0" applyFont="1" applyBorder="1" applyAlignment="1">
      <alignment vertical="top" wrapText="1"/>
    </xf>
    <xf numFmtId="0" fontId="3" fillId="0" borderId="9" xfId="0" applyFont="1" applyBorder="1" applyAlignment="1">
      <alignment vertical="top" wrapText="1"/>
    </xf>
    <xf numFmtId="0" fontId="3" fillId="0" borderId="14" xfId="0" applyFont="1" applyBorder="1" applyAlignment="1">
      <alignment vertical="top" wrapText="1"/>
    </xf>
    <xf numFmtId="0" fontId="3" fillId="0" borderId="16" xfId="0" applyFont="1" applyBorder="1" applyAlignment="1">
      <alignment vertical="top" wrapText="1"/>
    </xf>
    <xf numFmtId="165" fontId="0" fillId="5" borderId="9" xfId="1" applyNumberFormat="1" applyFont="1" applyFill="1" applyBorder="1"/>
    <xf numFmtId="165" fontId="4" fillId="0" borderId="0" xfId="0" applyNumberFormat="1" applyFont="1"/>
    <xf numFmtId="10" fontId="0" fillId="0" borderId="15" xfId="2" applyNumberFormat="1" applyFont="1" applyBorder="1"/>
    <xf numFmtId="10" fontId="0" fillId="0" borderId="16" xfId="2" applyNumberFormat="1" applyFont="1" applyBorder="1"/>
    <xf numFmtId="10" fontId="4" fillId="0" borderId="0" xfId="0" applyNumberFormat="1" applyFont="1"/>
    <xf numFmtId="0" fontId="3" fillId="0" borderId="3" xfId="0" applyFont="1" applyBorder="1" applyAlignment="1">
      <alignment vertical="top" wrapText="1"/>
    </xf>
    <xf numFmtId="0" fontId="0" fillId="6" borderId="9" xfId="0" applyFill="1" applyBorder="1"/>
    <xf numFmtId="2" fontId="0" fillId="6" borderId="16" xfId="0" applyNumberFormat="1" applyFill="1" applyBorder="1"/>
    <xf numFmtId="165" fontId="0" fillId="0" borderId="9" xfId="0" applyNumberFormat="1" applyBorder="1"/>
    <xf numFmtId="2" fontId="0" fillId="3" borderId="15" xfId="0" applyNumberFormat="1" applyFill="1" applyBorder="1"/>
    <xf numFmtId="0" fontId="0" fillId="0" borderId="16" xfId="0" applyBorder="1"/>
    <xf numFmtId="44" fontId="0" fillId="0" borderId="9" xfId="1" applyFont="1" applyBorder="1"/>
    <xf numFmtId="6" fontId="0" fillId="0" borderId="16" xfId="0" applyNumberFormat="1" applyBorder="1"/>
    <xf numFmtId="0" fontId="3" fillId="0" borderId="0" xfId="0" applyFont="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0" fillId="0" borderId="0" xfId="0"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6B4C0-1561-1343-B991-BB40BBCD4FA3}">
  <dimension ref="A1:U49"/>
  <sheetViews>
    <sheetView tabSelected="1" workbookViewId="0">
      <selection activeCell="G29" sqref="G29"/>
    </sheetView>
  </sheetViews>
  <sheetFormatPr baseColWidth="10" defaultRowHeight="16"/>
  <cols>
    <col min="1" max="1" width="28" customWidth="1"/>
    <col min="2" max="2" width="11.1640625" bestFit="1" customWidth="1"/>
    <col min="4" max="4" width="21.83203125" bestFit="1" customWidth="1"/>
    <col min="5" max="5" width="10.1640625" bestFit="1" customWidth="1"/>
    <col min="6" max="7" width="8.5" bestFit="1" customWidth="1"/>
    <col min="8" max="8" width="8.6640625" bestFit="1" customWidth="1"/>
    <col min="9" max="14" width="9.5" customWidth="1"/>
  </cols>
  <sheetData>
    <row r="1" spans="1:21" ht="17" thickBot="1">
      <c r="P1" t="s">
        <v>0</v>
      </c>
    </row>
    <row r="2" spans="1:21" ht="15" customHeight="1">
      <c r="A2" s="1" t="s">
        <v>1</v>
      </c>
      <c r="B2" s="2" t="s">
        <v>2</v>
      </c>
      <c r="D2" s="3"/>
      <c r="E2" s="4" t="s">
        <v>3</v>
      </c>
      <c r="F2" s="4" t="s">
        <v>4</v>
      </c>
      <c r="G2" s="4" t="s">
        <v>5</v>
      </c>
      <c r="H2" s="4" t="s">
        <v>6</v>
      </c>
      <c r="I2" s="4" t="s">
        <v>7</v>
      </c>
      <c r="J2" s="4" t="s">
        <v>8</v>
      </c>
      <c r="K2" s="4" t="s">
        <v>9</v>
      </c>
      <c r="L2" s="4" t="s">
        <v>10</v>
      </c>
      <c r="M2" s="4" t="s">
        <v>11</v>
      </c>
      <c r="N2" s="5" t="s">
        <v>12</v>
      </c>
      <c r="P2" s="65" t="s">
        <v>13</v>
      </c>
      <c r="Q2" s="65"/>
      <c r="R2" s="65"/>
      <c r="S2" s="65"/>
      <c r="T2" s="65"/>
      <c r="U2" t="s">
        <v>14</v>
      </c>
    </row>
    <row r="3" spans="1:21" ht="16" customHeight="1">
      <c r="A3" s="6" t="s">
        <v>15</v>
      </c>
      <c r="B3" s="7">
        <v>20000</v>
      </c>
      <c r="D3" s="8" t="s">
        <v>16</v>
      </c>
      <c r="E3" s="9">
        <v>5000</v>
      </c>
      <c r="F3" s="9">
        <v>2000</v>
      </c>
      <c r="G3" s="9">
        <v>499.98877601364285</v>
      </c>
      <c r="H3" s="9">
        <v>99.992009381990385</v>
      </c>
      <c r="I3" s="9">
        <v>99.992009385454196</v>
      </c>
      <c r="J3" s="9">
        <v>99.992009385454196</v>
      </c>
      <c r="K3" s="9">
        <v>99.992009385454196</v>
      </c>
      <c r="L3" s="9">
        <v>99.992009385454196</v>
      </c>
      <c r="M3" s="9">
        <v>99.992009385454196</v>
      </c>
      <c r="N3" s="10">
        <f>SUM(E3:M3)</f>
        <v>8099.9408323229045</v>
      </c>
      <c r="P3" s="65"/>
      <c r="Q3" s="65"/>
      <c r="R3" s="65"/>
      <c r="S3" s="65"/>
      <c r="T3" s="65"/>
      <c r="U3" t="s">
        <v>17</v>
      </c>
    </row>
    <row r="4" spans="1:21" ht="16" customHeight="1">
      <c r="A4" s="6" t="s">
        <v>18</v>
      </c>
      <c r="B4" s="7">
        <v>16000</v>
      </c>
      <c r="D4" s="8" t="s">
        <v>19</v>
      </c>
      <c r="E4" s="11">
        <v>15</v>
      </c>
      <c r="F4" s="11">
        <v>15</v>
      </c>
      <c r="G4" s="11">
        <v>15.5</v>
      </c>
      <c r="H4" s="11">
        <v>16.5</v>
      </c>
      <c r="I4" s="12">
        <f>$H$4</f>
        <v>16.5</v>
      </c>
      <c r="J4" s="12">
        <f t="shared" ref="J4:L4" si="0">$H$4</f>
        <v>16.5</v>
      </c>
      <c r="K4" s="12">
        <f t="shared" si="0"/>
        <v>16.5</v>
      </c>
      <c r="L4" s="12">
        <f t="shared" si="0"/>
        <v>16.5</v>
      </c>
      <c r="M4" s="12">
        <f>$H$4</f>
        <v>16.5</v>
      </c>
      <c r="N4" s="13"/>
      <c r="P4" s="65"/>
      <c r="Q4" s="65"/>
      <c r="R4" s="65"/>
      <c r="S4" s="65"/>
      <c r="T4" s="65"/>
      <c r="U4" t="s">
        <v>20</v>
      </c>
    </row>
    <row r="5" spans="1:21">
      <c r="A5" s="6" t="s">
        <v>21</v>
      </c>
      <c r="B5" s="7">
        <v>10000</v>
      </c>
      <c r="D5" s="8" t="s">
        <v>22</v>
      </c>
      <c r="E5">
        <v>5</v>
      </c>
      <c r="F5">
        <v>5</v>
      </c>
      <c r="G5">
        <v>5.2</v>
      </c>
      <c r="H5">
        <v>5.5</v>
      </c>
      <c r="I5" s="14">
        <f>$H$5</f>
        <v>5.5</v>
      </c>
      <c r="J5" s="14">
        <f t="shared" ref="J5:L5" si="1">$H$5</f>
        <v>5.5</v>
      </c>
      <c r="K5" s="14">
        <f t="shared" si="1"/>
        <v>5.5</v>
      </c>
      <c r="L5" s="14">
        <f t="shared" si="1"/>
        <v>5.5</v>
      </c>
      <c r="M5" s="14">
        <f>$H$5</f>
        <v>5.5</v>
      </c>
      <c r="N5" s="15"/>
      <c r="P5" s="65"/>
      <c r="Q5" s="65"/>
      <c r="R5" s="65"/>
      <c r="S5" s="65"/>
      <c r="T5" s="65"/>
    </row>
    <row r="6" spans="1:21">
      <c r="A6" s="6" t="s">
        <v>23</v>
      </c>
      <c r="B6" s="7">
        <v>8000</v>
      </c>
      <c r="D6" s="8" t="s">
        <v>24</v>
      </c>
      <c r="E6">
        <v>0.2</v>
      </c>
      <c r="F6">
        <v>0.2</v>
      </c>
      <c r="G6">
        <v>0.2</v>
      </c>
      <c r="H6">
        <v>0.2</v>
      </c>
      <c r="I6" s="14">
        <f>$H$6</f>
        <v>0.2</v>
      </c>
      <c r="J6" s="14">
        <f t="shared" ref="J6:L6" si="2">$H$6</f>
        <v>0.2</v>
      </c>
      <c r="K6" s="14">
        <f t="shared" si="2"/>
        <v>0.2</v>
      </c>
      <c r="L6" s="14">
        <f t="shared" si="2"/>
        <v>0.2</v>
      </c>
      <c r="M6" s="14">
        <f>$H$6</f>
        <v>0.2</v>
      </c>
      <c r="N6" s="15">
        <f>N3*0.2</f>
        <v>1619.9881664645809</v>
      </c>
      <c r="P6" s="65"/>
      <c r="Q6" s="65"/>
      <c r="R6" s="65"/>
      <c r="S6" s="65"/>
      <c r="T6" s="65"/>
    </row>
    <row r="7" spans="1:21">
      <c r="A7" s="6" t="s">
        <v>25</v>
      </c>
      <c r="B7" s="7">
        <v>4000</v>
      </c>
      <c r="D7" s="8" t="s">
        <v>26</v>
      </c>
      <c r="E7">
        <v>1</v>
      </c>
      <c r="F7">
        <v>1</v>
      </c>
      <c r="G7">
        <v>1</v>
      </c>
      <c r="H7">
        <v>1</v>
      </c>
      <c r="I7" s="14">
        <f>$H$7</f>
        <v>1</v>
      </c>
      <c r="J7" s="14">
        <f t="shared" ref="J7:L7" si="3">$H$7</f>
        <v>1</v>
      </c>
      <c r="K7" s="14">
        <f t="shared" si="3"/>
        <v>1</v>
      </c>
      <c r="L7" s="14">
        <f t="shared" si="3"/>
        <v>1</v>
      </c>
      <c r="M7" s="14">
        <f>$H$7</f>
        <v>1</v>
      </c>
      <c r="N7" s="15">
        <f>SUMPRODUCT(E3:M3,E7:M7)</f>
        <v>8099.9408323229045</v>
      </c>
      <c r="P7" s="65"/>
      <c r="Q7" s="65"/>
      <c r="R7" s="65"/>
      <c r="S7" s="65"/>
      <c r="T7" s="65"/>
    </row>
    <row r="8" spans="1:21">
      <c r="A8" s="6" t="s">
        <v>27</v>
      </c>
      <c r="B8" s="7">
        <v>2000</v>
      </c>
      <c r="D8" s="8" t="s">
        <v>28</v>
      </c>
      <c r="E8">
        <f>IF(E3&gt;0, ROUNDUP((E3/E13), 0), 0)</f>
        <v>50</v>
      </c>
      <c r="F8">
        <f t="shared" ref="F8" si="4">IF(F3&gt;0, ROUNDUP((F3/F13), 0), 0)</f>
        <v>20</v>
      </c>
      <c r="G8">
        <f>IF(G3&gt;0, ROUNDUP((G3/G13), 0), 0)</f>
        <v>5</v>
      </c>
      <c r="H8">
        <f t="shared" ref="H8:M8" si="5">IF(H3&gt;0, ROUNDUP((H3/H13), 0), 0)</f>
        <v>1</v>
      </c>
      <c r="I8">
        <f t="shared" si="5"/>
        <v>1</v>
      </c>
      <c r="J8">
        <f t="shared" si="5"/>
        <v>1</v>
      </c>
      <c r="K8">
        <f t="shared" si="5"/>
        <v>1</v>
      </c>
      <c r="L8">
        <f t="shared" si="5"/>
        <v>1</v>
      </c>
      <c r="M8">
        <f t="shared" si="5"/>
        <v>1</v>
      </c>
      <c r="N8" s="15">
        <f>SUM(E8:M8)</f>
        <v>81</v>
      </c>
      <c r="P8" s="65"/>
      <c r="Q8" s="65"/>
      <c r="R8" s="65"/>
      <c r="S8" s="65"/>
      <c r="T8" s="65"/>
    </row>
    <row r="9" spans="1:21" ht="17" hidden="1" thickBot="1">
      <c r="A9" s="16" t="s">
        <v>29</v>
      </c>
      <c r="B9" s="17">
        <f>SUM(B3:B8)</f>
        <v>60000</v>
      </c>
      <c r="D9" s="8" t="s">
        <v>30</v>
      </c>
      <c r="E9">
        <v>4</v>
      </c>
      <c r="F9">
        <v>1</v>
      </c>
      <c r="G9">
        <v>6</v>
      </c>
      <c r="H9">
        <v>4</v>
      </c>
      <c r="I9" s="14">
        <f>$H$9</f>
        <v>4</v>
      </c>
      <c r="J9" s="14">
        <f t="shared" ref="J9:L9" si="6">$H$9</f>
        <v>4</v>
      </c>
      <c r="K9" s="14">
        <f t="shared" si="6"/>
        <v>4</v>
      </c>
      <c r="L9" s="14">
        <f t="shared" si="6"/>
        <v>4</v>
      </c>
      <c r="M9" s="14">
        <f>$H$9</f>
        <v>4</v>
      </c>
      <c r="N9" s="15"/>
      <c r="P9" s="65"/>
      <c r="Q9" s="65"/>
      <c r="R9" s="65"/>
      <c r="S9" s="65"/>
      <c r="T9" s="65"/>
    </row>
    <row r="10" spans="1:21" ht="17" thickBot="1">
      <c r="D10" s="8" t="s">
        <v>31</v>
      </c>
      <c r="E10">
        <f t="shared" ref="E10:F10" si="7">ROUNDUP(E8,0)*E9</f>
        <v>200</v>
      </c>
      <c r="F10">
        <f t="shared" si="7"/>
        <v>20</v>
      </c>
      <c r="G10">
        <f>ROUNDUP(G8,0)*G9</f>
        <v>30</v>
      </c>
      <c r="H10">
        <f t="shared" ref="H10:K10" si="8">ROUNDUP(H8,0)*H9</f>
        <v>4</v>
      </c>
      <c r="I10">
        <f t="shared" si="8"/>
        <v>4</v>
      </c>
      <c r="J10">
        <f t="shared" si="8"/>
        <v>4</v>
      </c>
      <c r="K10">
        <f t="shared" si="8"/>
        <v>4</v>
      </c>
      <c r="L10">
        <f>ROUNDUP(L8,0)*L9</f>
        <v>4</v>
      </c>
      <c r="M10">
        <f>ROUNDUP(M8,0)*M9</f>
        <v>4</v>
      </c>
      <c r="N10" s="15">
        <f>SUM(E10:M10)</f>
        <v>274</v>
      </c>
      <c r="O10" s="14">
        <f>N7+N10</f>
        <v>8373.9408323229036</v>
      </c>
      <c r="P10" s="65"/>
      <c r="Q10" s="65"/>
      <c r="R10" s="65"/>
      <c r="S10" s="65"/>
      <c r="T10" s="65"/>
    </row>
    <row r="11" spans="1:21" ht="17" thickBot="1">
      <c r="A11" s="66" t="s">
        <v>32</v>
      </c>
      <c r="B11" s="67"/>
      <c r="D11" s="8" t="s">
        <v>33</v>
      </c>
      <c r="E11">
        <f>IF(E3&gt;0, 1, 0)</f>
        <v>1</v>
      </c>
      <c r="F11">
        <f t="shared" ref="F11:H11" si="9">IF(F3&gt;0, 1, 0)</f>
        <v>1</v>
      </c>
      <c r="G11">
        <f t="shared" si="9"/>
        <v>1</v>
      </c>
      <c r="H11">
        <f t="shared" si="9"/>
        <v>1</v>
      </c>
      <c r="I11" s="14">
        <f>IF(I3&gt;0, 1, 0)</f>
        <v>1</v>
      </c>
      <c r="J11" s="14">
        <f t="shared" ref="J11:K11" si="10">IF(J3&gt;0, 1, 0)</f>
        <v>1</v>
      </c>
      <c r="K11" s="14">
        <f t="shared" si="10"/>
        <v>1</v>
      </c>
      <c r="L11" s="14">
        <f>IF(L3&gt;0, 1, 0)</f>
        <v>1</v>
      </c>
      <c r="M11" s="14">
        <f>IF(M3&gt;0, 1, 0)</f>
        <v>1</v>
      </c>
      <c r="N11" s="15">
        <f>SUM(E11:M11)</f>
        <v>9</v>
      </c>
      <c r="O11">
        <v>10526</v>
      </c>
      <c r="P11" s="65"/>
      <c r="Q11" s="65"/>
      <c r="R11" s="65"/>
      <c r="S11" s="65"/>
      <c r="T11" s="65"/>
    </row>
    <row r="12" spans="1:21">
      <c r="A12" s="8" t="s">
        <v>15</v>
      </c>
      <c r="B12" s="18">
        <v>20000</v>
      </c>
      <c r="D12" s="8" t="s">
        <v>34</v>
      </c>
      <c r="E12">
        <f t="shared" ref="E12:M12" si="11">IF(E3&gt;0, E3/ROUNDUP(E8, 0), 0)</f>
        <v>100</v>
      </c>
      <c r="F12">
        <f t="shared" si="11"/>
        <v>100</v>
      </c>
      <c r="G12" s="19">
        <f t="shared" si="11"/>
        <v>99.99775520272857</v>
      </c>
      <c r="H12">
        <f t="shared" si="11"/>
        <v>99.992009381990385</v>
      </c>
      <c r="I12">
        <f t="shared" si="11"/>
        <v>99.992009385454196</v>
      </c>
      <c r="J12">
        <f t="shared" si="11"/>
        <v>99.992009385454196</v>
      </c>
      <c r="K12">
        <f t="shared" si="11"/>
        <v>99.992009385454196</v>
      </c>
      <c r="L12">
        <f>IF(L3&gt;0, L3/ROUNDUP(L8, 0), 0)</f>
        <v>99.992009385454196</v>
      </c>
      <c r="M12">
        <f t="shared" si="11"/>
        <v>99.992009385454196</v>
      </c>
      <c r="N12" s="15"/>
      <c r="P12" s="65"/>
      <c r="Q12" s="65"/>
      <c r="R12" s="65"/>
      <c r="S12" s="65"/>
      <c r="T12" s="65"/>
    </row>
    <row r="13" spans="1:21" ht="17" thickBot="1">
      <c r="A13" s="8" t="s">
        <v>35</v>
      </c>
      <c r="B13" s="20">
        <f>B12*0.4</f>
        <v>8000</v>
      </c>
      <c r="D13" s="21" t="s">
        <v>36</v>
      </c>
      <c r="E13" s="22">
        <v>100</v>
      </c>
      <c r="F13" s="22">
        <v>100</v>
      </c>
      <c r="G13" s="22">
        <v>100</v>
      </c>
      <c r="H13" s="22">
        <v>100</v>
      </c>
      <c r="I13" s="23">
        <f>$H$13</f>
        <v>100</v>
      </c>
      <c r="J13" s="23">
        <f t="shared" ref="J13:M13" si="12">$H$13</f>
        <v>100</v>
      </c>
      <c r="K13" s="23">
        <f t="shared" si="12"/>
        <v>100</v>
      </c>
      <c r="L13" s="23">
        <f t="shared" si="12"/>
        <v>100</v>
      </c>
      <c r="M13" s="23">
        <f t="shared" si="12"/>
        <v>100</v>
      </c>
      <c r="N13" s="24"/>
      <c r="P13" s="65"/>
      <c r="Q13" s="65"/>
      <c r="R13" s="65"/>
      <c r="S13" s="65"/>
      <c r="T13" s="65"/>
    </row>
    <row r="14" spans="1:21" ht="17" thickBot="1">
      <c r="A14" s="8" t="s">
        <v>31</v>
      </c>
      <c r="B14" s="25">
        <v>526</v>
      </c>
      <c r="D14" s="26"/>
      <c r="E14" s="26"/>
      <c r="F14" s="26"/>
      <c r="G14" s="26"/>
      <c r="H14" s="26"/>
      <c r="I14" s="27"/>
      <c r="J14" s="27"/>
      <c r="K14" s="27"/>
      <c r="L14" s="27"/>
      <c r="M14" s="27"/>
      <c r="N14" s="27"/>
      <c r="P14" s="28"/>
    </row>
    <row r="15" spans="1:21" ht="21" customHeight="1" thickBot="1">
      <c r="A15" s="29" t="s">
        <v>37</v>
      </c>
      <c r="B15" s="30">
        <f>B13/B14</f>
        <v>15.209125475285171</v>
      </c>
      <c r="D15" s="68" t="s">
        <v>38</v>
      </c>
      <c r="E15" s="69"/>
      <c r="F15" s="69"/>
      <c r="G15" s="69"/>
      <c r="H15" s="69"/>
      <c r="I15" s="69"/>
      <c r="J15" s="69"/>
      <c r="K15" s="69"/>
      <c r="L15" s="69"/>
      <c r="M15" s="69"/>
      <c r="N15" s="70"/>
      <c r="P15" s="31" t="s">
        <v>39</v>
      </c>
      <c r="Q15" s="31"/>
      <c r="R15" s="31"/>
      <c r="S15" s="31"/>
      <c r="T15" s="31"/>
    </row>
    <row r="16" spans="1:21" ht="16" customHeight="1" thickBot="1">
      <c r="A16" s="32"/>
      <c r="B16" s="32"/>
      <c r="D16" s="8"/>
      <c r="E16" t="s">
        <v>3</v>
      </c>
      <c r="F16" t="s">
        <v>4</v>
      </c>
      <c r="G16" t="s">
        <v>5</v>
      </c>
      <c r="H16" t="s">
        <v>6</v>
      </c>
      <c r="I16" t="s">
        <v>7</v>
      </c>
      <c r="J16" t="s">
        <v>8</v>
      </c>
      <c r="K16" t="s">
        <v>9</v>
      </c>
      <c r="L16" t="s">
        <v>10</v>
      </c>
      <c r="M16" t="s">
        <v>11</v>
      </c>
      <c r="N16" s="10" t="s">
        <v>12</v>
      </c>
      <c r="P16" s="60" t="s">
        <v>40</v>
      </c>
      <c r="Q16" s="60"/>
      <c r="R16" s="60"/>
      <c r="S16" s="60"/>
      <c r="T16" s="60"/>
      <c r="U16" t="s">
        <v>14</v>
      </c>
    </row>
    <row r="17" spans="1:21" ht="17" thickBot="1">
      <c r="A17" s="66" t="s">
        <v>41</v>
      </c>
      <c r="B17" s="67"/>
      <c r="D17" s="8" t="s">
        <v>42</v>
      </c>
      <c r="E17" s="33">
        <f xml:space="preserve"> E4*E3</f>
        <v>75000</v>
      </c>
      <c r="F17" s="33">
        <f t="shared" ref="F17:G17" si="13" xml:space="preserve"> F4*F3</f>
        <v>30000</v>
      </c>
      <c r="G17" s="33">
        <f t="shared" si="13"/>
        <v>7749.8260282114643</v>
      </c>
      <c r="H17" s="33">
        <f xml:space="preserve"> H4*H3</f>
        <v>1649.8681548028414</v>
      </c>
      <c r="I17" s="33">
        <f xml:space="preserve"> I4*I3</f>
        <v>1649.8681548599943</v>
      </c>
      <c r="J17" s="33">
        <f t="shared" ref="J17:M17" si="14" xml:space="preserve"> J4*J3</f>
        <v>1649.8681548599943</v>
      </c>
      <c r="K17" s="33">
        <f t="shared" si="14"/>
        <v>1649.8681548599943</v>
      </c>
      <c r="L17" s="33">
        <f xml:space="preserve"> L4*L3</f>
        <v>1649.8681548599943</v>
      </c>
      <c r="M17" s="33">
        <f t="shared" si="14"/>
        <v>1649.8681548599943</v>
      </c>
      <c r="N17" s="34">
        <f>SUM(E17:M17)</f>
        <v>122649.0349573143</v>
      </c>
      <c r="O17" s="35"/>
      <c r="P17" s="60"/>
      <c r="Q17" s="60"/>
      <c r="R17" s="60"/>
      <c r="S17" s="60"/>
      <c r="T17" s="60"/>
      <c r="U17" t="s">
        <v>43</v>
      </c>
    </row>
    <row r="18" spans="1:21">
      <c r="A18" s="8" t="s">
        <v>15</v>
      </c>
      <c r="B18" s="36">
        <f>SUM(N20:N22)</f>
        <v>11567.300380228138</v>
      </c>
      <c r="D18" s="8" t="s">
        <v>44</v>
      </c>
      <c r="E18" s="37">
        <f t="shared" ref="E18:M18" si="15">E5*E3</f>
        <v>25000</v>
      </c>
      <c r="F18" s="37">
        <f t="shared" si="15"/>
        <v>10000</v>
      </c>
      <c r="G18" s="37">
        <f t="shared" si="15"/>
        <v>2599.9416352709427</v>
      </c>
      <c r="H18" s="37">
        <f t="shared" si="15"/>
        <v>549.95605160094715</v>
      </c>
      <c r="I18" s="37">
        <f t="shared" si="15"/>
        <v>549.95605161999811</v>
      </c>
      <c r="J18" s="37">
        <f t="shared" si="15"/>
        <v>549.95605161999811</v>
      </c>
      <c r="K18" s="37">
        <f t="shared" si="15"/>
        <v>549.95605161999811</v>
      </c>
      <c r="L18" s="37">
        <f t="shared" si="15"/>
        <v>549.95605161999811</v>
      </c>
      <c r="M18" s="37">
        <f t="shared" si="15"/>
        <v>549.95605161999811</v>
      </c>
      <c r="N18" s="38">
        <f>SUM(E18:M18)</f>
        <v>40899.677944971889</v>
      </c>
      <c r="O18" s="35"/>
      <c r="P18" s="60"/>
      <c r="Q18" s="60"/>
      <c r="R18" s="60"/>
      <c r="S18" s="60"/>
      <c r="T18" s="60"/>
      <c r="U18" t="s">
        <v>45</v>
      </c>
    </row>
    <row r="19" spans="1:21">
      <c r="A19" s="8" t="s">
        <v>35</v>
      </c>
      <c r="B19" s="39">
        <f>B20*B21</f>
        <v>4167.3003802281373</v>
      </c>
      <c r="D19" s="8" t="s">
        <v>46</v>
      </c>
      <c r="E19" s="37">
        <f>E6*E3*10</f>
        <v>10000</v>
      </c>
      <c r="F19" s="37">
        <f>F6*F3*10</f>
        <v>4000</v>
      </c>
      <c r="G19" s="37">
        <f t="shared" ref="G19:M19" si="16">G6*G3*10</f>
        <v>999.9775520272857</v>
      </c>
      <c r="H19" s="37">
        <f t="shared" si="16"/>
        <v>199.98401876398077</v>
      </c>
      <c r="I19" s="37">
        <f t="shared" si="16"/>
        <v>199.98401877090842</v>
      </c>
      <c r="J19" s="37">
        <f t="shared" si="16"/>
        <v>199.98401877090842</v>
      </c>
      <c r="K19" s="37">
        <f t="shared" si="16"/>
        <v>199.98401877090842</v>
      </c>
      <c r="L19" s="37">
        <f>L6*L3*10</f>
        <v>199.98401877090842</v>
      </c>
      <c r="M19" s="37">
        <f t="shared" si="16"/>
        <v>199.98401877090842</v>
      </c>
      <c r="N19" s="38">
        <f>SUM(E19:M19)</f>
        <v>16199.881664645809</v>
      </c>
      <c r="O19" s="35"/>
      <c r="P19" s="60"/>
      <c r="Q19" s="60"/>
      <c r="R19" s="60"/>
      <c r="S19" s="60"/>
      <c r="T19" s="60"/>
    </row>
    <row r="20" spans="1:21">
      <c r="A20" s="8" t="s">
        <v>31</v>
      </c>
      <c r="B20" s="40">
        <f>N10</f>
        <v>274</v>
      </c>
      <c r="D20" s="8" t="s">
        <v>47</v>
      </c>
      <c r="E20" s="37">
        <f>E8*$B$47</f>
        <v>3333.3333333333335</v>
      </c>
      <c r="F20" s="37">
        <f t="shared" ref="F20:M20" si="17">F8*$B$47</f>
        <v>1333.3333333333335</v>
      </c>
      <c r="G20" s="37">
        <f t="shared" si="17"/>
        <v>333.33333333333337</v>
      </c>
      <c r="H20" s="37">
        <f t="shared" si="17"/>
        <v>66.666666666666671</v>
      </c>
      <c r="I20" s="37">
        <f>I8*$B$47</f>
        <v>66.666666666666671</v>
      </c>
      <c r="J20" s="37">
        <f t="shared" si="17"/>
        <v>66.666666666666671</v>
      </c>
      <c r="K20" s="37">
        <f t="shared" si="17"/>
        <v>66.666666666666671</v>
      </c>
      <c r="L20" s="37">
        <f>L8*$B$47</f>
        <v>66.666666666666671</v>
      </c>
      <c r="M20" s="37">
        <f t="shared" si="17"/>
        <v>66.666666666666671</v>
      </c>
      <c r="N20" s="38">
        <f>SUM(E20:M20)</f>
        <v>5400.0000000000018</v>
      </c>
      <c r="O20" s="35"/>
      <c r="P20" s="60"/>
      <c r="Q20" s="60"/>
      <c r="R20" s="60"/>
      <c r="S20" s="60"/>
      <c r="T20" s="60"/>
    </row>
    <row r="21" spans="1:21" ht="35" thickBot="1">
      <c r="A21" s="29" t="s">
        <v>37</v>
      </c>
      <c r="B21" s="41">
        <f>B15</f>
        <v>15.209125475285171</v>
      </c>
      <c r="D21" s="8" t="s">
        <v>35</v>
      </c>
      <c r="E21" s="37">
        <f>E10*$B$21</f>
        <v>3041.8250950570341</v>
      </c>
      <c r="F21" s="37">
        <f t="shared" ref="F21:M21" si="18">F10*$B$21</f>
        <v>304.18250950570342</v>
      </c>
      <c r="G21" s="37">
        <f t="shared" si="18"/>
        <v>456.27376425855516</v>
      </c>
      <c r="H21" s="37">
        <f t="shared" si="18"/>
        <v>60.836501901140686</v>
      </c>
      <c r="I21" s="37">
        <f>I10*$B$21</f>
        <v>60.836501901140686</v>
      </c>
      <c r="J21" s="37">
        <f t="shared" si="18"/>
        <v>60.836501901140686</v>
      </c>
      <c r="K21" s="37">
        <f t="shared" si="18"/>
        <v>60.836501901140686</v>
      </c>
      <c r="L21" s="37">
        <f>L10*$B$21</f>
        <v>60.836501901140686</v>
      </c>
      <c r="M21" s="37">
        <f t="shared" si="18"/>
        <v>60.836501901140686</v>
      </c>
      <c r="N21" s="38">
        <f>SUM(E21:M21)</f>
        <v>4167.3003802281373</v>
      </c>
      <c r="O21" s="35"/>
      <c r="P21" s="28"/>
      <c r="Q21" s="28"/>
      <c r="R21" s="28"/>
      <c r="S21" s="28"/>
      <c r="T21" s="28"/>
    </row>
    <row r="22" spans="1:21" ht="17" thickBot="1">
      <c r="A22" s="28"/>
      <c r="B22" s="28"/>
      <c r="D22" s="8" t="s">
        <v>48</v>
      </c>
      <c r="E22" s="42">
        <f>($N$22/$N$3)*E3</f>
        <v>1234.5769193887056</v>
      </c>
      <c r="F22" s="42">
        <f t="shared" ref="F22:M22" si="19">($N$22/$N$3)*F3</f>
        <v>493.83076775548227</v>
      </c>
      <c r="G22" s="42">
        <f t="shared" si="19"/>
        <v>123.45492056397056</v>
      </c>
      <c r="H22" s="42">
        <f t="shared" si="19"/>
        <v>24.689565381260849</v>
      </c>
      <c r="I22" s="42">
        <f t="shared" si="19"/>
        <v>24.689565382116118</v>
      </c>
      <c r="J22" s="42">
        <f t="shared" si="19"/>
        <v>24.689565382116118</v>
      </c>
      <c r="K22" s="42">
        <f t="shared" si="19"/>
        <v>24.689565382116118</v>
      </c>
      <c r="L22" s="42">
        <f>($N$22/$N$3)*L3</f>
        <v>24.689565382116118</v>
      </c>
      <c r="M22" s="42">
        <f t="shared" si="19"/>
        <v>24.689565382116118</v>
      </c>
      <c r="N22" s="38">
        <f>B48</f>
        <v>2000</v>
      </c>
      <c r="O22" s="35"/>
      <c r="P22" s="31" t="s">
        <v>49</v>
      </c>
      <c r="Q22" s="28"/>
      <c r="R22" s="28"/>
      <c r="S22" s="28"/>
      <c r="T22" s="28"/>
    </row>
    <row r="23" spans="1:21">
      <c r="A23" s="63" t="s">
        <v>50</v>
      </c>
      <c r="B23" s="64"/>
      <c r="D23" s="8" t="s">
        <v>51</v>
      </c>
      <c r="E23" s="37">
        <f t="shared" ref="E23:M23" si="20">$N$23*SUM(E19:E22)/SUM($N$19:$N$22)</f>
        <v>10147.078126585757</v>
      </c>
      <c r="F23" s="37">
        <f t="shared" si="20"/>
        <v>3533.0032990374216</v>
      </c>
      <c r="G23" s="37">
        <f t="shared" si="20"/>
        <v>1102.3312727040275</v>
      </c>
      <c r="H23" s="37">
        <f t="shared" si="20"/>
        <v>202.93121694172854</v>
      </c>
      <c r="I23" s="37">
        <f t="shared" si="20"/>
        <v>202.9312169462132</v>
      </c>
      <c r="J23" s="37">
        <f t="shared" si="20"/>
        <v>202.9312169462132</v>
      </c>
      <c r="K23" s="37">
        <f t="shared" si="20"/>
        <v>202.9312169462132</v>
      </c>
      <c r="L23" s="37">
        <f t="shared" si="20"/>
        <v>202.9312169462132</v>
      </c>
      <c r="M23" s="37">
        <f t="shared" si="20"/>
        <v>202.9312169462132</v>
      </c>
      <c r="N23" s="38">
        <v>16000</v>
      </c>
      <c r="O23" s="35"/>
      <c r="P23" s="60" t="s">
        <v>52</v>
      </c>
      <c r="Q23" s="60"/>
      <c r="R23" s="60"/>
      <c r="S23" s="60"/>
      <c r="T23" s="60"/>
      <c r="U23" t="s">
        <v>14</v>
      </c>
    </row>
    <row r="24" spans="1:21" ht="15" customHeight="1">
      <c r="A24" s="43" t="s">
        <v>53</v>
      </c>
      <c r="B24" s="44">
        <v>10000</v>
      </c>
      <c r="D24" s="8" t="s">
        <v>54</v>
      </c>
      <c r="E24" s="37">
        <f t="shared" ref="E24:M24" si="21">$N$24/$N$8*E8</f>
        <v>4938.2716049382716</v>
      </c>
      <c r="F24" s="37">
        <f t="shared" si="21"/>
        <v>1975.3086419753085</v>
      </c>
      <c r="G24" s="37">
        <f t="shared" si="21"/>
        <v>493.82716049382714</v>
      </c>
      <c r="H24" s="37">
        <f t="shared" si="21"/>
        <v>98.76543209876543</v>
      </c>
      <c r="I24" s="37">
        <f t="shared" si="21"/>
        <v>98.76543209876543</v>
      </c>
      <c r="J24" s="37">
        <f t="shared" si="21"/>
        <v>98.76543209876543</v>
      </c>
      <c r="K24" s="37">
        <f t="shared" si="21"/>
        <v>98.76543209876543</v>
      </c>
      <c r="L24" s="37">
        <f t="shared" si="21"/>
        <v>98.76543209876543</v>
      </c>
      <c r="M24" s="37">
        <f t="shared" si="21"/>
        <v>98.76543209876543</v>
      </c>
      <c r="N24" s="38">
        <f>B5*0.8</f>
        <v>8000</v>
      </c>
      <c r="O24" s="35"/>
      <c r="P24" s="60"/>
      <c r="Q24" s="60"/>
      <c r="R24" s="60"/>
      <c r="S24" s="60"/>
      <c r="T24" s="60"/>
      <c r="U24" t="s">
        <v>55</v>
      </c>
    </row>
    <row r="25" spans="1:21">
      <c r="A25" s="43" t="s">
        <v>56</v>
      </c>
      <c r="B25" s="44">
        <v>150</v>
      </c>
      <c r="D25" s="8" t="s">
        <v>57</v>
      </c>
      <c r="E25" s="42">
        <f>($N$25/$N$3)*E3</f>
        <v>1234.5769193887056</v>
      </c>
      <c r="F25" s="42">
        <f t="shared" ref="F25:M25" si="22">($N$25/$N$3)*F3</f>
        <v>493.83076775548227</v>
      </c>
      <c r="G25" s="42">
        <f t="shared" si="22"/>
        <v>123.45492056397056</v>
      </c>
      <c r="H25" s="42">
        <f t="shared" si="22"/>
        <v>24.689565381260849</v>
      </c>
      <c r="I25" s="42">
        <f t="shared" si="22"/>
        <v>24.689565382116118</v>
      </c>
      <c r="J25" s="42">
        <f t="shared" si="22"/>
        <v>24.689565382116118</v>
      </c>
      <c r="K25" s="42">
        <f t="shared" si="22"/>
        <v>24.689565382116118</v>
      </c>
      <c r="L25" s="42">
        <f>($N$25/$N$3)*L3</f>
        <v>24.689565382116118</v>
      </c>
      <c r="M25" s="42">
        <f t="shared" si="22"/>
        <v>24.689565382116118</v>
      </c>
      <c r="N25" s="38">
        <f>B5*0.2</f>
        <v>2000</v>
      </c>
      <c r="O25" s="35"/>
      <c r="P25" s="60"/>
      <c r="Q25" s="60"/>
      <c r="R25" s="60"/>
      <c r="S25" s="60"/>
      <c r="T25" s="60"/>
      <c r="U25" t="s">
        <v>58</v>
      </c>
    </row>
    <row r="26" spans="1:21">
      <c r="A26" s="43" t="s">
        <v>59</v>
      </c>
      <c r="B26" s="44">
        <v>10000</v>
      </c>
      <c r="D26" s="8" t="s">
        <v>23</v>
      </c>
      <c r="E26" s="42">
        <f>($N$26/$N$3)*E3</f>
        <v>4938.3076775548225</v>
      </c>
      <c r="F26" s="42">
        <f t="shared" ref="F26:M26" si="23">($N$26/$N$3)*F3</f>
        <v>1975.3230710219291</v>
      </c>
      <c r="G26" s="42">
        <f t="shared" si="23"/>
        <v>493.81968225588224</v>
      </c>
      <c r="H26" s="42">
        <f t="shared" si="23"/>
        <v>98.758261525043395</v>
      </c>
      <c r="I26" s="42">
        <f t="shared" si="23"/>
        <v>98.758261528464473</v>
      </c>
      <c r="J26" s="42">
        <f t="shared" si="23"/>
        <v>98.758261528464473</v>
      </c>
      <c r="K26" s="42">
        <f t="shared" si="23"/>
        <v>98.758261528464473</v>
      </c>
      <c r="L26" s="42">
        <f>($N$26/$N$3)*L3</f>
        <v>98.758261528464473</v>
      </c>
      <c r="M26" s="42">
        <f t="shared" si="23"/>
        <v>98.758261528464473</v>
      </c>
      <c r="N26" s="38">
        <v>8000</v>
      </c>
      <c r="O26" s="35"/>
      <c r="P26" s="60"/>
      <c r="Q26" s="60"/>
      <c r="R26" s="60"/>
      <c r="S26" s="60"/>
      <c r="T26" s="60"/>
    </row>
    <row r="27" spans="1:21">
      <c r="A27" s="43" t="s">
        <v>60</v>
      </c>
      <c r="B27" s="10">
        <f>B24/150</f>
        <v>66.666666666666671</v>
      </c>
      <c r="D27" s="8" t="s">
        <v>25</v>
      </c>
      <c r="E27" s="42">
        <f>($N$27/$N$3)*E3</f>
        <v>2469.1538387774112</v>
      </c>
      <c r="F27" s="42">
        <f t="shared" ref="F27:K27" si="24">($N$27/$N$3)*F3</f>
        <v>987.66153551096454</v>
      </c>
      <c r="G27" s="42">
        <f t="shared" si="24"/>
        <v>246.90984112794112</v>
      </c>
      <c r="H27" s="42">
        <f t="shared" si="24"/>
        <v>49.379130762521697</v>
      </c>
      <c r="I27" s="42">
        <f t="shared" si="24"/>
        <v>49.379130764232237</v>
      </c>
      <c r="J27" s="42">
        <f t="shared" si="24"/>
        <v>49.379130764232237</v>
      </c>
      <c r="K27" s="42">
        <f t="shared" si="24"/>
        <v>49.379130764232237</v>
      </c>
      <c r="L27" s="42">
        <f>($N$27/$N$3)*L3</f>
        <v>49.379130764232237</v>
      </c>
      <c r="M27" s="42">
        <f>($N$27/$N$3)*M3</f>
        <v>49.379130764232237</v>
      </c>
      <c r="N27" s="38">
        <v>4000</v>
      </c>
      <c r="O27" s="35"/>
      <c r="P27" s="60"/>
      <c r="Q27" s="60"/>
      <c r="R27" s="60"/>
      <c r="S27" s="60"/>
      <c r="T27" s="60"/>
    </row>
    <row r="28" spans="1:21">
      <c r="A28" s="43" t="s">
        <v>61</v>
      </c>
      <c r="B28" s="10">
        <f>B26/B25</f>
        <v>66.666666666666671</v>
      </c>
      <c r="D28" s="8" t="s">
        <v>27</v>
      </c>
      <c r="E28" s="42">
        <f>($N$28/$N$3)*E3</f>
        <v>1234.5769193887056</v>
      </c>
      <c r="F28" s="42">
        <f t="shared" ref="F28:M28" si="25">($N$28/$N$3)*F3</f>
        <v>493.83076775548227</v>
      </c>
      <c r="G28" s="42">
        <f t="shared" si="25"/>
        <v>123.45492056397056</v>
      </c>
      <c r="H28" s="42">
        <f t="shared" si="25"/>
        <v>24.689565381260849</v>
      </c>
      <c r="I28" s="42">
        <f t="shared" si="25"/>
        <v>24.689565382116118</v>
      </c>
      <c r="J28" s="42">
        <f t="shared" si="25"/>
        <v>24.689565382116118</v>
      </c>
      <c r="K28" s="42">
        <f t="shared" si="25"/>
        <v>24.689565382116118</v>
      </c>
      <c r="L28" s="42">
        <f>($N$28/$N$3)*L3</f>
        <v>24.689565382116118</v>
      </c>
      <c r="M28" s="42">
        <f t="shared" si="25"/>
        <v>24.689565382116118</v>
      </c>
      <c r="N28" s="38">
        <v>2000</v>
      </c>
      <c r="O28" s="35"/>
    </row>
    <row r="29" spans="1:21">
      <c r="A29" s="43" t="s">
        <v>62</v>
      </c>
      <c r="B29" s="44">
        <v>526</v>
      </c>
      <c r="D29" s="8" t="s">
        <v>63</v>
      </c>
      <c r="E29" s="37">
        <f>SUM(E18:E28)</f>
        <v>67571.700434412749</v>
      </c>
      <c r="F29" s="37">
        <f>SUM(F18:F28)</f>
        <v>25590.304693651109</v>
      </c>
      <c r="G29" s="37">
        <f>SUM(G18:G28)</f>
        <v>7096.779003163706</v>
      </c>
      <c r="H29" s="37">
        <f t="shared" ref="H29:M29" si="26">SUM(H18:H28)</f>
        <v>1401.3459764045767</v>
      </c>
      <c r="I29" s="37">
        <f t="shared" si="26"/>
        <v>1401.3459764427375</v>
      </c>
      <c r="J29" s="37">
        <f t="shared" si="26"/>
        <v>1401.3459764427375</v>
      </c>
      <c r="K29" s="37">
        <f>SUM(K18:K28)</f>
        <v>1401.3459764427375</v>
      </c>
      <c r="L29" s="37">
        <f>SUM(L18:L28)</f>
        <v>1401.3459764427375</v>
      </c>
      <c r="M29" s="37">
        <f t="shared" si="26"/>
        <v>1401.3459764427375</v>
      </c>
      <c r="N29" s="34">
        <f>SUM(N18:N28)</f>
        <v>108666.85998984583</v>
      </c>
      <c r="O29" s="35"/>
      <c r="P29" s="31" t="s">
        <v>64</v>
      </c>
    </row>
    <row r="30" spans="1:21" ht="15" customHeight="1" thickBot="1">
      <c r="A30" s="45" t="s">
        <v>65</v>
      </c>
      <c r="B30" s="46">
        <f>B24+B29</f>
        <v>10526</v>
      </c>
      <c r="D30" s="8" t="s">
        <v>66</v>
      </c>
      <c r="E30" s="37">
        <f t="shared" ref="E30:M30" si="27">E17-E29</f>
        <v>7428.299565587251</v>
      </c>
      <c r="F30" s="37">
        <f t="shared" si="27"/>
        <v>4409.6953063488909</v>
      </c>
      <c r="G30" s="37">
        <f t="shared" si="27"/>
        <v>653.04702504775832</v>
      </c>
      <c r="H30" s="37">
        <f t="shared" si="27"/>
        <v>248.52217839826471</v>
      </c>
      <c r="I30" s="37">
        <f t="shared" si="27"/>
        <v>248.52217841725678</v>
      </c>
      <c r="J30" s="37">
        <f t="shared" si="27"/>
        <v>248.52217841725678</v>
      </c>
      <c r="K30" s="37">
        <f t="shared" si="27"/>
        <v>248.52217841725678</v>
      </c>
      <c r="L30" s="37">
        <f t="shared" si="27"/>
        <v>248.52217841725678</v>
      </c>
      <c r="M30" s="37">
        <f t="shared" si="27"/>
        <v>248.52217841725678</v>
      </c>
      <c r="N30" s="47">
        <f>SUM(E30:M30)</f>
        <v>13982.174967468452</v>
      </c>
      <c r="O30" s="48">
        <f>N17-N29</f>
        <v>13982.174967468469</v>
      </c>
      <c r="P30" s="60" t="s">
        <v>67</v>
      </c>
      <c r="Q30" s="60"/>
      <c r="R30" s="60"/>
      <c r="S30" s="60"/>
      <c r="T30" s="60"/>
    </row>
    <row r="31" spans="1:21" ht="17" thickBot="1">
      <c r="A31" s="28"/>
      <c r="D31" s="21" t="s">
        <v>68</v>
      </c>
      <c r="E31" s="49">
        <f>IF(E11=1, E30/E17, 0)</f>
        <v>9.9043994207830013E-2</v>
      </c>
      <c r="F31" s="49">
        <f t="shared" ref="F31:M31" si="28">IF(F11=1, F30/F17, 0)</f>
        <v>0.14698984354496303</v>
      </c>
      <c r="G31" s="49">
        <f t="shared" si="28"/>
        <v>8.4266023865631354E-2</v>
      </c>
      <c r="H31" s="49">
        <f t="shared" si="28"/>
        <v>0.15063153845039395</v>
      </c>
      <c r="I31" s="49">
        <f t="shared" si="28"/>
        <v>0.1506315384566872</v>
      </c>
      <c r="J31" s="49">
        <f t="shared" si="28"/>
        <v>0.1506315384566872</v>
      </c>
      <c r="K31" s="49">
        <f t="shared" si="28"/>
        <v>0.1506315384566872</v>
      </c>
      <c r="L31" s="49">
        <f>IF(L11=1, L30/L17, 0)</f>
        <v>0.1506315384566872</v>
      </c>
      <c r="M31" s="49">
        <f t="shared" si="28"/>
        <v>0.1506315384566872</v>
      </c>
      <c r="N31" s="50">
        <f>N30/N17</f>
        <v>0.11400150822495005</v>
      </c>
      <c r="O31" s="51"/>
      <c r="P31" s="60"/>
      <c r="Q31" s="60"/>
      <c r="R31" s="60"/>
      <c r="S31" s="60"/>
      <c r="T31" s="60"/>
    </row>
    <row r="32" spans="1:21" ht="17" thickBot="1">
      <c r="A32" s="61" t="s">
        <v>69</v>
      </c>
      <c r="B32" s="62"/>
      <c r="P32" s="60"/>
      <c r="Q32" s="60"/>
      <c r="R32" s="60"/>
      <c r="S32" s="60"/>
      <c r="T32" s="60"/>
    </row>
    <row r="33" spans="1:20">
      <c r="A33" s="52" t="s">
        <v>70</v>
      </c>
      <c r="B33" s="5">
        <v>5000</v>
      </c>
      <c r="D33" s="3" t="s">
        <v>71</v>
      </c>
      <c r="E33" s="4" t="s">
        <v>72</v>
      </c>
      <c r="F33" s="4"/>
      <c r="G33" s="5" t="s">
        <v>73</v>
      </c>
      <c r="P33" s="60"/>
      <c r="Q33" s="60"/>
      <c r="R33" s="60"/>
      <c r="S33" s="60"/>
      <c r="T33" s="60"/>
    </row>
    <row r="34" spans="1:20">
      <c r="A34" s="43" t="s">
        <v>74</v>
      </c>
      <c r="B34" s="10">
        <v>50</v>
      </c>
      <c r="D34" s="8" t="s">
        <v>75</v>
      </c>
      <c r="E34">
        <f>E3</f>
        <v>5000</v>
      </c>
      <c r="F34" t="s">
        <v>76</v>
      </c>
      <c r="G34" s="10">
        <v>5000</v>
      </c>
      <c r="P34" s="60"/>
      <c r="Q34" s="60"/>
      <c r="R34" s="60"/>
      <c r="S34" s="60"/>
      <c r="T34" s="60"/>
    </row>
    <row r="35" spans="1:20">
      <c r="A35" s="43" t="s">
        <v>77</v>
      </c>
      <c r="B35" s="10">
        <v>5000</v>
      </c>
      <c r="D35" s="8" t="s">
        <v>78</v>
      </c>
      <c r="E35">
        <f>F3</f>
        <v>2000</v>
      </c>
      <c r="F35" t="s">
        <v>76</v>
      </c>
      <c r="G35" s="10">
        <v>4000</v>
      </c>
    </row>
    <row r="36" spans="1:20">
      <c r="A36" s="43" t="s">
        <v>79</v>
      </c>
      <c r="B36" s="10">
        <f>B33/B34</f>
        <v>100</v>
      </c>
      <c r="D36" s="8" t="s">
        <v>80</v>
      </c>
      <c r="E36">
        <f>G3</f>
        <v>499.98877601364285</v>
      </c>
      <c r="F36" t="s">
        <v>76</v>
      </c>
      <c r="G36" s="10">
        <v>900</v>
      </c>
    </row>
    <row r="37" spans="1:20">
      <c r="A37" s="43" t="s">
        <v>81</v>
      </c>
      <c r="B37" s="10">
        <f>B35/B34</f>
        <v>100</v>
      </c>
      <c r="D37" s="8" t="s">
        <v>82</v>
      </c>
      <c r="E37">
        <f>H3</f>
        <v>99.992009381990385</v>
      </c>
      <c r="F37" t="s">
        <v>76</v>
      </c>
      <c r="G37" s="10">
        <v>100</v>
      </c>
    </row>
    <row r="38" spans="1:20">
      <c r="A38" s="43" t="s">
        <v>83</v>
      </c>
      <c r="B38" s="53">
        <f>B30</f>
        <v>10526</v>
      </c>
      <c r="D38" s="8" t="s">
        <v>84</v>
      </c>
      <c r="E38">
        <f>I3</f>
        <v>99.992009385454196</v>
      </c>
      <c r="F38" t="s">
        <v>76</v>
      </c>
      <c r="G38" s="10">
        <v>100</v>
      </c>
    </row>
    <row r="39" spans="1:20">
      <c r="A39" s="43" t="s">
        <v>85</v>
      </c>
      <c r="B39" s="15">
        <f>N8</f>
        <v>81</v>
      </c>
      <c r="D39" s="8" t="s">
        <v>86</v>
      </c>
      <c r="E39">
        <f>J3</f>
        <v>99.992009385454196</v>
      </c>
      <c r="F39" t="s">
        <v>76</v>
      </c>
      <c r="G39" s="10">
        <v>100</v>
      </c>
    </row>
    <row r="40" spans="1:20">
      <c r="A40" s="43" t="s">
        <v>87</v>
      </c>
      <c r="B40" s="10">
        <f>B39*B37</f>
        <v>8100</v>
      </c>
      <c r="D40" s="8" t="s">
        <v>88</v>
      </c>
      <c r="E40">
        <f>K3</f>
        <v>99.992009385454196</v>
      </c>
      <c r="F40" t="s">
        <v>76</v>
      </c>
      <c r="G40" s="10">
        <v>100</v>
      </c>
    </row>
    <row r="41" spans="1:20">
      <c r="A41" s="43" t="s">
        <v>89</v>
      </c>
      <c r="B41" s="15">
        <f>N10</f>
        <v>274</v>
      </c>
      <c r="D41" s="8" t="s">
        <v>90</v>
      </c>
      <c r="E41">
        <f>L3</f>
        <v>99.992009385454196</v>
      </c>
      <c r="F41" t="s">
        <v>76</v>
      </c>
      <c r="G41" s="10">
        <v>100</v>
      </c>
    </row>
    <row r="42" spans="1:20" ht="17" thickBot="1">
      <c r="A42" s="45" t="s">
        <v>91</v>
      </c>
      <c r="B42" s="54">
        <f>B40+B41</f>
        <v>8374</v>
      </c>
      <c r="D42" s="8" t="s">
        <v>92</v>
      </c>
      <c r="E42">
        <f>M3</f>
        <v>99.992009385454196</v>
      </c>
      <c r="F42" t="s">
        <v>76</v>
      </c>
      <c r="G42" s="10">
        <v>100</v>
      </c>
    </row>
    <row r="43" spans="1:20" ht="17" thickBot="1">
      <c r="A43" s="28"/>
      <c r="D43" s="8" t="s">
        <v>93</v>
      </c>
      <c r="E43">
        <f>SUM(N20:N22)</f>
        <v>11567.300380228138</v>
      </c>
      <c r="F43" t="s">
        <v>76</v>
      </c>
      <c r="G43" s="55">
        <v>20000</v>
      </c>
    </row>
    <row r="44" spans="1:20" ht="17" thickBot="1">
      <c r="A44" s="63" t="s">
        <v>94</v>
      </c>
      <c r="B44" s="64"/>
      <c r="D44" s="21" t="s">
        <v>95</v>
      </c>
      <c r="E44" s="56">
        <f>B40+B41</f>
        <v>8374</v>
      </c>
      <c r="F44" s="22" t="s">
        <v>76</v>
      </c>
      <c r="G44" s="57">
        <f>B38</f>
        <v>10526</v>
      </c>
    </row>
    <row r="45" spans="1:20">
      <c r="A45" s="43" t="s">
        <v>96</v>
      </c>
      <c r="B45" s="58">
        <v>10000</v>
      </c>
    </row>
    <row r="46" spans="1:20">
      <c r="A46" s="43" t="s">
        <v>56</v>
      </c>
      <c r="B46" s="10">
        <v>150</v>
      </c>
    </row>
    <row r="47" spans="1:20">
      <c r="A47" s="43" t="s">
        <v>97</v>
      </c>
      <c r="B47" s="58">
        <f>B45/B46</f>
        <v>66.666666666666671</v>
      </c>
    </row>
    <row r="48" spans="1:20">
      <c r="A48" s="43" t="s">
        <v>98</v>
      </c>
      <c r="B48" s="18">
        <v>2000</v>
      </c>
    </row>
    <row r="49" spans="1:2" ht="17" thickBot="1">
      <c r="A49" s="45" t="s">
        <v>99</v>
      </c>
      <c r="B49" s="59">
        <f>B48/4</f>
        <v>500</v>
      </c>
    </row>
  </sheetData>
  <mergeCells count="10">
    <mergeCell ref="P30:T34"/>
    <mergeCell ref="A32:B32"/>
    <mergeCell ref="A44:B44"/>
    <mergeCell ref="P2:T13"/>
    <mergeCell ref="A11:B11"/>
    <mergeCell ref="D15:N15"/>
    <mergeCell ref="P16:T20"/>
    <mergeCell ref="A17:B17"/>
    <mergeCell ref="A23:B23"/>
    <mergeCell ref="P23:T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2020-04-14T16:58:42Z</dcterms:created>
  <dcterms:modified xsi:type="dcterms:W3CDTF">2020-06-13T03:19:01Z</dcterms:modified>
</cp:coreProperties>
</file>