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heckCompatibility="1" autoCompressPictures="0"/>
  <bookViews>
    <workbookView xWindow="18640" yWindow="0" windowWidth="22740" windowHeight="26660"/>
  </bookViews>
  <sheets>
    <sheet name="Sheet1" sheetId="2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2" l="1"/>
  <c r="I49" i="2"/>
  <c r="B30" i="2"/>
  <c r="B31" i="2"/>
  <c r="B32" i="2"/>
  <c r="B33" i="2"/>
  <c r="B34" i="2"/>
  <c r="B35" i="2"/>
  <c r="B36" i="2"/>
  <c r="B37" i="2"/>
  <c r="B38" i="2"/>
  <c r="E30" i="2"/>
  <c r="E31" i="2"/>
  <c r="E32" i="2"/>
  <c r="E33" i="2"/>
  <c r="E34" i="2"/>
  <c r="E35" i="2"/>
  <c r="E36" i="2"/>
  <c r="E37" i="2"/>
  <c r="E38" i="2"/>
  <c r="D30" i="2"/>
  <c r="D31" i="2"/>
  <c r="D32" i="2"/>
  <c r="D33" i="2"/>
  <c r="D34" i="2"/>
  <c r="D35" i="2"/>
  <c r="D36" i="2"/>
  <c r="D37" i="2"/>
  <c r="D38" i="2"/>
  <c r="C30" i="2"/>
  <c r="C31" i="2"/>
  <c r="C32" i="2"/>
  <c r="C33" i="2"/>
  <c r="C34" i="2"/>
  <c r="C35" i="2"/>
  <c r="C36" i="2"/>
  <c r="C37" i="2"/>
  <c r="C38" i="2"/>
  <c r="F30" i="2"/>
  <c r="F31" i="2"/>
  <c r="F32" i="2"/>
  <c r="F33" i="2"/>
  <c r="F34" i="2"/>
  <c r="F35" i="2"/>
  <c r="F36" i="2"/>
  <c r="F37" i="2"/>
  <c r="F38" i="2"/>
  <c r="H30" i="2"/>
  <c r="J30" i="2"/>
  <c r="I43" i="2"/>
  <c r="I44" i="2"/>
  <c r="I45" i="2"/>
  <c r="B40" i="2"/>
  <c r="I37" i="2"/>
  <c r="I46" i="2"/>
  <c r="J38" i="2"/>
  <c r="J37" i="2"/>
  <c r="H46" i="2"/>
  <c r="L3" i="2"/>
  <c r="H45" i="2"/>
  <c r="H44" i="2"/>
  <c r="H43" i="2"/>
  <c r="L6" i="2"/>
  <c r="L4" i="2"/>
  <c r="L5" i="2"/>
  <c r="I38" i="2"/>
  <c r="J25" i="2"/>
  <c r="I25" i="2"/>
  <c r="J24" i="2"/>
  <c r="I24" i="2"/>
  <c r="B26" i="2"/>
  <c r="I11" i="2"/>
  <c r="I2" i="2"/>
  <c r="I3" i="2"/>
  <c r="I4" i="2"/>
  <c r="I5" i="2"/>
  <c r="I6" i="2"/>
  <c r="I7" i="2"/>
  <c r="I8" i="2"/>
  <c r="I9" i="2"/>
  <c r="I10" i="2"/>
  <c r="H11" i="2"/>
  <c r="H10" i="2"/>
  <c r="H3" i="2"/>
  <c r="H4" i="2"/>
  <c r="H5" i="2"/>
  <c r="H6" i="2"/>
  <c r="H7" i="2"/>
  <c r="H8" i="2"/>
  <c r="H9" i="2"/>
  <c r="H2" i="2"/>
  <c r="I34" i="2"/>
  <c r="I33" i="2"/>
  <c r="I21" i="2"/>
  <c r="I20" i="2"/>
  <c r="K30" i="2"/>
  <c r="I30" i="2"/>
  <c r="M16" i="2"/>
  <c r="K16" i="2"/>
  <c r="J16" i="2"/>
  <c r="I16" i="2"/>
  <c r="H16" i="2"/>
  <c r="F17" i="2"/>
  <c r="F18" i="2"/>
  <c r="F19" i="2"/>
  <c r="F20" i="2"/>
  <c r="F21" i="2"/>
  <c r="F22" i="2"/>
  <c r="F23" i="2"/>
  <c r="F16" i="2"/>
  <c r="E17" i="2"/>
  <c r="E18" i="2"/>
  <c r="E19" i="2"/>
  <c r="E20" i="2"/>
  <c r="E21" i="2"/>
  <c r="E22" i="2"/>
  <c r="E23" i="2"/>
  <c r="E16" i="2"/>
  <c r="D17" i="2"/>
  <c r="D18" i="2"/>
  <c r="D19" i="2"/>
  <c r="D20" i="2"/>
  <c r="D21" i="2"/>
  <c r="D22" i="2"/>
  <c r="D23" i="2"/>
  <c r="D16" i="2"/>
  <c r="C24" i="2"/>
  <c r="D24" i="2"/>
  <c r="E24" i="2"/>
  <c r="F24" i="2"/>
  <c r="C17" i="2"/>
  <c r="C18" i="2"/>
  <c r="C19" i="2"/>
  <c r="C20" i="2"/>
  <c r="C21" i="2"/>
  <c r="C22" i="2"/>
  <c r="C23" i="2"/>
  <c r="C16" i="2"/>
  <c r="B24" i="2"/>
  <c r="B17" i="2"/>
  <c r="B18" i="2"/>
  <c r="B19" i="2"/>
  <c r="B20" i="2"/>
  <c r="B21" i="2"/>
  <c r="B22" i="2"/>
  <c r="B23" i="2"/>
  <c r="B16" i="2"/>
  <c r="A2" i="2"/>
  <c r="A3" i="2"/>
  <c r="A4" i="2"/>
  <c r="A5" i="2"/>
  <c r="A6" i="2"/>
  <c r="A7" i="2"/>
  <c r="A8" i="2"/>
  <c r="A9" i="2"/>
</calcChain>
</file>

<file path=xl/sharedStrings.xml><?xml version="1.0" encoding="utf-8"?>
<sst xmlns="http://schemas.openxmlformats.org/spreadsheetml/2006/main" count="59" uniqueCount="44">
  <si>
    <t>m</t>
  </si>
  <si>
    <t>x</t>
  </si>
  <si>
    <r>
      <t>D</t>
    </r>
    <r>
      <rPr>
        <sz val="10"/>
        <rFont val="Arial"/>
      </rPr>
      <t>x</t>
    </r>
  </si>
  <si>
    <r>
      <t>y</t>
    </r>
    <r>
      <rPr>
        <vertAlign val="subscript"/>
        <sz val="10"/>
        <rFont val="Arial"/>
        <family val="2"/>
      </rPr>
      <t>A</t>
    </r>
  </si>
  <si>
    <r>
      <t>D</t>
    </r>
    <r>
      <rPr>
        <sz val="10"/>
        <rFont val="Arial"/>
      </rPr>
      <t>y</t>
    </r>
    <r>
      <rPr>
        <vertAlign val="subscript"/>
        <sz val="10"/>
        <rFont val="Arial"/>
        <family val="2"/>
      </rPr>
      <t>A</t>
    </r>
  </si>
  <si>
    <r>
      <t>y</t>
    </r>
    <r>
      <rPr>
        <vertAlign val="subscript"/>
        <sz val="10"/>
        <rFont val="Arial"/>
        <family val="2"/>
      </rPr>
      <t>B</t>
    </r>
  </si>
  <si>
    <r>
      <t>D</t>
    </r>
    <r>
      <rPr>
        <sz val="10"/>
        <rFont val="Arial"/>
      </rPr>
      <t>y</t>
    </r>
    <r>
      <rPr>
        <vertAlign val="subscript"/>
        <sz val="10"/>
        <rFont val="Arial"/>
        <family val="2"/>
      </rPr>
      <t>B</t>
    </r>
  </si>
  <si>
    <r>
      <t>S</t>
    </r>
    <r>
      <rPr>
        <vertAlign val="subscript"/>
        <sz val="10"/>
        <rFont val="Arial"/>
        <family val="2"/>
      </rPr>
      <t>00</t>
    </r>
  </si>
  <si>
    <r>
      <t>S</t>
    </r>
    <r>
      <rPr>
        <vertAlign val="subscript"/>
        <sz val="10"/>
        <rFont val="Arial"/>
        <family val="2"/>
      </rPr>
      <t>01</t>
    </r>
  </si>
  <si>
    <r>
      <t>S</t>
    </r>
    <r>
      <rPr>
        <vertAlign val="subscript"/>
        <sz val="10"/>
        <rFont val="Arial"/>
        <family val="2"/>
      </rPr>
      <t>10</t>
    </r>
  </si>
  <si>
    <r>
      <t>S</t>
    </r>
    <r>
      <rPr>
        <vertAlign val="subscript"/>
        <sz val="10"/>
        <rFont val="Arial"/>
        <family val="2"/>
      </rPr>
      <t>11</t>
    </r>
  </si>
  <si>
    <r>
      <t>S</t>
    </r>
    <r>
      <rPr>
        <vertAlign val="subscript"/>
        <sz val="10"/>
        <rFont val="Arial"/>
        <family val="2"/>
      </rPr>
      <t>20</t>
    </r>
  </si>
  <si>
    <t>sums</t>
  </si>
  <si>
    <t>Set A:</t>
  </si>
  <si>
    <t>Set B:</t>
  </si>
  <si>
    <r>
      <t>D</t>
    </r>
    <r>
      <rPr>
        <sz val="10"/>
        <rFont val="Arial"/>
      </rPr>
      <t>m</t>
    </r>
  </si>
  <si>
    <t>A resids</t>
  </si>
  <si>
    <t>B resids</t>
  </si>
  <si>
    <r>
      <t>c</t>
    </r>
    <r>
      <rPr>
        <vertAlign val="superscript"/>
        <sz val="10"/>
        <rFont val="Arial"/>
        <family val="2"/>
      </rPr>
      <t>2</t>
    </r>
  </si>
  <si>
    <r>
      <t>y</t>
    </r>
    <r>
      <rPr>
        <vertAlign val="subscript"/>
        <sz val="10"/>
        <rFont val="Arial"/>
        <family val="2"/>
      </rPr>
      <t>0</t>
    </r>
  </si>
  <si>
    <r>
      <t>D</t>
    </r>
    <r>
      <rPr>
        <sz val="10"/>
        <rFont val="Arial"/>
      </rPr>
      <t>y</t>
    </r>
    <r>
      <rPr>
        <vertAlign val="subscript"/>
        <sz val="10"/>
        <rFont val="Arial"/>
        <family val="2"/>
      </rPr>
      <t>0</t>
    </r>
  </si>
  <si>
    <t>parameter</t>
  </si>
  <si>
    <t>value</t>
  </si>
  <si>
    <t>units</t>
  </si>
  <si>
    <t>b</t>
  </si>
  <si>
    <r>
      <t>D</t>
    </r>
    <r>
      <rPr>
        <sz val="10"/>
        <rFont val="Arial"/>
      </rPr>
      <t>b</t>
    </r>
  </si>
  <si>
    <t>Intersection of lines A and B</t>
  </si>
  <si>
    <r>
      <t>x</t>
    </r>
    <r>
      <rPr>
        <vertAlign val="subscript"/>
        <sz val="10"/>
        <rFont val="Arial"/>
        <family val="2"/>
      </rPr>
      <t>0</t>
    </r>
  </si>
  <si>
    <r>
      <t>D</t>
    </r>
    <r>
      <rPr>
        <sz val="10"/>
        <rFont val="Arial"/>
      </rPr>
      <t>x</t>
    </r>
    <r>
      <rPr>
        <vertAlign val="subscript"/>
        <sz val="10"/>
        <rFont val="Arial"/>
        <family val="2"/>
      </rPr>
      <t>0</t>
    </r>
  </si>
  <si>
    <t>cov(m,b)</t>
  </si>
  <si>
    <t>For drawing</t>
  </si>
  <si>
    <t>yfit</t>
  </si>
  <si>
    <t>y</t>
  </si>
  <si>
    <t>dof</t>
  </si>
  <si>
    <t>determinant</t>
  </si>
  <si>
    <t>error matrix</t>
  </si>
  <si>
    <r>
      <t>grad x</t>
    </r>
    <r>
      <rPr>
        <vertAlign val="subscript"/>
        <sz val="10"/>
        <rFont val="Arial"/>
        <family val="2"/>
      </rPr>
      <t>0</t>
    </r>
  </si>
  <si>
    <r>
      <t>grad y</t>
    </r>
    <r>
      <rPr>
        <vertAlign val="subscript"/>
        <sz val="10"/>
        <rFont val="Arial"/>
        <family val="2"/>
      </rPr>
      <t>0</t>
    </r>
  </si>
  <si>
    <t>mA</t>
  </si>
  <si>
    <t>bA</t>
  </si>
  <si>
    <t>mB</t>
  </si>
  <si>
    <t>bB</t>
  </si>
  <si>
    <r>
      <t>(Δy</t>
    </r>
    <r>
      <rPr>
        <vertAlign val="subscript"/>
        <sz val="10"/>
        <rFont val="Arial"/>
        <family val="2"/>
      </rPr>
      <t>0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2</t>
    </r>
  </si>
  <si>
    <r>
      <t>(Δx</t>
    </r>
    <r>
      <rPr>
        <vertAlign val="subscript"/>
        <sz val="10"/>
        <rFont val="Arial"/>
        <family val="2"/>
      </rPr>
      <t>0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</si>
</sst>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8" x14ac:knownFonts="1">
    <font>
      <sz val="10"/>
      <name val="Arial"/>
    </font>
    <font>
      <sz val="8"/>
      <name val="Arial"/>
    </font>
    <font>
      <sz val="10"/>
      <name val="Symbol"/>
      <family val="1"/>
    </font>
    <font>
      <vertAlign val="subscript"/>
      <sz val="10"/>
      <name val="Arial"/>
      <family val="2"/>
    </font>
    <font>
      <sz val="10"/>
      <name val="Arial"/>
    </font>
    <font>
      <vertAlign val="superscript"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0232738557021"/>
          <c:y val="0.0120481927710843"/>
          <c:w val="0.770826252420542"/>
          <c:h val="0.918121766289872"/>
        </c:manualLayout>
      </c:layout>
      <c:scatterChart>
        <c:scatterStyle val="lineMarker"/>
        <c:varyColors val="0"/>
        <c:ser>
          <c:idx val="0"/>
          <c:order val="0"/>
          <c:tx>
            <c:v>Set A</c:v>
          </c:tx>
          <c:spPr>
            <a:ln w="47625">
              <a:noFill/>
            </a:ln>
          </c:spPr>
          <c:marker>
            <c:symbol val="squar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Sheet1!$D$2:$D$9</c:f>
                <c:numCache>
                  <c:formatCode>General</c:formatCode>
                  <c:ptCount val="8"/>
                  <c:pt idx="0">
                    <c:v>0.0005</c:v>
                  </c:pt>
                  <c:pt idx="1">
                    <c:v>0.0005</c:v>
                  </c:pt>
                  <c:pt idx="2">
                    <c:v>0.0005</c:v>
                  </c:pt>
                  <c:pt idx="3">
                    <c:v>0.0005</c:v>
                  </c:pt>
                  <c:pt idx="4">
                    <c:v>0.0005</c:v>
                  </c:pt>
                  <c:pt idx="5">
                    <c:v>0.0005</c:v>
                  </c:pt>
                  <c:pt idx="6">
                    <c:v>0.0005</c:v>
                  </c:pt>
                  <c:pt idx="7">
                    <c:v>0.0005</c:v>
                  </c:pt>
                </c:numCache>
              </c:numRef>
            </c:plus>
            <c:minus>
              <c:numRef>
                <c:f>Sheet1!$D$2:$D$9</c:f>
                <c:numCache>
                  <c:formatCode>General</c:formatCode>
                  <c:ptCount val="8"/>
                  <c:pt idx="0">
                    <c:v>0.0005</c:v>
                  </c:pt>
                  <c:pt idx="1">
                    <c:v>0.0005</c:v>
                  </c:pt>
                  <c:pt idx="2">
                    <c:v>0.0005</c:v>
                  </c:pt>
                  <c:pt idx="3">
                    <c:v>0.0005</c:v>
                  </c:pt>
                  <c:pt idx="4">
                    <c:v>0.0005</c:v>
                  </c:pt>
                  <c:pt idx="5">
                    <c:v>0.0005</c:v>
                  </c:pt>
                  <c:pt idx="6">
                    <c:v>0.0005</c:v>
                  </c:pt>
                  <c:pt idx="7">
                    <c:v>0.0005</c:v>
                  </c:pt>
                </c:numCache>
              </c:numRef>
            </c:minus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-24.15000000000001</c:v>
                </c:pt>
                <c:pt idx="1">
                  <c:v>-50.45</c:v>
                </c:pt>
                <c:pt idx="2">
                  <c:v>-73.0</c:v>
                </c:pt>
                <c:pt idx="3">
                  <c:v>22.40000000000001</c:v>
                </c:pt>
                <c:pt idx="4">
                  <c:v>0.0</c:v>
                </c:pt>
                <c:pt idx="5">
                  <c:v>-27.5</c:v>
                </c:pt>
                <c:pt idx="6">
                  <c:v>-42.3</c:v>
                </c:pt>
                <c:pt idx="7">
                  <c:v>-58.25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2.007</c:v>
                </c:pt>
                <c:pt idx="1">
                  <c:v>2.023</c:v>
                </c:pt>
                <c:pt idx="2">
                  <c:v>2.035</c:v>
                </c:pt>
                <c:pt idx="3">
                  <c:v>1.981</c:v>
                </c:pt>
                <c:pt idx="4">
                  <c:v>1.994</c:v>
                </c:pt>
                <c:pt idx="5">
                  <c:v>2.009</c:v>
                </c:pt>
                <c:pt idx="6">
                  <c:v>2.018</c:v>
                </c:pt>
                <c:pt idx="7">
                  <c:v>2.027</c:v>
                </c:pt>
              </c:numCache>
            </c:numRef>
          </c:yVal>
          <c:smooth val="0"/>
        </c:ser>
        <c:ser>
          <c:idx val="1"/>
          <c:order val="1"/>
          <c:tx>
            <c:v>Set B</c:v>
          </c:tx>
          <c:spPr>
            <a:ln w="47625">
              <a:noFill/>
            </a:ln>
          </c:spPr>
          <c:marker>
            <c:symbol val="circl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Sheet1!$F$2:$F$9</c:f>
                <c:numCache>
                  <c:formatCode>General</c:formatCode>
                  <c:ptCount val="8"/>
                  <c:pt idx="0">
                    <c:v>0.0006</c:v>
                  </c:pt>
                  <c:pt idx="1">
                    <c:v>0.0006</c:v>
                  </c:pt>
                  <c:pt idx="2">
                    <c:v>0.0006</c:v>
                  </c:pt>
                  <c:pt idx="3">
                    <c:v>0.0006</c:v>
                  </c:pt>
                  <c:pt idx="4">
                    <c:v>0.0006</c:v>
                  </c:pt>
                  <c:pt idx="5">
                    <c:v>0.0006</c:v>
                  </c:pt>
                  <c:pt idx="6">
                    <c:v>0.0006</c:v>
                  </c:pt>
                  <c:pt idx="7">
                    <c:v>0.0006</c:v>
                  </c:pt>
                </c:numCache>
              </c:numRef>
            </c:plus>
            <c:minus>
              <c:numRef>
                <c:f>Sheet1!$F$2:$F$9</c:f>
                <c:numCache>
                  <c:formatCode>General</c:formatCode>
                  <c:ptCount val="8"/>
                  <c:pt idx="0">
                    <c:v>0.0006</c:v>
                  </c:pt>
                  <c:pt idx="1">
                    <c:v>0.0006</c:v>
                  </c:pt>
                  <c:pt idx="2">
                    <c:v>0.0006</c:v>
                  </c:pt>
                  <c:pt idx="3">
                    <c:v>0.0006</c:v>
                  </c:pt>
                  <c:pt idx="4">
                    <c:v>0.0006</c:v>
                  </c:pt>
                  <c:pt idx="5">
                    <c:v>0.0006</c:v>
                  </c:pt>
                  <c:pt idx="6">
                    <c:v>0.0006</c:v>
                  </c:pt>
                  <c:pt idx="7">
                    <c:v>0.0006</c:v>
                  </c:pt>
                </c:numCache>
              </c:numRef>
            </c:minus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-24.15000000000001</c:v>
                </c:pt>
                <c:pt idx="1">
                  <c:v>-50.45</c:v>
                </c:pt>
                <c:pt idx="2">
                  <c:v>-73.0</c:v>
                </c:pt>
                <c:pt idx="3">
                  <c:v>22.40000000000001</c:v>
                </c:pt>
                <c:pt idx="4">
                  <c:v>0.0</c:v>
                </c:pt>
                <c:pt idx="5">
                  <c:v>-27.5</c:v>
                </c:pt>
                <c:pt idx="6">
                  <c:v>-42.3</c:v>
                </c:pt>
                <c:pt idx="7">
                  <c:v>-58.25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2.022</c:v>
                </c:pt>
                <c:pt idx="1">
                  <c:v>2.056</c:v>
                </c:pt>
                <c:pt idx="2">
                  <c:v>2.087</c:v>
                </c:pt>
                <c:pt idx="3">
                  <c:v>1.964</c:v>
                </c:pt>
                <c:pt idx="4">
                  <c:v>1.991</c:v>
                </c:pt>
                <c:pt idx="5">
                  <c:v>2.025</c:v>
                </c:pt>
                <c:pt idx="6">
                  <c:v>2.046</c:v>
                </c:pt>
                <c:pt idx="7">
                  <c:v>2.067</c:v>
                </c:pt>
              </c:numCache>
            </c:numRef>
          </c:yVal>
          <c:smooth val="0"/>
        </c:ser>
        <c:ser>
          <c:idx val="2"/>
          <c:order val="2"/>
          <c:tx>
            <c:v>Fit A</c:v>
          </c:tx>
          <c:spPr>
            <a:ln w="254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Sheet1!$H$20:$H$21</c:f>
              <c:numCache>
                <c:formatCode>General</c:formatCode>
                <c:ptCount val="2"/>
                <c:pt idx="0">
                  <c:v>-80.0</c:v>
                </c:pt>
                <c:pt idx="1">
                  <c:v>30.0</c:v>
                </c:pt>
              </c:numCache>
            </c:numRef>
          </c:xVal>
          <c:yVal>
            <c:numRef>
              <c:f>Sheet1!$I$20:$I$21</c:f>
              <c:numCache>
                <c:formatCode>0.000E+00</c:formatCode>
                <c:ptCount val="2"/>
                <c:pt idx="0">
                  <c:v>2.039262956546698</c:v>
                </c:pt>
                <c:pt idx="1">
                  <c:v>1.976660754190927</c:v>
                </c:pt>
              </c:numCache>
            </c:numRef>
          </c:yVal>
          <c:smooth val="0"/>
        </c:ser>
        <c:ser>
          <c:idx val="3"/>
          <c:order val="3"/>
          <c:tx>
            <c:v>Fit B</c:v>
          </c:tx>
          <c:spPr>
            <a:ln w="25400">
              <a:solidFill>
                <a:srgbClr val="FF0000"/>
              </a:solidFill>
              <a:prstDash val="lgDashDot"/>
            </a:ln>
          </c:spPr>
          <c:marker>
            <c:symbol val="none"/>
          </c:marker>
          <c:xVal>
            <c:numRef>
              <c:f>Sheet1!$H$33:$H$34</c:f>
              <c:numCache>
                <c:formatCode>General</c:formatCode>
                <c:ptCount val="2"/>
                <c:pt idx="0">
                  <c:v>-80.0</c:v>
                </c:pt>
                <c:pt idx="1">
                  <c:v>30.0</c:v>
                </c:pt>
              </c:numCache>
            </c:numRef>
          </c:xVal>
          <c:yVal>
            <c:numRef>
              <c:f>Sheet1!$I$33:$I$34</c:f>
              <c:numCache>
                <c:formatCode>0.000E+00</c:formatCode>
                <c:ptCount val="2"/>
                <c:pt idx="0">
                  <c:v>2.094658059208323</c:v>
                </c:pt>
                <c:pt idx="1">
                  <c:v>1.952656528236573</c:v>
                </c:pt>
              </c:numCache>
            </c:numRef>
          </c:yVal>
          <c:smooth val="0"/>
        </c:ser>
        <c:ser>
          <c:idx val="4"/>
          <c:order val="4"/>
          <c:tx>
            <c:v>Intersection A &amp; B</c:v>
          </c:tx>
          <c:spPr>
            <a:ln w="47625">
              <a:noFill/>
            </a:ln>
          </c:spPr>
          <c:marker>
            <c:symbol val="triangle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Sheet1!$L$6</c:f>
                <c:numCache>
                  <c:formatCode>General</c:formatCode>
                  <c:ptCount val="1"/>
                  <c:pt idx="0">
                    <c:v>0.00049789521854866</c:v>
                  </c:pt>
                </c:numCache>
              </c:numRef>
            </c:plus>
            <c:minus>
              <c:numRef>
                <c:f>Sheet1!$L$6</c:f>
                <c:numCache>
                  <c:formatCode>General</c:formatCode>
                  <c:ptCount val="1"/>
                  <c:pt idx="0">
                    <c:v>0.00049789521854866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Sheet1!$L$4</c:f>
                <c:numCache>
                  <c:formatCode>General</c:formatCode>
                  <c:ptCount val="1"/>
                  <c:pt idx="0">
                    <c:v>0.532536859070981</c:v>
                  </c:pt>
                </c:numCache>
              </c:numRef>
            </c:plus>
            <c:minus>
              <c:numRef>
                <c:f>Sheet1!$L$4</c:f>
                <c:numCache>
                  <c:formatCode>General</c:formatCode>
                  <c:ptCount val="1"/>
                  <c:pt idx="0">
                    <c:v>0.532536859070981</c:v>
                  </c:pt>
                </c:numCache>
              </c:numRef>
            </c:minus>
          </c:errBars>
          <c:xVal>
            <c:numRef>
              <c:f>Sheet1!$L$3</c:f>
              <c:numCache>
                <c:formatCode>0.000E+00</c:formatCode>
                <c:ptCount val="1"/>
                <c:pt idx="0">
                  <c:v>-3.255506072976771</c:v>
                </c:pt>
              </c:numCache>
            </c:numRef>
          </c:xVal>
          <c:yVal>
            <c:numRef>
              <c:f>Sheet1!$L$5</c:f>
              <c:numCache>
                <c:formatCode>0.000E+00</c:formatCode>
                <c:ptCount val="1"/>
                <c:pt idx="0">
                  <c:v>1.995586826196601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47880"/>
        <c:axId val="-2128042088"/>
      </c:scatterChart>
      <c:valAx>
        <c:axId val="-2128047880"/>
        <c:scaling>
          <c:orientation val="minMax"/>
          <c:max val="30.0"/>
          <c:min val="-8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 sz="1600" baseline="0"/>
                  <a:t> (arb. units)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kern="1200"/>
            </a:pPr>
            <a:endParaRPr lang="en-US"/>
          </a:p>
        </c:txPr>
        <c:crossAx val="-2128042088"/>
        <c:crosses val="autoZero"/>
        <c:crossBetween val="midCat"/>
      </c:valAx>
      <c:valAx>
        <c:axId val="-2128042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y (arb. units)</a:t>
                </a:r>
              </a:p>
            </c:rich>
          </c:tx>
          <c:layout>
            <c:manualLayout>
              <c:xMode val="edge"/>
              <c:yMode val="edge"/>
              <c:x val="0.00795965865011637"/>
              <c:y val="0.449462976071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kern="1200"/>
            </a:pPr>
            <a:endParaRPr lang="en-US"/>
          </a:p>
        </c:txPr>
        <c:crossAx val="-2128047880"/>
        <c:crossesAt val="-80.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52211016291699"/>
          <c:y val="0.37198849912065"/>
          <c:w val="0.137703646237393"/>
          <c:h val="0.28382645056300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1</xdr:row>
      <xdr:rowOff>50800</xdr:rowOff>
    </xdr:from>
    <xdr:to>
      <xdr:col>37</xdr:col>
      <xdr:colOff>495300</xdr:colOff>
      <xdr:row>91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C52" sqref="C52"/>
    </sheetView>
  </sheetViews>
  <sheetFormatPr baseColWidth="10" defaultColWidth="8.83203125" defaultRowHeight="12" x14ac:dyDescent="0"/>
  <cols>
    <col min="1" max="1" width="11.33203125" customWidth="1"/>
    <col min="2" max="2" width="12.33203125" bestFit="1" customWidth="1"/>
    <col min="4" max="5" width="11.5" bestFit="1" customWidth="1"/>
    <col min="6" max="6" width="12" bestFit="1" customWidth="1"/>
    <col min="8" max="8" width="11.1640625" customWidth="1"/>
    <col min="9" max="11" width="12.5" bestFit="1" customWidth="1"/>
    <col min="12" max="12" width="17.33203125" customWidth="1"/>
    <col min="13" max="13" width="13" bestFit="1" customWidth="1"/>
    <col min="15" max="15" width="11.33203125" bestFit="1" customWidth="1"/>
  </cols>
  <sheetData>
    <row r="1" spans="1:13">
      <c r="A1" s="2" t="s">
        <v>1</v>
      </c>
      <c r="B1" s="3" t="s">
        <v>2</v>
      </c>
      <c r="C1" s="2" t="s">
        <v>3</v>
      </c>
      <c r="D1" s="3" t="s">
        <v>4</v>
      </c>
      <c r="E1" s="2" t="s">
        <v>5</v>
      </c>
      <c r="F1" s="3" t="s">
        <v>6</v>
      </c>
      <c r="H1" s="2" t="s">
        <v>16</v>
      </c>
      <c r="I1" s="2" t="s">
        <v>17</v>
      </c>
      <c r="K1" t="s">
        <v>26</v>
      </c>
      <c r="L1" s="2"/>
      <c r="M1" s="2"/>
    </row>
    <row r="2" spans="1:13">
      <c r="A2">
        <f>71.85-96</f>
        <v>-24.150000000000006</v>
      </c>
      <c r="B2" s="1">
        <v>5.0000000000000001E-4</v>
      </c>
      <c r="C2">
        <v>2.0070000000000001</v>
      </c>
      <c r="D2">
        <v>5.0000000000000001E-4</v>
      </c>
      <c r="E2">
        <v>2.0219999999999998</v>
      </c>
      <c r="F2">
        <v>5.9999999999999995E-4</v>
      </c>
      <c r="H2" s="6">
        <f>((C2-(H$16*A2+J$16))/D2)^2</f>
        <v>0.91436081117303303</v>
      </c>
      <c r="I2">
        <f>((E2-(H$30*A2+J$30))^2/F2^2)</f>
        <v>0.87113962448844318</v>
      </c>
      <c r="K2" s="2" t="s">
        <v>21</v>
      </c>
      <c r="L2" s="2" t="s">
        <v>22</v>
      </c>
      <c r="M2" s="2" t="s">
        <v>23</v>
      </c>
    </row>
    <row r="3" spans="1:13">
      <c r="A3">
        <f>45.55-96</f>
        <v>-50.45</v>
      </c>
      <c r="B3" s="1">
        <v>5.0000000000000001E-4</v>
      </c>
      <c r="C3">
        <v>2.0230000000000001</v>
      </c>
      <c r="D3">
        <v>5.0000000000000001E-4</v>
      </c>
      <c r="E3">
        <v>2.056</v>
      </c>
      <c r="F3">
        <v>5.9999999999999995E-4</v>
      </c>
      <c r="H3" s="6">
        <f t="shared" ref="H3:H9" si="0">((C3-(H$16*A3+J$16))/D3)^2</f>
        <v>1.2288673601832916</v>
      </c>
      <c r="I3">
        <f t="shared" ref="I3:I9" si="1">((E3-(H$30*A3+J$30))^2/F3^2)</f>
        <v>0.7261434240024488</v>
      </c>
      <c r="K3" s="2" t="s">
        <v>27</v>
      </c>
      <c r="L3" s="6">
        <f>(J16-J30)/(H30-H16)</f>
        <v>-3.2555060729767709</v>
      </c>
    </row>
    <row r="4" spans="1:13">
      <c r="A4">
        <f>23-96</f>
        <v>-73</v>
      </c>
      <c r="B4" s="1">
        <v>5.0000000000000001E-4</v>
      </c>
      <c r="C4">
        <v>2.0350000000000001</v>
      </c>
      <c r="D4">
        <v>5.0000000000000001E-4</v>
      </c>
      <c r="E4">
        <v>2.0870000000000002</v>
      </c>
      <c r="F4">
        <v>5.9999999999999995E-4</v>
      </c>
      <c r="H4" s="6">
        <f t="shared" si="0"/>
        <v>0.3117659636367438</v>
      </c>
      <c r="I4">
        <f t="shared" si="1"/>
        <v>5.2777546382651437</v>
      </c>
      <c r="K4" s="3" t="s">
        <v>28</v>
      </c>
      <c r="L4">
        <f>SQRT(H49)</f>
        <v>0.53253685907098125</v>
      </c>
    </row>
    <row r="5" spans="1:13">
      <c r="A5">
        <f>118.4-96</f>
        <v>22.400000000000006</v>
      </c>
      <c r="B5" s="1">
        <v>5.0000000000000001E-4</v>
      </c>
      <c r="C5">
        <v>1.9810000000000001</v>
      </c>
      <c r="D5">
        <v>5.0000000000000001E-4</v>
      </c>
      <c r="E5">
        <v>1.964</v>
      </c>
      <c r="F5">
        <v>5.9999999999999995E-4</v>
      </c>
      <c r="H5" s="6">
        <f t="shared" si="0"/>
        <v>7.8430659855579133E-4</v>
      </c>
      <c r="I5">
        <f t="shared" si="1"/>
        <v>6.5234003860573937</v>
      </c>
      <c r="K5" s="2" t="s">
        <v>19</v>
      </c>
      <c r="L5" s="6">
        <f>(H30*J16-H16*J30)/(H30-H16)</f>
        <v>1.9955868261966005</v>
      </c>
    </row>
    <row r="6" spans="1:13">
      <c r="A6">
        <f>96-96</f>
        <v>0</v>
      </c>
      <c r="B6" s="1">
        <v>5.0000000000000001E-4</v>
      </c>
      <c r="C6">
        <v>1.994</v>
      </c>
      <c r="D6">
        <v>5.0000000000000001E-4</v>
      </c>
      <c r="E6">
        <v>1.9910000000000001</v>
      </c>
      <c r="F6">
        <v>5.9999999999999995E-4</v>
      </c>
      <c r="H6" s="6">
        <f t="shared" si="0"/>
        <v>0.28284930510492856</v>
      </c>
      <c r="I6">
        <f t="shared" si="1"/>
        <v>0.41006626935667545</v>
      </c>
      <c r="K6" s="3" t="s">
        <v>20</v>
      </c>
      <c r="L6">
        <f>SQRT(I49)</f>
        <v>4.9789521854865979E-4</v>
      </c>
    </row>
    <row r="7" spans="1:13">
      <c r="A7">
        <f>68.5-96</f>
        <v>-27.5</v>
      </c>
      <c r="B7" s="1">
        <v>5.0000000000000001E-4</v>
      </c>
      <c r="C7">
        <v>2.0089999999999999</v>
      </c>
      <c r="D7">
        <v>5.0000000000000001E-4</v>
      </c>
      <c r="E7">
        <v>2.0249999999999999</v>
      </c>
      <c r="F7">
        <v>5.9999999999999995E-4</v>
      </c>
      <c r="H7" s="6">
        <f t="shared" si="0"/>
        <v>0.5917692404988385</v>
      </c>
      <c r="I7">
        <f t="shared" si="1"/>
        <v>9.8658940302676221</v>
      </c>
      <c r="K7" s="3"/>
    </row>
    <row r="8" spans="1:13">
      <c r="A8">
        <f>53.7-96</f>
        <v>-42.3</v>
      </c>
      <c r="B8" s="1">
        <v>5.0000000000000001E-4</v>
      </c>
      <c r="C8">
        <v>2.0179999999999998</v>
      </c>
      <c r="D8">
        <v>5.0000000000000001E-4</v>
      </c>
      <c r="E8">
        <v>2.0459999999999998</v>
      </c>
      <c r="F8">
        <v>5.9999999999999995E-4</v>
      </c>
      <c r="H8" s="6">
        <f t="shared" si="0"/>
        <v>0.14826432406791293</v>
      </c>
      <c r="I8">
        <f t="shared" si="1"/>
        <v>2.634250575854694E-4</v>
      </c>
    </row>
    <row r="9" spans="1:13">
      <c r="A9">
        <f>37.75-96</f>
        <v>-58.25</v>
      </c>
      <c r="B9" s="1">
        <v>5.0000000000000001E-4</v>
      </c>
      <c r="C9">
        <v>2.0270000000000001</v>
      </c>
      <c r="D9">
        <v>5.0000000000000001E-4</v>
      </c>
      <c r="E9">
        <v>2.0670000000000002</v>
      </c>
      <c r="F9">
        <v>5.9999999999999995E-4</v>
      </c>
      <c r="H9" s="6">
        <f t="shared" si="0"/>
        <v>5.3089866543399686E-2</v>
      </c>
      <c r="I9">
        <f t="shared" si="1"/>
        <v>0.4888718623252673</v>
      </c>
    </row>
    <row r="10" spans="1:13">
      <c r="B10" s="1"/>
      <c r="D10" s="1"/>
      <c r="F10" s="1"/>
      <c r="G10" s="3" t="s">
        <v>18</v>
      </c>
      <c r="H10" s="6">
        <f>SUM(H2:H9)</f>
        <v>3.5317511778067039</v>
      </c>
      <c r="I10">
        <f>SUM(I2:I9)</f>
        <v>24.163533659820583</v>
      </c>
    </row>
    <row r="11" spans="1:13">
      <c r="B11" s="1"/>
      <c r="D11" s="1"/>
      <c r="F11" s="1"/>
      <c r="G11" t="s">
        <v>33</v>
      </c>
      <c r="H11" s="6">
        <f>COUNT(A2:A9)-2</f>
        <v>6</v>
      </c>
      <c r="I11">
        <f>COUNT(A2:A9)-2</f>
        <v>6</v>
      </c>
    </row>
    <row r="12" spans="1:13">
      <c r="B12" s="1"/>
      <c r="D12" s="1"/>
      <c r="F12" s="1"/>
    </row>
    <row r="14" spans="1:13">
      <c r="G14" s="3"/>
    </row>
    <row r="15" spans="1:13">
      <c r="A15" t="s">
        <v>13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H15" s="4" t="s">
        <v>0</v>
      </c>
      <c r="I15" s="3" t="s">
        <v>15</v>
      </c>
      <c r="J15" s="4" t="s">
        <v>24</v>
      </c>
      <c r="K15" s="3" t="s">
        <v>25</v>
      </c>
      <c r="M15" t="s">
        <v>29</v>
      </c>
    </row>
    <row r="16" spans="1:13">
      <c r="B16">
        <f>1/D2^2</f>
        <v>4000000</v>
      </c>
      <c r="C16">
        <f>C2/D2^2</f>
        <v>8028000.0000000009</v>
      </c>
      <c r="D16">
        <f>A2/D2^2</f>
        <v>-96600000.00000003</v>
      </c>
      <c r="E16">
        <f>A2*C2/D2^2</f>
        <v>-193876200.00000009</v>
      </c>
      <c r="F16">
        <f>A2^2/D2^2</f>
        <v>2332890000.0000014</v>
      </c>
      <c r="H16" s="6">
        <f>(B24*E24-D24*C24)/(F24*B24-D24^2)</f>
        <v>-5.6911093050700766E-4</v>
      </c>
      <c r="I16">
        <f>SQRT(B24/(F24*B24-D24^2))</f>
        <v>6.0276663621649356E-6</v>
      </c>
      <c r="J16">
        <f>(-D24*E24+F24*C24)/(F24*B24-D24^2)</f>
        <v>1.9937340821061376</v>
      </c>
      <c r="K16">
        <f>SQRT(F24/(F24*B24-D24^2))</f>
        <v>2.6011482180732194E-4</v>
      </c>
      <c r="M16">
        <f>D24/(F24*B24-D24^2)</f>
        <v>-1.1501589898947232E-9</v>
      </c>
    </row>
    <row r="17" spans="1:11">
      <c r="B17">
        <f t="shared" ref="B17:B23" si="2">1/D3^2</f>
        <v>4000000</v>
      </c>
      <c r="C17">
        <f t="shared" ref="C17:C23" si="3">C3/D3^2</f>
        <v>8092000.0000000009</v>
      </c>
      <c r="D17">
        <f t="shared" ref="D17:D23" si="4">A3/D3^2</f>
        <v>-201800000.00000003</v>
      </c>
      <c r="E17">
        <f t="shared" ref="E17:E23" si="5">A3*C3/D3^2</f>
        <v>-408241400.00000006</v>
      </c>
      <c r="F17">
        <f t="shared" ref="F17:F23" si="6">A3^2/D3^2</f>
        <v>10180810000.000002</v>
      </c>
    </row>
    <row r="18" spans="1:11">
      <c r="B18">
        <f t="shared" si="2"/>
        <v>4000000</v>
      </c>
      <c r="C18">
        <f t="shared" si="3"/>
        <v>8140000.0000000009</v>
      </c>
      <c r="D18">
        <f t="shared" si="4"/>
        <v>-292000000</v>
      </c>
      <c r="E18">
        <f t="shared" si="5"/>
        <v>-594220000</v>
      </c>
      <c r="F18">
        <f t="shared" si="6"/>
        <v>21316000000</v>
      </c>
      <c r="H18" t="s">
        <v>30</v>
      </c>
    </row>
    <row r="19" spans="1:11">
      <c r="B19">
        <f t="shared" si="2"/>
        <v>4000000</v>
      </c>
      <c r="C19">
        <f t="shared" si="3"/>
        <v>7924000.0000000009</v>
      </c>
      <c r="D19">
        <f t="shared" si="4"/>
        <v>89600000.00000003</v>
      </c>
      <c r="E19">
        <f t="shared" si="5"/>
        <v>177497600.00000006</v>
      </c>
      <c r="F19">
        <f t="shared" si="6"/>
        <v>2007040000.0000012</v>
      </c>
      <c r="H19" t="s">
        <v>1</v>
      </c>
      <c r="I19" t="s">
        <v>31</v>
      </c>
    </row>
    <row r="20" spans="1:11">
      <c r="B20">
        <f t="shared" si="2"/>
        <v>4000000</v>
      </c>
      <c r="C20">
        <f t="shared" si="3"/>
        <v>7976000</v>
      </c>
      <c r="D20">
        <f t="shared" si="4"/>
        <v>0</v>
      </c>
      <c r="E20">
        <f t="shared" si="5"/>
        <v>0</v>
      </c>
      <c r="F20">
        <f t="shared" si="6"/>
        <v>0</v>
      </c>
      <c r="H20">
        <v>-80</v>
      </c>
      <c r="I20" s="6">
        <f>H$16*H20+J$16</f>
        <v>2.0392629565466982</v>
      </c>
    </row>
    <row r="21" spans="1:11">
      <c r="B21">
        <f t="shared" si="2"/>
        <v>4000000</v>
      </c>
      <c r="C21">
        <f t="shared" si="3"/>
        <v>8036000</v>
      </c>
      <c r="D21">
        <f t="shared" si="4"/>
        <v>-110000000</v>
      </c>
      <c r="E21">
        <f t="shared" si="5"/>
        <v>-220990000</v>
      </c>
      <c r="F21">
        <f t="shared" si="6"/>
        <v>3025000000</v>
      </c>
      <c r="H21">
        <v>30</v>
      </c>
      <c r="I21" s="6">
        <f>H$16*H21+J$16</f>
        <v>1.9766607541909273</v>
      </c>
    </row>
    <row r="22" spans="1:11">
      <c r="B22">
        <f t="shared" si="2"/>
        <v>4000000</v>
      </c>
      <c r="C22">
        <f t="shared" si="3"/>
        <v>8072000</v>
      </c>
      <c r="D22">
        <f t="shared" si="4"/>
        <v>-169200000</v>
      </c>
      <c r="E22">
        <f t="shared" si="5"/>
        <v>-341445600</v>
      </c>
      <c r="F22">
        <f t="shared" si="6"/>
        <v>7157159999.999999</v>
      </c>
    </row>
    <row r="23" spans="1:11">
      <c r="B23">
        <f t="shared" si="2"/>
        <v>4000000</v>
      </c>
      <c r="C23">
        <f t="shared" si="3"/>
        <v>8108000.0000000009</v>
      </c>
      <c r="D23">
        <f t="shared" si="4"/>
        <v>-233000000</v>
      </c>
      <c r="E23">
        <f t="shared" si="5"/>
        <v>-472291000.00000006</v>
      </c>
      <c r="F23">
        <f t="shared" si="6"/>
        <v>13572250000</v>
      </c>
      <c r="H23" t="s">
        <v>35</v>
      </c>
      <c r="I23">
        <v>1</v>
      </c>
      <c r="J23">
        <v>2</v>
      </c>
    </row>
    <row r="24" spans="1:11">
      <c r="A24" s="5" t="s">
        <v>12</v>
      </c>
      <c r="B24">
        <f>SUM(B16:B23)</f>
        <v>32000000</v>
      </c>
      <c r="C24">
        <f t="shared" ref="C24:F24" si="7">SUM(C16:C23)</f>
        <v>64376000</v>
      </c>
      <c r="D24">
        <f t="shared" si="7"/>
        <v>-1013000000</v>
      </c>
      <c r="E24">
        <f t="shared" si="7"/>
        <v>-2053566600</v>
      </c>
      <c r="F24">
        <f t="shared" si="7"/>
        <v>59591150000.000008</v>
      </c>
      <c r="H24">
        <v>1</v>
      </c>
      <c r="I24">
        <f>B24/B26</f>
        <v>3.6332761773574672E-11</v>
      </c>
      <c r="J24">
        <f>-D24/B26</f>
        <v>1.1501589898947232E-9</v>
      </c>
    </row>
    <row r="25" spans="1:11">
      <c r="H25">
        <v>2</v>
      </c>
      <c r="I25">
        <f>-D24/B26</f>
        <v>1.1501589898947232E-9</v>
      </c>
      <c r="J25">
        <f>F24/B26</f>
        <v>6.7659720523854834E-8</v>
      </c>
    </row>
    <row r="26" spans="1:11">
      <c r="A26" t="s">
        <v>34</v>
      </c>
      <c r="B26">
        <f>F24*B24-D24^2</f>
        <v>8.8074780000000026E+17</v>
      </c>
    </row>
    <row r="29" spans="1:11">
      <c r="A29" t="s">
        <v>14</v>
      </c>
      <c r="B29" s="4" t="s">
        <v>7</v>
      </c>
      <c r="C29" s="4" t="s">
        <v>8</v>
      </c>
      <c r="D29" s="4" t="s">
        <v>9</v>
      </c>
      <c r="E29" s="4" t="s">
        <v>10</v>
      </c>
      <c r="F29" s="4" t="s">
        <v>11</v>
      </c>
      <c r="H29" s="4" t="s">
        <v>0</v>
      </c>
      <c r="I29" s="3" t="s">
        <v>15</v>
      </c>
      <c r="J29" s="4" t="s">
        <v>24</v>
      </c>
      <c r="K29" s="3" t="s">
        <v>25</v>
      </c>
    </row>
    <row r="30" spans="1:11">
      <c r="B30">
        <f>1/F2^2</f>
        <v>2777777.7777777785</v>
      </c>
      <c r="C30">
        <f>E2/F2^2</f>
        <v>5616666.666666667</v>
      </c>
      <c r="D30">
        <f>A2/F2^2</f>
        <v>-67083333.333333358</v>
      </c>
      <c r="E30">
        <f>A2*E2/F2^2</f>
        <v>-135642500.00000003</v>
      </c>
      <c r="F30">
        <f>A2^2/F2^2</f>
        <v>1620062500.0000012</v>
      </c>
      <c r="H30" s="6">
        <f>(B38*E38-D38*C38)/(F38*B38-D38^2)</f>
        <v>-1.2909230088340936E-3</v>
      </c>
      <c r="I30">
        <f>SQRT(B38/(F38*B38-D38^2))</f>
        <v>7.233199634597922E-6</v>
      </c>
      <c r="J30">
        <f>(-D38*E38+F38*C38)/(F38*B38-D38^2)</f>
        <v>1.9913842185015957</v>
      </c>
      <c r="K30">
        <f>SQRT(F38/(F38*B38-D38^2))</f>
        <v>3.1213778616878625E-4</v>
      </c>
    </row>
    <row r="31" spans="1:11">
      <c r="B31">
        <f t="shared" ref="B31:B37" si="8">1/F3^2</f>
        <v>2777777.7777777785</v>
      </c>
      <c r="C31">
        <f t="shared" ref="C31:C37" si="9">E3/F3^2</f>
        <v>5711111.1111111119</v>
      </c>
      <c r="D31">
        <f t="shared" ref="D31:D37" si="10">A3/F3^2</f>
        <v>-140138888.88888893</v>
      </c>
      <c r="E31">
        <f t="shared" ref="E31:E37" si="11">A3*E3/F3^2</f>
        <v>-288125555.55555564</v>
      </c>
      <c r="F31">
        <f t="shared" ref="F31:F37" si="12">A3^2/F3^2</f>
        <v>7070006944.4444466</v>
      </c>
      <c r="H31" t="s">
        <v>30</v>
      </c>
    </row>
    <row r="32" spans="1:11">
      <c r="B32">
        <f t="shared" si="8"/>
        <v>2777777.7777777785</v>
      </c>
      <c r="C32">
        <f t="shared" si="9"/>
        <v>5797222.2222222239</v>
      </c>
      <c r="D32">
        <f t="shared" si="10"/>
        <v>-202777777.77777782</v>
      </c>
      <c r="E32">
        <f t="shared" si="11"/>
        <v>-423197222.22222239</v>
      </c>
      <c r="F32">
        <f t="shared" si="12"/>
        <v>14802777777.777781</v>
      </c>
      <c r="H32" t="s">
        <v>1</v>
      </c>
      <c r="I32" t="s">
        <v>32</v>
      </c>
    </row>
    <row r="33" spans="1:10">
      <c r="B33">
        <f t="shared" si="8"/>
        <v>2777777.7777777785</v>
      </c>
      <c r="C33">
        <f t="shared" si="9"/>
        <v>5455555.555555556</v>
      </c>
      <c r="D33">
        <f t="shared" si="10"/>
        <v>62222222.222222246</v>
      </c>
      <c r="E33">
        <f t="shared" si="11"/>
        <v>122204444.44444449</v>
      </c>
      <c r="F33">
        <f t="shared" si="12"/>
        <v>1393777777.7777789</v>
      </c>
      <c r="H33">
        <v>-80</v>
      </c>
      <c r="I33" s="6">
        <f>H$30*H33+J$30</f>
        <v>2.094658059208323</v>
      </c>
    </row>
    <row r="34" spans="1:10">
      <c r="B34">
        <f t="shared" si="8"/>
        <v>2777777.7777777785</v>
      </c>
      <c r="C34">
        <f t="shared" si="9"/>
        <v>5530555.5555555569</v>
      </c>
      <c r="D34">
        <f t="shared" si="10"/>
        <v>0</v>
      </c>
      <c r="E34">
        <f t="shared" si="11"/>
        <v>0</v>
      </c>
      <c r="F34">
        <f t="shared" si="12"/>
        <v>0</v>
      </c>
      <c r="H34">
        <v>30</v>
      </c>
      <c r="I34" s="6">
        <f>H$30*H34+J$30</f>
        <v>1.9526565282365729</v>
      </c>
    </row>
    <row r="35" spans="1:10">
      <c r="B35">
        <f t="shared" si="8"/>
        <v>2777777.7777777785</v>
      </c>
      <c r="C35">
        <f t="shared" si="9"/>
        <v>5625000.0000000009</v>
      </c>
      <c r="D35">
        <f t="shared" si="10"/>
        <v>-76388888.888888896</v>
      </c>
      <c r="E35">
        <f t="shared" si="11"/>
        <v>-154687500.00000003</v>
      </c>
      <c r="F35">
        <f t="shared" si="12"/>
        <v>2100694444.4444449</v>
      </c>
    </row>
    <row r="36" spans="1:10">
      <c r="B36">
        <f t="shared" si="8"/>
        <v>2777777.7777777785</v>
      </c>
      <c r="C36">
        <f t="shared" si="9"/>
        <v>5683333.333333334</v>
      </c>
      <c r="D36">
        <f t="shared" si="10"/>
        <v>-117500000.00000001</v>
      </c>
      <c r="E36">
        <f t="shared" si="11"/>
        <v>-240405000</v>
      </c>
      <c r="F36">
        <f t="shared" si="12"/>
        <v>4970250000</v>
      </c>
      <c r="H36" t="s">
        <v>35</v>
      </c>
      <c r="I36">
        <v>1</v>
      </c>
      <c r="J36">
        <v>2</v>
      </c>
    </row>
    <row r="37" spans="1:10">
      <c r="B37">
        <f t="shared" si="8"/>
        <v>2777777.7777777785</v>
      </c>
      <c r="C37">
        <f t="shared" si="9"/>
        <v>5741666.6666666679</v>
      </c>
      <c r="D37">
        <f t="shared" si="10"/>
        <v>-161805555.55555558</v>
      </c>
      <c r="E37">
        <f t="shared" si="11"/>
        <v>-334452083.33333343</v>
      </c>
      <c r="F37">
        <f t="shared" si="12"/>
        <v>9425173611.1111126</v>
      </c>
      <c r="H37">
        <v>1</v>
      </c>
      <c r="I37">
        <f>B38/B40</f>
        <v>5.2319176953947517E-11</v>
      </c>
      <c r="J37">
        <f>-D38/B40</f>
        <v>1.6562289454484009E-9</v>
      </c>
    </row>
    <row r="38" spans="1:10">
      <c r="A38" s="5" t="s">
        <v>12</v>
      </c>
      <c r="B38">
        <f>SUM(B30:B37)</f>
        <v>22222222.222222228</v>
      </c>
      <c r="C38">
        <f t="shared" ref="C38:F38" si="13">SUM(C30:C37)</f>
        <v>45161111.111111119</v>
      </c>
      <c r="D38">
        <f t="shared" si="13"/>
        <v>-703472222.22222233</v>
      </c>
      <c r="E38">
        <f t="shared" si="13"/>
        <v>-1454305416.666667</v>
      </c>
      <c r="F38">
        <f t="shared" si="13"/>
        <v>41382743055.555565</v>
      </c>
      <c r="H38">
        <v>2</v>
      </c>
      <c r="I38">
        <f>-D38/B40</f>
        <v>1.6562289454484009E-9</v>
      </c>
      <c r="J38">
        <f>F38/B40</f>
        <v>9.7429997554350912E-8</v>
      </c>
    </row>
    <row r="40" spans="1:10">
      <c r="A40" t="s">
        <v>34</v>
      </c>
      <c r="B40">
        <f>F38*B38-D38^2</f>
        <v>4.2474334490740774E+17</v>
      </c>
    </row>
    <row r="41" spans="1:10">
      <c r="H41" s="7"/>
    </row>
    <row r="42" spans="1:10">
      <c r="H42" t="s">
        <v>36</v>
      </c>
      <c r="I42" t="s">
        <v>37</v>
      </c>
    </row>
    <row r="43" spans="1:10">
      <c r="G43" t="s">
        <v>38</v>
      </c>
      <c r="H43" s="6">
        <f>L3/(H30-H16)</f>
        <v>4510.1850893405981</v>
      </c>
      <c r="I43" s="6">
        <f>H30*(J16-J30)/(H30-H16)^2</f>
        <v>-5.8223017059302293</v>
      </c>
    </row>
    <row r="44" spans="1:10">
      <c r="G44" t="s">
        <v>39</v>
      </c>
      <c r="H44" s="6">
        <f>1/(H30-H16)</f>
        <v>-1385.4021427816208</v>
      </c>
      <c r="I44" s="6">
        <f>H30/(H30-H16)</f>
        <v>1.7884475026048505</v>
      </c>
    </row>
    <row r="45" spans="1:10">
      <c r="G45" t="s">
        <v>40</v>
      </c>
      <c r="H45" s="6">
        <f>-L3/(H30-H16)</f>
        <v>-4510.1850893405981</v>
      </c>
      <c r="I45" s="6">
        <f>-H16*(J16-J30)/(H30-H16)^2</f>
        <v>2.5667956329534589</v>
      </c>
    </row>
    <row r="46" spans="1:10">
      <c r="G46" t="s">
        <v>41</v>
      </c>
      <c r="H46" s="6">
        <f>-1/(H30-H16)</f>
        <v>1385.4021427816208</v>
      </c>
      <c r="I46" s="6">
        <f>-H16/(H30-H16)</f>
        <v>-0.78844750260485053</v>
      </c>
    </row>
    <row r="48" spans="1:10">
      <c r="H48" t="s">
        <v>43</v>
      </c>
      <c r="I48" t="s">
        <v>42</v>
      </c>
    </row>
    <row r="49" spans="8:9">
      <c r="H49" s="6">
        <f>H43^2*I24+H44^2*J25+2*H43*H44*J24+H45^2*I37+H46^2*J38+2*H45*H46*J37</f>
        <v>0.28359550626918612</v>
      </c>
      <c r="I49" s="6">
        <f>I43^2*I24+I44^2*J25+2*I43*I44*J24+I45^2*I37+I46^2*J38+2*I45*I46*J37</f>
        <v>2.4789964865361767E-7</v>
      </c>
    </row>
  </sheetData>
  <phoneticPr fontId="1" type="noConversion"/>
  <pageMargins left="0.75" right="0.75" top="1" bottom="1" header="0.5" footer="0.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Puckett</cp:lastModifiedBy>
  <cp:lastPrinted>2014-08-26T17:30:59Z</cp:lastPrinted>
  <dcterms:created xsi:type="dcterms:W3CDTF">1996-10-14T23:33:28Z</dcterms:created>
  <dcterms:modified xsi:type="dcterms:W3CDTF">2014-09-05T18:05:14Z</dcterms:modified>
</cp:coreProperties>
</file>