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Sheet1!$A$1:$Q$32</definedName>
  </definedNames>
  <calcPr calcId="145621"/>
</workbook>
</file>

<file path=xl/calcChain.xml><?xml version="1.0" encoding="utf-8"?>
<calcChain xmlns="http://schemas.openxmlformats.org/spreadsheetml/2006/main">
  <c r="C25" i="1" l="1"/>
  <c r="T25" i="1"/>
  <c r="AZ25" i="1"/>
  <c r="BL25" i="1"/>
  <c r="BN25" i="1"/>
  <c r="BP25" i="1"/>
  <c r="BR25" i="1"/>
  <c r="BT25" i="1"/>
  <c r="BV25" i="1"/>
  <c r="BX25" i="1"/>
  <c r="BY25" i="1"/>
  <c r="C26" i="1"/>
  <c r="T26" i="1"/>
  <c r="Y26" i="1" s="1"/>
  <c r="Z26" i="1" s="1"/>
  <c r="AA26" i="1" s="1"/>
  <c r="U26" i="1"/>
  <c r="W26" i="1" s="1"/>
  <c r="BL26" i="1"/>
  <c r="BN26" i="1"/>
  <c r="BP26" i="1"/>
  <c r="BR26" i="1"/>
  <c r="BT26" i="1"/>
  <c r="BV26" i="1"/>
  <c r="BX26" i="1"/>
  <c r="BY26" i="1"/>
  <c r="C27" i="1"/>
  <c r="T27" i="1"/>
  <c r="Y27" i="1" s="1"/>
  <c r="Z27" i="1" s="1"/>
  <c r="AA27" i="1" s="1"/>
  <c r="U27" i="1"/>
  <c r="W27" i="1" s="1"/>
  <c r="AZ27" i="1"/>
  <c r="BL27" i="1"/>
  <c r="BN27" i="1"/>
  <c r="BP27" i="1"/>
  <c r="BR27" i="1"/>
  <c r="BT27" i="1"/>
  <c r="BV27" i="1"/>
  <c r="BX27" i="1"/>
  <c r="BY27" i="1"/>
  <c r="C28" i="1"/>
  <c r="T28" i="1"/>
  <c r="Y28" i="1" s="1"/>
  <c r="Z28" i="1" s="1"/>
  <c r="AA28" i="1" s="1"/>
  <c r="U28" i="1"/>
  <c r="W28" i="1" s="1"/>
  <c r="BN28" i="1"/>
  <c r="BP28" i="1"/>
  <c r="BR28" i="1"/>
  <c r="BT28" i="1"/>
  <c r="BY28" i="1" s="1"/>
  <c r="BV28" i="1"/>
  <c r="BX28" i="1"/>
  <c r="C29" i="1"/>
  <c r="T29" i="1"/>
  <c r="Y29" i="1" s="1"/>
  <c r="Z29" i="1" s="1"/>
  <c r="AA29" i="1" s="1"/>
  <c r="U29" i="1"/>
  <c r="W29" i="1"/>
  <c r="AZ29" i="1"/>
  <c r="BM29" i="1"/>
  <c r="BN29" i="1"/>
  <c r="BO29" i="1"/>
  <c r="BP29" i="1" s="1"/>
  <c r="BQ29" i="1"/>
  <c r="BR29" i="1" s="1"/>
  <c r="BS29" i="1"/>
  <c r="BT29" i="1" s="1"/>
  <c r="BU29" i="1"/>
  <c r="BV29" i="1" s="1"/>
  <c r="BW29" i="1"/>
  <c r="BX29" i="1" s="1"/>
  <c r="C30" i="1"/>
  <c r="T30" i="1"/>
  <c r="U30" i="1"/>
  <c r="W30" i="1"/>
  <c r="Y30" i="1"/>
  <c r="Z30" i="1" s="1"/>
  <c r="AA30" i="1" s="1"/>
  <c r="AZ30" i="1"/>
  <c r="BE94" i="1"/>
  <c r="BE93" i="1"/>
  <c r="BE92" i="1"/>
  <c r="BE91" i="1"/>
  <c r="BE90" i="1"/>
  <c r="BE89" i="1"/>
  <c r="BE88" i="1"/>
  <c r="BE87" i="1"/>
  <c r="BE86" i="1"/>
  <c r="AL86" i="1"/>
  <c r="AK86" i="1"/>
  <c r="AI86" i="1"/>
  <c r="BE85" i="1"/>
  <c r="BE84" i="1"/>
  <c r="BE83" i="1"/>
  <c r="BE82" i="1"/>
  <c r="BE81" i="1"/>
  <c r="BE80" i="1"/>
  <c r="BE79" i="1"/>
  <c r="BE78" i="1"/>
  <c r="BE77" i="1"/>
  <c r="BE76" i="1"/>
  <c r="BE75" i="1"/>
  <c r="BT67" i="1"/>
  <c r="BT66" i="1"/>
  <c r="BQ66" i="1"/>
  <c r="BH66" i="1"/>
  <c r="BD66" i="1" s="1"/>
  <c r="BT65" i="1"/>
  <c r="BQ65" i="1"/>
  <c r="BH65" i="1"/>
  <c r="BD65" i="1" s="1"/>
  <c r="BT64" i="1"/>
  <c r="BQ64" i="1"/>
  <c r="BH64" i="1"/>
  <c r="BD64" i="1" s="1"/>
  <c r="BT63" i="1"/>
  <c r="BQ63" i="1"/>
  <c r="BH63" i="1"/>
  <c r="BD63" i="1" s="1"/>
  <c r="BT62" i="1"/>
  <c r="BQ62" i="1"/>
  <c r="BH62" i="1"/>
  <c r="BD62" i="1" s="1"/>
  <c r="BT61" i="1"/>
  <c r="BQ61" i="1"/>
  <c r="BH61" i="1"/>
  <c r="BD61" i="1" s="1"/>
  <c r="BT60" i="1"/>
  <c r="BQ60" i="1"/>
  <c r="BH60" i="1"/>
  <c r="BD60" i="1" s="1"/>
  <c r="BT59" i="1"/>
  <c r="BQ59" i="1"/>
  <c r="BH59" i="1"/>
  <c r="BD59" i="1" s="1"/>
  <c r="BT58" i="1"/>
  <c r="BT57" i="1"/>
  <c r="BQ57" i="1"/>
  <c r="BH57" i="1"/>
  <c r="BD57" i="1" s="1"/>
  <c r="BT56" i="1"/>
  <c r="BQ56" i="1"/>
  <c r="BH56" i="1"/>
  <c r="BD56" i="1" s="1"/>
  <c r="BT55" i="1"/>
  <c r="BQ55" i="1"/>
  <c r="BH55" i="1"/>
  <c r="BD55" i="1" s="1"/>
  <c r="BT54" i="1"/>
  <c r="BQ54" i="1"/>
  <c r="BH54" i="1"/>
  <c r="BD54" i="1" s="1"/>
  <c r="BT53" i="1"/>
  <c r="BQ53" i="1"/>
  <c r="BH53" i="1"/>
  <c r="BD53" i="1" s="1"/>
  <c r="BT52" i="1"/>
  <c r="BQ52" i="1"/>
  <c r="BH52" i="1"/>
  <c r="BD52" i="1" s="1"/>
  <c r="BT51" i="1"/>
  <c r="BQ51" i="1"/>
  <c r="BH51" i="1"/>
  <c r="BD51" i="1" s="1"/>
  <c r="BT50" i="1"/>
  <c r="BQ50" i="1"/>
  <c r="BH50" i="1"/>
  <c r="BD50" i="1" s="1"/>
  <c r="AY50" i="1"/>
  <c r="BT49" i="1"/>
  <c r="BQ49" i="1"/>
  <c r="BH49" i="1"/>
  <c r="BD49" i="1" s="1"/>
  <c r="AY49" i="1"/>
  <c r="BT48" i="1"/>
  <c r="BQ48" i="1"/>
  <c r="BH48" i="1"/>
  <c r="BD48" i="1" s="1"/>
  <c r="AY48" i="1"/>
  <c r="BQ47" i="1"/>
  <c r="BH47" i="1"/>
  <c r="BD47" i="1" s="1"/>
  <c r="AY47" i="1"/>
  <c r="BT44" i="1"/>
  <c r="AK40" i="1"/>
  <c r="AK41" i="1" s="1"/>
  <c r="AK37" i="1"/>
  <c r="AJ37" i="1"/>
  <c r="AI37" i="1"/>
  <c r="AH37" i="1"/>
  <c r="AG37" i="1"/>
  <c r="AF37" i="1"/>
  <c r="AF38" i="1" s="1"/>
  <c r="AD65" i="1"/>
  <c r="T32" i="1"/>
  <c r="AD64" i="1" s="1"/>
  <c r="O32" i="1"/>
  <c r="M32" i="1"/>
  <c r="K32" i="1"/>
  <c r="I32" i="1"/>
  <c r="G32" i="1"/>
  <c r="T31" i="1"/>
  <c r="AD63" i="1" s="1"/>
  <c r="O31" i="1"/>
  <c r="N31" i="1"/>
  <c r="M31" i="1"/>
  <c r="L31" i="1"/>
  <c r="K31" i="1"/>
  <c r="J31" i="1"/>
  <c r="I31" i="1"/>
  <c r="H31" i="1"/>
  <c r="G31" i="1"/>
  <c r="F31" i="1"/>
  <c r="AD62" i="1"/>
  <c r="AD61" i="1"/>
  <c r="U32" i="1"/>
  <c r="BI26" i="1" s="1"/>
  <c r="AD60" i="1"/>
  <c r="U31" i="1"/>
  <c r="BI25" i="1" s="1"/>
  <c r="AD59" i="1"/>
  <c r="AD58" i="1"/>
  <c r="AD57" i="1"/>
  <c r="BX24" i="1"/>
  <c r="BV24" i="1"/>
  <c r="BT24" i="1"/>
  <c r="BR24" i="1"/>
  <c r="BY24" i="1" s="1"/>
  <c r="BP24" i="1"/>
  <c r="BN24" i="1"/>
  <c r="BL24" i="1"/>
  <c r="BD24" i="1"/>
  <c r="AY24" i="1"/>
  <c r="T24" i="1"/>
  <c r="AD56" i="1" s="1"/>
  <c r="C24" i="1"/>
  <c r="BX23" i="1"/>
  <c r="BV23" i="1"/>
  <c r="BT23" i="1"/>
  <c r="BR23" i="1"/>
  <c r="BP23" i="1"/>
  <c r="BN23" i="1"/>
  <c r="BL23" i="1"/>
  <c r="BD23" i="1"/>
  <c r="AY23" i="1"/>
  <c r="T23" i="1"/>
  <c r="C23" i="1"/>
  <c r="BX22" i="1"/>
  <c r="BV22" i="1"/>
  <c r="BT22" i="1"/>
  <c r="BR22" i="1"/>
  <c r="BP22" i="1"/>
  <c r="BN22" i="1"/>
  <c r="BL22" i="1"/>
  <c r="BD22" i="1"/>
  <c r="AY22" i="1"/>
  <c r="T22" i="1"/>
  <c r="AD54" i="1" s="1"/>
  <c r="O22" i="1"/>
  <c r="U25" i="1" s="1"/>
  <c r="W25" i="1" s="1"/>
  <c r="N22" i="1"/>
  <c r="M22" i="1"/>
  <c r="L22" i="1"/>
  <c r="K22" i="1"/>
  <c r="J22" i="1"/>
  <c r="I22" i="1"/>
  <c r="H22" i="1"/>
  <c r="G22" i="1"/>
  <c r="F22" i="1"/>
  <c r="E22" i="1"/>
  <c r="D22" i="1"/>
  <c r="C22" i="1"/>
  <c r="BX21" i="1"/>
  <c r="BV21" i="1"/>
  <c r="BT21" i="1"/>
  <c r="BR21" i="1"/>
  <c r="BP21" i="1"/>
  <c r="BN21" i="1"/>
  <c r="BL21" i="1"/>
  <c r="BD21" i="1"/>
  <c r="AY21" i="1"/>
  <c r="T21" i="1"/>
  <c r="AD53" i="1" s="1"/>
  <c r="O21" i="1"/>
  <c r="U24" i="1" s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BH18" i="1" s="1"/>
  <c r="BX20" i="1"/>
  <c r="BV20" i="1"/>
  <c r="BT20" i="1"/>
  <c r="BR20" i="1"/>
  <c r="BP20" i="1"/>
  <c r="BN20" i="1"/>
  <c r="BL20" i="1"/>
  <c r="BD20" i="1"/>
  <c r="AY20" i="1"/>
  <c r="T20" i="1"/>
  <c r="AD52" i="1" s="1"/>
  <c r="O20" i="1"/>
  <c r="U23" i="1" s="1"/>
  <c r="N20" i="1"/>
  <c r="M20" i="1"/>
  <c r="L20" i="1"/>
  <c r="K20" i="1"/>
  <c r="J20" i="1"/>
  <c r="I20" i="1"/>
  <c r="H20" i="1"/>
  <c r="G20" i="1"/>
  <c r="F20" i="1"/>
  <c r="E20" i="1"/>
  <c r="D20" i="1"/>
  <c r="C20" i="1"/>
  <c r="BD14" i="1" s="1"/>
  <c r="A20" i="1"/>
  <c r="BH17" i="1" s="1"/>
  <c r="BX19" i="1"/>
  <c r="BV19" i="1"/>
  <c r="BT19" i="1"/>
  <c r="BR19" i="1"/>
  <c r="BP19" i="1"/>
  <c r="BN19" i="1"/>
  <c r="BL19" i="1"/>
  <c r="AY19" i="1"/>
  <c r="T19" i="1"/>
  <c r="AD51" i="1" s="1"/>
  <c r="O19" i="1"/>
  <c r="U22" i="1" s="1"/>
  <c r="N19" i="1"/>
  <c r="M19" i="1"/>
  <c r="L19" i="1"/>
  <c r="K19" i="1"/>
  <c r="J19" i="1"/>
  <c r="I19" i="1"/>
  <c r="H19" i="1"/>
  <c r="G19" i="1"/>
  <c r="F19" i="1"/>
  <c r="E19" i="1"/>
  <c r="D19" i="1"/>
  <c r="C19" i="1"/>
  <c r="BX18" i="1"/>
  <c r="BV18" i="1"/>
  <c r="BT18" i="1"/>
  <c r="BR18" i="1"/>
  <c r="BP18" i="1"/>
  <c r="BN18" i="1"/>
  <c r="BL18" i="1"/>
  <c r="BD18" i="1"/>
  <c r="AY18" i="1"/>
  <c r="AW18" i="1"/>
  <c r="AW19" i="1" s="1"/>
  <c r="T18" i="1"/>
  <c r="AD50" i="1" s="1"/>
  <c r="O18" i="1"/>
  <c r="U21" i="1" s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BX17" i="1"/>
  <c r="BV17" i="1"/>
  <c r="BT17" i="1"/>
  <c r="BR17" i="1"/>
  <c r="BP17" i="1"/>
  <c r="BN17" i="1"/>
  <c r="BL17" i="1"/>
  <c r="BD17" i="1"/>
  <c r="AY17" i="1"/>
  <c r="T17" i="1"/>
  <c r="AD49" i="1" s="1"/>
  <c r="O17" i="1"/>
  <c r="U20" i="1" s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BC11" i="1" s="1"/>
  <c r="BX16" i="1"/>
  <c r="BV16" i="1"/>
  <c r="BT16" i="1"/>
  <c r="BR16" i="1"/>
  <c r="BP16" i="1"/>
  <c r="BN16" i="1"/>
  <c r="BL16" i="1"/>
  <c r="BD16" i="1"/>
  <c r="AY16" i="1"/>
  <c r="T16" i="1"/>
  <c r="AD48" i="1" s="1"/>
  <c r="O16" i="1"/>
  <c r="U19" i="1" s="1"/>
  <c r="AE51" i="1" s="1"/>
  <c r="AF51" i="1" s="1"/>
  <c r="N16" i="1"/>
  <c r="M16" i="1"/>
  <c r="L16" i="1"/>
  <c r="K16" i="1"/>
  <c r="J16" i="1"/>
  <c r="I16" i="1"/>
  <c r="H16" i="1"/>
  <c r="G16" i="1"/>
  <c r="F16" i="1"/>
  <c r="E16" i="1"/>
  <c r="D16" i="1"/>
  <c r="C16" i="1"/>
  <c r="BX15" i="1"/>
  <c r="BV15" i="1"/>
  <c r="BT15" i="1"/>
  <c r="BR15" i="1"/>
  <c r="BP15" i="1"/>
  <c r="BN15" i="1"/>
  <c r="BL15" i="1"/>
  <c r="BH15" i="1"/>
  <c r="BD15" i="1"/>
  <c r="AY15" i="1"/>
  <c r="T15" i="1"/>
  <c r="AD47" i="1" s="1"/>
  <c r="O15" i="1"/>
  <c r="U18" i="1" s="1"/>
  <c r="N15" i="1"/>
  <c r="M15" i="1"/>
  <c r="L15" i="1"/>
  <c r="K15" i="1"/>
  <c r="J15" i="1"/>
  <c r="I15" i="1"/>
  <c r="H15" i="1"/>
  <c r="G15" i="1"/>
  <c r="F15" i="1"/>
  <c r="E15" i="1"/>
  <c r="D15" i="1"/>
  <c r="C15" i="1"/>
  <c r="BD9" i="1" s="1"/>
  <c r="BX14" i="1"/>
  <c r="BV14" i="1"/>
  <c r="BT14" i="1"/>
  <c r="BR14" i="1"/>
  <c r="BP14" i="1"/>
  <c r="BN14" i="1"/>
  <c r="BL14" i="1"/>
  <c r="AY14" i="1"/>
  <c r="T14" i="1"/>
  <c r="AD46" i="1" s="1"/>
  <c r="O14" i="1"/>
  <c r="U17" i="1" s="1"/>
  <c r="N14" i="1"/>
  <c r="M14" i="1"/>
  <c r="L14" i="1"/>
  <c r="K14" i="1"/>
  <c r="J14" i="1"/>
  <c r="I14" i="1"/>
  <c r="H14" i="1"/>
  <c r="G14" i="1"/>
  <c r="F14" i="1"/>
  <c r="E14" i="1"/>
  <c r="D14" i="1"/>
  <c r="C14" i="1"/>
  <c r="BX13" i="1"/>
  <c r="BV13" i="1"/>
  <c r="BT13" i="1"/>
  <c r="BR13" i="1"/>
  <c r="BP13" i="1"/>
  <c r="BN13" i="1"/>
  <c r="BL13" i="1"/>
  <c r="BD13" i="1"/>
  <c r="AY13" i="1"/>
  <c r="O13" i="1"/>
  <c r="U16" i="1" s="1"/>
  <c r="N13" i="1"/>
  <c r="M13" i="1"/>
  <c r="L13" i="1"/>
  <c r="K13" i="1"/>
  <c r="J13" i="1"/>
  <c r="I13" i="1"/>
  <c r="H13" i="1"/>
  <c r="G13" i="1"/>
  <c r="F13" i="1"/>
  <c r="E13" i="1"/>
  <c r="D13" i="1"/>
  <c r="C13" i="1"/>
  <c r="BD7" i="1" s="1"/>
  <c r="BX12" i="1"/>
  <c r="BV12" i="1"/>
  <c r="BT12" i="1"/>
  <c r="BR12" i="1"/>
  <c r="BP12" i="1"/>
  <c r="BN12" i="1"/>
  <c r="BL12" i="1"/>
  <c r="BD12" i="1"/>
  <c r="BC12" i="1"/>
  <c r="AY12" i="1"/>
  <c r="O12" i="1"/>
  <c r="U15" i="1" s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BH9" i="1" s="1"/>
  <c r="BX11" i="1"/>
  <c r="BV11" i="1"/>
  <c r="BT11" i="1"/>
  <c r="BR11" i="1"/>
  <c r="BP11" i="1"/>
  <c r="BN11" i="1"/>
  <c r="BL11" i="1"/>
  <c r="BD11" i="1"/>
  <c r="AY11" i="1"/>
  <c r="AW11" i="1"/>
  <c r="O11" i="1"/>
  <c r="U14" i="1" s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BH8" i="1" s="1"/>
  <c r="BX10" i="1"/>
  <c r="BV10" i="1"/>
  <c r="BT10" i="1"/>
  <c r="BR10" i="1"/>
  <c r="BP10" i="1"/>
  <c r="BN10" i="1"/>
  <c r="BL10" i="1"/>
  <c r="BD10" i="1"/>
  <c r="AY10" i="1"/>
  <c r="BX9" i="1"/>
  <c r="BV9" i="1"/>
  <c r="BT9" i="1"/>
  <c r="BR9" i="1"/>
  <c r="BP9" i="1"/>
  <c r="BN9" i="1"/>
  <c r="BL9" i="1"/>
  <c r="AY9" i="1"/>
  <c r="BX8" i="1"/>
  <c r="BV8" i="1"/>
  <c r="BT8" i="1"/>
  <c r="BR8" i="1"/>
  <c r="BP8" i="1"/>
  <c r="BN8" i="1"/>
  <c r="BL8" i="1"/>
  <c r="BD8" i="1"/>
  <c r="AY8" i="1"/>
  <c r="AU8" i="1"/>
  <c r="N8" i="1"/>
  <c r="L8" i="1"/>
  <c r="J8" i="1"/>
  <c r="H8" i="1"/>
  <c r="F8" i="1"/>
  <c r="AY7" i="1"/>
  <c r="N7" i="1"/>
  <c r="L7" i="1"/>
  <c r="J7" i="1"/>
  <c r="H7" i="1"/>
  <c r="F7" i="1"/>
  <c r="BD6" i="1"/>
  <c r="AY6" i="1"/>
  <c r="BD5" i="1"/>
  <c r="AY5" i="1"/>
  <c r="AN5" i="1"/>
  <c r="AY1" i="1" s="1"/>
  <c r="AT4" i="1"/>
  <c r="AA4" i="1"/>
  <c r="J4" i="1"/>
  <c r="D4" i="1"/>
  <c r="AT3" i="1"/>
  <c r="AF3" i="1"/>
  <c r="M3" i="1"/>
  <c r="A25" i="1" s="1"/>
  <c r="J3" i="1"/>
  <c r="G4" i="1" s="1"/>
  <c r="G3" i="1"/>
  <c r="D3" i="1"/>
  <c r="AZ2" i="1"/>
  <c r="AT2" i="1"/>
  <c r="D2" i="1"/>
  <c r="A2" i="1"/>
  <c r="K1" i="1"/>
  <c r="A1" i="1"/>
  <c r="Y25" i="1" l="1"/>
  <c r="Z25" i="1" s="1"/>
  <c r="AA25" i="1" s="1"/>
  <c r="A28" i="1"/>
  <c r="BH25" i="1" s="1"/>
  <c r="A27" i="1"/>
  <c r="A26" i="1"/>
  <c r="A29" i="1"/>
  <c r="BH26" i="1" s="1"/>
  <c r="BI27" i="1"/>
  <c r="A30" i="1"/>
  <c r="BH27" i="1" s="1"/>
  <c r="BA26" i="1"/>
  <c r="BI22" i="1"/>
  <c r="BC14" i="1"/>
  <c r="BC15" i="1"/>
  <c r="BH14" i="1"/>
  <c r="BC6" i="1"/>
  <c r="BT46" i="1"/>
  <c r="AN86" i="1"/>
  <c r="BE74" i="1"/>
  <c r="BY15" i="1"/>
  <c r="BY16" i="1"/>
  <c r="Y31" i="1"/>
  <c r="Z31" i="1" s="1"/>
  <c r="AA31" i="1" s="1"/>
  <c r="BC5" i="1"/>
  <c r="BY11" i="1"/>
  <c r="BY13" i="1"/>
  <c r="BY18" i="1"/>
  <c r="BY19" i="1"/>
  <c r="BY20" i="1"/>
  <c r="BD67" i="1"/>
  <c r="BI18" i="1"/>
  <c r="BY6" i="1"/>
  <c r="BY8" i="1"/>
  <c r="BY10" i="1"/>
  <c r="BY14" i="1"/>
  <c r="BY22" i="1"/>
  <c r="BY9" i="1"/>
  <c r="BY12" i="1"/>
  <c r="BY17" i="1"/>
  <c r="BD19" i="1"/>
  <c r="BI19" i="1"/>
  <c r="BH58" i="1" s="1"/>
  <c r="BD58" i="1" s="1"/>
  <c r="BY23" i="1"/>
  <c r="BQ31" i="1"/>
  <c r="AE48" i="1"/>
  <c r="AF48" i="1" s="1"/>
  <c r="BI10" i="1"/>
  <c r="W16" i="1"/>
  <c r="AE52" i="1"/>
  <c r="AF52" i="1" s="1"/>
  <c r="Y20" i="1"/>
  <c r="Z20" i="1" s="1"/>
  <c r="AA20" i="1" s="1"/>
  <c r="BI14" i="1"/>
  <c r="W20" i="1"/>
  <c r="AE53" i="1"/>
  <c r="AF53" i="1" s="1"/>
  <c r="Y21" i="1"/>
  <c r="W21" i="1"/>
  <c r="BI15" i="1"/>
  <c r="AE54" i="1"/>
  <c r="AF54" i="1" s="1"/>
  <c r="Y22" i="1"/>
  <c r="Z22" i="1" s="1"/>
  <c r="AA22" i="1" s="1"/>
  <c r="W22" i="1"/>
  <c r="BI16" i="1"/>
  <c r="AE55" i="1"/>
  <c r="AF55" i="1" s="1"/>
  <c r="W23" i="1"/>
  <c r="BI17" i="1"/>
  <c r="AE49" i="1"/>
  <c r="AF49" i="1" s="1"/>
  <c r="W17" i="1"/>
  <c r="BI11" i="1"/>
  <c r="AE50" i="1"/>
  <c r="AF50" i="1" s="1"/>
  <c r="Y18" i="1"/>
  <c r="Z18" i="1" s="1"/>
  <c r="AA18" i="1" s="1"/>
  <c r="BI12" i="1"/>
  <c r="W18" i="1"/>
  <c r="AE47" i="1"/>
  <c r="AF47" i="1" s="1"/>
  <c r="Y15" i="1"/>
  <c r="W15" i="1"/>
  <c r="BI9" i="1"/>
  <c r="BQ58" i="1"/>
  <c r="AE46" i="1"/>
  <c r="AF46" i="1" s="1"/>
  <c r="Y14" i="1"/>
  <c r="W14" i="1"/>
  <c r="BI8" i="1"/>
  <c r="BC51" i="1"/>
  <c r="BA51" i="1"/>
  <c r="BC53" i="1"/>
  <c r="BA53" i="1"/>
  <c r="BI13" i="1"/>
  <c r="BC58" i="1"/>
  <c r="BA58" i="1"/>
  <c r="Y17" i="1"/>
  <c r="Z17" i="1" s="1"/>
  <c r="AA17" i="1" s="1"/>
  <c r="BI20" i="1"/>
  <c r="BY21" i="1"/>
  <c r="AE58" i="1"/>
  <c r="AF58" i="1" s="1"/>
  <c r="BI23" i="1"/>
  <c r="AE61" i="1"/>
  <c r="AF61" i="1" s="1"/>
  <c r="AE62" i="1"/>
  <c r="AF62" i="1" s="1"/>
  <c r="BI24" i="1"/>
  <c r="AW31" i="1"/>
  <c r="BC67" i="1"/>
  <c r="BE67" i="1" s="1"/>
  <c r="P31" i="1" s="1"/>
  <c r="P7" i="1"/>
  <c r="P8" i="1" s="1"/>
  <c r="BC50" i="1"/>
  <c r="BA50" i="1"/>
  <c r="BC57" i="1"/>
  <c r="BA57" i="1"/>
  <c r="Y16" i="1"/>
  <c r="Z16" i="1" s="1"/>
  <c r="AA16" i="1" s="1"/>
  <c r="AD55" i="1"/>
  <c r="Y23" i="1"/>
  <c r="Z23" i="1" s="1"/>
  <c r="AA23" i="1" s="1"/>
  <c r="AE59" i="1"/>
  <c r="AF59" i="1" s="1"/>
  <c r="BI21" i="1"/>
  <c r="AF39" i="1"/>
  <c r="AG38" i="1"/>
  <c r="AG39" i="1" s="1"/>
  <c r="BC47" i="1"/>
  <c r="BA47" i="1"/>
  <c r="BC52" i="1"/>
  <c r="BA52" i="1"/>
  <c r="BC54" i="1"/>
  <c r="BA54" i="1"/>
  <c r="BC56" i="1"/>
  <c r="BA56" i="1"/>
  <c r="W19" i="1"/>
  <c r="AE56" i="1"/>
  <c r="AF56" i="1" s="1"/>
  <c r="W24" i="1"/>
  <c r="AE63" i="1"/>
  <c r="AF63" i="1" s="1"/>
  <c r="W31" i="1"/>
  <c r="AE64" i="1"/>
  <c r="AF64" i="1" s="1"/>
  <c r="W32" i="1"/>
  <c r="BS1" i="1"/>
  <c r="BA49" i="1"/>
  <c r="BC49" i="1"/>
  <c r="BC48" i="1"/>
  <c r="BA48" i="1"/>
  <c r="E32" i="1"/>
  <c r="BC55" i="1"/>
  <c r="BA55" i="1"/>
  <c r="BC59" i="1"/>
  <c r="BA59" i="1"/>
  <c r="BC60" i="1"/>
  <c r="BA60" i="1"/>
  <c r="Y19" i="1"/>
  <c r="Z19" i="1" s="1"/>
  <c r="AA19" i="1" s="1"/>
  <c r="BC61" i="1"/>
  <c r="BA61" i="1"/>
  <c r="BC62" i="1"/>
  <c r="BA62" i="1"/>
  <c r="BC63" i="1"/>
  <c r="BA63" i="1"/>
  <c r="AE57" i="1"/>
  <c r="AF57" i="1" s="1"/>
  <c r="AE60" i="1"/>
  <c r="AF60" i="1" s="1"/>
  <c r="AE65" i="1"/>
  <c r="AF65" i="1" s="1"/>
  <c r="BC64" i="1"/>
  <c r="BA64" i="1"/>
  <c r="BC66" i="1"/>
  <c r="BA66" i="1"/>
  <c r="Y32" i="1"/>
  <c r="Z32" i="1" s="1"/>
  <c r="AA32" i="1" s="1"/>
  <c r="BC65" i="1"/>
  <c r="BA65" i="1"/>
  <c r="Y24" i="1"/>
  <c r="Z24" i="1" s="1"/>
  <c r="AA24" i="1" s="1"/>
  <c r="BQ67" i="1"/>
  <c r="BT31" i="1" s="1"/>
  <c r="BY29" i="1" l="1"/>
  <c r="BR30" i="1"/>
  <c r="Z21" i="1"/>
  <c r="AA21" i="1" s="1"/>
  <c r="Z14" i="1"/>
  <c r="Z15" i="1"/>
  <c r="AA15" i="1" s="1"/>
  <c r="A24" i="1"/>
  <c r="Q31" i="1"/>
  <c r="A23" i="1"/>
  <c r="AA14" i="1"/>
  <c r="AF45" i="1"/>
  <c r="AG56" i="1" s="1"/>
  <c r="AH56" i="1" s="1"/>
  <c r="AH38" i="1"/>
  <c r="AH39" i="1" s="1"/>
  <c r="AF40" i="1"/>
  <c r="AF41" i="1" s="1"/>
  <c r="AG50" i="1" l="1"/>
  <c r="AH50" i="1" s="1"/>
  <c r="AA2" i="1"/>
  <c r="AA3" i="1"/>
  <c r="AW12" i="1" s="1"/>
  <c r="AG49" i="1"/>
  <c r="AH49" i="1" s="1"/>
  <c r="AG59" i="1"/>
  <c r="AH59" i="1" s="1"/>
  <c r="AG48" i="1"/>
  <c r="AH48" i="1" s="1"/>
  <c r="AG61" i="1"/>
  <c r="AH61" i="1" s="1"/>
  <c r="AF44" i="1"/>
  <c r="AF20" i="1" s="1"/>
  <c r="AG51" i="1"/>
  <c r="AH51" i="1" s="1"/>
  <c r="AG57" i="1"/>
  <c r="AH57" i="1" s="1"/>
  <c r="AW23" i="1"/>
  <c r="BH22" i="1"/>
  <c r="BC19" i="1"/>
  <c r="BH21" i="1"/>
  <c r="BC18" i="1"/>
  <c r="AG55" i="1"/>
  <c r="AH55" i="1" s="1"/>
  <c r="AG63" i="1"/>
  <c r="AH63" i="1" s="1"/>
  <c r="AG40" i="1"/>
  <c r="AG41" i="1" s="1"/>
  <c r="AI38" i="1"/>
  <c r="AI39" i="1" s="1"/>
  <c r="AG58" i="1"/>
  <c r="AH58" i="1" s="1"/>
  <c r="AG46" i="1"/>
  <c r="AH46" i="1" s="1"/>
  <c r="AG65" i="1"/>
  <c r="AH65" i="1" s="1"/>
  <c r="BH23" i="1"/>
  <c r="BC20" i="1"/>
  <c r="BC22" i="1"/>
  <c r="AG52" i="1"/>
  <c r="AH52" i="1" s="1"/>
  <c r="AG47" i="1"/>
  <c r="AH47" i="1" s="1"/>
  <c r="AG60" i="1"/>
  <c r="AH60" i="1" s="1"/>
  <c r="AG64" i="1"/>
  <c r="AH64" i="1" s="1"/>
  <c r="AG53" i="1"/>
  <c r="AH53" i="1" s="1"/>
  <c r="AG62" i="1"/>
  <c r="AH62" i="1" s="1"/>
  <c r="AG54" i="1"/>
  <c r="AH54" i="1" s="1"/>
  <c r="BH20" i="1"/>
  <c r="BC17" i="1"/>
  <c r="BH24" i="1"/>
  <c r="BC21" i="1"/>
  <c r="BC23" i="1"/>
  <c r="BC24" i="1"/>
  <c r="AW25" i="1" l="1"/>
  <c r="AW29" i="1"/>
  <c r="BA21" i="1" s="1"/>
  <c r="BE63" i="1" s="1"/>
  <c r="AW24" i="1"/>
  <c r="AH20" i="1"/>
  <c r="AH40" i="1"/>
  <c r="AH41" i="1" s="1"/>
  <c r="AJ38" i="1"/>
  <c r="AJ39" i="1" s="1"/>
  <c r="BA22" i="1"/>
  <c r="BE64" i="1" s="1"/>
  <c r="BA14" i="1"/>
  <c r="BE56" i="1" s="1"/>
  <c r="P20" i="1" s="1"/>
  <c r="Q20" i="1" s="1"/>
  <c r="BA12" i="1"/>
  <c r="BE54" i="1" s="1"/>
  <c r="P18" i="1" s="1"/>
  <c r="Q18" i="1" s="1"/>
  <c r="BA5" i="1"/>
  <c r="BA23" i="1"/>
  <c r="BE65" i="1" s="1"/>
  <c r="BA8" i="1"/>
  <c r="BE50" i="1" s="1"/>
  <c r="P14" i="1" s="1"/>
  <c r="Q14" i="1" s="1"/>
  <c r="BA11" i="1"/>
  <c r="BE53" i="1" s="1"/>
  <c r="P17" i="1" s="1"/>
  <c r="Q17" i="1" s="1"/>
  <c r="BA20" i="1"/>
  <c r="BE62" i="1" s="1"/>
  <c r="BA19" i="1"/>
  <c r="BE61" i="1" s="1"/>
  <c r="BA13" i="1"/>
  <c r="BE55" i="1" s="1"/>
  <c r="P19" i="1" s="1"/>
  <c r="Q19" i="1" s="1"/>
  <c r="A19" i="1" s="1"/>
  <c r="BA6" i="1"/>
  <c r="BE48" i="1" s="1"/>
  <c r="P12" i="1" s="1"/>
  <c r="Q12" i="1" s="1"/>
  <c r="AH45" i="1"/>
  <c r="AI62" i="1" s="1"/>
  <c r="AJ62" i="1" s="1"/>
  <c r="BA18" i="1" l="1"/>
  <c r="BE60" i="1" s="1"/>
  <c r="BA16" i="1"/>
  <c r="BE58" i="1" s="1"/>
  <c r="P22" i="1" s="1"/>
  <c r="Q22" i="1" s="1"/>
  <c r="A22" i="1" s="1"/>
  <c r="BC16" i="1" s="1"/>
  <c r="BA7" i="1"/>
  <c r="BE49" i="1" s="1"/>
  <c r="P13" i="1" s="1"/>
  <c r="Q13" i="1" s="1"/>
  <c r="BA24" i="1"/>
  <c r="BE66" i="1" s="1"/>
  <c r="BA17" i="1"/>
  <c r="BE59" i="1" s="1"/>
  <c r="BA9" i="1"/>
  <c r="BE51" i="1" s="1"/>
  <c r="P15" i="1" s="1"/>
  <c r="Q15" i="1" s="1"/>
  <c r="A15" i="1" s="1"/>
  <c r="BC9" i="1" s="1"/>
  <c r="BA15" i="1"/>
  <c r="BE57" i="1" s="1"/>
  <c r="P21" i="1" s="1"/>
  <c r="Q21" i="1" s="1"/>
  <c r="BA10" i="1"/>
  <c r="BE52" i="1" s="1"/>
  <c r="P16" i="1" s="1"/>
  <c r="Q16" i="1" s="1"/>
  <c r="AI46" i="1"/>
  <c r="AJ46" i="1" s="1"/>
  <c r="AI54" i="1"/>
  <c r="AJ54" i="1" s="1"/>
  <c r="AI51" i="1"/>
  <c r="AJ51" i="1" s="1"/>
  <c r="AI64" i="1"/>
  <c r="AJ64" i="1" s="1"/>
  <c r="AI60" i="1"/>
  <c r="AJ60" i="1" s="1"/>
  <c r="AI65" i="1"/>
  <c r="AJ65" i="1" s="1"/>
  <c r="AI57" i="1"/>
  <c r="AJ57" i="1" s="1"/>
  <c r="AI53" i="1"/>
  <c r="AJ53" i="1" s="1"/>
  <c r="AH44" i="1"/>
  <c r="AF21" i="1" s="1"/>
  <c r="AI48" i="1"/>
  <c r="AJ48" i="1" s="1"/>
  <c r="AI50" i="1"/>
  <c r="AJ50" i="1" s="1"/>
  <c r="AI61" i="1"/>
  <c r="AJ61" i="1" s="1"/>
  <c r="AI49" i="1"/>
  <c r="AJ49" i="1" s="1"/>
  <c r="AI56" i="1"/>
  <c r="AJ56" i="1" s="1"/>
  <c r="AI59" i="1"/>
  <c r="AJ59" i="1" s="1"/>
  <c r="AI58" i="1"/>
  <c r="AJ58" i="1" s="1"/>
  <c r="BH19" i="1"/>
  <c r="BE47" i="1"/>
  <c r="P11" i="1" s="1"/>
  <c r="Q11" i="1" s="1"/>
  <c r="AI63" i="1"/>
  <c r="AJ63" i="1" s="1"/>
  <c r="BC13" i="1"/>
  <c r="BH16" i="1"/>
  <c r="BC8" i="1"/>
  <c r="BH11" i="1"/>
  <c r="BH10" i="1"/>
  <c r="BC7" i="1"/>
  <c r="AK20" i="1"/>
  <c r="AK80" i="1" s="1"/>
  <c r="AI20" i="1"/>
  <c r="AO27" i="1" s="1"/>
  <c r="AP27" i="1" s="1"/>
  <c r="AI40" i="1"/>
  <c r="AI41" i="1" s="1"/>
  <c r="AK38" i="1"/>
  <c r="AJ40" i="1" s="1"/>
  <c r="AJ41" i="1" s="1"/>
  <c r="BH13" i="1"/>
  <c r="BC10" i="1"/>
  <c r="AI55" i="1"/>
  <c r="AJ55" i="1" s="1"/>
  <c r="AI52" i="1"/>
  <c r="AJ52" i="1" s="1"/>
  <c r="AI47" i="1"/>
  <c r="AJ47" i="1" s="1"/>
  <c r="AE41" i="1" l="1"/>
  <c r="AP26" i="1"/>
  <c r="BA25" i="1"/>
  <c r="BA27" i="1" s="1"/>
  <c r="BH12" i="1"/>
  <c r="Q32" i="1"/>
  <c r="BE68" i="1"/>
  <c r="AJ45" i="1"/>
  <c r="AK46" i="1" s="1"/>
  <c r="AL46" i="1" s="1"/>
  <c r="AJ44" i="1"/>
  <c r="AF22" i="1" s="1"/>
  <c r="AK53" i="1"/>
  <c r="AL53" i="1" s="1"/>
  <c r="AK51" i="1"/>
  <c r="AL51" i="1" s="1"/>
  <c r="AK57" i="1"/>
  <c r="AL57" i="1" s="1"/>
  <c r="AI80" i="1"/>
  <c r="AK39" i="1"/>
  <c r="AK59" i="1"/>
  <c r="AL59" i="1" s="1"/>
  <c r="AK50" i="1"/>
  <c r="AL50" i="1" s="1"/>
  <c r="AK63" i="1"/>
  <c r="AL63" i="1" s="1"/>
  <c r="AG21" i="1"/>
  <c r="AQ27" i="1" s="1"/>
  <c r="AN27" i="1" s="1"/>
  <c r="AH21" i="1"/>
  <c r="AK58" i="1"/>
  <c r="AL58" i="1" s="1"/>
  <c r="AQ28" i="1" l="1"/>
  <c r="AN28" i="1" s="1"/>
  <c r="AK55" i="1"/>
  <c r="AL55" i="1" s="1"/>
  <c r="AK49" i="1"/>
  <c r="AL49" i="1" s="1"/>
  <c r="AK54" i="1"/>
  <c r="AL54" i="1" s="1"/>
  <c r="AK47" i="1"/>
  <c r="AL47" i="1" s="1"/>
  <c r="AK64" i="1"/>
  <c r="AL64" i="1" s="1"/>
  <c r="AK48" i="1"/>
  <c r="AL48" i="1" s="1"/>
  <c r="AK65" i="1"/>
  <c r="AL65" i="1" s="1"/>
  <c r="AK62" i="1"/>
  <c r="AL62" i="1" s="1"/>
  <c r="AK56" i="1"/>
  <c r="AL56" i="1" s="1"/>
  <c r="AK61" i="1"/>
  <c r="AL61" i="1" s="1"/>
  <c r="AK52" i="1"/>
  <c r="AL52" i="1" s="1"/>
  <c r="AL45" i="1" s="1"/>
  <c r="AL44" i="1" s="1"/>
  <c r="AK60" i="1"/>
  <c r="AL60" i="1" s="1"/>
  <c r="AH22" i="1"/>
  <c r="AG22" i="1"/>
  <c r="AK6" i="1"/>
  <c r="AL20" i="1"/>
  <c r="AL80" i="1" s="1"/>
  <c r="AN80" i="1" s="1"/>
  <c r="AI21" i="1"/>
  <c r="AO28" i="1" s="1"/>
  <c r="AP28" i="1" s="1"/>
  <c r="AL21" i="1"/>
  <c r="AL81" i="1" s="1"/>
  <c r="AK21" i="1"/>
  <c r="AK81" i="1" s="1"/>
  <c r="AN64" i="1" l="1"/>
  <c r="AO64" i="1" s="1"/>
  <c r="AN62" i="1"/>
  <c r="AO62" i="1" s="1"/>
  <c r="AN48" i="1"/>
  <c r="AO48" i="1" s="1"/>
  <c r="AN50" i="1"/>
  <c r="AO50" i="1" s="1"/>
  <c r="AN46" i="1"/>
  <c r="AO46" i="1" s="1"/>
  <c r="AN49" i="1"/>
  <c r="AO49" i="1" s="1"/>
  <c r="AN51" i="1"/>
  <c r="AO51" i="1" s="1"/>
  <c r="AN65" i="1"/>
  <c r="AO65" i="1" s="1"/>
  <c r="AN63" i="1"/>
  <c r="AO63" i="1" s="1"/>
  <c r="AN47" i="1"/>
  <c r="AO47" i="1" s="1"/>
  <c r="AN52" i="1"/>
  <c r="AO52" i="1" s="1"/>
  <c r="AI22" i="1"/>
  <c r="AO29" i="1" s="1"/>
  <c r="AP29" i="1" s="1"/>
  <c r="AL22" i="1"/>
  <c r="AL82" i="1" s="1"/>
  <c r="AK22" i="1"/>
  <c r="AK82" i="1" s="1"/>
  <c r="AN60" i="1"/>
  <c r="AO60" i="1" s="1"/>
  <c r="AN53" i="1"/>
  <c r="AO53" i="1" s="1"/>
  <c r="AN58" i="1"/>
  <c r="AO58" i="1" s="1"/>
  <c r="AN56" i="1"/>
  <c r="AO56" i="1" s="1"/>
  <c r="AN55" i="1"/>
  <c r="AO55" i="1" s="1"/>
  <c r="AN59" i="1"/>
  <c r="AO59" i="1" s="1"/>
  <c r="AF23" i="1"/>
  <c r="AI81" i="1"/>
  <c r="AN81" i="1" s="1"/>
  <c r="AN57" i="1"/>
  <c r="AO57" i="1" s="1"/>
  <c r="AN61" i="1"/>
  <c r="AO61" i="1" s="1"/>
  <c r="AN54" i="1"/>
  <c r="AO54" i="1" s="1"/>
  <c r="AI82" i="1" l="1"/>
  <c r="AN82" i="1" s="1"/>
  <c r="AO45" i="1"/>
  <c r="AO44" i="1" s="1"/>
  <c r="AF24" i="1" s="1"/>
  <c r="AF25" i="1" s="1"/>
  <c r="AG23" i="1"/>
  <c r="AQ29" i="1" s="1"/>
  <c r="AN29" i="1" s="1"/>
  <c r="AH23" i="1"/>
  <c r="AG25" i="1" l="1"/>
  <c r="AH25" i="1"/>
  <c r="AP52" i="1"/>
  <c r="AQ52" i="1" s="1"/>
  <c r="AP58" i="1"/>
  <c r="AQ58" i="1" s="1"/>
  <c r="AP50" i="1"/>
  <c r="AQ50" i="1" s="1"/>
  <c r="AP54" i="1"/>
  <c r="AQ54" i="1" s="1"/>
  <c r="AP65" i="1"/>
  <c r="AQ65" i="1" s="1"/>
  <c r="AP63" i="1"/>
  <c r="AQ63" i="1" s="1"/>
  <c r="AP48" i="1"/>
  <c r="AQ48" i="1" s="1"/>
  <c r="AP51" i="1"/>
  <c r="AQ51" i="1" s="1"/>
  <c r="AP64" i="1"/>
  <c r="AQ64" i="1" s="1"/>
  <c r="AP60" i="1"/>
  <c r="AQ60" i="1" s="1"/>
  <c r="AP47" i="1"/>
  <c r="AQ47" i="1" s="1"/>
  <c r="AP61" i="1"/>
  <c r="AQ61" i="1" s="1"/>
  <c r="AP56" i="1"/>
  <c r="AQ56" i="1" s="1"/>
  <c r="AP46" i="1"/>
  <c r="AQ46" i="1" s="1"/>
  <c r="AP62" i="1"/>
  <c r="AQ62" i="1" s="1"/>
  <c r="AP59" i="1"/>
  <c r="AQ59" i="1" s="1"/>
  <c r="AH24" i="1"/>
  <c r="AG24" i="1"/>
  <c r="AQ30" i="1" s="1"/>
  <c r="AN30" i="1" s="1"/>
  <c r="AP55" i="1"/>
  <c r="AQ55" i="1" s="1"/>
  <c r="AP49" i="1"/>
  <c r="AQ49" i="1" s="1"/>
  <c r="AP53" i="1"/>
  <c r="AQ53" i="1" s="1"/>
  <c r="AP57" i="1"/>
  <c r="AQ57" i="1" s="1"/>
  <c r="AI23" i="1"/>
  <c r="AO30" i="1" s="1"/>
  <c r="AP30" i="1" s="1"/>
  <c r="AL23" i="1"/>
  <c r="AL83" i="1" s="1"/>
  <c r="AK23" i="1"/>
  <c r="AK83" i="1" s="1"/>
  <c r="AK25" i="1" l="1"/>
  <c r="AL25" i="1"/>
  <c r="AI25" i="1"/>
  <c r="AQ45" i="1"/>
  <c r="AQ44" i="1" s="1"/>
  <c r="AQ31" i="1"/>
  <c r="AN31" i="1" s="1"/>
  <c r="AI83" i="1"/>
  <c r="AN83" i="1" s="1"/>
  <c r="AL24" i="1"/>
  <c r="AL84" i="1" s="1"/>
  <c r="AK24" i="1"/>
  <c r="AK84" i="1" s="1"/>
  <c r="AI24" i="1"/>
  <c r="AI84" i="1" l="1"/>
  <c r="AN84" i="1" s="1"/>
  <c r="AO31" i="1"/>
  <c r="AP31" i="1" s="1"/>
  <c r="AK85" i="1"/>
  <c r="AQ32" i="1"/>
  <c r="AN32" i="1" s="1"/>
  <c r="AL85" i="1"/>
  <c r="AI85" i="1" l="1"/>
  <c r="AN85" i="1" s="1"/>
  <c r="AN87" i="1" s="1"/>
  <c r="AK9" i="1" s="1"/>
  <c r="AO32" i="1"/>
  <c r="AP32" i="1" s="1"/>
</calcChain>
</file>

<file path=xl/sharedStrings.xml><?xml version="1.0" encoding="utf-8"?>
<sst xmlns="http://schemas.openxmlformats.org/spreadsheetml/2006/main" count="166" uniqueCount="121">
  <si>
    <t>Stage 7</t>
  </si>
  <si>
    <t>Date of Poll</t>
  </si>
  <si>
    <t>Decision Making  Elected / Exclude / Transfer Stage 7</t>
  </si>
  <si>
    <t>TRANSFER OF SURPLUS VOTES FORM</t>
  </si>
  <si>
    <t>EXCLUSION OF CANDIDATE(S) FORM</t>
  </si>
  <si>
    <t>Total surplus votes</t>
  </si>
  <si>
    <t>AE 113</t>
  </si>
  <si>
    <t>ENTER NAMES OF EXCLUDED CANDIDATE(S)</t>
  </si>
  <si>
    <t>BACK to DECISION FORM</t>
  </si>
  <si>
    <t xml:space="preserve">Eligible Electorate </t>
  </si>
  <si>
    <t>Number to be Elected</t>
  </si>
  <si>
    <t xml:space="preserve">Invalid Votes </t>
  </si>
  <si>
    <t xml:space="preserve">Electoral Quota of </t>
  </si>
  <si>
    <t>Largest surplus value</t>
  </si>
  <si>
    <t>Exclusion of Candidate(s)</t>
  </si>
  <si>
    <t>Wilson, Ian McMaster</t>
  </si>
  <si>
    <t xml:space="preserve">Votes Polled </t>
  </si>
  <si>
    <t>Total Valid Votes</t>
  </si>
  <si>
    <t xml:space="preserve">% Poll </t>
  </si>
  <si>
    <t>Quota</t>
  </si>
  <si>
    <t>Next Available Preference (f)</t>
  </si>
  <si>
    <t>Number of Papers (g)</t>
  </si>
  <si>
    <t>Value Credited (q) (g) x (k) or (g) x (e)</t>
  </si>
  <si>
    <t>Transfer Enter y</t>
  </si>
  <si>
    <t>Elected?</t>
  </si>
  <si>
    <t>Excluded ?</t>
  </si>
  <si>
    <t>Exclude</t>
  </si>
  <si>
    <t xml:space="preserve">Decision </t>
  </si>
  <si>
    <t>TRANSFER SURPLUS y or n</t>
  </si>
  <si>
    <t>n</t>
  </si>
  <si>
    <t>If exclude enter y</t>
  </si>
  <si>
    <t>First Preference</t>
  </si>
  <si>
    <t>Others</t>
  </si>
  <si>
    <t>Value</t>
  </si>
  <si>
    <t>Total Papers</t>
  </si>
  <si>
    <t>Stage 1</t>
  </si>
  <si>
    <t>Stage 2</t>
  </si>
  <si>
    <t>Stage 3</t>
  </si>
  <si>
    <t>Stage 4</t>
  </si>
  <si>
    <t>Stage 5</t>
  </si>
  <si>
    <t>Stage 6</t>
  </si>
  <si>
    <t>BACK to Overview of STAGE 6</t>
  </si>
  <si>
    <t>Q1</t>
  </si>
  <si>
    <t>If the total surplus is transferred to lowest candidate - would this make a difference to the order - if yes - transfer the largest surplus, otherwise Exclude</t>
  </si>
  <si>
    <t>@</t>
  </si>
  <si>
    <t>Transfer</t>
  </si>
  <si>
    <t>Elected ?</t>
  </si>
  <si>
    <t>Vote</t>
  </si>
  <si>
    <t>Next Available Preference</t>
  </si>
  <si>
    <t>Papers</t>
  </si>
  <si>
    <t>Total Value Credited</t>
  </si>
  <si>
    <t>TRANSFER THE SURPLUS VOTE OF CANDIDATE</t>
  </si>
  <si>
    <t>Result</t>
  </si>
  <si>
    <t>Q2</t>
  </si>
  <si>
    <t>If the total surplus is transferred, the lowest candidate(s) will inevitably continue to be excluded, then exclude this/these candidate(s)</t>
  </si>
  <si>
    <t>Elected</t>
  </si>
  <si>
    <t>No</t>
  </si>
  <si>
    <t>Candidate</t>
  </si>
  <si>
    <t>Description</t>
  </si>
  <si>
    <t>1st Preference</t>
  </si>
  <si>
    <t>Total</t>
  </si>
  <si>
    <t>Candidate's present vote</t>
  </si>
  <si>
    <t>(a)</t>
  </si>
  <si>
    <t>(b)</t>
  </si>
  <si>
    <t>Surplus of transfer</t>
  </si>
  <si>
    <t>(a) - (b) = (c)</t>
  </si>
  <si>
    <t>Present vote</t>
  </si>
  <si>
    <t>Difference</t>
  </si>
  <si>
    <t>Status</t>
  </si>
  <si>
    <t>Surplus</t>
  </si>
  <si>
    <t>Present Vote</t>
  </si>
  <si>
    <t>Potential Total if all lower candidates excluded &amp; surplus transferred</t>
  </si>
  <si>
    <t>Exclude ?</t>
  </si>
  <si>
    <t>Number of papers for review</t>
  </si>
  <si>
    <t>(d)</t>
  </si>
  <si>
    <t>Present value of each paper</t>
  </si>
  <si>
    <t>(e)</t>
  </si>
  <si>
    <t>COMPLETE COLUMNS (f) AND (g) OPPOSITE</t>
  </si>
  <si>
    <t>Number of papers transferable</t>
  </si>
  <si>
    <t>(h)</t>
  </si>
  <si>
    <t>Present total value of transferable papers</t>
  </si>
  <si>
    <t>(h) x (e) = (j)</t>
  </si>
  <si>
    <t>y</t>
  </si>
  <si>
    <t>Lowest votes</t>
  </si>
  <si>
    <t>next lowest</t>
  </si>
  <si>
    <t>If the present total value (j) of transferable papers EXCEEDS the surplus (c)</t>
  </si>
  <si>
    <t>The TRANSFER VALUE is the reduced value (to 2 decimal places ignoring remainder)</t>
  </si>
  <si>
    <t>(c) / (h) = (k)</t>
  </si>
  <si>
    <t>New total value of transferable papers</t>
  </si>
  <si>
    <t>(h) x (k) = (m)</t>
  </si>
  <si>
    <t>Non- transferable difference</t>
  </si>
  <si>
    <t>(c) - (m) = (n)</t>
  </si>
  <si>
    <t>Transferable Totals (h)</t>
  </si>
  <si>
    <t>Non- transferable papers (I)</t>
  </si>
  <si>
    <t>If the present total value (j) of transferable papers DOES NOT EXCEED the surplus (c)</t>
  </si>
  <si>
    <t>Total papers/Surplus (d) &amp; (c)</t>
  </si>
  <si>
    <t>MOVE TO TRANSFER OF SURPLUS VOTES FORM</t>
  </si>
  <si>
    <t>Non Transferable</t>
  </si>
  <si>
    <t>The TRANSFER VALUE is the present value</t>
  </si>
  <si>
    <t>Check figure</t>
  </si>
  <si>
    <t>TOTALS</t>
  </si>
  <si>
    <t>FORWARD to OVERVIEW OF STAGE 7</t>
  </si>
  <si>
    <t>Non transferable</t>
  </si>
  <si>
    <t>MOVE TO EXCLUDE CANDIDATE FORM</t>
  </si>
  <si>
    <t>Non-transferable difference</t>
  </si>
  <si>
    <t>(c) - (j) = (p)</t>
  </si>
  <si>
    <t>Extent of error</t>
  </si>
  <si>
    <t>Totals</t>
  </si>
  <si>
    <t>Table to sort lowest candiditates votes into reverse order</t>
  </si>
  <si>
    <t>Summation to Overview</t>
  </si>
  <si>
    <t>Name Entered?</t>
  </si>
  <si>
    <t xml:space="preserve">Selected Candidate </t>
  </si>
  <si>
    <t>From Transfer Form</t>
  </si>
  <si>
    <t>From Exclude form</t>
  </si>
  <si>
    <t>Results Carried to Overview</t>
  </si>
  <si>
    <t>From exclude form</t>
  </si>
  <si>
    <t>Check Calcs</t>
  </si>
  <si>
    <t>Non Transferable vote</t>
  </si>
  <si>
    <t>Check selection</t>
  </si>
  <si>
    <t>Final Results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</si>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</sst>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2" borderId="0" xfId="0" applyFill="1" applyBorder="1"/>
    <xf numFmtId="0" fontId="3" fillId="2" borderId="0" xfId="0" applyFont="1" applyFill="1"/>
    <xf numFmtId="0" fontId="4" fillId="2" borderId="0" xfId="0" applyFont="1" applyFill="1"/>
    <xf numFmtId="0" fontId="0" fillId="2" borderId="5" xfId="0" applyFill="1" applyBorder="1" applyAlignment="1">
      <alignment horizontal="center"/>
    </xf>
    <xf numFmtId="15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8" fillId="2" borderId="5" xfId="0" applyFont="1" applyFill="1" applyBorder="1" applyAlignment="1">
      <alignment horizontal="center"/>
    </xf>
    <xf numFmtId="0" fontId="7" fillId="2" borderId="0" xfId="0" applyFont="1" applyFill="1" applyAlignment="1"/>
    <xf numFmtId="0" fontId="5" fillId="2" borderId="0" xfId="1" applyFill="1" applyBorder="1" applyAlignment="1" applyProtection="1"/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wrapText="1"/>
    </xf>
    <xf numFmtId="0" fontId="5" fillId="2" borderId="0" xfId="1" applyFill="1" applyBorder="1" applyAlignment="1" applyProtection="1">
      <alignment horizontal="left"/>
    </xf>
    <xf numFmtId="0" fontId="0" fillId="2" borderId="0" xfId="0" applyFill="1" applyAlignment="1">
      <alignment horizontal="left"/>
    </xf>
    <xf numFmtId="0" fontId="10" fillId="2" borderId="0" xfId="0" applyFont="1" applyFill="1"/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right"/>
    </xf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0" fillId="2" borderId="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4" xfId="0" applyFill="1" applyBorder="1"/>
    <xf numFmtId="0" fontId="0" fillId="2" borderId="0" xfId="0" applyFill="1" applyAlignment="1">
      <alignment horizontal="center"/>
    </xf>
    <xf numFmtId="0" fontId="0" fillId="2" borderId="30" xfId="0" applyFill="1" applyBorder="1"/>
    <xf numFmtId="0" fontId="0" fillId="2" borderId="13" xfId="0" applyFill="1" applyBorder="1" applyAlignment="1">
      <alignment wrapText="1"/>
    </xf>
    <xf numFmtId="0" fontId="0" fillId="2" borderId="0" xfId="0" applyFill="1" applyBorder="1" applyAlignment="1">
      <alignment horizontal="right"/>
    </xf>
    <xf numFmtId="0" fontId="2" fillId="2" borderId="0" xfId="0" applyFont="1" applyFill="1"/>
    <xf numFmtId="0" fontId="0" fillId="2" borderId="13" xfId="0" applyFill="1" applyBorder="1" applyAlignment="1">
      <alignment horizontal="left"/>
    </xf>
    <xf numFmtId="0" fontId="0" fillId="2" borderId="35" xfId="0" applyFill="1" applyBorder="1"/>
    <xf numFmtId="0" fontId="0" fillId="2" borderId="3" xfId="0" applyFill="1" applyBorder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Alignment="1">
      <alignment horizontal="center" wrapText="1"/>
    </xf>
    <xf numFmtId="0" fontId="0" fillId="2" borderId="20" xfId="0" applyFill="1" applyBorder="1"/>
    <xf numFmtId="0" fontId="0" fillId="2" borderId="21" xfId="0" applyFill="1" applyBorder="1"/>
    <xf numFmtId="0" fontId="0" fillId="2" borderId="21" xfId="0" applyFill="1" applyBorder="1" applyAlignment="1">
      <alignment horizontal="left"/>
    </xf>
    <xf numFmtId="0" fontId="0" fillId="2" borderId="5" xfId="0" applyFill="1" applyBorder="1"/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2" borderId="5" xfId="0" applyNumberFormat="1" applyFill="1" applyBorder="1"/>
    <xf numFmtId="0" fontId="0" fillId="2" borderId="7" xfId="0" applyFill="1" applyBorder="1"/>
    <xf numFmtId="0" fontId="0" fillId="2" borderId="26" xfId="0" applyFill="1" applyBorder="1" applyAlignment="1">
      <alignment horizontal="center"/>
    </xf>
    <xf numFmtId="0" fontId="0" fillId="2" borderId="36" xfId="0" applyFill="1" applyBorder="1"/>
    <xf numFmtId="2" fontId="0" fillId="2" borderId="10" xfId="0" applyNumberFormat="1" applyFill="1" applyBorder="1"/>
    <xf numFmtId="2" fontId="0" fillId="2" borderId="25" xfId="0" applyNumberFormat="1" applyFill="1" applyBorder="1"/>
    <xf numFmtId="2" fontId="0" fillId="2" borderId="12" xfId="0" applyNumberFormat="1" applyFill="1" applyBorder="1"/>
    <xf numFmtId="0" fontId="0" fillId="2" borderId="5" xfId="0" applyNumberFormat="1" applyFill="1" applyBorder="1"/>
    <xf numFmtId="0" fontId="0" fillId="2" borderId="37" xfId="0" applyFill="1" applyBorder="1"/>
    <xf numFmtId="0" fontId="0" fillId="2" borderId="38" xfId="0" applyFill="1" applyBorder="1" applyAlignment="1">
      <alignment horizontal="center"/>
    </xf>
    <xf numFmtId="0" fontId="0" fillId="2" borderId="23" xfId="0" applyFill="1" applyBorder="1"/>
    <xf numFmtId="0" fontId="9" fillId="2" borderId="0" xfId="0" applyFont="1" applyFill="1"/>
    <xf numFmtId="0" fontId="0" fillId="2" borderId="2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3" fillId="2" borderId="20" xfId="0" applyFont="1" applyFill="1" applyBorder="1"/>
    <xf numFmtId="0" fontId="0" fillId="2" borderId="22" xfId="0" applyFill="1" applyBorder="1"/>
    <xf numFmtId="0" fontId="0" fillId="2" borderId="19" xfId="0" applyNumberFormat="1" applyFill="1" applyBorder="1"/>
    <xf numFmtId="0" fontId="10" fillId="2" borderId="13" xfId="0" applyFont="1" applyFill="1" applyBorder="1"/>
    <xf numFmtId="0" fontId="0" fillId="2" borderId="10" xfId="0" applyFill="1" applyBorder="1" applyAlignment="1">
      <alignment horizontal="right"/>
    </xf>
    <xf numFmtId="2" fontId="0" fillId="2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39" xfId="0" applyFill="1" applyBorder="1"/>
    <xf numFmtId="0" fontId="3" fillId="2" borderId="12" xfId="0" applyFon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14" xfId="0" applyFill="1" applyBorder="1" applyAlignment="1">
      <alignment horizontal="right"/>
    </xf>
    <xf numFmtId="2" fontId="0" fillId="2" borderId="13" xfId="0" applyNumberFormat="1" applyFill="1" applyBorder="1"/>
    <xf numFmtId="0" fontId="3" fillId="2" borderId="40" xfId="0" applyFont="1" applyFill="1" applyBorder="1"/>
    <xf numFmtId="2" fontId="0" fillId="2" borderId="0" xfId="0" applyNumberFormat="1" applyFill="1" applyBorder="1"/>
    <xf numFmtId="2" fontId="0" fillId="2" borderId="0" xfId="0" applyNumberFormat="1" applyFill="1"/>
    <xf numFmtId="0" fontId="0" fillId="2" borderId="27" xfId="0" applyFill="1" applyBorder="1"/>
    <xf numFmtId="0" fontId="0" fillId="2" borderId="6" xfId="0" applyFill="1" applyBorder="1"/>
    <xf numFmtId="0" fontId="0" fillId="2" borderId="28" xfId="0" applyFill="1" applyBorder="1"/>
    <xf numFmtId="2" fontId="0" fillId="2" borderId="30" xfId="0" applyNumberFormat="1" applyFill="1" applyBorder="1"/>
    <xf numFmtId="0" fontId="3" fillId="2" borderId="42" xfId="0" applyFont="1" applyFill="1" applyBorder="1" applyAlignment="1"/>
    <xf numFmtId="0" fontId="0" fillId="2" borderId="43" xfId="0" applyFill="1" applyBorder="1"/>
    <xf numFmtId="0" fontId="0" fillId="2" borderId="44" xfId="0" applyFill="1" applyBorder="1"/>
    <xf numFmtId="0" fontId="0" fillId="2" borderId="18" xfId="0" applyFill="1" applyBorder="1"/>
    <xf numFmtId="0" fontId="3" fillId="2" borderId="17" xfId="0" applyFont="1" applyFill="1" applyBorder="1" applyAlignment="1"/>
    <xf numFmtId="0" fontId="0" fillId="2" borderId="45" xfId="0" applyFill="1" applyBorder="1"/>
    <xf numFmtId="0" fontId="0" fillId="2" borderId="46" xfId="0" applyFill="1" applyBorder="1"/>
    <xf numFmtId="2" fontId="12" fillId="2" borderId="5" xfId="0" applyNumberFormat="1" applyFont="1" applyFill="1" applyBorder="1"/>
    <xf numFmtId="2" fontId="0" fillId="2" borderId="48" xfId="0" applyNumberFormat="1" applyFill="1" applyBorder="1"/>
    <xf numFmtId="0" fontId="0" fillId="2" borderId="48" xfId="0" applyFill="1" applyBorder="1"/>
    <xf numFmtId="0" fontId="3" fillId="2" borderId="49" xfId="0" applyFont="1" applyFill="1" applyBorder="1" applyAlignment="1"/>
    <xf numFmtId="0" fontId="0" fillId="2" borderId="42" xfId="0" applyFill="1" applyBorder="1"/>
    <xf numFmtId="0" fontId="0" fillId="2" borderId="29" xfId="0" applyFill="1" applyBorder="1"/>
    <xf numFmtId="0" fontId="0" fillId="2" borderId="51" xfId="0" applyFill="1" applyBorder="1"/>
    <xf numFmtId="0" fontId="3" fillId="2" borderId="0" xfId="0" applyFont="1" applyFill="1" applyAlignment="1">
      <alignment wrapText="1"/>
    </xf>
    <xf numFmtId="0" fontId="0" fillId="2" borderId="47" xfId="0" applyFill="1" applyBorder="1"/>
    <xf numFmtId="0" fontId="0" fillId="2" borderId="52" xfId="0" applyFill="1" applyBorder="1"/>
    <xf numFmtId="0" fontId="0" fillId="2" borderId="53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4" xfId="0" applyFill="1" applyBorder="1" applyAlignment="1">
      <alignment horizontal="center"/>
    </xf>
    <xf numFmtId="0" fontId="0" fillId="2" borderId="50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54" xfId="0" applyNumberFormat="1" applyFill="1" applyBorder="1"/>
    <xf numFmtId="2" fontId="0" fillId="2" borderId="0" xfId="0" applyNumberFormat="1" applyFill="1" applyAlignment="1">
      <alignment horizontal="right"/>
    </xf>
    <xf numFmtId="2" fontId="0" fillId="2" borderId="1" xfId="0" applyNumberFormat="1" applyFill="1" applyBorder="1"/>
    <xf numFmtId="2" fontId="0" fillId="2" borderId="55" xfId="0" applyNumberFormat="1" applyFill="1" applyBorder="1"/>
    <xf numFmtId="2" fontId="0" fillId="2" borderId="56" xfId="0" applyNumberFormat="1" applyFill="1" applyBorder="1"/>
    <xf numFmtId="0" fontId="0" fillId="2" borderId="0" xfId="0" applyFill="1" applyBorder="1" applyAlignment="1">
      <alignment horizontal="left"/>
    </xf>
    <xf numFmtId="2" fontId="0" fillId="2" borderId="3" xfId="0" applyNumberFormat="1" applyFill="1" applyBorder="1"/>
    <xf numFmtId="0" fontId="0" fillId="2" borderId="19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8" xfId="0" applyFill="1" applyBorder="1"/>
    <xf numFmtId="2" fontId="0" fillId="2" borderId="59" xfId="0" applyNumberFormat="1" applyFill="1" applyBorder="1"/>
    <xf numFmtId="2" fontId="0" fillId="2" borderId="20" xfId="0" applyNumberFormat="1" applyFill="1" applyBorder="1"/>
    <xf numFmtId="2" fontId="0" fillId="3" borderId="26" xfId="0" applyNumberFormat="1" applyFill="1" applyBorder="1"/>
    <xf numFmtId="2" fontId="0" fillId="3" borderId="32" xfId="0" applyNumberFormat="1" applyFill="1" applyBorder="1"/>
    <xf numFmtId="2" fontId="0" fillId="3" borderId="4" xfId="0" applyNumberFormat="1" applyFill="1" applyBorder="1"/>
    <xf numFmtId="2" fontId="0" fillId="3" borderId="20" xfId="0" applyNumberFormat="1" applyFill="1" applyBorder="1"/>
    <xf numFmtId="2" fontId="0" fillId="3" borderId="10" xfId="0" applyNumberFormat="1" applyFill="1" applyBorder="1"/>
    <xf numFmtId="2" fontId="0" fillId="3" borderId="59" xfId="0" applyNumberForma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9" xfId="0" applyFont="1" applyFill="1" applyBorder="1"/>
    <xf numFmtId="0" fontId="2" fillId="3" borderId="7" xfId="0" applyFont="1" applyFill="1" applyBorder="1"/>
    <xf numFmtId="0" fontId="0" fillId="2" borderId="0" xfId="0" applyFill="1" applyBorder="1" applyAlignment="1">
      <alignment horizontal="center" wrapText="1"/>
    </xf>
    <xf numFmtId="0" fontId="3" fillId="2" borderId="49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0" fillId="2" borderId="33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6" fillId="2" borderId="20" xfId="1" applyFont="1" applyFill="1" applyBorder="1" applyAlignment="1" applyProtection="1">
      <alignment horizontal="center" vertical="center"/>
    </xf>
    <xf numFmtId="0" fontId="6" fillId="2" borderId="21" xfId="1" applyFont="1" applyFill="1" applyBorder="1" applyAlignment="1" applyProtection="1">
      <alignment horizontal="center" vertical="center"/>
    </xf>
    <xf numFmtId="0" fontId="6" fillId="2" borderId="22" xfId="1" applyFont="1" applyFill="1" applyBorder="1" applyAlignment="1" applyProtection="1">
      <alignment horizontal="center" vertical="center"/>
    </xf>
    <xf numFmtId="0" fontId="6" fillId="2" borderId="27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horizontal="center" vertical="center"/>
    </xf>
    <xf numFmtId="0" fontId="6" fillId="2" borderId="28" xfId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Alignment="1">
      <alignment horizontal="left" wrapText="1"/>
    </xf>
    <xf numFmtId="0" fontId="0" fillId="2" borderId="14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41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3" fillId="2" borderId="42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2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6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6" fillId="2" borderId="0" xfId="1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15" fontId="2" fillId="2" borderId="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44" fontId="5" fillId="2" borderId="0" xfId="1" applyNumberFormat="1" applyFill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C%20DEA%20Banbridge%2022nd%20May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Rules"/>
      <sheetName val="Basic Input"/>
      <sheetName val="Verification of Boxes"/>
      <sheetName val="Overview Stage 1"/>
      <sheetName val="Stage 2"/>
      <sheetName val="Stage 3"/>
      <sheetName val="Stage 4"/>
      <sheetName val="Stage 5"/>
      <sheetName val="Stage 6"/>
      <sheetName val="Stage 7"/>
      <sheetName val="Stage 8"/>
      <sheetName val="Stage 9"/>
      <sheetName val="Stage 10"/>
      <sheetName val="Stage 11"/>
      <sheetName val="Stage 12"/>
      <sheetName val="Stage 13"/>
      <sheetName val="Stage 14"/>
      <sheetName val="Stage 15"/>
      <sheetName val="Stage 16"/>
      <sheetName val="Stage 17"/>
      <sheetName val="Stage 18"/>
      <sheetName val="Count Stats"/>
    </sheetNames>
    <sheetDataSet>
      <sheetData sheetId="0"/>
      <sheetData sheetId="1">
        <row r="2">
          <cell r="C2" t="str">
            <v>22nd May 2014</v>
          </cell>
        </row>
      </sheetData>
      <sheetData sheetId="2">
        <row r="1">
          <cell r="B1" t="str">
            <v>Armagh, Banbridge and Craigavon Council</v>
          </cell>
        </row>
        <row r="2">
          <cell r="L2">
            <v>23380</v>
          </cell>
        </row>
        <row r="3">
          <cell r="A3" t="str">
            <v>District Electoral Area of</v>
          </cell>
          <cell r="B3" t="str">
            <v>Banbridge</v>
          </cell>
          <cell r="G3">
            <v>7</v>
          </cell>
          <cell r="L3">
            <v>11592</v>
          </cell>
        </row>
        <row r="4">
          <cell r="G4">
            <v>1429</v>
          </cell>
        </row>
        <row r="5">
          <cell r="L5">
            <v>49.580838323353291</v>
          </cell>
        </row>
        <row r="10">
          <cell r="J10" t="str">
            <v>Barr, Glenn</v>
          </cell>
          <cell r="K10" t="str">
            <v>ULSTER UNIONIST PARTY</v>
          </cell>
          <cell r="L10">
            <v>1999</v>
          </cell>
        </row>
        <row r="11">
          <cell r="J11" t="str">
            <v>Burns, Ian</v>
          </cell>
          <cell r="K11" t="str">
            <v>ULSTER UNIONIST PARTY</v>
          </cell>
          <cell r="L11">
            <v>1373</v>
          </cell>
        </row>
        <row r="12">
          <cell r="J12" t="str">
            <v>Curran, Brendan Patrick</v>
          </cell>
          <cell r="K12" t="str">
            <v>SINN FÉIN</v>
          </cell>
          <cell r="L12">
            <v>862</v>
          </cell>
        </row>
        <row r="13">
          <cell r="J13" t="str">
            <v>Doyle, Seamus</v>
          </cell>
          <cell r="K13" t="str">
            <v>SDLP</v>
          </cell>
          <cell r="L13">
            <v>975</v>
          </cell>
        </row>
        <row r="14">
          <cell r="J14" t="str">
            <v>Greenfield, Paul</v>
          </cell>
          <cell r="K14" t="str">
            <v>DUP</v>
          </cell>
          <cell r="L14">
            <v>966</v>
          </cell>
        </row>
        <row r="15">
          <cell r="J15" t="str">
            <v>Hamilton, Marie</v>
          </cell>
          <cell r="K15" t="str">
            <v>SDLP</v>
          </cell>
          <cell r="L15">
            <v>680</v>
          </cell>
        </row>
        <row r="16">
          <cell r="J16" t="str">
            <v>Hutchinson, Emma</v>
          </cell>
          <cell r="K16" t="str">
            <v>NI21</v>
          </cell>
          <cell r="L16">
            <v>371</v>
          </cell>
        </row>
        <row r="17">
          <cell r="J17" t="str">
            <v>Ingram, Elizabeth</v>
          </cell>
          <cell r="K17" t="str">
            <v>ULSTER UNIONIST PARTY</v>
          </cell>
          <cell r="L17">
            <v>1318</v>
          </cell>
        </row>
        <row r="18">
          <cell r="J18" t="str">
            <v>McCrum, Junior</v>
          </cell>
          <cell r="K18" t="str">
            <v>DUP</v>
          </cell>
          <cell r="L18">
            <v>1030</v>
          </cell>
        </row>
        <row r="19">
          <cell r="J19" t="str">
            <v>McQuaid, Sheila Mary</v>
          </cell>
          <cell r="K19" t="str">
            <v>ALLIANCE PARTY</v>
          </cell>
          <cell r="L19">
            <v>579</v>
          </cell>
        </row>
        <row r="20">
          <cell r="J20" t="str">
            <v>Savage, Kevin Jude</v>
          </cell>
          <cell r="K20" t="str">
            <v>SINN FÉIN</v>
          </cell>
          <cell r="L20">
            <v>547</v>
          </cell>
        </row>
        <row r="21">
          <cell r="J21" t="str">
            <v>Wilson, Ian McMaster</v>
          </cell>
          <cell r="K21" t="str">
            <v>DUP</v>
          </cell>
          <cell r="L21">
            <v>730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3">
          <cell r="L33">
            <v>162</v>
          </cell>
        </row>
      </sheetData>
      <sheetData sheetId="3"/>
      <sheetData sheetId="4">
        <row r="7">
          <cell r="F7" t="str">
            <v>Transfer</v>
          </cell>
        </row>
        <row r="8">
          <cell r="F8" t="str">
            <v>Barr, Glenn</v>
          </cell>
        </row>
        <row r="11">
          <cell r="F11">
            <v>-570</v>
          </cell>
          <cell r="G11">
            <v>1429</v>
          </cell>
        </row>
        <row r="12">
          <cell r="F12">
            <v>351.12000000000006</v>
          </cell>
          <cell r="G12">
            <v>1724.1200000000001</v>
          </cell>
        </row>
        <row r="13">
          <cell r="F13">
            <v>0.56000000000000005</v>
          </cell>
          <cell r="G13">
            <v>862.56</v>
          </cell>
        </row>
        <row r="14">
          <cell r="F14">
            <v>1.9600000000000002</v>
          </cell>
          <cell r="G14">
            <v>976.96</v>
          </cell>
        </row>
        <row r="15">
          <cell r="F15">
            <v>20.440000000000001</v>
          </cell>
          <cell r="G15">
            <v>986.44</v>
          </cell>
        </row>
        <row r="16">
          <cell r="F16">
            <v>2.8000000000000003</v>
          </cell>
          <cell r="G16">
            <v>682.8</v>
          </cell>
        </row>
        <row r="17">
          <cell r="F17">
            <v>3.9200000000000004</v>
          </cell>
          <cell r="G17">
            <v>374.92</v>
          </cell>
        </row>
        <row r="18">
          <cell r="F18">
            <v>113.68</v>
          </cell>
          <cell r="G18">
            <v>1431.68</v>
          </cell>
        </row>
        <row r="19">
          <cell r="F19">
            <v>29.680000000000003</v>
          </cell>
          <cell r="G19">
            <v>1059.68</v>
          </cell>
        </row>
        <row r="20">
          <cell r="F20">
            <v>3.9200000000000004</v>
          </cell>
          <cell r="G20">
            <v>582.91999999999996</v>
          </cell>
        </row>
        <row r="21">
          <cell r="F21">
            <v>0</v>
          </cell>
          <cell r="G21">
            <v>547</v>
          </cell>
        </row>
        <row r="22">
          <cell r="F22">
            <v>25.480000000000004</v>
          </cell>
          <cell r="G22">
            <v>755.48</v>
          </cell>
        </row>
        <row r="31">
          <cell r="F31">
            <v>16.439999999999941</v>
          </cell>
          <cell r="G31">
            <v>16.439999999999941</v>
          </cell>
        </row>
        <row r="32">
          <cell r="G32">
            <v>11430</v>
          </cell>
        </row>
      </sheetData>
      <sheetData sheetId="5">
        <row r="7">
          <cell r="H7" t="str">
            <v>Transfer</v>
          </cell>
        </row>
        <row r="8">
          <cell r="H8" t="str">
            <v>Burns, Ian</v>
          </cell>
        </row>
        <row r="11">
          <cell r="H11">
            <v>0</v>
          </cell>
          <cell r="I11">
            <v>1429</v>
          </cell>
        </row>
        <row r="12">
          <cell r="H12">
            <v>-295.12000000000012</v>
          </cell>
          <cell r="I12">
            <v>1429</v>
          </cell>
        </row>
        <row r="13">
          <cell r="H13">
            <v>0</v>
          </cell>
          <cell r="I13">
            <v>862.56</v>
          </cell>
        </row>
        <row r="14">
          <cell r="H14">
            <v>5.8800000000000008</v>
          </cell>
          <cell r="I14">
            <v>982.84</v>
          </cell>
        </row>
        <row r="15">
          <cell r="H15">
            <v>103.60000000000001</v>
          </cell>
          <cell r="I15">
            <v>1090.04</v>
          </cell>
        </row>
        <row r="16">
          <cell r="H16">
            <v>2.2400000000000002</v>
          </cell>
          <cell r="I16">
            <v>685.04</v>
          </cell>
        </row>
        <row r="17">
          <cell r="H17">
            <v>14.560000000000002</v>
          </cell>
          <cell r="I17">
            <v>389.48</v>
          </cell>
        </row>
        <row r="18">
          <cell r="H18">
            <v>0</v>
          </cell>
          <cell r="I18">
            <v>1431.68</v>
          </cell>
        </row>
        <row r="19">
          <cell r="H19">
            <v>98.000000000000014</v>
          </cell>
          <cell r="I19">
            <v>1157.68</v>
          </cell>
        </row>
        <row r="20">
          <cell r="H20">
            <v>9.8000000000000007</v>
          </cell>
          <cell r="I20">
            <v>592.71999999999991</v>
          </cell>
        </row>
        <row r="21">
          <cell r="H21">
            <v>0</v>
          </cell>
          <cell r="I21">
            <v>547</v>
          </cell>
        </row>
        <row r="22">
          <cell r="H22">
            <v>59.080000000000005</v>
          </cell>
          <cell r="I22">
            <v>814.56000000000006</v>
          </cell>
        </row>
        <row r="31">
          <cell r="H31">
            <v>1.9600000000000932</v>
          </cell>
          <cell r="I31">
            <v>18.400000000000034</v>
          </cell>
        </row>
        <row r="32">
          <cell r="I32">
            <v>11429.999999999998</v>
          </cell>
        </row>
      </sheetData>
      <sheetData sheetId="6">
        <row r="7">
          <cell r="J7" t="str">
            <v>Exclude</v>
          </cell>
        </row>
        <row r="8">
          <cell r="J8" t="str">
            <v>Hutchinson, Emma</v>
          </cell>
        </row>
        <row r="11">
          <cell r="J11">
            <v>0</v>
          </cell>
          <cell r="K11">
            <v>1429</v>
          </cell>
        </row>
        <row r="12">
          <cell r="J12">
            <v>0</v>
          </cell>
          <cell r="K12">
            <v>1429</v>
          </cell>
        </row>
        <row r="13">
          <cell r="J13">
            <v>4</v>
          </cell>
          <cell r="K13">
            <v>866.56</v>
          </cell>
        </row>
        <row r="14">
          <cell r="J14">
            <v>41.12</v>
          </cell>
          <cell r="K14">
            <v>1023.96</v>
          </cell>
        </row>
        <row r="15">
          <cell r="J15">
            <v>24.08</v>
          </cell>
          <cell r="K15">
            <v>1114.1199999999999</v>
          </cell>
        </row>
        <row r="16">
          <cell r="J16">
            <v>35.56</v>
          </cell>
          <cell r="K16">
            <v>720.59999999999991</v>
          </cell>
        </row>
        <row r="17">
          <cell r="J17">
            <v>-389.48</v>
          </cell>
          <cell r="K17">
            <v>0</v>
          </cell>
        </row>
        <row r="18">
          <cell r="J18">
            <v>0</v>
          </cell>
          <cell r="K18">
            <v>1431.68</v>
          </cell>
        </row>
        <row r="19">
          <cell r="J19">
            <v>23.240000000000002</v>
          </cell>
          <cell r="K19">
            <v>1180.92</v>
          </cell>
        </row>
        <row r="20">
          <cell r="J20">
            <v>147.80000000000001</v>
          </cell>
          <cell r="K20">
            <v>740.52</v>
          </cell>
        </row>
        <row r="21">
          <cell r="J21">
            <v>8</v>
          </cell>
          <cell r="K21">
            <v>555</v>
          </cell>
        </row>
        <row r="22">
          <cell r="J22">
            <v>28.52</v>
          </cell>
          <cell r="K22">
            <v>843.08</v>
          </cell>
        </row>
        <row r="31">
          <cell r="J31">
            <v>77.16</v>
          </cell>
          <cell r="K31">
            <v>95.560000000000031</v>
          </cell>
        </row>
        <row r="32">
          <cell r="K32">
            <v>11430</v>
          </cell>
        </row>
      </sheetData>
      <sheetData sheetId="7">
        <row r="7">
          <cell r="L7" t="str">
            <v>Exclude</v>
          </cell>
        </row>
        <row r="8">
          <cell r="L8" t="str">
            <v>Savage, Kevin Jude</v>
          </cell>
        </row>
        <row r="11">
          <cell r="L11">
            <v>0</v>
          </cell>
          <cell r="M11">
            <v>1429</v>
          </cell>
        </row>
        <row r="12">
          <cell r="L12">
            <v>0</v>
          </cell>
          <cell r="M12">
            <v>1429</v>
          </cell>
        </row>
        <row r="13">
          <cell r="L13">
            <v>425</v>
          </cell>
          <cell r="M13">
            <v>1291.56</v>
          </cell>
        </row>
        <row r="14">
          <cell r="L14">
            <v>56</v>
          </cell>
          <cell r="M14">
            <v>1079.96</v>
          </cell>
        </row>
        <row r="15">
          <cell r="L15">
            <v>0</v>
          </cell>
          <cell r="M15">
            <v>1114.1199999999999</v>
          </cell>
        </row>
        <row r="16">
          <cell r="L16">
            <v>51</v>
          </cell>
          <cell r="M16">
            <v>771.59999999999991</v>
          </cell>
        </row>
        <row r="17">
          <cell r="L17">
            <v>0</v>
          </cell>
          <cell r="M17">
            <v>0</v>
          </cell>
        </row>
        <row r="18">
          <cell r="L18">
            <v>0</v>
          </cell>
          <cell r="M18">
            <v>1431.68</v>
          </cell>
        </row>
        <row r="19">
          <cell r="L19">
            <v>0</v>
          </cell>
          <cell r="M19">
            <v>1180.92</v>
          </cell>
        </row>
        <row r="20">
          <cell r="L20">
            <v>13</v>
          </cell>
          <cell r="M20">
            <v>753.52</v>
          </cell>
        </row>
        <row r="21">
          <cell r="L21">
            <v>-555</v>
          </cell>
          <cell r="M21">
            <v>0</v>
          </cell>
        </row>
        <row r="22">
          <cell r="L22">
            <v>0</v>
          </cell>
          <cell r="M22">
            <v>843.08</v>
          </cell>
        </row>
        <row r="31">
          <cell r="L31">
            <v>10</v>
          </cell>
          <cell r="M31">
            <v>105.56000000000003</v>
          </cell>
        </row>
        <row r="32">
          <cell r="M32">
            <v>11430</v>
          </cell>
        </row>
      </sheetData>
      <sheetData sheetId="8">
        <row r="7">
          <cell r="N7" t="str">
            <v>Exclude</v>
          </cell>
        </row>
        <row r="8">
          <cell r="N8" t="str">
            <v>McQuaid, Sheila Mary</v>
          </cell>
        </row>
        <row r="11">
          <cell r="A11" t="str">
            <v>Elected</v>
          </cell>
          <cell r="N11">
            <v>0</v>
          </cell>
          <cell r="O11">
            <v>1429</v>
          </cell>
        </row>
        <row r="12">
          <cell r="A12" t="str">
            <v>Elected</v>
          </cell>
          <cell r="N12">
            <v>0</v>
          </cell>
          <cell r="O12">
            <v>1429</v>
          </cell>
        </row>
        <row r="13">
          <cell r="N13">
            <v>42</v>
          </cell>
          <cell r="O13">
            <v>1333.56</v>
          </cell>
        </row>
        <row r="14">
          <cell r="N14">
            <v>179.92</v>
          </cell>
          <cell r="O14">
            <v>1259.8800000000001</v>
          </cell>
        </row>
        <row r="15">
          <cell r="A15">
            <v>0</v>
          </cell>
          <cell r="N15">
            <v>23.12</v>
          </cell>
          <cell r="O15">
            <v>1137.2399999999998</v>
          </cell>
        </row>
        <row r="16">
          <cell r="N16">
            <v>231.96</v>
          </cell>
          <cell r="O16">
            <v>1003.56</v>
          </cell>
        </row>
        <row r="17">
          <cell r="A17" t="str">
            <v>Excluded</v>
          </cell>
          <cell r="N17">
            <v>0</v>
          </cell>
          <cell r="O17">
            <v>0</v>
          </cell>
        </row>
        <row r="18">
          <cell r="A18" t="str">
            <v>Elected</v>
          </cell>
          <cell r="N18">
            <v>0</v>
          </cell>
          <cell r="O18">
            <v>1431.68</v>
          </cell>
        </row>
        <row r="19">
          <cell r="A19">
            <v>0</v>
          </cell>
          <cell r="N19">
            <v>36.4</v>
          </cell>
          <cell r="O19">
            <v>1217.3200000000002</v>
          </cell>
        </row>
        <row r="20">
          <cell r="A20" t="str">
            <v>Excluded</v>
          </cell>
          <cell r="N20">
            <v>-753.52</v>
          </cell>
          <cell r="O20">
            <v>0</v>
          </cell>
        </row>
        <row r="21">
          <cell r="A21" t="str">
            <v>Excluded</v>
          </cell>
          <cell r="N21">
            <v>0</v>
          </cell>
          <cell r="O21">
            <v>0</v>
          </cell>
        </row>
        <row r="22">
          <cell r="A22">
            <v>0</v>
          </cell>
          <cell r="N22">
            <v>24.96</v>
          </cell>
          <cell r="O22">
            <v>868.04000000000008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N31">
            <v>215.16</v>
          </cell>
          <cell r="O31">
            <v>320.72000000000003</v>
          </cell>
        </row>
        <row r="32">
          <cell r="O32">
            <v>11430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94"/>
  <sheetViews>
    <sheetView tabSelected="1" workbookViewId="0"/>
  </sheetViews>
  <sheetFormatPr defaultRowHeight="15" x14ac:dyDescent="0.25"/>
  <cols>
    <col min="1" max="1" width="8.42578125" style="2" customWidth="1"/>
    <col min="2" max="2" width="4.42578125" style="2" customWidth="1"/>
    <col min="3" max="3" width="22.140625" style="2" bestFit="1" customWidth="1"/>
    <col min="4" max="4" width="22.85546875" style="2" bestFit="1" customWidth="1"/>
    <col min="5" max="5" width="13.28515625" style="2" customWidth="1"/>
    <col min="6" max="12" width="9.7109375" style="2" customWidth="1"/>
    <col min="13" max="13" width="8.5703125" style="2" bestFit="1" customWidth="1"/>
    <col min="14" max="14" width="9.7109375" style="2" customWidth="1"/>
    <col min="15" max="15" width="10.28515625" style="2" customWidth="1"/>
    <col min="16" max="16" width="9.7109375" style="2" customWidth="1"/>
    <col min="17" max="17" width="11.5703125" style="2" customWidth="1"/>
    <col min="18" max="18" width="219.5703125" style="2" customWidth="1"/>
    <col min="19" max="19" width="4.42578125" style="2" customWidth="1"/>
    <col min="20" max="20" width="14.42578125" style="2" customWidth="1"/>
    <col min="21" max="21" width="11.7109375" style="2" customWidth="1"/>
    <col min="22" max="22" width="2" style="2" customWidth="1"/>
    <col min="23" max="23" width="8.42578125" style="2" customWidth="1"/>
    <col min="24" max="24" width="2" style="2" customWidth="1"/>
    <col min="25" max="25" width="13.28515625" style="2" customWidth="1"/>
    <col min="26" max="26" width="8.42578125" style="2" customWidth="1"/>
    <col min="27" max="27" width="19.85546875" style="2" customWidth="1"/>
    <col min="28" max="28" width="2.42578125" style="2" customWidth="1"/>
    <col min="29" max="29" width="3.28515625" style="2" customWidth="1"/>
    <col min="30" max="31" width="9.140625" style="2"/>
    <col min="32" max="32" width="12.5703125" style="2" customWidth="1"/>
    <col min="33" max="33" width="10.140625" style="2" customWidth="1"/>
    <col min="34" max="34" width="12.42578125" style="2" customWidth="1"/>
    <col min="35" max="35" width="11" style="2" customWidth="1"/>
    <col min="36" max="36" width="12.7109375" style="2" customWidth="1"/>
    <col min="37" max="37" width="11.42578125" style="2" customWidth="1"/>
    <col min="38" max="38" width="16.42578125" style="2" customWidth="1"/>
    <col min="39" max="39" width="211.28515625" style="2" customWidth="1"/>
    <col min="40" max="43" width="9.140625" style="2"/>
    <col min="44" max="44" width="214.42578125" style="2" customWidth="1"/>
    <col min="45" max="45" width="5" style="2" customWidth="1"/>
    <col min="46" max="46" width="49.85546875" style="2" customWidth="1"/>
    <col min="47" max="47" width="14.28515625" style="2" customWidth="1"/>
    <col min="48" max="48" width="3.28515625" style="2" customWidth="1"/>
    <col min="49" max="49" width="9.140625" style="2"/>
    <col min="50" max="50" width="4" style="2" customWidth="1"/>
    <col min="51" max="51" width="26.85546875" style="2" customWidth="1"/>
    <col min="52" max="52" width="12" style="2" customWidth="1"/>
    <col min="53" max="53" width="14.85546875" style="2" customWidth="1"/>
    <col min="54" max="54" width="9.140625" style="2"/>
    <col min="55" max="55" width="11" style="2" customWidth="1"/>
    <col min="56" max="56" width="11.42578125" style="2" customWidth="1"/>
    <col min="57" max="57" width="28.42578125" style="2" customWidth="1"/>
    <col min="58" max="58" width="213.5703125" style="2" customWidth="1"/>
    <col min="59" max="60" width="9.140625" style="2"/>
    <col min="61" max="61" width="9.7109375" style="2" customWidth="1"/>
    <col min="62" max="62" width="8.7109375" style="2" customWidth="1"/>
    <col min="63" max="63" width="1.7109375" style="2" customWidth="1"/>
    <col min="64" max="64" width="24.85546875" style="2" customWidth="1"/>
    <col min="65" max="76" width="9.140625" style="2"/>
    <col min="77" max="77" width="26.42578125" style="2" customWidth="1"/>
    <col min="78" max="16384" width="9.140625" style="2"/>
  </cols>
  <sheetData>
    <row r="1" spans="1:77" ht="21" thickBot="1" x14ac:dyDescent="0.35">
      <c r="A1" s="1" t="str">
        <f>'[1]Verification of Boxes'!B1</f>
        <v>Armagh, Banbridge and Craigavon Council</v>
      </c>
      <c r="F1" s="3" t="s">
        <v>119</v>
      </c>
      <c r="J1" s="4" t="s">
        <v>1</v>
      </c>
      <c r="K1" s="194" t="str">
        <f>'[1]Basic Input'!C2</f>
        <v>22nd May 2014</v>
      </c>
      <c r="L1" s="194"/>
      <c r="O1" s="5"/>
      <c r="P1" s="5"/>
      <c r="Q1" s="5"/>
      <c r="T1" s="3" t="s">
        <v>2</v>
      </c>
      <c r="AB1" s="5"/>
      <c r="AC1" s="5"/>
      <c r="AD1" s="5"/>
      <c r="AE1" s="5"/>
      <c r="AK1" s="6"/>
      <c r="AT1" s="3" t="s">
        <v>3</v>
      </c>
      <c r="AY1" s="7" t="str">
        <f>IF(AN5="T","COMPLETE THIS FORM","YOU HAVE NOT SELECTED TO COMPLETE THIS FORM")</f>
        <v>YOU HAVE NOT SELECTED TO COMPLETE THIS FORM</v>
      </c>
      <c r="BL1" s="3" t="s">
        <v>4</v>
      </c>
      <c r="BS1" s="7" t="str">
        <f>IF(AN5="E","COMPLETE THIS FORM","YOU HAVE NOT SELECTED TO COMPLETE THIS FORM")</f>
        <v>COMPLETE THIS FORM</v>
      </c>
    </row>
    <row r="2" spans="1:77" ht="18.75" thickBot="1" x14ac:dyDescent="0.3">
      <c r="A2" s="3" t="str">
        <f>'[1]Verification of Boxes'!A3</f>
        <v>District Electoral Area of</v>
      </c>
      <c r="D2" s="3" t="str">
        <f>'[1]Verification of Boxes'!B3</f>
        <v>Banbridge</v>
      </c>
      <c r="O2" s="191"/>
      <c r="P2" s="191"/>
      <c r="Q2" s="191"/>
      <c r="T2" s="195" t="s">
        <v>5</v>
      </c>
      <c r="U2" s="195"/>
      <c r="V2" s="195"/>
      <c r="W2" s="195"/>
      <c r="X2" s="195"/>
      <c r="Y2" s="195"/>
      <c r="Z2" s="193"/>
      <c r="AA2" s="8">
        <f>SUM(Z14:Z32)</f>
        <v>2.6800000000000637</v>
      </c>
      <c r="AT2" s="3" t="str">
        <f>'[1]Verification of Boxes'!B1</f>
        <v>Armagh, Banbridge and Craigavon Council</v>
      </c>
      <c r="AY2" s="2" t="s">
        <v>1</v>
      </c>
      <c r="AZ2" s="9" t="str">
        <f>'[1]Basic Input'!C2</f>
        <v>22nd May 2014</v>
      </c>
      <c r="BA2" s="10" t="s">
        <v>6</v>
      </c>
      <c r="BL2" s="11" t="s">
        <v>0</v>
      </c>
      <c r="BM2" s="5"/>
      <c r="BN2" s="181" t="s">
        <v>7</v>
      </c>
      <c r="BO2" s="181"/>
      <c r="BP2" s="181"/>
      <c r="BQ2" s="181"/>
      <c r="BR2" s="181"/>
      <c r="BS2" s="181"/>
      <c r="BT2" s="181"/>
      <c r="BV2" s="185" t="s">
        <v>8</v>
      </c>
      <c r="BW2" s="186"/>
      <c r="BX2" s="186"/>
      <c r="BY2" s="187"/>
    </row>
    <row r="3" spans="1:77" ht="33.75" customHeight="1" thickBot="1" x14ac:dyDescent="0.3">
      <c r="C3" s="10" t="s">
        <v>9</v>
      </c>
      <c r="D3" s="144">
        <f>'[1]Verification of Boxes'!L2</f>
        <v>23380</v>
      </c>
      <c r="E3" s="190" t="s">
        <v>10</v>
      </c>
      <c r="F3" s="189"/>
      <c r="G3" s="141">
        <f>'[1]Verification of Boxes'!G3</f>
        <v>7</v>
      </c>
      <c r="H3" s="190" t="s">
        <v>11</v>
      </c>
      <c r="I3" s="189"/>
      <c r="J3" s="141">
        <f>'[1]Verification of Boxes'!L33</f>
        <v>162</v>
      </c>
      <c r="L3" s="10" t="s">
        <v>12</v>
      </c>
      <c r="M3" s="141">
        <f>'[1]Verification of Boxes'!G4</f>
        <v>1429</v>
      </c>
      <c r="O3" s="196"/>
      <c r="P3" s="196"/>
      <c r="Q3" s="196"/>
      <c r="T3" s="195" t="s">
        <v>13</v>
      </c>
      <c r="U3" s="195"/>
      <c r="V3" s="195"/>
      <c r="W3" s="195"/>
      <c r="X3" s="195"/>
      <c r="Y3" s="195"/>
      <c r="Z3" s="193"/>
      <c r="AA3" s="12">
        <f>LARGE(Z14:Z32,1)</f>
        <v>2.6800000000000637</v>
      </c>
      <c r="AD3" s="13"/>
      <c r="AE3" s="13"/>
      <c r="AF3" s="197" t="str">
        <f>IF(AK5="n","MOVE TO EXCLUDE CANDIDATE FORM",IF(AK5="y","MOVE TO TRANSFER OF SURPLUS VOTES FORM",0))</f>
        <v>MOVE TO EXCLUDE CANDIDATE FORM</v>
      </c>
      <c r="AG3" s="198"/>
      <c r="AH3" s="198"/>
      <c r="AI3" s="198"/>
      <c r="AJ3" s="198"/>
      <c r="AK3" s="199"/>
      <c r="AT3" s="3" t="str">
        <f>'[1]Verification of Boxes'!A3</f>
        <v>District Electoral Area of</v>
      </c>
      <c r="BC3" s="185" t="s">
        <v>8</v>
      </c>
      <c r="BD3" s="186"/>
      <c r="BE3" s="187"/>
      <c r="BF3" s="14"/>
      <c r="BL3" s="15" t="s">
        <v>14</v>
      </c>
      <c r="BM3" s="16"/>
      <c r="BN3" s="174" t="s">
        <v>15</v>
      </c>
      <c r="BO3" s="176"/>
      <c r="BP3" s="176"/>
      <c r="BQ3" s="176"/>
      <c r="BR3" s="176"/>
      <c r="BS3" s="176"/>
      <c r="BT3" s="175"/>
    </row>
    <row r="4" spans="1:77" ht="45.75" customHeight="1" thickBot="1" x14ac:dyDescent="0.3">
      <c r="A4" s="3"/>
      <c r="C4" s="10" t="s">
        <v>16</v>
      </c>
      <c r="D4" s="141">
        <f>'[1]Verification of Boxes'!L3</f>
        <v>11592</v>
      </c>
      <c r="E4" s="188" t="s">
        <v>17</v>
      </c>
      <c r="F4" s="189"/>
      <c r="G4" s="143">
        <f>D4-J3</f>
        <v>11430</v>
      </c>
      <c r="H4" s="190" t="s">
        <v>18</v>
      </c>
      <c r="I4" s="189"/>
      <c r="J4" s="142">
        <f>'[1]Verification of Boxes'!L5</f>
        <v>49.580838323353291</v>
      </c>
      <c r="M4" s="5"/>
      <c r="O4" s="191"/>
      <c r="P4" s="191"/>
      <c r="Q4" s="191"/>
      <c r="T4" s="192" t="s">
        <v>19</v>
      </c>
      <c r="U4" s="192"/>
      <c r="V4" s="192"/>
      <c r="W4" s="192"/>
      <c r="X4" s="192"/>
      <c r="Y4" s="192"/>
      <c r="Z4" s="193"/>
      <c r="AA4" s="17">
        <f>'[1]Verification of Boxes'!G4</f>
        <v>1429</v>
      </c>
      <c r="AB4" s="5"/>
      <c r="AT4" s="18" t="str">
        <f>'[1]Verification of Boxes'!B3</f>
        <v>Banbridge</v>
      </c>
      <c r="AY4" s="19" t="s">
        <v>20</v>
      </c>
      <c r="AZ4" s="20" t="s">
        <v>21</v>
      </c>
      <c r="BA4" s="21" t="s">
        <v>22</v>
      </c>
      <c r="BB4" s="22" t="s">
        <v>23</v>
      </c>
      <c r="BC4" s="23" t="s">
        <v>24</v>
      </c>
      <c r="BD4" s="23" t="s">
        <v>25</v>
      </c>
      <c r="BL4" s="5" t="s">
        <v>26</v>
      </c>
      <c r="BM4" s="5"/>
      <c r="BN4" s="5"/>
      <c r="BO4" s="5"/>
      <c r="BP4" s="5"/>
      <c r="BQ4" s="5"/>
      <c r="BR4" s="5"/>
    </row>
    <row r="5" spans="1:77" ht="21.75" customHeight="1" thickBot="1" x14ac:dyDescent="0.3">
      <c r="A5" s="3"/>
      <c r="M5" s="5"/>
      <c r="O5" s="24"/>
      <c r="P5" s="24"/>
      <c r="Q5" s="24"/>
      <c r="AD5" s="27" t="s">
        <v>27</v>
      </c>
      <c r="AE5" s="28"/>
      <c r="AF5" s="27" t="s">
        <v>28</v>
      </c>
      <c r="AG5" s="27"/>
      <c r="AH5" s="27"/>
      <c r="AI5" s="28"/>
      <c r="AJ5" s="29"/>
      <c r="AK5" s="30" t="s">
        <v>29</v>
      </c>
      <c r="AN5" s="31" t="str">
        <f>IF(AK5=0,0,IF(AK5="Y","T","E"))</f>
        <v>E</v>
      </c>
      <c r="AY5" s="32" t="str">
        <f>'[1]Verification of Boxes'!J10</f>
        <v>Barr, Glenn</v>
      </c>
      <c r="AZ5" s="33"/>
      <c r="BA5" s="34">
        <f t="shared" ref="BA5:BA24" si="0">IF(AW$23&gt;0,AZ5*AW$23,AZ5*AW$29)</f>
        <v>0</v>
      </c>
      <c r="BB5" s="35"/>
      <c r="BC5" s="33" t="str">
        <f t="shared" ref="BC5:BC24" si="1">IF(A11&lt;&gt;0,A11,0)</f>
        <v>Elected</v>
      </c>
      <c r="BD5" s="33">
        <f t="shared" ref="BD5:BD24" si="2">IF(C11=0,0,IF(O11=0,"Excluded",0))</f>
        <v>0</v>
      </c>
      <c r="BJ5" s="183" t="s">
        <v>30</v>
      </c>
      <c r="BL5" s="33"/>
      <c r="BM5" s="36" t="s">
        <v>31</v>
      </c>
      <c r="BN5" s="37"/>
      <c r="BO5" s="36" t="s">
        <v>32</v>
      </c>
      <c r="BP5" s="37"/>
      <c r="BQ5" s="36" t="s">
        <v>33</v>
      </c>
      <c r="BR5" s="38"/>
      <c r="BS5" s="36" t="s">
        <v>33</v>
      </c>
      <c r="BT5" s="38"/>
      <c r="BU5" s="36" t="s">
        <v>33</v>
      </c>
      <c r="BV5" s="38"/>
      <c r="BW5" s="36" t="s">
        <v>33</v>
      </c>
      <c r="BX5" s="38"/>
      <c r="BY5" s="31" t="s">
        <v>34</v>
      </c>
    </row>
    <row r="6" spans="1:77" ht="15" customHeight="1" thickBot="1" x14ac:dyDescent="0.3">
      <c r="A6" s="3"/>
      <c r="E6" s="39" t="s">
        <v>35</v>
      </c>
      <c r="F6" s="174" t="s">
        <v>36</v>
      </c>
      <c r="G6" s="175"/>
      <c r="H6" s="174" t="s">
        <v>37</v>
      </c>
      <c r="I6" s="175"/>
      <c r="J6" s="174" t="s">
        <v>38</v>
      </c>
      <c r="K6" s="175"/>
      <c r="L6" s="174" t="s">
        <v>39</v>
      </c>
      <c r="M6" s="175"/>
      <c r="N6" s="174" t="s">
        <v>40</v>
      </c>
      <c r="O6" s="176"/>
      <c r="P6" s="174" t="s">
        <v>0</v>
      </c>
      <c r="Q6" s="175"/>
      <c r="T6" s="150" t="s">
        <v>41</v>
      </c>
      <c r="U6" s="151"/>
      <c r="V6" s="151"/>
      <c r="W6" s="151"/>
      <c r="X6" s="151"/>
      <c r="Y6" s="151"/>
      <c r="Z6" s="152"/>
      <c r="AD6" s="2" t="s">
        <v>42</v>
      </c>
      <c r="AE6" s="168" t="s">
        <v>43</v>
      </c>
      <c r="AF6" s="168"/>
      <c r="AG6" s="168"/>
      <c r="AH6" s="168"/>
      <c r="AI6" s="168"/>
      <c r="AJ6" s="168"/>
      <c r="AK6" s="182" t="e">
        <f>IF(AA2&gt;AG21,"Transfer","Exclude")</f>
        <v>#REF!</v>
      </c>
      <c r="AL6" s="182"/>
      <c r="AM6" s="40"/>
      <c r="AN6" s="41"/>
      <c r="AO6" s="41"/>
      <c r="AQ6" s="6"/>
      <c r="AR6" s="6"/>
      <c r="AT6" s="11" t="s">
        <v>0</v>
      </c>
      <c r="AU6" s="42"/>
      <c r="AY6" s="32" t="str">
        <f>'[1]Verification of Boxes'!J11</f>
        <v>Burns, Ian</v>
      </c>
      <c r="AZ6" s="33"/>
      <c r="BA6" s="34">
        <f t="shared" si="0"/>
        <v>0</v>
      </c>
      <c r="BB6" s="35"/>
      <c r="BC6" s="33" t="str">
        <f t="shared" si="1"/>
        <v>Elected</v>
      </c>
      <c r="BD6" s="33">
        <f t="shared" si="2"/>
        <v>0</v>
      </c>
      <c r="BJ6" s="183"/>
      <c r="BL6" s="33"/>
      <c r="BM6" s="31" t="s">
        <v>44</v>
      </c>
      <c r="BN6" s="43">
        <v>1</v>
      </c>
      <c r="BO6" s="31" t="s">
        <v>44</v>
      </c>
      <c r="BP6" s="43">
        <v>1</v>
      </c>
      <c r="BQ6" s="44" t="s">
        <v>44</v>
      </c>
      <c r="BR6" s="8">
        <v>0.28000000000000003</v>
      </c>
      <c r="BS6" s="45" t="s">
        <v>44</v>
      </c>
      <c r="BT6" s="8"/>
      <c r="BU6" s="45" t="s">
        <v>44</v>
      </c>
      <c r="BV6" s="8"/>
      <c r="BW6" s="45" t="s">
        <v>44</v>
      </c>
      <c r="BX6" s="8"/>
      <c r="BY6" s="33">
        <f>BM29+BO29+BQ29+BS29+BU29+BW29</f>
        <v>1097</v>
      </c>
    </row>
    <row r="7" spans="1:77" ht="15" customHeight="1" thickBot="1" x14ac:dyDescent="0.3">
      <c r="D7" s="25"/>
      <c r="E7" s="46"/>
      <c r="F7" s="174" t="str">
        <f>'[1]Stage 2'!F7:G7</f>
        <v>Transfer</v>
      </c>
      <c r="G7" s="175"/>
      <c r="H7" s="174" t="str">
        <f>'[1]Stage 3'!H7:I7</f>
        <v>Transfer</v>
      </c>
      <c r="I7" s="175"/>
      <c r="J7" s="174" t="str">
        <f>'[1]Stage 4'!J7:K7</f>
        <v>Exclude</v>
      </c>
      <c r="K7" s="175"/>
      <c r="L7" s="174" t="str">
        <f>'[1]Stage 5'!L7:M7</f>
        <v>Exclude</v>
      </c>
      <c r="M7" s="175"/>
      <c r="N7" s="174" t="str">
        <f>'[1]Stage 6'!N7:O7</f>
        <v>Exclude</v>
      </c>
      <c r="O7" s="176"/>
      <c r="P7" s="174" t="str">
        <f>IF($AN5=0,0,IF($AN5="T",$AT7,$BL4))</f>
        <v>Exclude</v>
      </c>
      <c r="Q7" s="175"/>
      <c r="T7" s="153"/>
      <c r="U7" s="154"/>
      <c r="V7" s="154"/>
      <c r="W7" s="154"/>
      <c r="X7" s="154"/>
      <c r="Y7" s="154"/>
      <c r="Z7" s="155"/>
      <c r="AE7" s="168"/>
      <c r="AF7" s="168"/>
      <c r="AG7" s="168"/>
      <c r="AH7" s="168"/>
      <c r="AI7" s="168"/>
      <c r="AJ7" s="168"/>
      <c r="AK7" s="182"/>
      <c r="AL7" s="182"/>
      <c r="AM7" s="40"/>
      <c r="AT7" s="2" t="s">
        <v>45</v>
      </c>
      <c r="AU7" s="47"/>
      <c r="AY7" s="32" t="str">
        <f>'[1]Verification of Boxes'!J12</f>
        <v>Curran, Brendan Patrick</v>
      </c>
      <c r="AZ7" s="33"/>
      <c r="BA7" s="34">
        <f t="shared" si="0"/>
        <v>0</v>
      </c>
      <c r="BB7" s="35"/>
      <c r="BC7" s="33" t="str">
        <f t="shared" si="1"/>
        <v>Elected</v>
      </c>
      <c r="BD7" s="33">
        <f t="shared" si="2"/>
        <v>0</v>
      </c>
      <c r="BH7" s="2" t="s">
        <v>46</v>
      </c>
      <c r="BI7" s="10" t="s">
        <v>47</v>
      </c>
      <c r="BJ7" s="184"/>
      <c r="BL7" s="33" t="s">
        <v>48</v>
      </c>
      <c r="BM7" s="33" t="s">
        <v>49</v>
      </c>
      <c r="BN7" s="33" t="s">
        <v>33</v>
      </c>
      <c r="BO7" s="33" t="s">
        <v>49</v>
      </c>
      <c r="BP7" s="33" t="s">
        <v>33</v>
      </c>
      <c r="BQ7" s="33" t="s">
        <v>49</v>
      </c>
      <c r="BR7" s="48" t="s">
        <v>33</v>
      </c>
      <c r="BS7" s="33" t="s">
        <v>49</v>
      </c>
      <c r="BT7" s="48" t="s">
        <v>33</v>
      </c>
      <c r="BU7" s="33" t="s">
        <v>49</v>
      </c>
      <c r="BV7" s="48" t="s">
        <v>33</v>
      </c>
      <c r="BW7" s="33" t="s">
        <v>49</v>
      </c>
      <c r="BX7" s="48" t="s">
        <v>33</v>
      </c>
      <c r="BY7" s="49" t="s">
        <v>50</v>
      </c>
    </row>
    <row r="8" spans="1:77" ht="15" customHeight="1" thickBot="1" x14ac:dyDescent="0.3">
      <c r="D8" s="25"/>
      <c r="E8" s="46"/>
      <c r="F8" s="177" t="str">
        <f>'[1]Stage 2'!F8:G8</f>
        <v>Barr, Glenn</v>
      </c>
      <c r="G8" s="178"/>
      <c r="H8" s="179" t="str">
        <f>'[1]Stage 3'!H8:I8</f>
        <v>Burns, Ian</v>
      </c>
      <c r="I8" s="180"/>
      <c r="J8" s="179" t="str">
        <f>'[1]Stage 4'!J8:K8</f>
        <v>Hutchinson, Emma</v>
      </c>
      <c r="K8" s="180"/>
      <c r="L8" s="179" t="str">
        <f>'[1]Stage 5'!L8:M8</f>
        <v>Savage, Kevin Jude</v>
      </c>
      <c r="M8" s="180"/>
      <c r="N8" s="179" t="str">
        <f>'[1]Stage 6'!N8:O8</f>
        <v>McQuaid, Sheila Mary</v>
      </c>
      <c r="O8" s="181"/>
      <c r="P8" s="174" t="str">
        <f>IF($P7="Transfer",$AU8,$BN3)</f>
        <v>Wilson, Ian McMaster</v>
      </c>
      <c r="Q8" s="175"/>
      <c r="T8" s="5"/>
      <c r="U8" s="50"/>
      <c r="V8" s="5"/>
      <c r="W8" s="5"/>
      <c r="X8" s="5"/>
      <c r="Y8" s="5"/>
      <c r="AC8" s="3"/>
      <c r="AD8" s="3"/>
      <c r="AT8" s="51" t="s">
        <v>51</v>
      </c>
      <c r="AU8" s="8">
        <f>IF(AY47&lt;&gt;0,AY47,IF(AY48&lt;&gt;0,AY48,IF(AY49&lt;&gt;0,AY49,IF(AY50&lt;&gt;0,AY50,0))))</f>
        <v>0</v>
      </c>
      <c r="AY8" s="32" t="str">
        <f>'[1]Verification of Boxes'!J13</f>
        <v>Doyle, Seamus</v>
      </c>
      <c r="AZ8" s="33"/>
      <c r="BA8" s="34">
        <f t="shared" si="0"/>
        <v>0</v>
      </c>
      <c r="BB8" s="35"/>
      <c r="BC8" s="33" t="str">
        <f t="shared" si="1"/>
        <v>Elected</v>
      </c>
      <c r="BD8" s="33">
        <f t="shared" si="2"/>
        <v>0</v>
      </c>
      <c r="BG8" s="10"/>
      <c r="BH8" s="33" t="str">
        <f t="shared" ref="BH8:BH27" si="3">IF(A11&lt;&gt;0,A11,0)</f>
        <v>Elected</v>
      </c>
      <c r="BI8" s="31" t="str">
        <f t="shared" ref="BI8:BI26" si="4">IF(U14&gt;=$M$3,"Elected",U14)</f>
        <v>Elected</v>
      </c>
      <c r="BJ8" s="43"/>
      <c r="BL8" s="52" t="str">
        <f>'[1]Verification of Boxes'!J10</f>
        <v>Barr, Glenn</v>
      </c>
      <c r="BM8" s="33"/>
      <c r="BN8" s="33">
        <f t="shared" ref="BN8:BN29" si="5">BM8*BN$6</f>
        <v>0</v>
      </c>
      <c r="BO8" s="33"/>
      <c r="BP8" s="33">
        <f t="shared" ref="BP8:BP29" si="6">BO8*BP$6</f>
        <v>0</v>
      </c>
      <c r="BQ8" s="33"/>
      <c r="BR8" s="33">
        <f t="shared" ref="BR8:BR29" si="7">BQ8*BR$6</f>
        <v>0</v>
      </c>
      <c r="BS8" s="33"/>
      <c r="BT8" s="33">
        <f t="shared" ref="BT8:BT29" si="8">BS8*BT$6</f>
        <v>0</v>
      </c>
      <c r="BU8" s="33"/>
      <c r="BV8" s="33">
        <f t="shared" ref="BV8:BV29" si="9">BU8*BV$6</f>
        <v>0</v>
      </c>
      <c r="BW8" s="33"/>
      <c r="BX8" s="33">
        <f t="shared" ref="BX8:BX29" si="10">BW8*BX$6</f>
        <v>0</v>
      </c>
      <c r="BY8" s="33">
        <f t="shared" ref="BY8:BY28" si="11">BN8+BP8+BR8+BT8+BV8+BX8</f>
        <v>0</v>
      </c>
    </row>
    <row r="9" spans="1:77" ht="15" customHeight="1" thickBot="1" x14ac:dyDescent="0.3">
      <c r="D9" s="25"/>
      <c r="E9" s="53"/>
      <c r="F9" s="174" t="s">
        <v>52</v>
      </c>
      <c r="G9" s="175"/>
      <c r="H9" s="174" t="s">
        <v>52</v>
      </c>
      <c r="I9" s="175"/>
      <c r="J9" s="174" t="s">
        <v>52</v>
      </c>
      <c r="K9" s="175"/>
      <c r="L9" s="174" t="s">
        <v>52</v>
      </c>
      <c r="M9" s="175"/>
      <c r="N9" s="174" t="s">
        <v>52</v>
      </c>
      <c r="O9" s="176"/>
      <c r="P9" s="174" t="s">
        <v>52</v>
      </c>
      <c r="Q9" s="175"/>
      <c r="U9" s="55"/>
      <c r="V9" s="55"/>
      <c r="W9" s="55"/>
      <c r="X9" s="5"/>
      <c r="AD9" s="2" t="s">
        <v>53</v>
      </c>
      <c r="AE9" s="168" t="s">
        <v>54</v>
      </c>
      <c r="AF9" s="168"/>
      <c r="AG9" s="168"/>
      <c r="AH9" s="168"/>
      <c r="AI9" s="168"/>
      <c r="AJ9" s="168"/>
      <c r="AK9" s="169" t="e">
        <f>IF(AN87&lt;&gt;0,"Exclude lowest candidate(s)","Transfer")</f>
        <v>#REF!</v>
      </c>
      <c r="AL9" s="169"/>
      <c r="AM9" s="56"/>
      <c r="AN9" s="41"/>
      <c r="AO9" s="41"/>
      <c r="AQ9" s="6"/>
      <c r="AR9" s="6"/>
      <c r="AY9" s="32" t="str">
        <f>'[1]Verification of Boxes'!J14</f>
        <v>Greenfield, Paul</v>
      </c>
      <c r="AZ9" s="33"/>
      <c r="BA9" s="34">
        <f t="shared" si="0"/>
        <v>0</v>
      </c>
      <c r="BB9" s="35"/>
      <c r="BC9" s="33" t="str">
        <f t="shared" si="1"/>
        <v>Elected</v>
      </c>
      <c r="BD9" s="33">
        <f t="shared" si="2"/>
        <v>0</v>
      </c>
      <c r="BG9" s="10"/>
      <c r="BH9" s="33" t="str">
        <f t="shared" si="3"/>
        <v>Elected</v>
      </c>
      <c r="BI9" s="31" t="str">
        <f t="shared" si="4"/>
        <v>Elected</v>
      </c>
      <c r="BJ9" s="43"/>
      <c r="BK9" s="5"/>
      <c r="BL9" s="52" t="str">
        <f>'[1]Verification of Boxes'!J11</f>
        <v>Burns, Ian</v>
      </c>
      <c r="BM9" s="33"/>
      <c r="BN9" s="33">
        <f t="shared" si="5"/>
        <v>0</v>
      </c>
      <c r="BO9" s="33"/>
      <c r="BP9" s="33">
        <f t="shared" si="6"/>
        <v>0</v>
      </c>
      <c r="BQ9" s="33"/>
      <c r="BR9" s="33">
        <f t="shared" si="7"/>
        <v>0</v>
      </c>
      <c r="BS9" s="33"/>
      <c r="BT9" s="33">
        <f t="shared" si="8"/>
        <v>0</v>
      </c>
      <c r="BU9" s="33"/>
      <c r="BV9" s="33">
        <f t="shared" si="9"/>
        <v>0</v>
      </c>
      <c r="BW9" s="33"/>
      <c r="BX9" s="33">
        <f t="shared" si="10"/>
        <v>0</v>
      </c>
      <c r="BY9" s="33">
        <f t="shared" si="11"/>
        <v>0</v>
      </c>
    </row>
    <row r="10" spans="1:77" ht="15" customHeight="1" thickBot="1" x14ac:dyDescent="0.3">
      <c r="A10" s="57" t="s">
        <v>55</v>
      </c>
      <c r="B10" s="58" t="s">
        <v>56</v>
      </c>
      <c r="C10" s="58" t="s">
        <v>57</v>
      </c>
      <c r="D10" s="59" t="s">
        <v>58</v>
      </c>
      <c r="E10" s="60" t="s">
        <v>59</v>
      </c>
      <c r="F10" s="8"/>
      <c r="G10" s="54" t="s">
        <v>60</v>
      </c>
      <c r="H10" s="8"/>
      <c r="I10" s="62" t="s">
        <v>60</v>
      </c>
      <c r="J10" s="8"/>
      <c r="K10" s="62" t="s">
        <v>60</v>
      </c>
      <c r="L10" s="8"/>
      <c r="M10" s="62" t="s">
        <v>60</v>
      </c>
      <c r="N10" s="61"/>
      <c r="O10" s="8" t="s">
        <v>60</v>
      </c>
      <c r="P10" s="8"/>
      <c r="Q10" s="62" t="s">
        <v>60</v>
      </c>
      <c r="T10" s="5"/>
      <c r="U10" s="5"/>
      <c r="V10" s="5"/>
      <c r="W10" s="5"/>
      <c r="X10" s="5"/>
      <c r="AE10" s="168"/>
      <c r="AF10" s="168"/>
      <c r="AG10" s="168"/>
      <c r="AH10" s="168"/>
      <c r="AI10" s="168"/>
      <c r="AJ10" s="168"/>
      <c r="AK10" s="169"/>
      <c r="AL10" s="169"/>
      <c r="AM10" s="56"/>
      <c r="AT10" s="2" t="s">
        <v>61</v>
      </c>
      <c r="AU10" s="10" t="s">
        <v>62</v>
      </c>
      <c r="AV10" s="10"/>
      <c r="AW10" s="63"/>
      <c r="AY10" s="32" t="str">
        <f>'[1]Verification of Boxes'!J15</f>
        <v>Hamilton, Marie</v>
      </c>
      <c r="AZ10" s="33"/>
      <c r="BA10" s="34">
        <f t="shared" si="0"/>
        <v>0</v>
      </c>
      <c r="BB10" s="35"/>
      <c r="BC10" s="33" t="str">
        <f t="shared" si="1"/>
        <v>Excluded</v>
      </c>
      <c r="BD10" s="33">
        <f t="shared" si="2"/>
        <v>0</v>
      </c>
      <c r="BG10" s="10"/>
      <c r="BH10" s="33" t="str">
        <f t="shared" si="3"/>
        <v>Elected</v>
      </c>
      <c r="BI10" s="31">
        <f t="shared" si="4"/>
        <v>1333.56</v>
      </c>
      <c r="BJ10" s="43"/>
      <c r="BK10" s="5"/>
      <c r="BL10" s="52" t="str">
        <f>'[1]Verification of Boxes'!J12</f>
        <v>Curran, Brendan Patrick</v>
      </c>
      <c r="BM10" s="33">
        <v>1</v>
      </c>
      <c r="BN10" s="33">
        <f t="shared" si="5"/>
        <v>1</v>
      </c>
      <c r="BO10" s="33"/>
      <c r="BP10" s="33">
        <f t="shared" si="6"/>
        <v>0</v>
      </c>
      <c r="BQ10" s="33"/>
      <c r="BR10" s="33">
        <f t="shared" si="7"/>
        <v>0</v>
      </c>
      <c r="BS10" s="33"/>
      <c r="BT10" s="33">
        <f t="shared" si="8"/>
        <v>0</v>
      </c>
      <c r="BU10" s="33"/>
      <c r="BV10" s="33">
        <f t="shared" si="9"/>
        <v>0</v>
      </c>
      <c r="BW10" s="33"/>
      <c r="BX10" s="33">
        <f t="shared" si="10"/>
        <v>0</v>
      </c>
      <c r="BY10" s="33">
        <f t="shared" si="11"/>
        <v>1</v>
      </c>
    </row>
    <row r="11" spans="1:77" ht="15" customHeight="1" thickBot="1" x14ac:dyDescent="0.3">
      <c r="A11" s="64" t="str">
        <f>IF('[1]Stage 6'!A11&lt;&gt;0,'[1]Stage 6'!A11,IF(Q11&gt;=$M$3,"Elected",IF(BJ8&lt;&gt;0,"Excluded",0)))</f>
        <v>Elected</v>
      </c>
      <c r="B11" s="65">
        <v>1</v>
      </c>
      <c r="C11" s="66" t="str">
        <f>'[1]Verification of Boxes'!J10</f>
        <v>Barr, Glenn</v>
      </c>
      <c r="D11" s="64" t="str">
        <f>'[1]Verification of Boxes'!K10</f>
        <v>ULSTER UNIONIST PARTY</v>
      </c>
      <c r="E11" s="135">
        <f>'[1]Verification of Boxes'!L10</f>
        <v>1999</v>
      </c>
      <c r="F11" s="139">
        <f>'[1]Stage 2'!F11</f>
        <v>-570</v>
      </c>
      <c r="G11" s="67">
        <f>'[1]Stage 2'!G11</f>
        <v>1429</v>
      </c>
      <c r="H11" s="139">
        <f>'[1]Stage 3'!H11</f>
        <v>0</v>
      </c>
      <c r="I11" s="67">
        <f>'[1]Stage 3'!I11</f>
        <v>1429</v>
      </c>
      <c r="J11" s="139">
        <f>'[1]Stage 4'!J11</f>
        <v>0</v>
      </c>
      <c r="K11" s="67">
        <f>'[1]Stage 4'!K11</f>
        <v>1429</v>
      </c>
      <c r="L11" s="139">
        <f>'[1]Stage 5'!L11</f>
        <v>0</v>
      </c>
      <c r="M11" s="67">
        <f>'[1]Stage 5'!M11</f>
        <v>1429</v>
      </c>
      <c r="N11" s="139">
        <f>'[1]Stage 6'!N11</f>
        <v>0</v>
      </c>
      <c r="O11" s="68">
        <f>'[1]Stage 6'!O11</f>
        <v>1429</v>
      </c>
      <c r="P11" s="139">
        <f t="shared" ref="P11:P22" si="12">IF($C11&lt;&gt;0,$BE47,0)</f>
        <v>0</v>
      </c>
      <c r="Q11" s="69">
        <f t="shared" ref="Q11:Q31" si="13">IF(P$8=0,0,O11+P11)</f>
        <v>1429</v>
      </c>
      <c r="U11" s="10"/>
      <c r="AT11" s="2" t="s">
        <v>19</v>
      </c>
      <c r="AU11" s="10" t="s">
        <v>63</v>
      </c>
      <c r="AV11" s="10"/>
      <c r="AW11" s="70">
        <f>'[1]Verification of Boxes'!G4</f>
        <v>1429</v>
      </c>
      <c r="AY11" s="32" t="str">
        <f>'[1]Verification of Boxes'!J16</f>
        <v>Hutchinson, Emma</v>
      </c>
      <c r="AZ11" s="33"/>
      <c r="BA11" s="34">
        <f t="shared" si="0"/>
        <v>0</v>
      </c>
      <c r="BB11" s="35"/>
      <c r="BC11" s="33" t="str">
        <f t="shared" si="1"/>
        <v>Excluded</v>
      </c>
      <c r="BD11" s="33" t="str">
        <f t="shared" si="2"/>
        <v>Excluded</v>
      </c>
      <c r="BG11" s="10"/>
      <c r="BH11" s="33" t="str">
        <f t="shared" si="3"/>
        <v>Elected</v>
      </c>
      <c r="BI11" s="31">
        <f t="shared" si="4"/>
        <v>1259.8800000000001</v>
      </c>
      <c r="BJ11" s="43"/>
      <c r="BK11" s="5"/>
      <c r="BL11" s="52" t="str">
        <f>'[1]Verification of Boxes'!J13</f>
        <v>Doyle, Seamus</v>
      </c>
      <c r="BM11" s="33">
        <v>2</v>
      </c>
      <c r="BN11" s="33">
        <f t="shared" si="5"/>
        <v>2</v>
      </c>
      <c r="BO11" s="33">
        <v>4</v>
      </c>
      <c r="BP11" s="33">
        <f t="shared" si="6"/>
        <v>4</v>
      </c>
      <c r="BQ11" s="33">
        <v>35</v>
      </c>
      <c r="BR11" s="33">
        <f t="shared" si="7"/>
        <v>9.8000000000000007</v>
      </c>
      <c r="BS11" s="33"/>
      <c r="BT11" s="33">
        <f t="shared" si="8"/>
        <v>0</v>
      </c>
      <c r="BU11" s="33"/>
      <c r="BV11" s="33">
        <f t="shared" si="9"/>
        <v>0</v>
      </c>
      <c r="BW11" s="33"/>
      <c r="BX11" s="33">
        <f t="shared" si="10"/>
        <v>0</v>
      </c>
      <c r="BY11" s="33">
        <f t="shared" si="11"/>
        <v>15.8</v>
      </c>
    </row>
    <row r="12" spans="1:77" ht="15" customHeight="1" thickBot="1" x14ac:dyDescent="0.3">
      <c r="A12" s="71" t="str">
        <f>IF('[1]Stage 6'!A12&lt;&gt;0,'[1]Stage 6'!A12,IF(Q12&gt;=$M$3,"Elected",IF(BJ9&lt;&gt;0,"Excluded",0)))</f>
        <v>Elected</v>
      </c>
      <c r="B12" s="72">
        <v>2</v>
      </c>
      <c r="C12" s="73" t="str">
        <f>'[1]Verification of Boxes'!J11</f>
        <v>Burns, Ian</v>
      </c>
      <c r="D12" s="71" t="str">
        <f>'[1]Verification of Boxes'!K11</f>
        <v>ULSTER UNIONIST PARTY</v>
      </c>
      <c r="E12" s="136">
        <f>'[1]Verification of Boxes'!L11</f>
        <v>1373</v>
      </c>
      <c r="F12" s="139">
        <f>'[1]Stage 2'!F12</f>
        <v>351.12000000000006</v>
      </c>
      <c r="G12" s="67">
        <f>'[1]Stage 2'!G12</f>
        <v>1724.1200000000001</v>
      </c>
      <c r="H12" s="139">
        <f>'[1]Stage 3'!H12</f>
        <v>-295.12000000000012</v>
      </c>
      <c r="I12" s="67">
        <f>'[1]Stage 3'!I12</f>
        <v>1429</v>
      </c>
      <c r="J12" s="139">
        <f>'[1]Stage 4'!J12</f>
        <v>0</v>
      </c>
      <c r="K12" s="67">
        <f>'[1]Stage 4'!K12</f>
        <v>1429</v>
      </c>
      <c r="L12" s="139">
        <f>'[1]Stage 5'!L12</f>
        <v>0</v>
      </c>
      <c r="M12" s="67">
        <f>'[1]Stage 5'!M12</f>
        <v>1429</v>
      </c>
      <c r="N12" s="139">
        <f>'[1]Stage 6'!N12</f>
        <v>0</v>
      </c>
      <c r="O12" s="68">
        <f>'[1]Stage 6'!O12</f>
        <v>1429</v>
      </c>
      <c r="P12" s="139">
        <f t="shared" si="12"/>
        <v>0</v>
      </c>
      <c r="Q12" s="69">
        <f t="shared" si="13"/>
        <v>1429</v>
      </c>
      <c r="AD12" s="74"/>
      <c r="AT12" s="2" t="s">
        <v>64</v>
      </c>
      <c r="AU12" s="10" t="s">
        <v>65</v>
      </c>
      <c r="AV12" s="10"/>
      <c r="AW12" s="63">
        <f>AA3</f>
        <v>2.6800000000000637</v>
      </c>
      <c r="AY12" s="32" t="str">
        <f>'[1]Verification of Boxes'!J17</f>
        <v>Ingram, Elizabeth</v>
      </c>
      <c r="AZ12" s="33"/>
      <c r="BA12" s="34">
        <f t="shared" si="0"/>
        <v>0</v>
      </c>
      <c r="BB12" s="35"/>
      <c r="BC12" s="33" t="str">
        <f t="shared" si="1"/>
        <v>Elected</v>
      </c>
      <c r="BD12" s="33">
        <f t="shared" si="2"/>
        <v>0</v>
      </c>
      <c r="BG12" s="10"/>
      <c r="BH12" s="33" t="str">
        <f t="shared" si="3"/>
        <v>Elected</v>
      </c>
      <c r="BI12" s="31">
        <f t="shared" si="4"/>
        <v>1137.2399999999998</v>
      </c>
      <c r="BJ12" s="43"/>
      <c r="BK12" s="5"/>
      <c r="BL12" s="52" t="str">
        <f>'[1]Verification of Boxes'!J14</f>
        <v>Greenfield, Paul</v>
      </c>
      <c r="BM12" s="33">
        <v>417</v>
      </c>
      <c r="BN12" s="33">
        <f t="shared" si="5"/>
        <v>417</v>
      </c>
      <c r="BO12" s="33"/>
      <c r="BP12" s="33">
        <f t="shared" si="6"/>
        <v>0</v>
      </c>
      <c r="BQ12" s="33"/>
      <c r="BR12" s="33">
        <f t="shared" si="7"/>
        <v>0</v>
      </c>
      <c r="BS12" s="33"/>
      <c r="BT12" s="33">
        <f t="shared" si="8"/>
        <v>0</v>
      </c>
      <c r="BU12" s="33"/>
      <c r="BV12" s="33">
        <f t="shared" si="9"/>
        <v>0</v>
      </c>
      <c r="BW12" s="33"/>
      <c r="BX12" s="33">
        <f t="shared" si="10"/>
        <v>0</v>
      </c>
      <c r="BY12" s="33">
        <f t="shared" si="11"/>
        <v>417</v>
      </c>
    </row>
    <row r="13" spans="1:77" ht="15" customHeight="1" thickBot="1" x14ac:dyDescent="0.3">
      <c r="A13" s="64" t="s">
        <v>55</v>
      </c>
      <c r="B13" s="72">
        <v>3</v>
      </c>
      <c r="C13" s="73" t="str">
        <f>'[1]Verification of Boxes'!J12</f>
        <v>Curran, Brendan Patrick</v>
      </c>
      <c r="D13" s="71" t="str">
        <f>'[1]Verification of Boxes'!K12</f>
        <v>SINN FÉIN</v>
      </c>
      <c r="E13" s="136">
        <f>'[1]Verification of Boxes'!L12</f>
        <v>862</v>
      </c>
      <c r="F13" s="139">
        <f>'[1]Stage 2'!F13</f>
        <v>0.56000000000000005</v>
      </c>
      <c r="G13" s="67">
        <f>'[1]Stage 2'!G13</f>
        <v>862.56</v>
      </c>
      <c r="H13" s="139">
        <f>'[1]Stage 3'!H13</f>
        <v>0</v>
      </c>
      <c r="I13" s="67">
        <f>'[1]Stage 3'!I13</f>
        <v>862.56</v>
      </c>
      <c r="J13" s="139">
        <f>'[1]Stage 4'!J13</f>
        <v>4</v>
      </c>
      <c r="K13" s="67">
        <f>'[1]Stage 4'!K13</f>
        <v>866.56</v>
      </c>
      <c r="L13" s="139">
        <f>'[1]Stage 5'!L13</f>
        <v>425</v>
      </c>
      <c r="M13" s="67">
        <f>'[1]Stage 5'!M13</f>
        <v>1291.56</v>
      </c>
      <c r="N13" s="139">
        <f>'[1]Stage 6'!N13</f>
        <v>42</v>
      </c>
      <c r="O13" s="68">
        <f>'[1]Stage 6'!O13</f>
        <v>1333.56</v>
      </c>
      <c r="P13" s="139">
        <f t="shared" si="12"/>
        <v>1</v>
      </c>
      <c r="Q13" s="69">
        <f t="shared" si="13"/>
        <v>1334.56</v>
      </c>
      <c r="T13" s="57" t="s">
        <v>57</v>
      </c>
      <c r="U13" s="75" t="s">
        <v>66</v>
      </c>
      <c r="V13" s="58"/>
      <c r="W13" s="58" t="s">
        <v>67</v>
      </c>
      <c r="X13" s="76"/>
      <c r="Y13" s="58" t="s">
        <v>68</v>
      </c>
      <c r="Z13" s="76" t="s">
        <v>69</v>
      </c>
      <c r="AA13" s="77"/>
      <c r="AC13" s="6"/>
      <c r="AD13" s="78"/>
      <c r="AE13" s="58"/>
      <c r="AF13" s="170" t="s">
        <v>70</v>
      </c>
      <c r="AG13" s="170" t="s">
        <v>67</v>
      </c>
      <c r="AH13" s="170" t="s">
        <v>71</v>
      </c>
      <c r="AI13" s="170" t="s">
        <v>72</v>
      </c>
      <c r="AJ13" s="172"/>
      <c r="AK13" s="170"/>
      <c r="AL13" s="79"/>
      <c r="AM13" s="5"/>
      <c r="AT13" s="2" t="s">
        <v>73</v>
      </c>
      <c r="AU13" s="10" t="s">
        <v>74</v>
      </c>
      <c r="AV13" s="10"/>
      <c r="AW13" s="80"/>
      <c r="AY13" s="32" t="str">
        <f>'[1]Verification of Boxes'!J18</f>
        <v>McCrum, Junior</v>
      </c>
      <c r="AZ13" s="33"/>
      <c r="BA13" s="34">
        <f t="shared" si="0"/>
        <v>0</v>
      </c>
      <c r="BB13" s="35"/>
      <c r="BC13" s="33" t="str">
        <f t="shared" si="1"/>
        <v>Elected</v>
      </c>
      <c r="BD13" s="33">
        <f t="shared" si="2"/>
        <v>0</v>
      </c>
      <c r="BG13" s="10"/>
      <c r="BH13" s="33" t="str">
        <f t="shared" si="3"/>
        <v>Excluded</v>
      </c>
      <c r="BI13" s="31">
        <f t="shared" si="4"/>
        <v>1003.56</v>
      </c>
      <c r="BJ13" s="43"/>
      <c r="BK13" s="5"/>
      <c r="BL13" s="52" t="str">
        <f>'[1]Verification of Boxes'!J15</f>
        <v>Hamilton, Marie</v>
      </c>
      <c r="BM13" s="81">
        <v>6</v>
      </c>
      <c r="BN13" s="33">
        <f t="shared" si="5"/>
        <v>6</v>
      </c>
      <c r="BO13" s="81">
        <v>9</v>
      </c>
      <c r="BP13" s="33">
        <f t="shared" si="6"/>
        <v>9</v>
      </c>
      <c r="BQ13" s="81">
        <v>35</v>
      </c>
      <c r="BR13" s="33">
        <f t="shared" si="7"/>
        <v>9.8000000000000007</v>
      </c>
      <c r="BS13" s="81"/>
      <c r="BT13" s="33">
        <f t="shared" si="8"/>
        <v>0</v>
      </c>
      <c r="BU13" s="81"/>
      <c r="BV13" s="33">
        <f t="shared" si="9"/>
        <v>0</v>
      </c>
      <c r="BW13" s="81"/>
      <c r="BX13" s="33">
        <f t="shared" si="10"/>
        <v>0</v>
      </c>
      <c r="BY13" s="81">
        <f t="shared" si="11"/>
        <v>24.8</v>
      </c>
    </row>
    <row r="14" spans="1:77" ht="15" customHeight="1" thickBot="1" x14ac:dyDescent="0.3">
      <c r="A14" s="71" t="s">
        <v>55</v>
      </c>
      <c r="B14" s="72">
        <v>4</v>
      </c>
      <c r="C14" s="73" t="str">
        <f>'[1]Verification of Boxes'!J13</f>
        <v>Doyle, Seamus</v>
      </c>
      <c r="D14" s="71" t="str">
        <f>'[1]Verification of Boxes'!K13</f>
        <v>SDLP</v>
      </c>
      <c r="E14" s="136">
        <f>'[1]Verification of Boxes'!L13</f>
        <v>975</v>
      </c>
      <c r="F14" s="139">
        <f>'[1]Stage 2'!F14</f>
        <v>1.9600000000000002</v>
      </c>
      <c r="G14" s="67">
        <f>'[1]Stage 2'!G14</f>
        <v>976.96</v>
      </c>
      <c r="H14" s="139">
        <f>'[1]Stage 3'!H14</f>
        <v>5.8800000000000008</v>
      </c>
      <c r="I14" s="67">
        <f>'[1]Stage 3'!I14</f>
        <v>982.84</v>
      </c>
      <c r="J14" s="139">
        <f>'[1]Stage 4'!J14</f>
        <v>41.12</v>
      </c>
      <c r="K14" s="67">
        <f>'[1]Stage 4'!K14</f>
        <v>1023.96</v>
      </c>
      <c r="L14" s="139">
        <f>'[1]Stage 5'!L14</f>
        <v>56</v>
      </c>
      <c r="M14" s="67">
        <f>'[1]Stage 5'!M14</f>
        <v>1079.96</v>
      </c>
      <c r="N14" s="139">
        <f>'[1]Stage 6'!N14</f>
        <v>179.92</v>
      </c>
      <c r="O14" s="68">
        <f>'[1]Stage 6'!O14</f>
        <v>1259.8800000000001</v>
      </c>
      <c r="P14" s="139">
        <f t="shared" si="12"/>
        <v>15.8</v>
      </c>
      <c r="Q14" s="69">
        <f t="shared" si="13"/>
        <v>1275.68</v>
      </c>
      <c r="T14" s="82" t="str">
        <f>'[1]Verification of Boxes'!J10</f>
        <v>Barr, Glenn</v>
      </c>
      <c r="U14" s="83">
        <f t="shared" ref="U14:U32" si="14">O11</f>
        <v>1429</v>
      </c>
      <c r="V14" s="84"/>
      <c r="W14" s="85">
        <f t="shared" ref="W14:W32" si="15">IF(U14&gt;0,U14-AA$4,0)</f>
        <v>0</v>
      </c>
      <c r="X14" s="86"/>
      <c r="Y14" s="84" t="str">
        <f>IF(T14=0,0,IF(U14&gt;=AA$4,"elected",IF(U14=0,"excluded","continuing")))</f>
        <v>elected</v>
      </c>
      <c r="Z14" s="84">
        <f t="shared" ref="Z14:Z32" si="16">IF(Y14="elected",W14,0)</f>
        <v>0</v>
      </c>
      <c r="AA14" s="87">
        <f t="shared" ref="AA14:AA32" si="17">IF(Z14=0,0,(IF(W14&gt;=0,"transfer largest surplus","progress to exclude")))</f>
        <v>0</v>
      </c>
      <c r="AD14" s="88"/>
      <c r="AE14" s="5"/>
      <c r="AF14" s="145"/>
      <c r="AG14" s="145"/>
      <c r="AH14" s="145"/>
      <c r="AI14" s="145"/>
      <c r="AJ14" s="173"/>
      <c r="AK14" s="145"/>
      <c r="AL14" s="89"/>
      <c r="AM14" s="5"/>
      <c r="AT14" s="2" t="s">
        <v>75</v>
      </c>
      <c r="AU14" s="10" t="s">
        <v>76</v>
      </c>
      <c r="AV14" s="10"/>
      <c r="AW14" s="63"/>
      <c r="AY14" s="32" t="str">
        <f>'[1]Verification of Boxes'!J19</f>
        <v>McQuaid, Sheila Mary</v>
      </c>
      <c r="AZ14" s="33"/>
      <c r="BA14" s="34">
        <f t="shared" si="0"/>
        <v>0</v>
      </c>
      <c r="BB14" s="35"/>
      <c r="BC14" s="33" t="str">
        <f t="shared" si="1"/>
        <v>Excluded</v>
      </c>
      <c r="BD14" s="33" t="str">
        <f t="shared" si="2"/>
        <v>Excluded</v>
      </c>
      <c r="BG14" s="10"/>
      <c r="BH14" s="33" t="str">
        <f t="shared" si="3"/>
        <v>Excluded</v>
      </c>
      <c r="BI14" s="31">
        <f t="shared" si="4"/>
        <v>0</v>
      </c>
      <c r="BJ14" s="43"/>
      <c r="BL14" s="52" t="str">
        <f>'[1]Verification of Boxes'!J16</f>
        <v>Hutchinson, Emma</v>
      </c>
      <c r="BM14" s="33"/>
      <c r="BN14" s="33">
        <f t="shared" si="5"/>
        <v>0</v>
      </c>
      <c r="BO14" s="33"/>
      <c r="BP14" s="33">
        <f t="shared" si="6"/>
        <v>0</v>
      </c>
      <c r="BQ14" s="33"/>
      <c r="BR14" s="33">
        <f t="shared" si="7"/>
        <v>0</v>
      </c>
      <c r="BS14" s="33"/>
      <c r="BT14" s="33">
        <f t="shared" si="8"/>
        <v>0</v>
      </c>
      <c r="BU14" s="33"/>
      <c r="BV14" s="33">
        <f t="shared" si="9"/>
        <v>0</v>
      </c>
      <c r="BW14" s="33"/>
      <c r="BX14" s="33">
        <f t="shared" si="10"/>
        <v>0</v>
      </c>
      <c r="BY14" s="33">
        <f t="shared" si="11"/>
        <v>0</v>
      </c>
    </row>
    <row r="15" spans="1:77" ht="15" customHeight="1" thickBot="1" x14ac:dyDescent="0.3">
      <c r="A15" s="71" t="str">
        <f>IF('[1]Stage 6'!A15&lt;&gt;0,'[1]Stage 6'!A15,IF(Q15&gt;=$M$3,"Elected",IF(BJ12&lt;&gt;0,"Excluded",0)))</f>
        <v>Elected</v>
      </c>
      <c r="B15" s="72">
        <v>5</v>
      </c>
      <c r="C15" s="73" t="str">
        <f>'[1]Verification of Boxes'!J14</f>
        <v>Greenfield, Paul</v>
      </c>
      <c r="D15" s="71" t="str">
        <f>'[1]Verification of Boxes'!K14</f>
        <v>DUP</v>
      </c>
      <c r="E15" s="136">
        <f>'[1]Verification of Boxes'!L14</f>
        <v>966</v>
      </c>
      <c r="F15" s="139">
        <f>'[1]Stage 2'!F15</f>
        <v>20.440000000000001</v>
      </c>
      <c r="G15" s="67">
        <f>'[1]Stage 2'!G15</f>
        <v>986.44</v>
      </c>
      <c r="H15" s="139">
        <f>'[1]Stage 3'!H15</f>
        <v>103.60000000000001</v>
      </c>
      <c r="I15" s="67">
        <f>'[1]Stage 3'!I15</f>
        <v>1090.04</v>
      </c>
      <c r="J15" s="139">
        <f>'[1]Stage 4'!J15</f>
        <v>24.08</v>
      </c>
      <c r="K15" s="67">
        <f>'[1]Stage 4'!K15</f>
        <v>1114.1199999999999</v>
      </c>
      <c r="L15" s="139">
        <f>'[1]Stage 5'!L15</f>
        <v>0</v>
      </c>
      <c r="M15" s="67">
        <f>'[1]Stage 5'!M15</f>
        <v>1114.1199999999999</v>
      </c>
      <c r="N15" s="139">
        <f>'[1]Stage 6'!N15</f>
        <v>23.12</v>
      </c>
      <c r="O15" s="68">
        <f>'[1]Stage 6'!O15</f>
        <v>1137.2399999999998</v>
      </c>
      <c r="P15" s="139">
        <f t="shared" si="12"/>
        <v>417</v>
      </c>
      <c r="Q15" s="69">
        <f t="shared" si="13"/>
        <v>1554.2399999999998</v>
      </c>
      <c r="T15" s="90" t="str">
        <f>'[1]Verification of Boxes'!J11</f>
        <v>Burns, Ian</v>
      </c>
      <c r="U15" s="91">
        <f t="shared" si="14"/>
        <v>1429</v>
      </c>
      <c r="V15" s="33"/>
      <c r="W15" s="34">
        <f t="shared" si="15"/>
        <v>0</v>
      </c>
      <c r="X15" s="35"/>
      <c r="Y15" s="33" t="str">
        <f t="shared" ref="Y15:Y32" si="18">IF(T15=0,0,IF(U15&gt;=AA$4,"elected",IF(U15=0,"excluded","continuing")))</f>
        <v>elected</v>
      </c>
      <c r="Z15" s="33">
        <f t="shared" si="16"/>
        <v>0</v>
      </c>
      <c r="AA15" s="92">
        <f t="shared" si="17"/>
        <v>0</v>
      </c>
      <c r="AD15" s="88"/>
      <c r="AE15" s="5"/>
      <c r="AF15" s="145"/>
      <c r="AG15" s="145"/>
      <c r="AH15" s="145"/>
      <c r="AI15" s="145"/>
      <c r="AJ15" s="173"/>
      <c r="AK15" s="145"/>
      <c r="AL15" s="89"/>
      <c r="AM15" s="5"/>
      <c r="AU15" s="10"/>
      <c r="AV15" s="10"/>
      <c r="AW15" s="93"/>
      <c r="AY15" s="32" t="str">
        <f>'[1]Verification of Boxes'!J20</f>
        <v>Savage, Kevin Jude</v>
      </c>
      <c r="AZ15" s="33"/>
      <c r="BA15" s="34">
        <f t="shared" si="0"/>
        <v>0</v>
      </c>
      <c r="BB15" s="35"/>
      <c r="BC15" s="33" t="str">
        <f t="shared" si="1"/>
        <v>Excluded</v>
      </c>
      <c r="BD15" s="33" t="str">
        <f t="shared" si="2"/>
        <v>Excluded</v>
      </c>
      <c r="BG15" s="10"/>
      <c r="BH15" s="33" t="str">
        <f t="shared" si="3"/>
        <v>Elected</v>
      </c>
      <c r="BI15" s="31" t="str">
        <f t="shared" si="4"/>
        <v>Elected</v>
      </c>
      <c r="BJ15" s="43"/>
      <c r="BK15" s="5"/>
      <c r="BL15" s="52" t="str">
        <f>'[1]Verification of Boxes'!J17</f>
        <v>Ingram, Elizabeth</v>
      </c>
      <c r="BM15" s="33"/>
      <c r="BN15" s="33">
        <f t="shared" si="5"/>
        <v>0</v>
      </c>
      <c r="BO15" s="33"/>
      <c r="BP15" s="33">
        <f t="shared" si="6"/>
        <v>0</v>
      </c>
      <c r="BQ15" s="33"/>
      <c r="BR15" s="33">
        <f t="shared" si="7"/>
        <v>0</v>
      </c>
      <c r="BS15" s="33"/>
      <c r="BT15" s="33">
        <f t="shared" si="8"/>
        <v>0</v>
      </c>
      <c r="BU15" s="33"/>
      <c r="BV15" s="33">
        <f t="shared" si="9"/>
        <v>0</v>
      </c>
      <c r="BW15" s="33"/>
      <c r="BX15" s="33">
        <f t="shared" si="10"/>
        <v>0</v>
      </c>
      <c r="BY15" s="33">
        <f t="shared" si="11"/>
        <v>0</v>
      </c>
    </row>
    <row r="16" spans="1:77" ht="15" customHeight="1" thickBot="1" x14ac:dyDescent="0.3">
      <c r="A16" s="71" t="s">
        <v>120</v>
      </c>
      <c r="B16" s="72">
        <v>6</v>
      </c>
      <c r="C16" s="73" t="str">
        <f>'[1]Verification of Boxes'!J15</f>
        <v>Hamilton, Marie</v>
      </c>
      <c r="D16" s="71" t="str">
        <f>'[1]Verification of Boxes'!K15</f>
        <v>SDLP</v>
      </c>
      <c r="E16" s="136">
        <f>'[1]Verification of Boxes'!L15</f>
        <v>680</v>
      </c>
      <c r="F16" s="139">
        <f>'[1]Stage 2'!F16</f>
        <v>2.8000000000000003</v>
      </c>
      <c r="G16" s="67">
        <f>'[1]Stage 2'!G16</f>
        <v>682.8</v>
      </c>
      <c r="H16" s="139">
        <f>'[1]Stage 3'!H16</f>
        <v>2.2400000000000002</v>
      </c>
      <c r="I16" s="67">
        <f>'[1]Stage 3'!I16</f>
        <v>685.04</v>
      </c>
      <c r="J16" s="139">
        <f>'[1]Stage 4'!J16</f>
        <v>35.56</v>
      </c>
      <c r="K16" s="67">
        <f>'[1]Stage 4'!K16</f>
        <v>720.59999999999991</v>
      </c>
      <c r="L16" s="139">
        <f>'[1]Stage 5'!L16</f>
        <v>51</v>
      </c>
      <c r="M16" s="67">
        <f>'[1]Stage 5'!M16</f>
        <v>771.59999999999991</v>
      </c>
      <c r="N16" s="139">
        <f>'[1]Stage 6'!N16</f>
        <v>231.96</v>
      </c>
      <c r="O16" s="68">
        <f>'[1]Stage 6'!O16</f>
        <v>1003.56</v>
      </c>
      <c r="P16" s="139">
        <f t="shared" si="12"/>
        <v>24.8</v>
      </c>
      <c r="Q16" s="69">
        <f t="shared" si="13"/>
        <v>1028.3599999999999</v>
      </c>
      <c r="T16" s="90" t="str">
        <f>'[1]Verification of Boxes'!J12</f>
        <v>Curran, Brendan Patrick</v>
      </c>
      <c r="U16" s="91">
        <f t="shared" si="14"/>
        <v>1333.56</v>
      </c>
      <c r="V16" s="33"/>
      <c r="W16" s="34">
        <f t="shared" si="15"/>
        <v>-95.440000000000055</v>
      </c>
      <c r="X16" s="35"/>
      <c r="Y16" s="33" t="str">
        <f t="shared" si="18"/>
        <v>continuing</v>
      </c>
      <c r="Z16" s="33">
        <f t="shared" si="16"/>
        <v>0</v>
      </c>
      <c r="AA16" s="92">
        <f t="shared" si="17"/>
        <v>0</v>
      </c>
      <c r="AD16" s="88"/>
      <c r="AE16" s="5"/>
      <c r="AF16" s="145"/>
      <c r="AG16" s="145"/>
      <c r="AH16" s="145"/>
      <c r="AI16" s="145"/>
      <c r="AJ16" s="173"/>
      <c r="AK16" s="145"/>
      <c r="AL16" s="89"/>
      <c r="AM16" s="5"/>
      <c r="AT16" s="2" t="s">
        <v>77</v>
      </c>
      <c r="AU16" s="10"/>
      <c r="AV16" s="10"/>
      <c r="AW16" s="94"/>
      <c r="AY16" s="32" t="str">
        <f>'[1]Verification of Boxes'!J21</f>
        <v>Wilson, Ian McMaster</v>
      </c>
      <c r="AZ16" s="33"/>
      <c r="BA16" s="34">
        <f t="shared" si="0"/>
        <v>0</v>
      </c>
      <c r="BB16" s="35"/>
      <c r="BC16" s="33" t="str">
        <f t="shared" si="1"/>
        <v>Excluded</v>
      </c>
      <c r="BD16" s="33">
        <f t="shared" si="2"/>
        <v>0</v>
      </c>
      <c r="BG16" s="10"/>
      <c r="BH16" s="33" t="str">
        <f t="shared" si="3"/>
        <v>Elected</v>
      </c>
      <c r="BI16" s="31">
        <f t="shared" si="4"/>
        <v>1217.3200000000002</v>
      </c>
      <c r="BJ16" s="43"/>
      <c r="BK16" s="5"/>
      <c r="BL16" s="52" t="str">
        <f>'[1]Verification of Boxes'!J18</f>
        <v>McCrum, Junior</v>
      </c>
      <c r="BM16" s="33">
        <v>275</v>
      </c>
      <c r="BN16" s="33">
        <f t="shared" si="5"/>
        <v>275</v>
      </c>
      <c r="BO16" s="33"/>
      <c r="BP16" s="33">
        <f t="shared" si="6"/>
        <v>0</v>
      </c>
      <c r="BQ16" s="33"/>
      <c r="BR16" s="33">
        <f t="shared" si="7"/>
        <v>0</v>
      </c>
      <c r="BS16" s="33"/>
      <c r="BT16" s="33">
        <f t="shared" si="8"/>
        <v>0</v>
      </c>
      <c r="BU16" s="33"/>
      <c r="BV16" s="33">
        <f t="shared" si="9"/>
        <v>0</v>
      </c>
      <c r="BW16" s="33"/>
      <c r="BX16" s="33">
        <f t="shared" si="10"/>
        <v>0</v>
      </c>
      <c r="BY16" s="33">
        <f t="shared" si="11"/>
        <v>275</v>
      </c>
    </row>
    <row r="17" spans="1:77" ht="15" customHeight="1" thickBot="1" x14ac:dyDescent="0.3">
      <c r="A17" s="71" t="str">
        <f>IF('[1]Stage 6'!A17&lt;&gt;0,'[1]Stage 6'!A17,IF(Q17&gt;=$M$3,"Elected",IF(BJ14&lt;&gt;0,"Excluded",0)))</f>
        <v>Excluded</v>
      </c>
      <c r="B17" s="72">
        <v>7</v>
      </c>
      <c r="C17" s="73" t="str">
        <f>'[1]Verification of Boxes'!J16</f>
        <v>Hutchinson, Emma</v>
      </c>
      <c r="D17" s="71" t="str">
        <f>'[1]Verification of Boxes'!K16</f>
        <v>NI21</v>
      </c>
      <c r="E17" s="136">
        <f>'[1]Verification of Boxes'!L16</f>
        <v>371</v>
      </c>
      <c r="F17" s="139">
        <f>'[1]Stage 2'!F17</f>
        <v>3.9200000000000004</v>
      </c>
      <c r="G17" s="67">
        <f>'[1]Stage 2'!G17</f>
        <v>374.92</v>
      </c>
      <c r="H17" s="139">
        <f>'[1]Stage 3'!H17</f>
        <v>14.560000000000002</v>
      </c>
      <c r="I17" s="67">
        <f>'[1]Stage 3'!I17</f>
        <v>389.48</v>
      </c>
      <c r="J17" s="139">
        <f>'[1]Stage 4'!J17</f>
        <v>-389.48</v>
      </c>
      <c r="K17" s="67">
        <f>'[1]Stage 4'!K17</f>
        <v>0</v>
      </c>
      <c r="L17" s="139">
        <f>'[1]Stage 5'!L17</f>
        <v>0</v>
      </c>
      <c r="M17" s="67">
        <f>'[1]Stage 5'!M17</f>
        <v>0</v>
      </c>
      <c r="N17" s="139">
        <f>'[1]Stage 6'!N17</f>
        <v>0</v>
      </c>
      <c r="O17" s="68">
        <f>'[1]Stage 6'!O17</f>
        <v>0</v>
      </c>
      <c r="P17" s="139">
        <f t="shared" si="12"/>
        <v>0</v>
      </c>
      <c r="Q17" s="69">
        <f t="shared" si="13"/>
        <v>0</v>
      </c>
      <c r="T17" s="90" t="str">
        <f>'[1]Verification of Boxes'!J13</f>
        <v>Doyle, Seamus</v>
      </c>
      <c r="U17" s="91">
        <f t="shared" si="14"/>
        <v>1259.8800000000001</v>
      </c>
      <c r="V17" s="33"/>
      <c r="W17" s="34">
        <f t="shared" si="15"/>
        <v>-169.11999999999989</v>
      </c>
      <c r="X17" s="35"/>
      <c r="Y17" s="33" t="str">
        <f t="shared" si="18"/>
        <v>continuing</v>
      </c>
      <c r="Z17" s="33">
        <f t="shared" si="16"/>
        <v>0</v>
      </c>
      <c r="AA17" s="92">
        <f t="shared" si="17"/>
        <v>0</v>
      </c>
      <c r="AD17" s="88"/>
      <c r="AE17" s="5"/>
      <c r="AF17" s="145"/>
      <c r="AG17" s="145"/>
      <c r="AH17" s="145"/>
      <c r="AI17" s="145"/>
      <c r="AJ17" s="173"/>
      <c r="AK17" s="145"/>
      <c r="AL17" s="89"/>
      <c r="AM17" s="5"/>
      <c r="AU17" s="10"/>
      <c r="AV17" s="10"/>
      <c r="AW17" s="94"/>
      <c r="AY17" s="32">
        <f>'[1]Verification of Boxes'!J22</f>
        <v>0</v>
      </c>
      <c r="AZ17" s="33"/>
      <c r="BA17" s="34">
        <f t="shared" si="0"/>
        <v>0</v>
      </c>
      <c r="BB17" s="35"/>
      <c r="BC17" s="33">
        <f t="shared" si="1"/>
        <v>0</v>
      </c>
      <c r="BD17" s="33">
        <f t="shared" si="2"/>
        <v>0</v>
      </c>
      <c r="BG17" s="10"/>
      <c r="BH17" s="33" t="str">
        <f t="shared" si="3"/>
        <v>Excluded</v>
      </c>
      <c r="BI17" s="31">
        <f t="shared" si="4"/>
        <v>0</v>
      </c>
      <c r="BJ17" s="43"/>
      <c r="BK17" s="5"/>
      <c r="BL17" s="52" t="str">
        <f>'[1]Verification of Boxes'!J19</f>
        <v>McQuaid, Sheila Mary</v>
      </c>
      <c r="BM17" s="33"/>
      <c r="BN17" s="33">
        <f t="shared" si="5"/>
        <v>0</v>
      </c>
      <c r="BO17" s="33"/>
      <c r="BP17" s="33">
        <f t="shared" si="6"/>
        <v>0</v>
      </c>
      <c r="BQ17" s="33"/>
      <c r="BR17" s="33">
        <f t="shared" si="7"/>
        <v>0</v>
      </c>
      <c r="BS17" s="33"/>
      <c r="BT17" s="33">
        <f t="shared" si="8"/>
        <v>0</v>
      </c>
      <c r="BU17" s="33"/>
      <c r="BV17" s="33">
        <f t="shared" si="9"/>
        <v>0</v>
      </c>
      <c r="BW17" s="33"/>
      <c r="BX17" s="33">
        <f t="shared" si="10"/>
        <v>0</v>
      </c>
      <c r="BY17" s="33">
        <f t="shared" si="11"/>
        <v>0</v>
      </c>
    </row>
    <row r="18" spans="1:77" ht="15" customHeight="1" thickBot="1" x14ac:dyDescent="0.3">
      <c r="A18" s="71" t="str">
        <f>IF('[1]Stage 6'!A18&lt;&gt;0,'[1]Stage 6'!A18,IF(Q18&gt;=$M$3,"Elected",IF(BJ15&lt;&gt;0,"Excluded",0)))</f>
        <v>Elected</v>
      </c>
      <c r="B18" s="72">
        <v>8</v>
      </c>
      <c r="C18" s="73" t="str">
        <f>'[1]Verification of Boxes'!J17</f>
        <v>Ingram, Elizabeth</v>
      </c>
      <c r="D18" s="71" t="str">
        <f>'[1]Verification of Boxes'!K17</f>
        <v>ULSTER UNIONIST PARTY</v>
      </c>
      <c r="E18" s="136">
        <f>'[1]Verification of Boxes'!L17</f>
        <v>1318</v>
      </c>
      <c r="F18" s="139">
        <f>'[1]Stage 2'!F18</f>
        <v>113.68</v>
      </c>
      <c r="G18" s="67">
        <f>'[1]Stage 2'!G18</f>
        <v>1431.68</v>
      </c>
      <c r="H18" s="139">
        <f>'[1]Stage 3'!H18</f>
        <v>0</v>
      </c>
      <c r="I18" s="67">
        <f>'[1]Stage 3'!I18</f>
        <v>1431.68</v>
      </c>
      <c r="J18" s="139">
        <f>'[1]Stage 4'!J18</f>
        <v>0</v>
      </c>
      <c r="K18" s="67">
        <f>'[1]Stage 4'!K18</f>
        <v>1431.68</v>
      </c>
      <c r="L18" s="139">
        <f>'[1]Stage 5'!L18</f>
        <v>0</v>
      </c>
      <c r="M18" s="67">
        <f>'[1]Stage 5'!M18</f>
        <v>1431.68</v>
      </c>
      <c r="N18" s="139">
        <f>'[1]Stage 6'!N18</f>
        <v>0</v>
      </c>
      <c r="O18" s="68">
        <f>'[1]Stage 6'!O18</f>
        <v>1431.68</v>
      </c>
      <c r="P18" s="139">
        <f t="shared" si="12"/>
        <v>0</v>
      </c>
      <c r="Q18" s="69">
        <f t="shared" si="13"/>
        <v>1431.68</v>
      </c>
      <c r="T18" s="90" t="str">
        <f>'[1]Verification of Boxes'!J14</f>
        <v>Greenfield, Paul</v>
      </c>
      <c r="U18" s="91">
        <f t="shared" si="14"/>
        <v>1137.2399999999998</v>
      </c>
      <c r="V18" s="33"/>
      <c r="W18" s="34">
        <f t="shared" si="15"/>
        <v>-291.76000000000022</v>
      </c>
      <c r="X18" s="35"/>
      <c r="Y18" s="33" t="str">
        <f t="shared" si="18"/>
        <v>continuing</v>
      </c>
      <c r="Z18" s="33">
        <f t="shared" si="16"/>
        <v>0</v>
      </c>
      <c r="AA18" s="92">
        <f t="shared" si="17"/>
        <v>0</v>
      </c>
      <c r="AD18" s="88"/>
      <c r="AE18" s="5"/>
      <c r="AF18" s="5"/>
      <c r="AG18" s="5"/>
      <c r="AH18" s="145"/>
      <c r="AI18" s="5"/>
      <c r="AJ18" s="5"/>
      <c r="AK18" s="5"/>
      <c r="AL18" s="89"/>
      <c r="AM18" s="5"/>
      <c r="AT18" s="2" t="s">
        <v>78</v>
      </c>
      <c r="AU18" s="10" t="s">
        <v>79</v>
      </c>
      <c r="AV18" s="10"/>
      <c r="AW18" s="63">
        <f>AZ25</f>
        <v>0</v>
      </c>
      <c r="AY18" s="32">
        <f>'[1]Verification of Boxes'!J23</f>
        <v>0</v>
      </c>
      <c r="AZ18" s="33"/>
      <c r="BA18" s="34">
        <f t="shared" si="0"/>
        <v>0</v>
      </c>
      <c r="BB18" s="35"/>
      <c r="BC18" s="33">
        <f t="shared" si="1"/>
        <v>0</v>
      </c>
      <c r="BD18" s="33">
        <f t="shared" si="2"/>
        <v>0</v>
      </c>
      <c r="BG18" s="10"/>
      <c r="BH18" s="33" t="str">
        <f t="shared" si="3"/>
        <v>Excluded</v>
      </c>
      <c r="BI18" s="31">
        <f t="shared" si="4"/>
        <v>0</v>
      </c>
      <c r="BJ18" s="43"/>
      <c r="BK18" s="5"/>
      <c r="BL18" s="52" t="str">
        <f>'[1]Verification of Boxes'!J20</f>
        <v>Savage, Kevin Jude</v>
      </c>
      <c r="BM18" s="33"/>
      <c r="BN18" s="33">
        <f t="shared" si="5"/>
        <v>0</v>
      </c>
      <c r="BO18" s="33"/>
      <c r="BP18" s="33">
        <f t="shared" si="6"/>
        <v>0</v>
      </c>
      <c r="BQ18" s="33"/>
      <c r="BR18" s="33">
        <f t="shared" si="7"/>
        <v>0</v>
      </c>
      <c r="BS18" s="33"/>
      <c r="BT18" s="33">
        <f t="shared" si="8"/>
        <v>0</v>
      </c>
      <c r="BU18" s="33"/>
      <c r="BV18" s="33">
        <f t="shared" si="9"/>
        <v>0</v>
      </c>
      <c r="BW18" s="33"/>
      <c r="BX18" s="33">
        <f t="shared" si="10"/>
        <v>0</v>
      </c>
      <c r="BY18" s="33">
        <f t="shared" si="11"/>
        <v>0</v>
      </c>
    </row>
    <row r="19" spans="1:77" ht="15" customHeight="1" thickBot="1" x14ac:dyDescent="0.3">
      <c r="A19" s="71" t="str">
        <f>IF('[1]Stage 6'!A19&lt;&gt;0,'[1]Stage 6'!A19,IF(Q19&gt;=$M$3,"Elected",IF(BJ16&lt;&gt;0,"Excluded",0)))</f>
        <v>Elected</v>
      </c>
      <c r="B19" s="72">
        <v>9</v>
      </c>
      <c r="C19" s="73" t="str">
        <f>'[1]Verification of Boxes'!J18</f>
        <v>McCrum, Junior</v>
      </c>
      <c r="D19" s="71" t="str">
        <f>'[1]Verification of Boxes'!K18</f>
        <v>DUP</v>
      </c>
      <c r="E19" s="136">
        <f>'[1]Verification of Boxes'!L18</f>
        <v>1030</v>
      </c>
      <c r="F19" s="139">
        <f>'[1]Stage 2'!F19</f>
        <v>29.680000000000003</v>
      </c>
      <c r="G19" s="67">
        <f>'[1]Stage 2'!G19</f>
        <v>1059.68</v>
      </c>
      <c r="H19" s="139">
        <f>'[1]Stage 3'!H19</f>
        <v>98.000000000000014</v>
      </c>
      <c r="I19" s="67">
        <f>'[1]Stage 3'!I19</f>
        <v>1157.68</v>
      </c>
      <c r="J19" s="139">
        <f>'[1]Stage 4'!J19</f>
        <v>23.240000000000002</v>
      </c>
      <c r="K19" s="67">
        <f>'[1]Stage 4'!K19</f>
        <v>1180.92</v>
      </c>
      <c r="L19" s="139">
        <f>'[1]Stage 5'!L19</f>
        <v>0</v>
      </c>
      <c r="M19" s="67">
        <f>'[1]Stage 5'!M19</f>
        <v>1180.92</v>
      </c>
      <c r="N19" s="139">
        <f>'[1]Stage 6'!N19</f>
        <v>36.4</v>
      </c>
      <c r="O19" s="68">
        <f>'[1]Stage 6'!O19</f>
        <v>1217.3200000000002</v>
      </c>
      <c r="P19" s="139">
        <f t="shared" si="12"/>
        <v>275</v>
      </c>
      <c r="Q19" s="69">
        <f t="shared" si="13"/>
        <v>1492.3200000000002</v>
      </c>
      <c r="T19" s="90" t="str">
        <f>'[1]Verification of Boxes'!J15</f>
        <v>Hamilton, Marie</v>
      </c>
      <c r="U19" s="91">
        <f t="shared" si="14"/>
        <v>1003.56</v>
      </c>
      <c r="V19" s="33"/>
      <c r="W19" s="34">
        <f t="shared" si="15"/>
        <v>-425.44000000000005</v>
      </c>
      <c r="X19" s="35"/>
      <c r="Y19" s="33" t="str">
        <f t="shared" si="18"/>
        <v>continuing</v>
      </c>
      <c r="Z19" s="33">
        <f t="shared" si="16"/>
        <v>0</v>
      </c>
      <c r="AA19" s="92">
        <f t="shared" si="17"/>
        <v>0</v>
      </c>
      <c r="AD19" s="95"/>
      <c r="AE19" s="96"/>
      <c r="AF19" s="96"/>
      <c r="AG19" s="96"/>
      <c r="AH19" s="171"/>
      <c r="AI19" s="96"/>
      <c r="AJ19" s="96"/>
      <c r="AK19" s="96"/>
      <c r="AL19" s="97"/>
      <c r="AM19" s="5"/>
      <c r="AT19" s="2" t="s">
        <v>80</v>
      </c>
      <c r="AU19" s="10" t="s">
        <v>81</v>
      </c>
      <c r="AV19" s="10"/>
      <c r="AW19" s="63">
        <f>AW18*AW14</f>
        <v>0</v>
      </c>
      <c r="AY19" s="32">
        <f>'[1]Verification of Boxes'!J24</f>
        <v>0</v>
      </c>
      <c r="AZ19" s="33"/>
      <c r="BA19" s="34">
        <f t="shared" si="0"/>
        <v>0</v>
      </c>
      <c r="BB19" s="35"/>
      <c r="BC19" s="33">
        <f t="shared" si="1"/>
        <v>0</v>
      </c>
      <c r="BD19" s="33">
        <f t="shared" si="2"/>
        <v>0</v>
      </c>
      <c r="BG19" s="10"/>
      <c r="BH19" s="33" t="str">
        <f t="shared" si="3"/>
        <v>Excluded</v>
      </c>
      <c r="BI19" s="31">
        <f t="shared" ref="BI19:BI24" si="19">IF(U25&gt;=$M$3,"Elected",U25)</f>
        <v>868.04000000000008</v>
      </c>
      <c r="BJ19" s="43" t="s">
        <v>82</v>
      </c>
      <c r="BK19" s="5"/>
      <c r="BL19" s="52" t="str">
        <f>'[1]Verification of Boxes'!J21</f>
        <v>Wilson, Ian McMaster</v>
      </c>
      <c r="BM19" s="33"/>
      <c r="BN19" s="33">
        <f t="shared" si="5"/>
        <v>0</v>
      </c>
      <c r="BO19" s="33"/>
      <c r="BP19" s="33">
        <f t="shared" si="6"/>
        <v>0</v>
      </c>
      <c r="BQ19" s="33"/>
      <c r="BR19" s="33">
        <f t="shared" si="7"/>
        <v>0</v>
      </c>
      <c r="BS19" s="33"/>
      <c r="BT19" s="33">
        <f t="shared" si="8"/>
        <v>0</v>
      </c>
      <c r="BU19" s="33"/>
      <c r="BV19" s="33">
        <f t="shared" si="9"/>
        <v>0</v>
      </c>
      <c r="BW19" s="33"/>
      <c r="BX19" s="33">
        <f t="shared" si="10"/>
        <v>0</v>
      </c>
      <c r="BY19" s="33">
        <f t="shared" si="11"/>
        <v>0</v>
      </c>
    </row>
    <row r="20" spans="1:77" ht="15" customHeight="1" thickBot="1" x14ac:dyDescent="0.3">
      <c r="A20" s="71" t="str">
        <f>IF('[1]Stage 6'!A20&lt;&gt;0,'[1]Stage 6'!A20,IF(Q20&gt;=$M$3,"Elected",IF(BJ17&lt;&gt;0,"Excluded",0)))</f>
        <v>Excluded</v>
      </c>
      <c r="B20" s="72">
        <v>10</v>
      </c>
      <c r="C20" s="73" t="str">
        <f>'[1]Verification of Boxes'!J19</f>
        <v>McQuaid, Sheila Mary</v>
      </c>
      <c r="D20" s="71" t="str">
        <f>'[1]Verification of Boxes'!K19</f>
        <v>ALLIANCE PARTY</v>
      </c>
      <c r="E20" s="136">
        <f>'[1]Verification of Boxes'!L19</f>
        <v>579</v>
      </c>
      <c r="F20" s="139">
        <f>'[1]Stage 2'!F20</f>
        <v>3.9200000000000004</v>
      </c>
      <c r="G20" s="67">
        <f>'[1]Stage 2'!G20</f>
        <v>582.91999999999996</v>
      </c>
      <c r="H20" s="139">
        <f>'[1]Stage 3'!H20</f>
        <v>9.8000000000000007</v>
      </c>
      <c r="I20" s="67">
        <f>'[1]Stage 3'!I20</f>
        <v>592.71999999999991</v>
      </c>
      <c r="J20" s="139">
        <f>'[1]Stage 4'!J20</f>
        <v>147.80000000000001</v>
      </c>
      <c r="K20" s="67">
        <f>'[1]Stage 4'!K20</f>
        <v>740.52</v>
      </c>
      <c r="L20" s="139">
        <f>'[1]Stage 5'!L20</f>
        <v>13</v>
      </c>
      <c r="M20" s="67">
        <f>'[1]Stage 5'!M20</f>
        <v>753.52</v>
      </c>
      <c r="N20" s="139">
        <f>'[1]Stage 6'!N20</f>
        <v>-753.52</v>
      </c>
      <c r="O20" s="68">
        <f>'[1]Stage 6'!O20</f>
        <v>0</v>
      </c>
      <c r="P20" s="139">
        <f t="shared" si="12"/>
        <v>0</v>
      </c>
      <c r="Q20" s="69">
        <f t="shared" si="13"/>
        <v>0</v>
      </c>
      <c r="T20" s="90" t="str">
        <f>'[1]Verification of Boxes'!J16</f>
        <v>Hutchinson, Emma</v>
      </c>
      <c r="U20" s="91">
        <f t="shared" si="14"/>
        <v>0</v>
      </c>
      <c r="V20" s="33"/>
      <c r="W20" s="34">
        <f t="shared" si="15"/>
        <v>0</v>
      </c>
      <c r="X20" s="35"/>
      <c r="Y20" s="33" t="str">
        <f t="shared" si="18"/>
        <v>excluded</v>
      </c>
      <c r="Z20" s="33">
        <f t="shared" si="16"/>
        <v>0</v>
      </c>
      <c r="AA20" s="92">
        <f t="shared" si="17"/>
        <v>0</v>
      </c>
      <c r="AD20" s="164" t="s">
        <v>83</v>
      </c>
      <c r="AE20" s="165"/>
      <c r="AF20" s="98" t="e">
        <f>AF44</f>
        <v>#REF!</v>
      </c>
      <c r="AG20" s="48"/>
      <c r="AH20" s="98" t="e">
        <f>AF20+AA2</f>
        <v>#REF!</v>
      </c>
      <c r="AI20" s="166" t="e">
        <f>IF(AH20&gt;AA4,0,IF(AH20&lt;AF21,"Exclude lowest candidate",0))</f>
        <v>#REF!</v>
      </c>
      <c r="AJ20" s="167"/>
      <c r="AK20" s="99" t="e">
        <f>IF(AH20&gt;AA4,0,IF(AN20=1,"Exclude 1",0))</f>
        <v>#REF!</v>
      </c>
      <c r="AL20" s="48" t="e">
        <f>IF(AH20&gt;AA$4,0,IF(AG21&gt;AH20,"Exclude lowest",0))</f>
        <v>#REF!</v>
      </c>
      <c r="AM20" s="5"/>
      <c r="AN20" s="100"/>
      <c r="AO20" s="101"/>
      <c r="AP20" s="101"/>
      <c r="AQ20" s="102"/>
      <c r="AR20" s="5"/>
      <c r="AU20" s="10"/>
      <c r="AV20" s="10"/>
      <c r="AY20" s="32">
        <f>'[1]Verification of Boxes'!J25</f>
        <v>0</v>
      </c>
      <c r="AZ20" s="33"/>
      <c r="BA20" s="34">
        <f t="shared" si="0"/>
        <v>0</v>
      </c>
      <c r="BB20" s="35"/>
      <c r="BC20" s="33">
        <f t="shared" si="1"/>
        <v>0</v>
      </c>
      <c r="BD20" s="33">
        <f t="shared" si="2"/>
        <v>0</v>
      </c>
      <c r="BG20" s="10"/>
      <c r="BH20" s="33">
        <f t="shared" si="3"/>
        <v>0</v>
      </c>
      <c r="BI20" s="31">
        <f t="shared" si="19"/>
        <v>0</v>
      </c>
      <c r="BJ20" s="43"/>
      <c r="BL20" s="52">
        <f>'[1]Verification of Boxes'!J22</f>
        <v>0</v>
      </c>
      <c r="BM20" s="33"/>
      <c r="BN20" s="33">
        <f t="shared" si="5"/>
        <v>0</v>
      </c>
      <c r="BO20" s="33"/>
      <c r="BP20" s="33">
        <f t="shared" si="6"/>
        <v>0</v>
      </c>
      <c r="BQ20" s="33"/>
      <c r="BR20" s="33">
        <f t="shared" si="7"/>
        <v>0</v>
      </c>
      <c r="BS20" s="33"/>
      <c r="BT20" s="33">
        <f t="shared" si="8"/>
        <v>0</v>
      </c>
      <c r="BU20" s="33"/>
      <c r="BV20" s="33">
        <f t="shared" si="9"/>
        <v>0</v>
      </c>
      <c r="BW20" s="33"/>
      <c r="BX20" s="33">
        <f t="shared" si="10"/>
        <v>0</v>
      </c>
      <c r="BY20" s="33">
        <f t="shared" si="11"/>
        <v>0</v>
      </c>
    </row>
    <row r="21" spans="1:77" ht="15" customHeight="1" thickBot="1" x14ac:dyDescent="0.3">
      <c r="A21" s="71" t="str">
        <f>IF('[1]Stage 6'!A21&lt;&gt;0,'[1]Stage 6'!A21,IF(Q21&gt;=$M$3,"Elected",IF(BJ18&lt;&gt;0,"Excluded",0)))</f>
        <v>Excluded</v>
      </c>
      <c r="B21" s="72">
        <v>11</v>
      </c>
      <c r="C21" s="73" t="str">
        <f>'[1]Verification of Boxes'!J20</f>
        <v>Savage, Kevin Jude</v>
      </c>
      <c r="D21" s="71" t="str">
        <f>'[1]Verification of Boxes'!K20</f>
        <v>SINN FÉIN</v>
      </c>
      <c r="E21" s="136">
        <f>'[1]Verification of Boxes'!L20</f>
        <v>547</v>
      </c>
      <c r="F21" s="139">
        <f>'[1]Stage 2'!F21</f>
        <v>0</v>
      </c>
      <c r="G21" s="67">
        <f>'[1]Stage 2'!G21</f>
        <v>547</v>
      </c>
      <c r="H21" s="139">
        <f>'[1]Stage 3'!H21</f>
        <v>0</v>
      </c>
      <c r="I21" s="67">
        <f>'[1]Stage 3'!I21</f>
        <v>547</v>
      </c>
      <c r="J21" s="139">
        <f>'[1]Stage 4'!J21</f>
        <v>8</v>
      </c>
      <c r="K21" s="67">
        <f>'[1]Stage 4'!K21</f>
        <v>555</v>
      </c>
      <c r="L21" s="139">
        <f>'[1]Stage 5'!L21</f>
        <v>-555</v>
      </c>
      <c r="M21" s="67">
        <f>'[1]Stage 5'!M21</f>
        <v>0</v>
      </c>
      <c r="N21" s="139">
        <f>'[1]Stage 6'!N21</f>
        <v>0</v>
      </c>
      <c r="O21" s="68">
        <f>'[1]Stage 6'!O21</f>
        <v>0</v>
      </c>
      <c r="P21" s="139">
        <f t="shared" si="12"/>
        <v>0</v>
      </c>
      <c r="Q21" s="69">
        <f t="shared" si="13"/>
        <v>0</v>
      </c>
      <c r="T21" s="90" t="str">
        <f>'[1]Verification of Boxes'!J17</f>
        <v>Ingram, Elizabeth</v>
      </c>
      <c r="U21" s="91">
        <f t="shared" si="14"/>
        <v>1431.68</v>
      </c>
      <c r="V21" s="33"/>
      <c r="W21" s="34">
        <f t="shared" si="15"/>
        <v>2.6800000000000637</v>
      </c>
      <c r="X21" s="35"/>
      <c r="Y21" s="33" t="str">
        <f t="shared" si="18"/>
        <v>elected</v>
      </c>
      <c r="Z21" s="33">
        <f t="shared" si="16"/>
        <v>2.6800000000000637</v>
      </c>
      <c r="AA21" s="92" t="str">
        <f t="shared" si="17"/>
        <v>transfer largest surplus</v>
      </c>
      <c r="AD21" s="160" t="s">
        <v>84</v>
      </c>
      <c r="AE21" s="161"/>
      <c r="AF21" s="91" t="e">
        <f>IF(AF20=1000000,0,AH44)</f>
        <v>#REF!</v>
      </c>
      <c r="AG21" s="33" t="e">
        <f>AF21-AF20</f>
        <v>#REF!</v>
      </c>
      <c r="AH21" s="33" t="e">
        <f>IF(AF21=1000000,0,IF(AH20=0,0,AH20+AF21))</f>
        <v>#REF!</v>
      </c>
      <c r="AI21" s="162" t="e">
        <f>IF(AH21&gt;AA4,0,IF(AP20&lt;&gt;0,0,IF(AH21&lt;AF22,"Exclude lowest 2 candidates",0)))</f>
        <v>#REF!</v>
      </c>
      <c r="AJ21" s="163"/>
      <c r="AK21" s="103" t="e">
        <f>IF(AH21&gt;AA4,0,IF(AN21=2,"Exclude 2",0))</f>
        <v>#REF!</v>
      </c>
      <c r="AL21" s="33" t="e">
        <f>IF(AH21&gt;AA$4,0,IF(AG22&gt;AH21,"Exclude - Consider Question 2",0))</f>
        <v>#REF!</v>
      </c>
      <c r="AM21" s="5"/>
      <c r="AN21" s="104"/>
      <c r="AO21" s="5"/>
      <c r="AP21" s="5"/>
      <c r="AQ21" s="105"/>
      <c r="AR21" s="5"/>
      <c r="AT21" s="2" t="s">
        <v>85</v>
      </c>
      <c r="AU21" s="10"/>
      <c r="AV21" s="10"/>
      <c r="AY21" s="32">
        <f>'[1]Verification of Boxes'!J26</f>
        <v>0</v>
      </c>
      <c r="AZ21" s="33"/>
      <c r="BA21" s="34">
        <f t="shared" si="0"/>
        <v>0</v>
      </c>
      <c r="BB21" s="35"/>
      <c r="BC21" s="33">
        <f t="shared" si="1"/>
        <v>0</v>
      </c>
      <c r="BD21" s="33">
        <f t="shared" si="2"/>
        <v>0</v>
      </c>
      <c r="BG21" s="10"/>
      <c r="BH21" s="33">
        <f t="shared" si="3"/>
        <v>0</v>
      </c>
      <c r="BI21" s="31">
        <f t="shared" si="19"/>
        <v>0</v>
      </c>
      <c r="BJ21" s="43"/>
      <c r="BK21" s="5"/>
      <c r="BL21" s="52">
        <f>'[1]Verification of Boxes'!J23</f>
        <v>0</v>
      </c>
      <c r="BM21" s="33"/>
      <c r="BN21" s="33">
        <f t="shared" si="5"/>
        <v>0</v>
      </c>
      <c r="BO21" s="33"/>
      <c r="BP21" s="33">
        <f t="shared" si="6"/>
        <v>0</v>
      </c>
      <c r="BQ21" s="33"/>
      <c r="BR21" s="33">
        <f t="shared" si="7"/>
        <v>0</v>
      </c>
      <c r="BS21" s="33"/>
      <c r="BT21" s="33">
        <f t="shared" si="8"/>
        <v>0</v>
      </c>
      <c r="BU21" s="33"/>
      <c r="BV21" s="33">
        <f t="shared" si="9"/>
        <v>0</v>
      </c>
      <c r="BW21" s="33"/>
      <c r="BX21" s="33">
        <f t="shared" si="10"/>
        <v>0</v>
      </c>
      <c r="BY21" s="33">
        <f t="shared" si="11"/>
        <v>0</v>
      </c>
    </row>
    <row r="22" spans="1:77" ht="15" customHeight="1" thickBot="1" x14ac:dyDescent="0.3">
      <c r="A22" s="71" t="str">
        <f>IF('[1]Stage 6'!A22&lt;&gt;0,'[1]Stage 6'!A22,IF(Q22&gt;=$M$3,"Elected",IF(BJ19&lt;&gt;0,"Excluded",0)))</f>
        <v>Excluded</v>
      </c>
      <c r="B22" s="72">
        <v>12</v>
      </c>
      <c r="C22" s="73" t="str">
        <f>'[1]Verification of Boxes'!J21</f>
        <v>Wilson, Ian McMaster</v>
      </c>
      <c r="D22" s="71" t="str">
        <f>'[1]Verification of Boxes'!K21</f>
        <v>DUP</v>
      </c>
      <c r="E22" s="136">
        <f>'[1]Verification of Boxes'!L21</f>
        <v>730</v>
      </c>
      <c r="F22" s="139">
        <f>'[1]Stage 2'!F22</f>
        <v>25.480000000000004</v>
      </c>
      <c r="G22" s="67">
        <f>'[1]Stage 2'!G22</f>
        <v>755.48</v>
      </c>
      <c r="H22" s="139">
        <f>'[1]Stage 3'!H22</f>
        <v>59.080000000000005</v>
      </c>
      <c r="I22" s="67">
        <f>'[1]Stage 3'!I22</f>
        <v>814.56000000000006</v>
      </c>
      <c r="J22" s="139">
        <f>'[1]Stage 4'!J22</f>
        <v>28.52</v>
      </c>
      <c r="K22" s="67">
        <f>'[1]Stage 4'!K22</f>
        <v>843.08</v>
      </c>
      <c r="L22" s="139">
        <f>'[1]Stage 5'!L22</f>
        <v>0</v>
      </c>
      <c r="M22" s="67">
        <f>'[1]Stage 5'!M22</f>
        <v>843.08</v>
      </c>
      <c r="N22" s="139">
        <f>'[1]Stage 6'!N22</f>
        <v>24.96</v>
      </c>
      <c r="O22" s="68">
        <f>'[1]Stage 6'!O22</f>
        <v>868.04000000000008</v>
      </c>
      <c r="P22" s="139">
        <f t="shared" si="12"/>
        <v>-868.04000000000008</v>
      </c>
      <c r="Q22" s="69">
        <f t="shared" si="13"/>
        <v>0</v>
      </c>
      <c r="T22" s="90" t="str">
        <f>'[1]Verification of Boxes'!J18</f>
        <v>McCrum, Junior</v>
      </c>
      <c r="U22" s="91">
        <f t="shared" si="14"/>
        <v>1217.3200000000002</v>
      </c>
      <c r="V22" s="33"/>
      <c r="W22" s="34">
        <f t="shared" si="15"/>
        <v>-211.67999999999984</v>
      </c>
      <c r="X22" s="35"/>
      <c r="Y22" s="33" t="str">
        <f t="shared" si="18"/>
        <v>continuing</v>
      </c>
      <c r="Z22" s="33">
        <f t="shared" si="16"/>
        <v>0</v>
      </c>
      <c r="AA22" s="92">
        <f t="shared" si="17"/>
        <v>0</v>
      </c>
      <c r="AD22" s="160" t="s">
        <v>84</v>
      </c>
      <c r="AE22" s="161"/>
      <c r="AF22" s="91" t="e">
        <f>IF(AF21=1000000,0,AJ44)</f>
        <v>#REF!</v>
      </c>
      <c r="AG22" s="33" t="e">
        <f>IF(AF22=1000000,0,IF(AG21=0,0,AF22-AF21))</f>
        <v>#REF!</v>
      </c>
      <c r="AH22" s="33" t="e">
        <f>IF(AF22=1000000,0,IF(AH21=0,0,AH21+AF22))</f>
        <v>#REF!</v>
      </c>
      <c r="AI22" s="162" t="e">
        <f>IF(AH22&gt;AA4,0,IF(AP21&lt;&gt;0,0,IF(AH22&lt;AF23,"Exclude lowest 3 candidates",0)))</f>
        <v>#REF!</v>
      </c>
      <c r="AJ22" s="163"/>
      <c r="AK22" s="103" t="e">
        <f>IF(AH22&gt;AA4,0,IF(AN22=3,"Exclude 3",0))</f>
        <v>#REF!</v>
      </c>
      <c r="AL22" s="33" t="e">
        <f>IF(AH22&gt;AA$4,0,IF(AG23&gt;AH22,"Exclude - Consider Question 2",0))</f>
        <v>#REF!</v>
      </c>
      <c r="AM22" s="5"/>
      <c r="AN22" s="104"/>
      <c r="AO22" s="5"/>
      <c r="AP22" s="5"/>
      <c r="AQ22" s="105"/>
      <c r="AR22" s="5"/>
      <c r="AT22" s="159" t="s">
        <v>86</v>
      </c>
      <c r="AU22" s="10"/>
      <c r="AV22" s="10"/>
      <c r="AY22" s="32">
        <f>'[1]Verification of Boxes'!J27</f>
        <v>0</v>
      </c>
      <c r="AZ22" s="33"/>
      <c r="BA22" s="34">
        <f t="shared" si="0"/>
        <v>0</v>
      </c>
      <c r="BB22" s="35"/>
      <c r="BC22" s="33">
        <f t="shared" si="1"/>
        <v>0</v>
      </c>
      <c r="BD22" s="33">
        <f t="shared" si="2"/>
        <v>0</v>
      </c>
      <c r="BG22" s="10"/>
      <c r="BH22" s="33">
        <f t="shared" si="3"/>
        <v>0</v>
      </c>
      <c r="BI22" s="31">
        <f t="shared" si="19"/>
        <v>0</v>
      </c>
      <c r="BJ22" s="43"/>
      <c r="BK22" s="5"/>
      <c r="BL22" s="52">
        <f>'[1]Verification of Boxes'!J24</f>
        <v>0</v>
      </c>
      <c r="BM22" s="33"/>
      <c r="BN22" s="33">
        <f t="shared" si="5"/>
        <v>0</v>
      </c>
      <c r="BO22" s="33"/>
      <c r="BP22" s="33">
        <f t="shared" si="6"/>
        <v>0</v>
      </c>
      <c r="BQ22" s="33"/>
      <c r="BR22" s="33">
        <f t="shared" si="7"/>
        <v>0</v>
      </c>
      <c r="BS22" s="33"/>
      <c r="BT22" s="33">
        <f t="shared" si="8"/>
        <v>0</v>
      </c>
      <c r="BU22" s="33"/>
      <c r="BV22" s="33">
        <f t="shared" si="9"/>
        <v>0</v>
      </c>
      <c r="BW22" s="33"/>
      <c r="BX22" s="33">
        <f t="shared" si="10"/>
        <v>0</v>
      </c>
      <c r="BY22" s="33">
        <f t="shared" si="11"/>
        <v>0</v>
      </c>
    </row>
    <row r="23" spans="1:77" ht="15" customHeight="1" thickBot="1" x14ac:dyDescent="0.3">
      <c r="A23" s="71">
        <f>IF('[1]Stage 6'!A23&lt;&gt;0,'[1]Stage 6'!A23,IF(Q23&gt;=$M$3,"Elected",IF(BJ20&lt;&gt;0,"Excluded",0)))</f>
        <v>0</v>
      </c>
      <c r="B23" s="72">
        <v>13</v>
      </c>
      <c r="C23" s="73">
        <f>'[1]Verification of Boxes'!J22</f>
        <v>0</v>
      </c>
      <c r="D23" s="71"/>
      <c r="E23" s="136"/>
      <c r="F23" s="139"/>
      <c r="G23" s="67"/>
      <c r="H23" s="139"/>
      <c r="I23" s="67"/>
      <c r="J23" s="139"/>
      <c r="K23" s="67"/>
      <c r="L23" s="139"/>
      <c r="M23" s="67"/>
      <c r="N23" s="139"/>
      <c r="O23" s="68"/>
      <c r="P23" s="139"/>
      <c r="Q23" s="69"/>
      <c r="T23" s="90" t="str">
        <f>'[1]Verification of Boxes'!J19</f>
        <v>McQuaid, Sheila Mary</v>
      </c>
      <c r="U23" s="91">
        <f t="shared" si="14"/>
        <v>0</v>
      </c>
      <c r="V23" s="33"/>
      <c r="W23" s="34">
        <f t="shared" si="15"/>
        <v>0</v>
      </c>
      <c r="X23" s="35"/>
      <c r="Y23" s="33" t="str">
        <f t="shared" si="18"/>
        <v>excluded</v>
      </c>
      <c r="Z23" s="33">
        <f t="shared" si="16"/>
        <v>0</v>
      </c>
      <c r="AA23" s="92">
        <f t="shared" si="17"/>
        <v>0</v>
      </c>
      <c r="AD23" s="160" t="s">
        <v>84</v>
      </c>
      <c r="AE23" s="161"/>
      <c r="AF23" s="91" t="e">
        <f>IF(AF22=1000000,0,AL44)</f>
        <v>#REF!</v>
      </c>
      <c r="AG23" s="33" t="e">
        <f>IF(AF23=1000000,0,IF(AG22=0,0,AF23-AF22))</f>
        <v>#REF!</v>
      </c>
      <c r="AH23" s="33" t="e">
        <f>IF(AF23=1000000,0,IF(AH22=0,0,AH22+AF23))</f>
        <v>#REF!</v>
      </c>
      <c r="AI23" s="162" t="e">
        <f>IF(AH23&gt;AA4,0,IF(AP22&lt;&gt;0,0,IF(AH23&lt;AF24,"Exclude lowest 4 candidates",0)))</f>
        <v>#REF!</v>
      </c>
      <c r="AJ23" s="163"/>
      <c r="AK23" s="103" t="e">
        <f>IF(AH23&gt;AA4,0,IF(AN23=4,"Exclude 4",0))</f>
        <v>#REF!</v>
      </c>
      <c r="AL23" s="33" t="e">
        <f>IF(AH23&gt;AA$4,0,IF(AG24&gt;AH23,"Exclude - Consider Question 2",0))</f>
        <v>#REF!</v>
      </c>
      <c r="AM23" s="5"/>
      <c r="AN23" s="104"/>
      <c r="AO23" s="5"/>
      <c r="AP23" s="5"/>
      <c r="AQ23" s="105"/>
      <c r="AR23" s="5"/>
      <c r="AT23" s="159"/>
      <c r="AU23" s="10" t="s">
        <v>87</v>
      </c>
      <c r="AV23" s="10"/>
      <c r="AW23" s="106">
        <f>IF(AW19&gt;AW12,TRUNC((AW12/AW18),2),0)</f>
        <v>0</v>
      </c>
      <c r="AY23" s="32">
        <f>'[1]Verification of Boxes'!J28</f>
        <v>0</v>
      </c>
      <c r="AZ23" s="33"/>
      <c r="BA23" s="34">
        <f t="shared" si="0"/>
        <v>0</v>
      </c>
      <c r="BB23" s="35"/>
      <c r="BC23" s="33">
        <f t="shared" si="1"/>
        <v>0</v>
      </c>
      <c r="BD23" s="33">
        <f t="shared" si="2"/>
        <v>0</v>
      </c>
      <c r="BG23" s="10"/>
      <c r="BH23" s="33">
        <f t="shared" si="3"/>
        <v>0</v>
      </c>
      <c r="BI23" s="31">
        <f t="shared" si="19"/>
        <v>0</v>
      </c>
      <c r="BJ23" s="43"/>
      <c r="BK23" s="5"/>
      <c r="BL23" s="52">
        <f>'[1]Verification of Boxes'!J25</f>
        <v>0</v>
      </c>
      <c r="BM23" s="33"/>
      <c r="BN23" s="33">
        <f t="shared" si="5"/>
        <v>0</v>
      </c>
      <c r="BO23" s="33"/>
      <c r="BP23" s="33">
        <f t="shared" si="6"/>
        <v>0</v>
      </c>
      <c r="BQ23" s="33"/>
      <c r="BR23" s="33">
        <f t="shared" si="7"/>
        <v>0</v>
      </c>
      <c r="BS23" s="33"/>
      <c r="BT23" s="33">
        <f t="shared" si="8"/>
        <v>0</v>
      </c>
      <c r="BU23" s="33"/>
      <c r="BV23" s="33">
        <f t="shared" si="9"/>
        <v>0</v>
      </c>
      <c r="BW23" s="33"/>
      <c r="BX23" s="33">
        <f t="shared" si="10"/>
        <v>0</v>
      </c>
      <c r="BY23" s="33">
        <f t="shared" si="11"/>
        <v>0</v>
      </c>
    </row>
    <row r="24" spans="1:77" ht="15" customHeight="1" thickBot="1" x14ac:dyDescent="0.3">
      <c r="A24" s="71">
        <f>IF('[1]Stage 6'!A24&lt;&gt;0,'[1]Stage 6'!A24,IF(Q24&gt;=$M$3,"Elected",IF(BJ21&lt;&gt;0,"Excluded",0)))</f>
        <v>0</v>
      </c>
      <c r="B24" s="72">
        <v>14</v>
      </c>
      <c r="C24" s="73">
        <f>'[1]Verification of Boxes'!J23</f>
        <v>0</v>
      </c>
      <c r="D24" s="71"/>
      <c r="E24" s="136"/>
      <c r="F24" s="139"/>
      <c r="G24" s="67"/>
      <c r="H24" s="139"/>
      <c r="I24" s="67"/>
      <c r="J24" s="139"/>
      <c r="K24" s="67"/>
      <c r="L24" s="139"/>
      <c r="M24" s="67"/>
      <c r="N24" s="139"/>
      <c r="O24" s="68"/>
      <c r="P24" s="139"/>
      <c r="Q24" s="69"/>
      <c r="T24" s="90" t="str">
        <f>'[1]Verification of Boxes'!J20</f>
        <v>Savage, Kevin Jude</v>
      </c>
      <c r="U24" s="91">
        <f t="shared" si="14"/>
        <v>0</v>
      </c>
      <c r="V24" s="33"/>
      <c r="W24" s="34">
        <f t="shared" si="15"/>
        <v>0</v>
      </c>
      <c r="X24" s="35"/>
      <c r="Y24" s="33" t="str">
        <f t="shared" si="18"/>
        <v>excluded</v>
      </c>
      <c r="Z24" s="33">
        <f t="shared" si="16"/>
        <v>0</v>
      </c>
      <c r="AA24" s="92">
        <f t="shared" si="17"/>
        <v>0</v>
      </c>
      <c r="AD24" s="160" t="s">
        <v>84</v>
      </c>
      <c r="AE24" s="161"/>
      <c r="AF24" s="91" t="e">
        <f>IF(AL44=1000000,0,AO44)</f>
        <v>#REF!</v>
      </c>
      <c r="AG24" s="33" t="e">
        <f>IF(AF24=1000000,0,IF(AG23=0,0,AF24-AF23))</f>
        <v>#REF!</v>
      </c>
      <c r="AH24" s="33" t="e">
        <f>IF(AF24=1000000,0,IF(AH23=0,0,AH23+AF24))</f>
        <v>#REF!</v>
      </c>
      <c r="AI24" s="162" t="e">
        <f>IF(AH24&gt;AA4,0,IF(AP23&lt;&gt;0,0,IF(AH24&lt;AF25,"Exclude lowest 5 candidates",0)))</f>
        <v>#REF!</v>
      </c>
      <c r="AJ24" s="163"/>
      <c r="AK24" s="103" t="e">
        <f>IF(AH24&gt;AA4,0,IF(AN24=5,"Exclude 5",0))</f>
        <v>#REF!</v>
      </c>
      <c r="AL24" s="33" t="e">
        <f>IF(AH24&gt;AA$4,0,IF(AG25&gt;AH24,"Exclude - Consider Question 2",0))</f>
        <v>#REF!</v>
      </c>
      <c r="AM24" s="5"/>
      <c r="AN24" s="104"/>
      <c r="AO24" s="5"/>
      <c r="AP24" s="5"/>
      <c r="AQ24" s="105"/>
      <c r="AR24" s="5"/>
      <c r="AT24" s="2" t="s">
        <v>88</v>
      </c>
      <c r="AU24" s="10" t="s">
        <v>89</v>
      </c>
      <c r="AV24" s="10"/>
      <c r="AW24" s="63">
        <f>IF(AW19&gt;AW12,AW18*AW23,0)</f>
        <v>0</v>
      </c>
      <c r="AY24" s="32">
        <f>'[1]Verification of Boxes'!J29</f>
        <v>0</v>
      </c>
      <c r="AZ24" s="33"/>
      <c r="BA24" s="34">
        <f t="shared" si="0"/>
        <v>0</v>
      </c>
      <c r="BB24" s="35"/>
      <c r="BC24" s="33">
        <f t="shared" si="1"/>
        <v>0</v>
      </c>
      <c r="BD24" s="33">
        <f t="shared" si="2"/>
        <v>0</v>
      </c>
      <c r="BG24" s="10"/>
      <c r="BH24" s="33">
        <f t="shared" si="3"/>
        <v>0</v>
      </c>
      <c r="BI24" s="31">
        <f t="shared" si="19"/>
        <v>0</v>
      </c>
      <c r="BJ24" s="43"/>
      <c r="BK24" s="5"/>
      <c r="BL24" s="52">
        <f>'[1]Verification of Boxes'!J26</f>
        <v>0</v>
      </c>
      <c r="BM24" s="33"/>
      <c r="BN24" s="33">
        <f t="shared" si="5"/>
        <v>0</v>
      </c>
      <c r="BO24" s="33"/>
      <c r="BP24" s="33">
        <f t="shared" si="6"/>
        <v>0</v>
      </c>
      <c r="BQ24" s="33"/>
      <c r="BR24" s="33">
        <f t="shared" si="7"/>
        <v>0</v>
      </c>
      <c r="BS24" s="33"/>
      <c r="BT24" s="33">
        <f t="shared" si="8"/>
        <v>0</v>
      </c>
      <c r="BU24" s="33"/>
      <c r="BV24" s="33">
        <f t="shared" si="9"/>
        <v>0</v>
      </c>
      <c r="BW24" s="33"/>
      <c r="BX24" s="33">
        <f t="shared" si="10"/>
        <v>0</v>
      </c>
      <c r="BY24" s="33">
        <f t="shared" si="11"/>
        <v>0</v>
      </c>
    </row>
    <row r="25" spans="1:77" ht="15" customHeight="1" thickBot="1" x14ac:dyDescent="0.3">
      <c r="A25" s="71">
        <f>IF('[1]Stage 6'!A25&lt;&gt;0,'[1]Stage 6'!A25,IF(Q25&gt;=$M$3,"Elected",IF(BJ22&lt;&gt;0,"Excluded",0)))</f>
        <v>0</v>
      </c>
      <c r="B25" s="72">
        <v>15</v>
      </c>
      <c r="C25" s="73">
        <f>'[1]Verification of Boxes'!J24</f>
        <v>0</v>
      </c>
      <c r="D25" s="71"/>
      <c r="E25" s="136"/>
      <c r="F25" s="139"/>
      <c r="G25" s="67"/>
      <c r="H25" s="139"/>
      <c r="I25" s="67"/>
      <c r="J25" s="139"/>
      <c r="K25" s="67"/>
      <c r="L25" s="139"/>
      <c r="M25" s="67"/>
      <c r="N25" s="139"/>
      <c r="O25" s="68"/>
      <c r="P25" s="139"/>
      <c r="Q25" s="69"/>
      <c r="T25" s="90" t="str">
        <f>'[1]Verification of Boxes'!J21</f>
        <v>Wilson, Ian McMaster</v>
      </c>
      <c r="U25" s="91">
        <f t="shared" si="14"/>
        <v>868.04000000000008</v>
      </c>
      <c r="V25" s="33"/>
      <c r="W25" s="34">
        <f t="shared" si="15"/>
        <v>-560.95999999999992</v>
      </c>
      <c r="X25" s="35"/>
      <c r="Y25" s="33" t="str">
        <f t="shared" si="18"/>
        <v>continuing</v>
      </c>
      <c r="Z25" s="33">
        <f t="shared" si="16"/>
        <v>0</v>
      </c>
      <c r="AA25" s="92">
        <f t="shared" si="17"/>
        <v>0</v>
      </c>
      <c r="AD25" s="148" t="s">
        <v>84</v>
      </c>
      <c r="AE25" s="149"/>
      <c r="AF25" s="107" t="e">
        <f>IF(AF24=1000000,0,AQ44)</f>
        <v>#REF!</v>
      </c>
      <c r="AG25" s="108" t="e">
        <f>IF(AF25=1000000,0,IF(AG24=0,0,AF25-AF24))</f>
        <v>#REF!</v>
      </c>
      <c r="AH25" s="108" t="e">
        <f>IF(AF25=1000000,0,IF(AH24=0,0,AH24+AF25))</f>
        <v>#REF!</v>
      </c>
      <c r="AI25" s="146" t="e">
        <f>IF(AH25&gt;AA4,0,IF(AP24&lt;&gt;0,0,IF(AH25&lt;AF26,"CHECK ! Exclude lowest 6 candidates",0)))</f>
        <v>#REF!</v>
      </c>
      <c r="AJ25" s="147"/>
      <c r="AK25" s="109" t="e">
        <f>IF(AH25&gt;AA4,0,IF(AN25=6,"CHECK !",0))</f>
        <v>#REF!</v>
      </c>
      <c r="AL25" s="33" t="e">
        <f>IF(AH25&gt;AA$4,0,IF(AG26&gt;AH25,"Exclude - Consider Question 2",0))</f>
        <v>#REF!</v>
      </c>
      <c r="AM25" s="5"/>
      <c r="AN25" s="110"/>
      <c r="AO25" s="111"/>
      <c r="AP25" s="111"/>
      <c r="AQ25" s="112"/>
      <c r="AR25" s="5"/>
      <c r="AT25" s="2" t="s">
        <v>90</v>
      </c>
      <c r="AU25" s="10" t="s">
        <v>91</v>
      </c>
      <c r="AV25" s="10"/>
      <c r="AW25" s="63">
        <f>IF(AW19&gt;AW12,AW12-AW24,0)</f>
        <v>0</v>
      </c>
      <c r="AY25" s="32" t="s">
        <v>92</v>
      </c>
      <c r="AZ25" s="33">
        <f>SUM(AZ5:AZ24)</f>
        <v>0</v>
      </c>
      <c r="BA25" s="34">
        <f>SUM(BA5:BA24)</f>
        <v>0</v>
      </c>
      <c r="BG25" s="10"/>
      <c r="BH25" s="33">
        <f t="shared" si="3"/>
        <v>0</v>
      </c>
      <c r="BI25" s="31">
        <f t="shared" si="4"/>
        <v>0</v>
      </c>
      <c r="BJ25" s="43"/>
      <c r="BK25" s="5"/>
      <c r="BL25" s="52">
        <f>'[1]Verification of Boxes'!J27</f>
        <v>0</v>
      </c>
      <c r="BM25" s="33"/>
      <c r="BN25" s="33">
        <f t="shared" si="5"/>
        <v>0</v>
      </c>
      <c r="BO25" s="33"/>
      <c r="BP25" s="33">
        <f t="shared" si="6"/>
        <v>0</v>
      </c>
      <c r="BQ25" s="33"/>
      <c r="BR25" s="33">
        <f t="shared" si="7"/>
        <v>0</v>
      </c>
      <c r="BS25" s="33"/>
      <c r="BT25" s="33">
        <f t="shared" si="8"/>
        <v>0</v>
      </c>
      <c r="BU25" s="33"/>
      <c r="BV25" s="33">
        <f t="shared" si="9"/>
        <v>0</v>
      </c>
      <c r="BW25" s="33"/>
      <c r="BX25" s="33">
        <f t="shared" si="10"/>
        <v>0</v>
      </c>
      <c r="BY25" s="33">
        <f t="shared" si="11"/>
        <v>0</v>
      </c>
    </row>
    <row r="26" spans="1:77" ht="15" customHeight="1" thickBot="1" x14ac:dyDescent="0.3">
      <c r="A26" s="71">
        <f>IF('[1]Stage 6'!A26&lt;&gt;0,'[1]Stage 6'!A26,IF(Q26&gt;=$M$3,"Elected",IF(BJ23&lt;&gt;0,"Excluded",0)))</f>
        <v>0</v>
      </c>
      <c r="B26" s="72">
        <v>16</v>
      </c>
      <c r="C26" s="73">
        <f>'[1]Verification of Boxes'!J25</f>
        <v>0</v>
      </c>
      <c r="D26" s="71"/>
      <c r="E26" s="136"/>
      <c r="F26" s="139"/>
      <c r="G26" s="67"/>
      <c r="H26" s="139"/>
      <c r="I26" s="67"/>
      <c r="J26" s="139"/>
      <c r="K26" s="67"/>
      <c r="L26" s="139"/>
      <c r="M26" s="67"/>
      <c r="N26" s="139"/>
      <c r="O26" s="68"/>
      <c r="P26" s="139"/>
      <c r="Q26" s="69"/>
      <c r="T26" s="90">
        <f>'[1]Verification of Boxes'!J22</f>
        <v>0</v>
      </c>
      <c r="U26" s="91">
        <f t="shared" si="14"/>
        <v>0</v>
      </c>
      <c r="V26" s="33"/>
      <c r="W26" s="34">
        <f t="shared" si="15"/>
        <v>0</v>
      </c>
      <c r="X26" s="35"/>
      <c r="Y26" s="33">
        <f t="shared" si="18"/>
        <v>0</v>
      </c>
      <c r="Z26" s="33">
        <f t="shared" si="16"/>
        <v>0</v>
      </c>
      <c r="AA26" s="92">
        <f t="shared" si="17"/>
        <v>0</v>
      </c>
      <c r="AI26" s="5"/>
      <c r="AJ26" s="5"/>
      <c r="AK26" s="5"/>
      <c r="AM26" s="5"/>
      <c r="AN26" s="33"/>
      <c r="AO26" s="48"/>
      <c r="AP26" s="48" t="e">
        <f>SUM(AP27:AP32)</f>
        <v>#REF!</v>
      </c>
      <c r="AQ26" s="48"/>
      <c r="AR26" s="5"/>
      <c r="AU26" s="10"/>
      <c r="AV26" s="10"/>
      <c r="AW26" s="94"/>
      <c r="AY26" s="32" t="s">
        <v>93</v>
      </c>
      <c r="AZ26" s="33"/>
      <c r="BA26" s="34">
        <f>IF(AN5="T",AW25+AW31,0)</f>
        <v>0</v>
      </c>
      <c r="BG26" s="10"/>
      <c r="BH26" s="33">
        <f t="shared" si="3"/>
        <v>0</v>
      </c>
      <c r="BI26" s="31">
        <f t="shared" si="4"/>
        <v>0</v>
      </c>
      <c r="BJ26" s="43"/>
      <c r="BL26" s="52">
        <f>'[1]Verification of Boxes'!J28</f>
        <v>0</v>
      </c>
      <c r="BM26" s="33"/>
      <c r="BN26" s="33">
        <f t="shared" si="5"/>
        <v>0</v>
      </c>
      <c r="BO26" s="33"/>
      <c r="BP26" s="33">
        <f t="shared" si="6"/>
        <v>0</v>
      </c>
      <c r="BQ26" s="33"/>
      <c r="BR26" s="33">
        <f t="shared" si="7"/>
        <v>0</v>
      </c>
      <c r="BS26" s="33"/>
      <c r="BT26" s="33">
        <f t="shared" si="8"/>
        <v>0</v>
      </c>
      <c r="BU26" s="33"/>
      <c r="BV26" s="33">
        <f t="shared" si="9"/>
        <v>0</v>
      </c>
      <c r="BW26" s="33"/>
      <c r="BX26" s="33">
        <f t="shared" si="10"/>
        <v>0</v>
      </c>
      <c r="BY26" s="33">
        <f t="shared" si="11"/>
        <v>0</v>
      </c>
    </row>
    <row r="27" spans="1:77" ht="15.75" thickBot="1" x14ac:dyDescent="0.3">
      <c r="A27" s="71">
        <f>IF('[1]Stage 6'!A27&lt;&gt;0,'[1]Stage 6'!A27,IF(Q27&gt;=$M$3,"Elected",IF(BJ24&lt;&gt;0,"Excluded",0)))</f>
        <v>0</v>
      </c>
      <c r="B27" s="72">
        <v>17</v>
      </c>
      <c r="C27" s="73">
        <f>'[1]Verification of Boxes'!J26</f>
        <v>0</v>
      </c>
      <c r="D27" s="71"/>
      <c r="E27" s="136"/>
      <c r="F27" s="139"/>
      <c r="G27" s="67"/>
      <c r="H27" s="139"/>
      <c r="I27" s="67"/>
      <c r="J27" s="139"/>
      <c r="K27" s="67"/>
      <c r="L27" s="139"/>
      <c r="M27" s="67"/>
      <c r="N27" s="139"/>
      <c r="O27" s="68"/>
      <c r="P27" s="139"/>
      <c r="Q27" s="69"/>
      <c r="T27" s="90">
        <f>'[1]Verification of Boxes'!J23</f>
        <v>0</v>
      </c>
      <c r="U27" s="91">
        <f t="shared" si="14"/>
        <v>0</v>
      </c>
      <c r="V27" s="33"/>
      <c r="W27" s="34">
        <f t="shared" si="15"/>
        <v>0</v>
      </c>
      <c r="X27" s="35"/>
      <c r="Y27" s="33">
        <f t="shared" si="18"/>
        <v>0</v>
      </c>
      <c r="Z27" s="33">
        <f t="shared" si="16"/>
        <v>0</v>
      </c>
      <c r="AA27" s="92">
        <f t="shared" si="17"/>
        <v>0</v>
      </c>
      <c r="AD27" s="113"/>
      <c r="AE27" s="113"/>
      <c r="AN27" s="33" t="e">
        <f>AQ27</f>
        <v>#REF!</v>
      </c>
      <c r="AO27" s="33" t="e">
        <f t="shared" ref="AO27:AO30" si="20">IF(AI20&lt;&gt;0,1,0)</f>
        <v>#REF!</v>
      </c>
      <c r="AP27" s="33" t="e">
        <f>AO27</f>
        <v>#REF!</v>
      </c>
      <c r="AQ27" s="33" t="e">
        <f t="shared" ref="AQ27:AQ30" si="21">IF(AH20&lt;AG21,1,0)</f>
        <v>#REF!</v>
      </c>
      <c r="AR27" s="5"/>
      <c r="AT27" s="2" t="s">
        <v>94</v>
      </c>
      <c r="AU27" s="10"/>
      <c r="AV27" s="10"/>
      <c r="AW27" s="94"/>
      <c r="AY27" s="114" t="s">
        <v>95</v>
      </c>
      <c r="AZ27" s="108">
        <f>AZ25+AZ26</f>
        <v>0</v>
      </c>
      <c r="BA27" s="115">
        <f>SUM(BA25:BA26)</f>
        <v>0</v>
      </c>
      <c r="BG27" s="10"/>
      <c r="BH27" s="33">
        <f t="shared" si="3"/>
        <v>0</v>
      </c>
      <c r="BI27" s="31" t="e">
        <f>IF(#REF!&gt;=$M$3,"Elected",#REF!)</f>
        <v>#REF!</v>
      </c>
      <c r="BJ27" s="43"/>
      <c r="BL27" s="52">
        <f>'[1]Verification of Boxes'!J29</f>
        <v>0</v>
      </c>
      <c r="BM27" s="116"/>
      <c r="BN27" s="33">
        <f t="shared" si="5"/>
        <v>0</v>
      </c>
      <c r="BO27" s="116"/>
      <c r="BP27" s="33">
        <f t="shared" si="6"/>
        <v>0</v>
      </c>
      <c r="BQ27" s="116"/>
      <c r="BR27" s="33">
        <f t="shared" si="7"/>
        <v>0</v>
      </c>
      <c r="BS27" s="116"/>
      <c r="BT27" s="33">
        <f t="shared" si="8"/>
        <v>0</v>
      </c>
      <c r="BU27" s="116"/>
      <c r="BV27" s="33">
        <f t="shared" si="9"/>
        <v>0</v>
      </c>
      <c r="BW27" s="116"/>
      <c r="BX27" s="33">
        <f t="shared" si="10"/>
        <v>0</v>
      </c>
      <c r="BY27" s="33">
        <f t="shared" si="11"/>
        <v>0</v>
      </c>
    </row>
    <row r="28" spans="1:77" ht="14.25" customHeight="1" thickBot="1" x14ac:dyDescent="0.3">
      <c r="A28" s="71">
        <f>IF('[1]Stage 6'!A28&lt;&gt;0,'[1]Stage 6'!A28,IF(Q28&gt;=$M$3,"Elected",IF(BJ25&lt;&gt;0,"Excluded",0)))</f>
        <v>0</v>
      </c>
      <c r="B28" s="72">
        <v>18</v>
      </c>
      <c r="C28" s="73">
        <f>'[1]Verification of Boxes'!J27</f>
        <v>0</v>
      </c>
      <c r="D28" s="71"/>
      <c r="E28" s="136"/>
      <c r="F28" s="139"/>
      <c r="G28" s="67"/>
      <c r="H28" s="139"/>
      <c r="I28" s="67"/>
      <c r="J28" s="139"/>
      <c r="K28" s="67"/>
      <c r="L28" s="139"/>
      <c r="M28" s="67"/>
      <c r="N28" s="139"/>
      <c r="O28" s="68"/>
      <c r="P28" s="139"/>
      <c r="Q28" s="69"/>
      <c r="T28" s="90">
        <f>'[1]Verification of Boxes'!J24</f>
        <v>0</v>
      </c>
      <c r="U28" s="91">
        <f t="shared" si="14"/>
        <v>0</v>
      </c>
      <c r="V28" s="33"/>
      <c r="W28" s="34">
        <f t="shared" si="15"/>
        <v>0</v>
      </c>
      <c r="X28" s="35"/>
      <c r="Y28" s="33">
        <f t="shared" si="18"/>
        <v>0</v>
      </c>
      <c r="Z28" s="33">
        <f t="shared" si="16"/>
        <v>0</v>
      </c>
      <c r="AA28" s="92">
        <f t="shared" si="17"/>
        <v>0</v>
      </c>
      <c r="AF28" s="150" t="s">
        <v>96</v>
      </c>
      <c r="AG28" s="151"/>
      <c r="AH28" s="151"/>
      <c r="AI28" s="151"/>
      <c r="AJ28" s="151"/>
      <c r="AK28" s="152"/>
      <c r="AL28" s="5"/>
      <c r="AM28" s="5"/>
      <c r="AN28" s="33" t="e">
        <f>AN27+AQ28</f>
        <v>#REF!</v>
      </c>
      <c r="AO28" s="33" t="e">
        <f t="shared" si="20"/>
        <v>#REF!</v>
      </c>
      <c r="AP28" s="33" t="e">
        <f>AP27+AO28</f>
        <v>#REF!</v>
      </c>
      <c r="AQ28" s="33" t="e">
        <f t="shared" si="21"/>
        <v>#REF!</v>
      </c>
      <c r="AR28" s="5"/>
      <c r="AU28" s="10"/>
      <c r="AV28" s="10"/>
      <c r="AW28" s="94"/>
      <c r="BL28" s="117" t="s">
        <v>97</v>
      </c>
      <c r="BM28" s="60">
        <v>29</v>
      </c>
      <c r="BN28" s="73">
        <f t="shared" si="5"/>
        <v>29</v>
      </c>
      <c r="BO28" s="60">
        <v>36</v>
      </c>
      <c r="BP28" s="73">
        <f t="shared" si="6"/>
        <v>36</v>
      </c>
      <c r="BQ28" s="60">
        <v>248</v>
      </c>
      <c r="BR28" s="73">
        <f t="shared" si="7"/>
        <v>69.440000000000012</v>
      </c>
      <c r="BS28" s="60"/>
      <c r="BT28" s="73">
        <f t="shared" si="8"/>
        <v>0</v>
      </c>
      <c r="BU28" s="60"/>
      <c r="BV28" s="73">
        <f t="shared" si="9"/>
        <v>0</v>
      </c>
      <c r="BW28" s="60"/>
      <c r="BX28" s="35">
        <f t="shared" si="10"/>
        <v>0</v>
      </c>
      <c r="BY28" s="33">
        <f t="shared" si="11"/>
        <v>134.44</v>
      </c>
    </row>
    <row r="29" spans="1:77" ht="15.75" customHeight="1" thickBot="1" x14ac:dyDescent="0.3">
      <c r="A29" s="71">
        <f>IF('[1]Stage 6'!A29&lt;&gt;0,'[1]Stage 6'!A29,IF(Q29&gt;=$M$3,"Elected",IF(BJ26&lt;&gt;0,"Excluded",0)))</f>
        <v>0</v>
      </c>
      <c r="B29" s="72">
        <v>19</v>
      </c>
      <c r="C29" s="73">
        <f>'[1]Verification of Boxes'!J28</f>
        <v>0</v>
      </c>
      <c r="D29" s="71"/>
      <c r="E29" s="136"/>
      <c r="F29" s="139"/>
      <c r="G29" s="67"/>
      <c r="H29" s="139"/>
      <c r="I29" s="67"/>
      <c r="J29" s="139"/>
      <c r="K29" s="67"/>
      <c r="L29" s="139"/>
      <c r="M29" s="67"/>
      <c r="N29" s="139"/>
      <c r="O29" s="68"/>
      <c r="P29" s="139"/>
      <c r="Q29" s="69"/>
      <c r="T29" s="90">
        <f>'[1]Verification of Boxes'!J25</f>
        <v>0</v>
      </c>
      <c r="U29" s="91">
        <f t="shared" si="14"/>
        <v>0</v>
      </c>
      <c r="V29" s="33"/>
      <c r="W29" s="34">
        <f t="shared" si="15"/>
        <v>0</v>
      </c>
      <c r="X29" s="35"/>
      <c r="Y29" s="33">
        <f t="shared" si="18"/>
        <v>0</v>
      </c>
      <c r="Z29" s="33">
        <f t="shared" si="16"/>
        <v>0</v>
      </c>
      <c r="AA29" s="92">
        <f t="shared" si="17"/>
        <v>0</v>
      </c>
      <c r="AF29" s="153"/>
      <c r="AG29" s="154"/>
      <c r="AH29" s="154"/>
      <c r="AI29" s="154"/>
      <c r="AJ29" s="154"/>
      <c r="AK29" s="155"/>
      <c r="AL29" s="5"/>
      <c r="AM29" s="5"/>
      <c r="AN29" s="33" t="e">
        <f>AN28+AQ29</f>
        <v>#REF!</v>
      </c>
      <c r="AO29" s="33" t="e">
        <f t="shared" si="20"/>
        <v>#REF!</v>
      </c>
      <c r="AP29" s="33" t="e">
        <f>AP28+AO29</f>
        <v>#REF!</v>
      </c>
      <c r="AQ29" s="33" t="e">
        <f t="shared" si="21"/>
        <v>#REF!</v>
      </c>
      <c r="AR29" s="5"/>
      <c r="AT29" s="2" t="s">
        <v>98</v>
      </c>
      <c r="AU29" s="10" t="s">
        <v>76</v>
      </c>
      <c r="AV29" s="10"/>
      <c r="AW29" s="106">
        <f>IF(AW19&lt;=AW12,AW14,0)</f>
        <v>0</v>
      </c>
      <c r="AY29" s="10" t="s">
        <v>99</v>
      </c>
      <c r="AZ29" s="2">
        <f>AW13</f>
        <v>0</v>
      </c>
      <c r="BL29" s="33" t="s">
        <v>100</v>
      </c>
      <c r="BM29" s="48">
        <f>SUM(BM8:BM28)</f>
        <v>730</v>
      </c>
      <c r="BN29" s="33">
        <f t="shared" si="5"/>
        <v>730</v>
      </c>
      <c r="BO29" s="48">
        <f>SUM(BO8:BO28)</f>
        <v>49</v>
      </c>
      <c r="BP29" s="33">
        <f t="shared" si="6"/>
        <v>49</v>
      </c>
      <c r="BQ29" s="48">
        <f>SUM(BQ8:BQ28)</f>
        <v>318</v>
      </c>
      <c r="BR29" s="33">
        <f t="shared" si="7"/>
        <v>89.04</v>
      </c>
      <c r="BS29" s="48">
        <f>SUM(BS8:BS28)</f>
        <v>0</v>
      </c>
      <c r="BT29" s="33">
        <f t="shared" si="8"/>
        <v>0</v>
      </c>
      <c r="BU29" s="48">
        <f>SUM(BU8:BU28)</f>
        <v>0</v>
      </c>
      <c r="BV29" s="33">
        <f t="shared" si="9"/>
        <v>0</v>
      </c>
      <c r="BW29" s="48">
        <f>SUM(BW8:BW28)</f>
        <v>0</v>
      </c>
      <c r="BX29" s="33">
        <f t="shared" si="10"/>
        <v>0</v>
      </c>
      <c r="BY29" s="33">
        <f>SUM(BY8:BY28)</f>
        <v>868.04</v>
      </c>
    </row>
    <row r="30" spans="1:77" ht="14.25" customHeight="1" thickBot="1" x14ac:dyDescent="0.3">
      <c r="A30" s="118">
        <f>IF('[1]Stage 6'!A30&lt;&gt;0,'[1]Stage 6'!A30,IF(Q30&gt;=$M$3,"Elected",IF(BJ27&lt;&gt;0,"Excluded",0)))</f>
        <v>0</v>
      </c>
      <c r="B30" s="119">
        <v>20</v>
      </c>
      <c r="C30" s="120">
        <f>'[1]Verification of Boxes'!J29</f>
        <v>0</v>
      </c>
      <c r="D30" s="132"/>
      <c r="E30" s="137"/>
      <c r="F30" s="140"/>
      <c r="G30" s="133"/>
      <c r="H30" s="140"/>
      <c r="I30" s="133"/>
      <c r="J30" s="140"/>
      <c r="K30" s="133"/>
      <c r="L30" s="140"/>
      <c r="M30" s="133"/>
      <c r="N30" s="140"/>
      <c r="O30" s="134"/>
      <c r="P30" s="140"/>
      <c r="Q30" s="123"/>
      <c r="T30" s="90">
        <f>'[1]Verification of Boxes'!J26</f>
        <v>0</v>
      </c>
      <c r="U30" s="91">
        <f t="shared" si="14"/>
        <v>0</v>
      </c>
      <c r="V30" s="33"/>
      <c r="W30" s="34">
        <f t="shared" si="15"/>
        <v>0</v>
      </c>
      <c r="X30" s="35"/>
      <c r="Y30" s="33">
        <f t="shared" si="18"/>
        <v>0</v>
      </c>
      <c r="Z30" s="33">
        <f t="shared" si="16"/>
        <v>0</v>
      </c>
      <c r="AA30" s="92">
        <f t="shared" si="17"/>
        <v>0</v>
      </c>
      <c r="AF30" s="121"/>
      <c r="AG30" s="121"/>
      <c r="AH30" s="121"/>
      <c r="AI30" s="121"/>
      <c r="AJ30" s="121"/>
      <c r="AK30" s="122"/>
      <c r="AL30" s="5"/>
      <c r="AM30" s="5"/>
      <c r="AN30" s="33" t="e">
        <f>AN29+AQ30</f>
        <v>#REF!</v>
      </c>
      <c r="AO30" s="33" t="e">
        <f t="shared" si="20"/>
        <v>#REF!</v>
      </c>
      <c r="AP30" s="33" t="e">
        <f>AP29+AO30</f>
        <v>#REF!</v>
      </c>
      <c r="AQ30" s="33" t="e">
        <f t="shared" si="21"/>
        <v>#REF!</v>
      </c>
      <c r="AR30" s="5"/>
      <c r="AU30" s="10"/>
      <c r="AV30" s="10"/>
      <c r="AW30" s="94"/>
      <c r="AZ30" s="156" t="str">
        <f>IF(AZ29-AZ27=0,"NONE", AZ29-AZ27)</f>
        <v>NONE</v>
      </c>
      <c r="BA30" s="156"/>
      <c r="BC30" s="150" t="s">
        <v>101</v>
      </c>
      <c r="BD30" s="151"/>
      <c r="BE30" s="152"/>
      <c r="BR30" s="157" t="str">
        <f>IF(BQ31=BQ67,"Calculations OK","Check Count for Error")</f>
        <v>Calculations OK</v>
      </c>
      <c r="BS30" s="157"/>
    </row>
    <row r="31" spans="1:77" ht="16.5" customHeight="1" thickBot="1" x14ac:dyDescent="0.3">
      <c r="D31" s="130" t="s">
        <v>102</v>
      </c>
      <c r="E31" s="138"/>
      <c r="F31" s="139">
        <f>'[1]Stage 2'!F31</f>
        <v>16.439999999999941</v>
      </c>
      <c r="G31" s="67">
        <f>'[1]Stage 2'!G31</f>
        <v>16.439999999999941</v>
      </c>
      <c r="H31" s="139">
        <f>'[1]Stage 3'!H31</f>
        <v>1.9600000000000932</v>
      </c>
      <c r="I31" s="67">
        <f>'[1]Stage 3'!I31</f>
        <v>18.400000000000034</v>
      </c>
      <c r="J31" s="139">
        <f>'[1]Stage 4'!J31</f>
        <v>77.16</v>
      </c>
      <c r="K31" s="67">
        <f>'[1]Stage 4'!K31</f>
        <v>95.560000000000031</v>
      </c>
      <c r="L31" s="139">
        <f>'[1]Stage 5'!L31</f>
        <v>10</v>
      </c>
      <c r="M31" s="67">
        <f>'[1]Stage 5'!M31</f>
        <v>105.56000000000003</v>
      </c>
      <c r="N31" s="139">
        <f>'[1]Stage 6'!N31</f>
        <v>215.16</v>
      </c>
      <c r="O31" s="68">
        <f>'[1]Stage 6'!O31</f>
        <v>320.72000000000003</v>
      </c>
      <c r="P31" s="139">
        <f>$BE67</f>
        <v>134.44</v>
      </c>
      <c r="Q31" s="123">
        <f t="shared" si="13"/>
        <v>455.16</v>
      </c>
      <c r="T31" s="90">
        <f>'[1]Verification of Boxes'!J27</f>
        <v>0</v>
      </c>
      <c r="U31" s="91">
        <f t="shared" si="14"/>
        <v>0</v>
      </c>
      <c r="V31" s="33"/>
      <c r="W31" s="34">
        <f t="shared" si="15"/>
        <v>0</v>
      </c>
      <c r="X31" s="35"/>
      <c r="Y31" s="33">
        <f t="shared" si="18"/>
        <v>0</v>
      </c>
      <c r="Z31" s="33">
        <f t="shared" si="16"/>
        <v>0</v>
      </c>
      <c r="AA31" s="92">
        <f t="shared" si="17"/>
        <v>0</v>
      </c>
      <c r="AF31" s="150" t="s">
        <v>103</v>
      </c>
      <c r="AG31" s="151"/>
      <c r="AH31" s="151"/>
      <c r="AI31" s="151"/>
      <c r="AJ31" s="151"/>
      <c r="AK31" s="152"/>
      <c r="AL31" s="5"/>
      <c r="AM31" s="5"/>
      <c r="AN31" s="33" t="e">
        <f>AN30+AQ31</f>
        <v>#REF!</v>
      </c>
      <c r="AO31" s="33" t="e">
        <f>IF(AI24&lt;&gt;0,1,0)</f>
        <v>#REF!</v>
      </c>
      <c r="AP31" s="33" t="e">
        <f>AP30+AO31</f>
        <v>#REF!</v>
      </c>
      <c r="AQ31" s="33" t="e">
        <f>IF(AH24&lt;AG25,1,0)</f>
        <v>#REF!</v>
      </c>
      <c r="AR31" s="5"/>
      <c r="AT31" s="2" t="s">
        <v>104</v>
      </c>
      <c r="AU31" s="10" t="s">
        <v>105</v>
      </c>
      <c r="AV31" s="10"/>
      <c r="AW31" s="63" t="b">
        <f>IF(AN5=0,0,IF(AN5="T",IF(AW19&lt;=AW12,AW12-AW19,0)))</f>
        <v>0</v>
      </c>
      <c r="AY31" s="124" t="s">
        <v>106</v>
      </c>
      <c r="AZ31" s="156"/>
      <c r="BA31" s="156"/>
      <c r="BC31" s="153"/>
      <c r="BD31" s="154"/>
      <c r="BE31" s="155"/>
      <c r="BP31" s="2" t="s">
        <v>107</v>
      </c>
      <c r="BQ31" s="33">
        <f>BN29+BP29+BR29+BT29+BV29+BX29</f>
        <v>868.04</v>
      </c>
      <c r="BR31" s="158"/>
      <c r="BS31" s="158"/>
      <c r="BT31" s="33">
        <f>BQ67-BQ31</f>
        <v>0</v>
      </c>
      <c r="BV31" s="150" t="s">
        <v>101</v>
      </c>
      <c r="BW31" s="151"/>
      <c r="BX31" s="151"/>
      <c r="BY31" s="152"/>
    </row>
    <row r="32" spans="1:77" ht="15.75" thickBot="1" x14ac:dyDescent="0.3">
      <c r="D32" s="131" t="s">
        <v>107</v>
      </c>
      <c r="E32" s="125">
        <f>SUM(E11:E30)</f>
        <v>11430</v>
      </c>
      <c r="F32" s="125"/>
      <c r="G32" s="127">
        <f>'[1]Stage 2'!G32</f>
        <v>11430</v>
      </c>
      <c r="H32" s="126"/>
      <c r="I32" s="127">
        <f>'[1]Stage 3'!I32</f>
        <v>11429.999999999998</v>
      </c>
      <c r="J32" s="127"/>
      <c r="K32" s="127">
        <f>'[1]Stage 4'!K32</f>
        <v>11430</v>
      </c>
      <c r="L32" s="127"/>
      <c r="M32" s="127">
        <f>'[1]Stage 5'!M32</f>
        <v>11430</v>
      </c>
      <c r="N32" s="127"/>
      <c r="O32" s="125">
        <f>'[1]Stage 6'!O32</f>
        <v>11430</v>
      </c>
      <c r="P32" s="127"/>
      <c r="Q32" s="129">
        <f>SUM(Q11:Q31)</f>
        <v>11429.999999999998</v>
      </c>
      <c r="T32" s="90">
        <f>'[1]Verification of Boxes'!J28</f>
        <v>0</v>
      </c>
      <c r="U32" s="91">
        <f t="shared" si="14"/>
        <v>0</v>
      </c>
      <c r="V32" s="33"/>
      <c r="W32" s="34">
        <f t="shared" si="15"/>
        <v>0</v>
      </c>
      <c r="X32" s="35"/>
      <c r="Y32" s="33">
        <f t="shared" si="18"/>
        <v>0</v>
      </c>
      <c r="Z32" s="33">
        <f t="shared" si="16"/>
        <v>0</v>
      </c>
      <c r="AA32" s="92">
        <f t="shared" si="17"/>
        <v>0</v>
      </c>
      <c r="AF32" s="153"/>
      <c r="AG32" s="154"/>
      <c r="AH32" s="154"/>
      <c r="AI32" s="154"/>
      <c r="AJ32" s="154"/>
      <c r="AK32" s="155"/>
      <c r="AL32" s="5"/>
      <c r="AM32" s="5"/>
      <c r="AN32" s="33" t="e">
        <f>AN31+AQ32</f>
        <v>#REF!</v>
      </c>
      <c r="AO32" s="33" t="e">
        <f>IF(AI25&lt;&gt;0,1,0)</f>
        <v>#REF!</v>
      </c>
      <c r="AP32" s="33" t="e">
        <f>AP31+AO32</f>
        <v>#REF!</v>
      </c>
      <c r="AQ32" s="33" t="e">
        <f>IF(AH25&lt;AG26,1,0)</f>
        <v>#REF!</v>
      </c>
      <c r="AR32" s="5"/>
      <c r="AZ32" s="156"/>
      <c r="BA32" s="156"/>
      <c r="BR32" s="158"/>
      <c r="BS32" s="158"/>
      <c r="BV32" s="153"/>
      <c r="BW32" s="154"/>
      <c r="BX32" s="154"/>
      <c r="BY32" s="155"/>
    </row>
    <row r="33" spans="4:72" x14ac:dyDescent="0.25">
      <c r="D33" s="128"/>
      <c r="E33" s="93"/>
      <c r="F33" s="5"/>
      <c r="G33" s="93"/>
      <c r="H33" s="5"/>
      <c r="I33" s="93"/>
      <c r="J33" s="5"/>
      <c r="K33" s="93"/>
      <c r="L33" s="5"/>
      <c r="M33" s="93"/>
      <c r="N33" s="5"/>
      <c r="O33" s="93"/>
      <c r="P33" s="5"/>
      <c r="Q33" s="5"/>
    </row>
    <row r="34" spans="4:72" x14ac:dyDescent="0.25">
      <c r="D34" s="128"/>
      <c r="E34" s="93"/>
      <c r="F34" s="5"/>
      <c r="G34" s="93"/>
      <c r="H34" s="5"/>
      <c r="I34" s="93"/>
      <c r="J34" s="5"/>
      <c r="K34" s="93"/>
      <c r="L34" s="5"/>
      <c r="M34" s="93"/>
      <c r="N34" s="5"/>
      <c r="O34" s="93"/>
      <c r="P34" s="5"/>
      <c r="Q34" s="5"/>
    </row>
    <row r="36" spans="4:72" x14ac:dyDescent="0.25">
      <c r="AE36" s="6"/>
      <c r="AF36" s="33">
        <v>1</v>
      </c>
      <c r="AG36" s="33">
        <v>2</v>
      </c>
      <c r="AH36" s="33">
        <v>3</v>
      </c>
      <c r="AI36" s="33">
        <v>4</v>
      </c>
      <c r="AJ36" s="33">
        <v>5</v>
      </c>
      <c r="AK36" s="33">
        <v>6</v>
      </c>
    </row>
    <row r="37" spans="4:72" x14ac:dyDescent="0.25">
      <c r="AF37" s="33">
        <f>IF(AJ20="Exclude",1,0)</f>
        <v>0</v>
      </c>
      <c r="AG37" s="33">
        <f>IF(AJ21="Exclude",1,0)</f>
        <v>0</v>
      </c>
      <c r="AH37" s="33">
        <f>IF(AJ22="Exclude",1,0)</f>
        <v>0</v>
      </c>
      <c r="AI37" s="33">
        <f>IF(AJ23="Exclude",1,0)</f>
        <v>0</v>
      </c>
      <c r="AJ37" s="33">
        <f>IF(AJ24="Exclude",1,0)</f>
        <v>0</v>
      </c>
      <c r="AK37" s="33">
        <f>IF(AJ25="Exclude",1,0)</f>
        <v>0</v>
      </c>
    </row>
    <row r="38" spans="4:72" x14ac:dyDescent="0.25">
      <c r="AF38" s="33">
        <f t="shared" ref="AF38:AK38" si="22">AF37+AE38</f>
        <v>0</v>
      </c>
      <c r="AG38" s="33">
        <f t="shared" si="22"/>
        <v>0</v>
      </c>
      <c r="AH38" s="33">
        <f t="shared" si="22"/>
        <v>0</v>
      </c>
      <c r="AI38" s="33">
        <f t="shared" si="22"/>
        <v>0</v>
      </c>
      <c r="AJ38" s="33">
        <f t="shared" si="22"/>
        <v>0</v>
      </c>
      <c r="AK38" s="33">
        <f t="shared" si="22"/>
        <v>0</v>
      </c>
      <c r="BL38" s="145"/>
    </row>
    <row r="39" spans="4:72" x14ac:dyDescent="0.25">
      <c r="AF39" s="33">
        <f t="shared" ref="AF39:AK39" si="23">IF(AE38=AF38,1,0)</f>
        <v>1</v>
      </c>
      <c r="AG39" s="33">
        <f t="shared" si="23"/>
        <v>1</v>
      </c>
      <c r="AH39" s="33">
        <f t="shared" si="23"/>
        <v>1</v>
      </c>
      <c r="AI39" s="33">
        <f t="shared" si="23"/>
        <v>1</v>
      </c>
      <c r="AJ39" s="33">
        <f t="shared" si="23"/>
        <v>1</v>
      </c>
      <c r="AK39" s="33">
        <f t="shared" si="23"/>
        <v>1</v>
      </c>
      <c r="BL39" s="145"/>
    </row>
    <row r="40" spans="4:72" x14ac:dyDescent="0.25">
      <c r="AF40" s="33">
        <f t="shared" ref="AF40:AK40" si="24">IF(AG38=AF36,"add",0)</f>
        <v>0</v>
      </c>
      <c r="AG40" s="33">
        <f t="shared" si="24"/>
        <v>0</v>
      </c>
      <c r="AH40" s="33">
        <f t="shared" si="24"/>
        <v>0</v>
      </c>
      <c r="AI40" s="33">
        <f t="shared" si="24"/>
        <v>0</v>
      </c>
      <c r="AJ40" s="33">
        <f t="shared" si="24"/>
        <v>0</v>
      </c>
      <c r="AK40" s="33">
        <f t="shared" si="24"/>
        <v>0</v>
      </c>
      <c r="BL40" s="145"/>
    </row>
    <row r="41" spans="4:72" x14ac:dyDescent="0.25">
      <c r="AE41" s="2">
        <f>SUM(AF41:AK41)</f>
        <v>0</v>
      </c>
      <c r="AF41" s="33" t="str">
        <f>IF(AF40="add",AH20,"other")</f>
        <v>other</v>
      </c>
      <c r="AG41" s="33" t="str">
        <f>IF(AG40="add",AH21,"other")</f>
        <v>other</v>
      </c>
      <c r="AH41" s="33" t="str">
        <f>IF(AH40="add",AH22,"other")</f>
        <v>other</v>
      </c>
      <c r="AI41" s="33" t="str">
        <f>IF(AI40="add",AH23,"other")</f>
        <v>other</v>
      </c>
      <c r="AJ41" s="33" t="str">
        <f>IF(AJ40="add",AH24,"other")</f>
        <v>other</v>
      </c>
      <c r="AK41" s="33" t="str">
        <f>IF(AK40="add",AH25,"other")</f>
        <v>other</v>
      </c>
      <c r="BL41" s="5"/>
    </row>
    <row r="43" spans="4:72" ht="15.75" x14ac:dyDescent="0.25">
      <c r="AD43" s="11" t="s">
        <v>108</v>
      </c>
      <c r="AE43" s="11"/>
      <c r="AF43" s="11"/>
      <c r="AG43" s="11"/>
      <c r="AH43" s="11"/>
    </row>
    <row r="44" spans="4:72" x14ac:dyDescent="0.25">
      <c r="AF44" s="91" t="e">
        <f>AF45</f>
        <v>#REF!</v>
      </c>
      <c r="AG44" s="33"/>
      <c r="AH44" s="91" t="e">
        <f>AH45+AF44</f>
        <v>#REF!</v>
      </c>
      <c r="AI44" s="33"/>
      <c r="AJ44" s="91" t="e">
        <f>AJ45+AH44</f>
        <v>#REF!</v>
      </c>
      <c r="AK44" s="33"/>
      <c r="AL44" s="91" t="e">
        <f>AL45+AJ44</f>
        <v>#REF!</v>
      </c>
      <c r="AM44" s="94"/>
      <c r="AO44" s="94" t="e">
        <f>AO45+AL44</f>
        <v>#REF!</v>
      </c>
      <c r="AQ44" s="94" t="e">
        <f>AQ45+AO44</f>
        <v>#REF!</v>
      </c>
      <c r="AR44" s="94"/>
      <c r="BA44" s="2" t="s">
        <v>109</v>
      </c>
      <c r="BS44" s="10" t="s">
        <v>110</v>
      </c>
      <c r="BT44" s="33">
        <f>IF(BN3&lt;&gt;0,1,0)</f>
        <v>1</v>
      </c>
    </row>
    <row r="45" spans="4:72" x14ac:dyDescent="0.25">
      <c r="AF45" s="91" t="e">
        <f>MIN(AF46:AF65)</f>
        <v>#REF!</v>
      </c>
      <c r="AG45" s="33"/>
      <c r="AH45" s="91" t="e">
        <f>MIN(AH46:AH65)</f>
        <v>#REF!</v>
      </c>
      <c r="AI45" s="33"/>
      <c r="AJ45" s="91" t="e">
        <f>MIN(AJ46:AJ65)</f>
        <v>#REF!</v>
      </c>
      <c r="AK45" s="33"/>
      <c r="AL45" s="91" t="e">
        <f>MIN(AL46:AL65)</f>
        <v>#REF!</v>
      </c>
      <c r="AM45" s="94"/>
      <c r="AO45" s="94" t="e">
        <f>MIN(AO46:AO65)</f>
        <v>#REF!</v>
      </c>
      <c r="AQ45" s="94" t="e">
        <f>MIN(AQ46:AQ65)</f>
        <v>#REF!</v>
      </c>
      <c r="AR45" s="94"/>
    </row>
    <row r="46" spans="4:72" ht="45" x14ac:dyDescent="0.25">
      <c r="AD46" s="2" t="str">
        <f t="shared" ref="AD46:AD64" si="25">T14</f>
        <v>Barr, Glenn</v>
      </c>
      <c r="AE46" s="94">
        <f t="shared" ref="AE46:AE64" si="26">U14</f>
        <v>1429</v>
      </c>
      <c r="AF46" s="33">
        <f>IF(AE46&lt;&gt;0,AE46,1000000)</f>
        <v>1429</v>
      </c>
      <c r="AG46" s="91" t="e">
        <f t="shared" ref="AG46:AG65" si="27">AF46-AF$45</f>
        <v>#REF!</v>
      </c>
      <c r="AH46" s="33" t="e">
        <f>IF(AG46&lt;&gt;0,AG46,1000000)</f>
        <v>#REF!</v>
      </c>
      <c r="AI46" s="91" t="e">
        <f t="shared" ref="AI46:AI65" si="28">AH46-AH$45</f>
        <v>#REF!</v>
      </c>
      <c r="AJ46" s="33" t="e">
        <f t="shared" ref="AJ46:AJ65" si="29">IF(AI46&lt;&gt;0,AI46,1000000)</f>
        <v>#REF!</v>
      </c>
      <c r="AK46" s="91" t="e">
        <f t="shared" ref="AK46:AK65" si="30">AJ46-AJ$45</f>
        <v>#REF!</v>
      </c>
      <c r="AL46" s="33" t="e">
        <f t="shared" ref="AL46:AL65" si="31">IF(AK46&lt;&gt;0,AK46,1000000)</f>
        <v>#REF!</v>
      </c>
      <c r="AN46" s="94" t="e">
        <f t="shared" ref="AN46:AN65" si="32">AL46-AL$45</f>
        <v>#REF!</v>
      </c>
      <c r="AO46" s="2" t="e">
        <f t="shared" ref="AO46:AO65" si="33">IF(AN46&lt;&gt;0,AN46,1000000)</f>
        <v>#REF!</v>
      </c>
      <c r="AP46" s="94" t="e">
        <f t="shared" ref="AP46:AP65" si="34">AO46-AO$45</f>
        <v>#REF!</v>
      </c>
      <c r="AQ46" s="2" t="e">
        <f t="shared" ref="AQ46:AQ65" si="35">IF(AP46&lt;&gt;0,AP46,1000000)</f>
        <v>#REF!</v>
      </c>
      <c r="AY46" s="23" t="s">
        <v>111</v>
      </c>
      <c r="BC46" s="49" t="s">
        <v>112</v>
      </c>
      <c r="BD46" s="49" t="s">
        <v>113</v>
      </c>
      <c r="BE46" s="49" t="s">
        <v>114</v>
      </c>
      <c r="BF46" s="41"/>
      <c r="BG46" s="41"/>
      <c r="BH46" s="41" t="s">
        <v>115</v>
      </c>
      <c r="BI46" s="41"/>
      <c r="BJ46" s="41"/>
      <c r="BQ46" s="2" t="s">
        <v>116</v>
      </c>
      <c r="BT46" s="33">
        <f>SUM(BT48:BT67)</f>
        <v>1</v>
      </c>
    </row>
    <row r="47" spans="4:72" x14ac:dyDescent="0.25">
      <c r="AD47" s="2" t="str">
        <f t="shared" si="25"/>
        <v>Burns, Ian</v>
      </c>
      <c r="AE47" s="94">
        <f t="shared" si="26"/>
        <v>1429</v>
      </c>
      <c r="AF47" s="33">
        <f t="shared" ref="AF47:AF65" si="36">IF(AE47&lt;&gt;0,AE47,1000000)</f>
        <v>1429</v>
      </c>
      <c r="AG47" s="91" t="e">
        <f t="shared" si="27"/>
        <v>#REF!</v>
      </c>
      <c r="AH47" s="33" t="e">
        <f t="shared" ref="AH47:AH65" si="37">IF(AG47&lt;&gt;0,AG47,1000000)</f>
        <v>#REF!</v>
      </c>
      <c r="AI47" s="91" t="e">
        <f t="shared" si="28"/>
        <v>#REF!</v>
      </c>
      <c r="AJ47" s="33" t="e">
        <f t="shared" si="29"/>
        <v>#REF!</v>
      </c>
      <c r="AK47" s="91" t="e">
        <f t="shared" si="30"/>
        <v>#REF!</v>
      </c>
      <c r="AL47" s="33" t="e">
        <f t="shared" si="31"/>
        <v>#REF!</v>
      </c>
      <c r="AN47" s="94" t="e">
        <f t="shared" si="32"/>
        <v>#REF!</v>
      </c>
      <c r="AO47" s="2" t="e">
        <f t="shared" si="33"/>
        <v>#REF!</v>
      </c>
      <c r="AP47" s="94" t="e">
        <f t="shared" si="34"/>
        <v>#REF!</v>
      </c>
      <c r="AQ47" s="2" t="e">
        <f t="shared" si="35"/>
        <v>#REF!</v>
      </c>
      <c r="AY47" s="33">
        <f>IF($BB5="y",$AY5,IF($BB6="y",$AY6,IF($BB7="y",$AY7,IF($BB8="y",$AY8,IF($BB9="y",$AY9,IF($BB10="y",$AY10,0))))))</f>
        <v>0</v>
      </c>
      <c r="BA47" s="100" t="str">
        <f t="shared" ref="BA47:BA66" si="38">AY5</f>
        <v>Barr, Glenn</v>
      </c>
      <c r="BB47" s="102"/>
      <c r="BC47" s="33">
        <f t="shared" ref="BC47:BC66" si="39">IF(AY5=0,0,IF(AY5=AU$8,-AW$12,0))</f>
        <v>0</v>
      </c>
      <c r="BD47" s="33">
        <f t="shared" ref="BD47:BD66" si="40">BH47</f>
        <v>0</v>
      </c>
      <c r="BE47" s="33">
        <f t="shared" ref="BE47:BE66" si="41">BA5+BY8+BD47+BC47</f>
        <v>0</v>
      </c>
      <c r="BH47" s="33">
        <f t="shared" ref="BH47:BH66" si="42">IF(BJ8="y",-BI8,0)</f>
        <v>0</v>
      </c>
      <c r="BQ47" s="33">
        <f t="shared" ref="BQ47:BQ66" si="43">IF(BJ8="y",BI8,0)</f>
        <v>0</v>
      </c>
    </row>
    <row r="48" spans="4:72" x14ac:dyDescent="0.25">
      <c r="AD48" s="2" t="str">
        <f t="shared" si="25"/>
        <v>Curran, Brendan Patrick</v>
      </c>
      <c r="AE48" s="94">
        <f t="shared" si="26"/>
        <v>1333.56</v>
      </c>
      <c r="AF48" s="33">
        <f t="shared" si="36"/>
        <v>1333.56</v>
      </c>
      <c r="AG48" s="91" t="e">
        <f t="shared" si="27"/>
        <v>#REF!</v>
      </c>
      <c r="AH48" s="33" t="e">
        <f t="shared" si="37"/>
        <v>#REF!</v>
      </c>
      <c r="AI48" s="91" t="e">
        <f t="shared" si="28"/>
        <v>#REF!</v>
      </c>
      <c r="AJ48" s="33" t="e">
        <f t="shared" si="29"/>
        <v>#REF!</v>
      </c>
      <c r="AK48" s="91" t="e">
        <f t="shared" si="30"/>
        <v>#REF!</v>
      </c>
      <c r="AL48" s="33" t="e">
        <f t="shared" si="31"/>
        <v>#REF!</v>
      </c>
      <c r="AN48" s="94" t="e">
        <f t="shared" si="32"/>
        <v>#REF!</v>
      </c>
      <c r="AO48" s="2" t="e">
        <f t="shared" si="33"/>
        <v>#REF!</v>
      </c>
      <c r="AP48" s="94" t="e">
        <f t="shared" si="34"/>
        <v>#REF!</v>
      </c>
      <c r="AQ48" s="2" t="e">
        <f t="shared" si="35"/>
        <v>#REF!</v>
      </c>
      <c r="AY48" s="33">
        <f>IF($BB11="y",$AY11,IF($BB12="y",$AY12,IF($BB13="y",$AY13,IF($BB14="y",$AY14,IF($BB15="y",$AY15,IF($BB16="y",$AY16,0))))))</f>
        <v>0</v>
      </c>
      <c r="BA48" s="104" t="str">
        <f t="shared" si="38"/>
        <v>Burns, Ian</v>
      </c>
      <c r="BB48" s="105"/>
      <c r="BC48" s="33">
        <f t="shared" si="39"/>
        <v>0</v>
      </c>
      <c r="BD48" s="33">
        <f t="shared" si="40"/>
        <v>0</v>
      </c>
      <c r="BE48" s="33">
        <f t="shared" si="41"/>
        <v>0</v>
      </c>
      <c r="BH48" s="33">
        <f t="shared" si="42"/>
        <v>0</v>
      </c>
      <c r="BQ48" s="33">
        <f t="shared" si="43"/>
        <v>0</v>
      </c>
      <c r="BT48" s="33">
        <f t="shared" ref="BT48:BT67" si="44">IF(BJ8="y",1,0)</f>
        <v>0</v>
      </c>
    </row>
    <row r="49" spans="30:72" x14ac:dyDescent="0.25">
      <c r="AD49" s="2" t="str">
        <f t="shared" si="25"/>
        <v>Doyle, Seamus</v>
      </c>
      <c r="AE49" s="94">
        <f t="shared" si="26"/>
        <v>1259.8800000000001</v>
      </c>
      <c r="AF49" s="33">
        <f t="shared" si="36"/>
        <v>1259.8800000000001</v>
      </c>
      <c r="AG49" s="91" t="e">
        <f t="shared" si="27"/>
        <v>#REF!</v>
      </c>
      <c r="AH49" s="33" t="e">
        <f t="shared" si="37"/>
        <v>#REF!</v>
      </c>
      <c r="AI49" s="91" t="e">
        <f t="shared" si="28"/>
        <v>#REF!</v>
      </c>
      <c r="AJ49" s="33" t="e">
        <f t="shared" si="29"/>
        <v>#REF!</v>
      </c>
      <c r="AK49" s="91" t="e">
        <f t="shared" si="30"/>
        <v>#REF!</v>
      </c>
      <c r="AL49" s="33" t="e">
        <f t="shared" si="31"/>
        <v>#REF!</v>
      </c>
      <c r="AN49" s="94" t="e">
        <f t="shared" si="32"/>
        <v>#REF!</v>
      </c>
      <c r="AO49" s="2" t="e">
        <f t="shared" si="33"/>
        <v>#REF!</v>
      </c>
      <c r="AP49" s="94" t="e">
        <f t="shared" si="34"/>
        <v>#REF!</v>
      </c>
      <c r="AQ49" s="2" t="e">
        <f t="shared" si="35"/>
        <v>#REF!</v>
      </c>
      <c r="AY49" s="33">
        <f>IF($BB17="y",$AY17,IF($BB18="y",$AY18,IF($BB19="y",$AY19,IF($BB20="y",$AY20,IF($BB21="y",$AY21,IF($BB22="y",$AY22,0))))))</f>
        <v>0</v>
      </c>
      <c r="BA49" s="104" t="str">
        <f t="shared" si="38"/>
        <v>Curran, Brendan Patrick</v>
      </c>
      <c r="BB49" s="105"/>
      <c r="BC49" s="33">
        <f t="shared" si="39"/>
        <v>0</v>
      </c>
      <c r="BD49" s="33">
        <f t="shared" si="40"/>
        <v>0</v>
      </c>
      <c r="BE49" s="33">
        <f t="shared" si="41"/>
        <v>1</v>
      </c>
      <c r="BH49" s="33">
        <f t="shared" si="42"/>
        <v>0</v>
      </c>
      <c r="BQ49" s="33">
        <f t="shared" si="43"/>
        <v>0</v>
      </c>
      <c r="BT49" s="33">
        <f t="shared" si="44"/>
        <v>0</v>
      </c>
    </row>
    <row r="50" spans="30:72" x14ac:dyDescent="0.25">
      <c r="AD50" s="2" t="str">
        <f t="shared" si="25"/>
        <v>Greenfield, Paul</v>
      </c>
      <c r="AE50" s="94">
        <f t="shared" si="26"/>
        <v>1137.2399999999998</v>
      </c>
      <c r="AF50" s="33">
        <f t="shared" si="36"/>
        <v>1137.2399999999998</v>
      </c>
      <c r="AG50" s="91" t="e">
        <f t="shared" si="27"/>
        <v>#REF!</v>
      </c>
      <c r="AH50" s="33" t="e">
        <f t="shared" si="37"/>
        <v>#REF!</v>
      </c>
      <c r="AI50" s="91" t="e">
        <f t="shared" si="28"/>
        <v>#REF!</v>
      </c>
      <c r="AJ50" s="33" t="e">
        <f t="shared" si="29"/>
        <v>#REF!</v>
      </c>
      <c r="AK50" s="91" t="e">
        <f t="shared" si="30"/>
        <v>#REF!</v>
      </c>
      <c r="AL50" s="33" t="e">
        <f t="shared" si="31"/>
        <v>#REF!</v>
      </c>
      <c r="AN50" s="94" t="e">
        <f t="shared" si="32"/>
        <v>#REF!</v>
      </c>
      <c r="AO50" s="2" t="e">
        <f t="shared" si="33"/>
        <v>#REF!</v>
      </c>
      <c r="AP50" s="94" t="e">
        <f t="shared" si="34"/>
        <v>#REF!</v>
      </c>
      <c r="AQ50" s="2" t="e">
        <f t="shared" si="35"/>
        <v>#REF!</v>
      </c>
      <c r="AY50" s="33">
        <f>IF($BB23="y",$AY23,IF($BB24="y",$AY24,0))</f>
        <v>0</v>
      </c>
      <c r="BA50" s="104" t="str">
        <f t="shared" si="38"/>
        <v>Doyle, Seamus</v>
      </c>
      <c r="BB50" s="105"/>
      <c r="BC50" s="33">
        <f t="shared" si="39"/>
        <v>0</v>
      </c>
      <c r="BD50" s="33">
        <f t="shared" si="40"/>
        <v>0</v>
      </c>
      <c r="BE50" s="33">
        <f t="shared" si="41"/>
        <v>15.8</v>
      </c>
      <c r="BH50" s="33">
        <f t="shared" si="42"/>
        <v>0</v>
      </c>
      <c r="BQ50" s="33">
        <f t="shared" si="43"/>
        <v>0</v>
      </c>
      <c r="BT50" s="33">
        <f t="shared" si="44"/>
        <v>0</v>
      </c>
    </row>
    <row r="51" spans="30:72" x14ac:dyDescent="0.25">
      <c r="AD51" s="2" t="str">
        <f t="shared" si="25"/>
        <v>Hamilton, Marie</v>
      </c>
      <c r="AE51" s="94">
        <f t="shared" si="26"/>
        <v>1003.56</v>
      </c>
      <c r="AF51" s="33">
        <f t="shared" si="36"/>
        <v>1003.56</v>
      </c>
      <c r="AG51" s="91" t="e">
        <f t="shared" si="27"/>
        <v>#REF!</v>
      </c>
      <c r="AH51" s="33" t="e">
        <f t="shared" si="37"/>
        <v>#REF!</v>
      </c>
      <c r="AI51" s="91" t="e">
        <f t="shared" si="28"/>
        <v>#REF!</v>
      </c>
      <c r="AJ51" s="33" t="e">
        <f t="shared" si="29"/>
        <v>#REF!</v>
      </c>
      <c r="AK51" s="91" t="e">
        <f t="shared" si="30"/>
        <v>#REF!</v>
      </c>
      <c r="AL51" s="33" t="e">
        <f t="shared" si="31"/>
        <v>#REF!</v>
      </c>
      <c r="AN51" s="94" t="e">
        <f t="shared" si="32"/>
        <v>#REF!</v>
      </c>
      <c r="AO51" s="2" t="e">
        <f t="shared" si="33"/>
        <v>#REF!</v>
      </c>
      <c r="AP51" s="94" t="e">
        <f t="shared" si="34"/>
        <v>#REF!</v>
      </c>
      <c r="AQ51" s="2" t="e">
        <f t="shared" si="35"/>
        <v>#REF!</v>
      </c>
      <c r="BA51" s="104" t="str">
        <f t="shared" si="38"/>
        <v>Greenfield, Paul</v>
      </c>
      <c r="BB51" s="105"/>
      <c r="BC51" s="33">
        <f t="shared" si="39"/>
        <v>0</v>
      </c>
      <c r="BD51" s="33">
        <f t="shared" si="40"/>
        <v>0</v>
      </c>
      <c r="BE51" s="33">
        <f t="shared" si="41"/>
        <v>417</v>
      </c>
      <c r="BH51" s="33">
        <f t="shared" si="42"/>
        <v>0</v>
      </c>
      <c r="BQ51" s="33">
        <f t="shared" si="43"/>
        <v>0</v>
      </c>
      <c r="BT51" s="33">
        <f t="shared" si="44"/>
        <v>0</v>
      </c>
    </row>
    <row r="52" spans="30:72" x14ac:dyDescent="0.25">
      <c r="AD52" s="2" t="str">
        <f t="shared" si="25"/>
        <v>Hutchinson, Emma</v>
      </c>
      <c r="AE52" s="94">
        <f t="shared" si="26"/>
        <v>0</v>
      </c>
      <c r="AF52" s="33">
        <f t="shared" si="36"/>
        <v>1000000</v>
      </c>
      <c r="AG52" s="91" t="e">
        <f t="shared" si="27"/>
        <v>#REF!</v>
      </c>
      <c r="AH52" s="33" t="e">
        <f t="shared" si="37"/>
        <v>#REF!</v>
      </c>
      <c r="AI52" s="91" t="e">
        <f t="shared" si="28"/>
        <v>#REF!</v>
      </c>
      <c r="AJ52" s="33" t="e">
        <f t="shared" si="29"/>
        <v>#REF!</v>
      </c>
      <c r="AK52" s="91" t="e">
        <f t="shared" si="30"/>
        <v>#REF!</v>
      </c>
      <c r="AL52" s="33" t="e">
        <f t="shared" si="31"/>
        <v>#REF!</v>
      </c>
      <c r="AN52" s="94" t="e">
        <f t="shared" si="32"/>
        <v>#REF!</v>
      </c>
      <c r="AO52" s="2" t="e">
        <f t="shared" si="33"/>
        <v>#REF!</v>
      </c>
      <c r="AP52" s="94" t="e">
        <f t="shared" si="34"/>
        <v>#REF!</v>
      </c>
      <c r="AQ52" s="2" t="e">
        <f t="shared" si="35"/>
        <v>#REF!</v>
      </c>
      <c r="BA52" s="104" t="str">
        <f t="shared" si="38"/>
        <v>Hamilton, Marie</v>
      </c>
      <c r="BB52" s="105"/>
      <c r="BC52" s="33">
        <f t="shared" si="39"/>
        <v>0</v>
      </c>
      <c r="BD52" s="33">
        <f t="shared" si="40"/>
        <v>0</v>
      </c>
      <c r="BE52" s="33">
        <f t="shared" si="41"/>
        <v>24.8</v>
      </c>
      <c r="BH52" s="33">
        <f t="shared" si="42"/>
        <v>0</v>
      </c>
      <c r="BQ52" s="33">
        <f t="shared" si="43"/>
        <v>0</v>
      </c>
      <c r="BT52" s="33">
        <f t="shared" si="44"/>
        <v>0</v>
      </c>
    </row>
    <row r="53" spans="30:72" x14ac:dyDescent="0.25">
      <c r="AD53" s="2" t="str">
        <f t="shared" si="25"/>
        <v>Ingram, Elizabeth</v>
      </c>
      <c r="AE53" s="94">
        <f t="shared" si="26"/>
        <v>1431.68</v>
      </c>
      <c r="AF53" s="33">
        <f t="shared" si="36"/>
        <v>1431.68</v>
      </c>
      <c r="AG53" s="91" t="e">
        <f t="shared" si="27"/>
        <v>#REF!</v>
      </c>
      <c r="AH53" s="33" t="e">
        <f t="shared" si="37"/>
        <v>#REF!</v>
      </c>
      <c r="AI53" s="91" t="e">
        <f t="shared" si="28"/>
        <v>#REF!</v>
      </c>
      <c r="AJ53" s="33" t="e">
        <f t="shared" si="29"/>
        <v>#REF!</v>
      </c>
      <c r="AK53" s="91" t="e">
        <f t="shared" si="30"/>
        <v>#REF!</v>
      </c>
      <c r="AL53" s="33" t="e">
        <f t="shared" si="31"/>
        <v>#REF!</v>
      </c>
      <c r="AN53" s="94" t="e">
        <f t="shared" si="32"/>
        <v>#REF!</v>
      </c>
      <c r="AO53" s="2" t="e">
        <f t="shared" si="33"/>
        <v>#REF!</v>
      </c>
      <c r="AP53" s="94" t="e">
        <f t="shared" si="34"/>
        <v>#REF!</v>
      </c>
      <c r="AQ53" s="2" t="e">
        <f t="shared" si="35"/>
        <v>#REF!</v>
      </c>
      <c r="BA53" s="104" t="str">
        <f t="shared" si="38"/>
        <v>Hutchinson, Emma</v>
      </c>
      <c r="BB53" s="105"/>
      <c r="BC53" s="33">
        <f t="shared" si="39"/>
        <v>0</v>
      </c>
      <c r="BD53" s="33">
        <f t="shared" si="40"/>
        <v>0</v>
      </c>
      <c r="BE53" s="33">
        <f t="shared" si="41"/>
        <v>0</v>
      </c>
      <c r="BH53" s="33">
        <f t="shared" si="42"/>
        <v>0</v>
      </c>
      <c r="BQ53" s="33">
        <f t="shared" si="43"/>
        <v>0</v>
      </c>
      <c r="BT53" s="33">
        <f t="shared" si="44"/>
        <v>0</v>
      </c>
    </row>
    <row r="54" spans="30:72" x14ac:dyDescent="0.25">
      <c r="AD54" s="2" t="str">
        <f t="shared" si="25"/>
        <v>McCrum, Junior</v>
      </c>
      <c r="AE54" s="94">
        <f t="shared" si="26"/>
        <v>1217.3200000000002</v>
      </c>
      <c r="AF54" s="33">
        <f t="shared" si="36"/>
        <v>1217.3200000000002</v>
      </c>
      <c r="AG54" s="91" t="e">
        <f t="shared" si="27"/>
        <v>#REF!</v>
      </c>
      <c r="AH54" s="33" t="e">
        <f t="shared" si="37"/>
        <v>#REF!</v>
      </c>
      <c r="AI54" s="91" t="e">
        <f t="shared" si="28"/>
        <v>#REF!</v>
      </c>
      <c r="AJ54" s="33" t="e">
        <f t="shared" si="29"/>
        <v>#REF!</v>
      </c>
      <c r="AK54" s="91" t="e">
        <f t="shared" si="30"/>
        <v>#REF!</v>
      </c>
      <c r="AL54" s="33" t="e">
        <f t="shared" si="31"/>
        <v>#REF!</v>
      </c>
      <c r="AN54" s="94" t="e">
        <f t="shared" si="32"/>
        <v>#REF!</v>
      </c>
      <c r="AO54" s="2" t="e">
        <f t="shared" si="33"/>
        <v>#REF!</v>
      </c>
      <c r="AP54" s="94" t="e">
        <f t="shared" si="34"/>
        <v>#REF!</v>
      </c>
      <c r="AQ54" s="2" t="e">
        <f t="shared" si="35"/>
        <v>#REF!</v>
      </c>
      <c r="BA54" s="104" t="str">
        <f t="shared" si="38"/>
        <v>Ingram, Elizabeth</v>
      </c>
      <c r="BB54" s="105"/>
      <c r="BC54" s="33">
        <f t="shared" si="39"/>
        <v>0</v>
      </c>
      <c r="BD54" s="33">
        <f t="shared" si="40"/>
        <v>0</v>
      </c>
      <c r="BE54" s="33">
        <f t="shared" si="41"/>
        <v>0</v>
      </c>
      <c r="BH54" s="33">
        <f t="shared" si="42"/>
        <v>0</v>
      </c>
      <c r="BQ54" s="33">
        <f t="shared" si="43"/>
        <v>0</v>
      </c>
      <c r="BT54" s="33">
        <f t="shared" si="44"/>
        <v>0</v>
      </c>
    </row>
    <row r="55" spans="30:72" x14ac:dyDescent="0.25">
      <c r="AD55" s="2" t="str">
        <f t="shared" si="25"/>
        <v>McQuaid, Sheila Mary</v>
      </c>
      <c r="AE55" s="94">
        <f t="shared" si="26"/>
        <v>0</v>
      </c>
      <c r="AF55" s="33">
        <f t="shared" si="36"/>
        <v>1000000</v>
      </c>
      <c r="AG55" s="91" t="e">
        <f t="shared" si="27"/>
        <v>#REF!</v>
      </c>
      <c r="AH55" s="33" t="e">
        <f t="shared" si="37"/>
        <v>#REF!</v>
      </c>
      <c r="AI55" s="91" t="e">
        <f t="shared" si="28"/>
        <v>#REF!</v>
      </c>
      <c r="AJ55" s="33" t="e">
        <f t="shared" si="29"/>
        <v>#REF!</v>
      </c>
      <c r="AK55" s="91" t="e">
        <f t="shared" si="30"/>
        <v>#REF!</v>
      </c>
      <c r="AL55" s="33" t="e">
        <f t="shared" si="31"/>
        <v>#REF!</v>
      </c>
      <c r="AN55" s="94" t="e">
        <f t="shared" si="32"/>
        <v>#REF!</v>
      </c>
      <c r="AO55" s="2" t="e">
        <f t="shared" si="33"/>
        <v>#REF!</v>
      </c>
      <c r="AP55" s="94" t="e">
        <f t="shared" si="34"/>
        <v>#REF!</v>
      </c>
      <c r="AQ55" s="2" t="e">
        <f t="shared" si="35"/>
        <v>#REF!</v>
      </c>
      <c r="BA55" s="104" t="str">
        <f t="shared" si="38"/>
        <v>McCrum, Junior</v>
      </c>
      <c r="BB55" s="105"/>
      <c r="BC55" s="33">
        <f t="shared" si="39"/>
        <v>0</v>
      </c>
      <c r="BD55" s="33">
        <f t="shared" si="40"/>
        <v>0</v>
      </c>
      <c r="BE55" s="33">
        <f t="shared" si="41"/>
        <v>275</v>
      </c>
      <c r="BH55" s="33">
        <f t="shared" si="42"/>
        <v>0</v>
      </c>
      <c r="BQ55" s="33">
        <f t="shared" si="43"/>
        <v>0</v>
      </c>
      <c r="BT55" s="33">
        <f t="shared" si="44"/>
        <v>0</v>
      </c>
    </row>
    <row r="56" spans="30:72" x14ac:dyDescent="0.25">
      <c r="AD56" s="2" t="str">
        <f t="shared" si="25"/>
        <v>Savage, Kevin Jude</v>
      </c>
      <c r="AE56" s="94">
        <f t="shared" si="26"/>
        <v>0</v>
      </c>
      <c r="AF56" s="33">
        <f t="shared" si="36"/>
        <v>1000000</v>
      </c>
      <c r="AG56" s="91" t="e">
        <f t="shared" si="27"/>
        <v>#REF!</v>
      </c>
      <c r="AH56" s="33" t="e">
        <f t="shared" si="37"/>
        <v>#REF!</v>
      </c>
      <c r="AI56" s="91" t="e">
        <f t="shared" si="28"/>
        <v>#REF!</v>
      </c>
      <c r="AJ56" s="33" t="e">
        <f t="shared" si="29"/>
        <v>#REF!</v>
      </c>
      <c r="AK56" s="91" t="e">
        <f t="shared" si="30"/>
        <v>#REF!</v>
      </c>
      <c r="AL56" s="33" t="e">
        <f t="shared" si="31"/>
        <v>#REF!</v>
      </c>
      <c r="AN56" s="94" t="e">
        <f t="shared" si="32"/>
        <v>#REF!</v>
      </c>
      <c r="AO56" s="2" t="e">
        <f t="shared" si="33"/>
        <v>#REF!</v>
      </c>
      <c r="AP56" s="94" t="e">
        <f t="shared" si="34"/>
        <v>#REF!</v>
      </c>
      <c r="AQ56" s="2" t="e">
        <f t="shared" si="35"/>
        <v>#REF!</v>
      </c>
      <c r="BA56" s="104" t="str">
        <f t="shared" si="38"/>
        <v>McQuaid, Sheila Mary</v>
      </c>
      <c r="BB56" s="105"/>
      <c r="BC56" s="33">
        <f t="shared" si="39"/>
        <v>0</v>
      </c>
      <c r="BD56" s="33">
        <f t="shared" si="40"/>
        <v>0</v>
      </c>
      <c r="BE56" s="33">
        <f t="shared" si="41"/>
        <v>0</v>
      </c>
      <c r="BH56" s="33">
        <f t="shared" si="42"/>
        <v>0</v>
      </c>
      <c r="BQ56" s="33">
        <f t="shared" si="43"/>
        <v>0</v>
      </c>
      <c r="BT56" s="33">
        <f t="shared" si="44"/>
        <v>0</v>
      </c>
    </row>
    <row r="57" spans="30:72" x14ac:dyDescent="0.25">
      <c r="AD57" s="2" t="str">
        <f t="shared" si="25"/>
        <v>Wilson, Ian McMaster</v>
      </c>
      <c r="AE57" s="94">
        <f t="shared" si="26"/>
        <v>868.04000000000008</v>
      </c>
      <c r="AF57" s="33">
        <f t="shared" si="36"/>
        <v>868.04000000000008</v>
      </c>
      <c r="AG57" s="91" t="e">
        <f t="shared" si="27"/>
        <v>#REF!</v>
      </c>
      <c r="AH57" s="33" t="e">
        <f t="shared" si="37"/>
        <v>#REF!</v>
      </c>
      <c r="AI57" s="91" t="e">
        <f t="shared" si="28"/>
        <v>#REF!</v>
      </c>
      <c r="AJ57" s="33" t="e">
        <f t="shared" si="29"/>
        <v>#REF!</v>
      </c>
      <c r="AK57" s="91" t="e">
        <f t="shared" si="30"/>
        <v>#REF!</v>
      </c>
      <c r="AL57" s="33" t="e">
        <f t="shared" si="31"/>
        <v>#REF!</v>
      </c>
      <c r="AN57" s="94" t="e">
        <f t="shared" si="32"/>
        <v>#REF!</v>
      </c>
      <c r="AO57" s="2" t="e">
        <f t="shared" si="33"/>
        <v>#REF!</v>
      </c>
      <c r="AP57" s="94" t="e">
        <f t="shared" si="34"/>
        <v>#REF!</v>
      </c>
      <c r="AQ57" s="2" t="e">
        <f t="shared" si="35"/>
        <v>#REF!</v>
      </c>
      <c r="BA57" s="104" t="str">
        <f t="shared" si="38"/>
        <v>Savage, Kevin Jude</v>
      </c>
      <c r="BB57" s="105"/>
      <c r="BC57" s="33">
        <f t="shared" si="39"/>
        <v>0</v>
      </c>
      <c r="BD57" s="33">
        <f t="shared" si="40"/>
        <v>0</v>
      </c>
      <c r="BE57" s="33">
        <f t="shared" si="41"/>
        <v>0</v>
      </c>
      <c r="BH57" s="33">
        <f t="shared" si="42"/>
        <v>0</v>
      </c>
      <c r="BQ57" s="33">
        <f t="shared" si="43"/>
        <v>0</v>
      </c>
      <c r="BT57" s="33">
        <f t="shared" si="44"/>
        <v>0</v>
      </c>
    </row>
    <row r="58" spans="30:72" x14ac:dyDescent="0.25">
      <c r="AD58" s="2">
        <f t="shared" si="25"/>
        <v>0</v>
      </c>
      <c r="AE58" s="94">
        <f t="shared" si="26"/>
        <v>0</v>
      </c>
      <c r="AF58" s="33">
        <f t="shared" si="36"/>
        <v>1000000</v>
      </c>
      <c r="AG58" s="91" t="e">
        <f t="shared" si="27"/>
        <v>#REF!</v>
      </c>
      <c r="AH58" s="33" t="e">
        <f t="shared" si="37"/>
        <v>#REF!</v>
      </c>
      <c r="AI58" s="91" t="e">
        <f t="shared" si="28"/>
        <v>#REF!</v>
      </c>
      <c r="AJ58" s="33" t="e">
        <f t="shared" si="29"/>
        <v>#REF!</v>
      </c>
      <c r="AK58" s="91" t="e">
        <f t="shared" si="30"/>
        <v>#REF!</v>
      </c>
      <c r="AL58" s="33" t="e">
        <f t="shared" si="31"/>
        <v>#REF!</v>
      </c>
      <c r="AN58" s="94" t="e">
        <f t="shared" si="32"/>
        <v>#REF!</v>
      </c>
      <c r="AO58" s="2" t="e">
        <f t="shared" si="33"/>
        <v>#REF!</v>
      </c>
      <c r="AP58" s="94" t="e">
        <f t="shared" si="34"/>
        <v>#REF!</v>
      </c>
      <c r="AQ58" s="2" t="e">
        <f t="shared" si="35"/>
        <v>#REF!</v>
      </c>
      <c r="BA58" s="104" t="str">
        <f t="shared" si="38"/>
        <v>Wilson, Ian McMaster</v>
      </c>
      <c r="BB58" s="105"/>
      <c r="BC58" s="33">
        <f t="shared" si="39"/>
        <v>0</v>
      </c>
      <c r="BD58" s="33">
        <f t="shared" si="40"/>
        <v>-868.04000000000008</v>
      </c>
      <c r="BE58" s="33">
        <f t="shared" si="41"/>
        <v>-868.04000000000008</v>
      </c>
      <c r="BH58" s="33">
        <f t="shared" si="42"/>
        <v>-868.04000000000008</v>
      </c>
      <c r="BQ58" s="33">
        <f t="shared" si="43"/>
        <v>868.04000000000008</v>
      </c>
      <c r="BT58" s="33">
        <f t="shared" si="44"/>
        <v>0</v>
      </c>
    </row>
    <row r="59" spans="30:72" x14ac:dyDescent="0.25">
      <c r="AD59" s="2">
        <f t="shared" si="25"/>
        <v>0</v>
      </c>
      <c r="AE59" s="94">
        <f t="shared" si="26"/>
        <v>0</v>
      </c>
      <c r="AF59" s="33">
        <f t="shared" si="36"/>
        <v>1000000</v>
      </c>
      <c r="AG59" s="91" t="e">
        <f t="shared" si="27"/>
        <v>#REF!</v>
      </c>
      <c r="AH59" s="33" t="e">
        <f t="shared" si="37"/>
        <v>#REF!</v>
      </c>
      <c r="AI59" s="91" t="e">
        <f t="shared" si="28"/>
        <v>#REF!</v>
      </c>
      <c r="AJ59" s="33" t="e">
        <f t="shared" si="29"/>
        <v>#REF!</v>
      </c>
      <c r="AK59" s="91" t="e">
        <f t="shared" si="30"/>
        <v>#REF!</v>
      </c>
      <c r="AL59" s="33" t="e">
        <f t="shared" si="31"/>
        <v>#REF!</v>
      </c>
      <c r="AN59" s="94" t="e">
        <f t="shared" si="32"/>
        <v>#REF!</v>
      </c>
      <c r="AO59" s="2" t="e">
        <f t="shared" si="33"/>
        <v>#REF!</v>
      </c>
      <c r="AP59" s="94" t="e">
        <f t="shared" si="34"/>
        <v>#REF!</v>
      </c>
      <c r="AQ59" s="2" t="e">
        <f t="shared" si="35"/>
        <v>#REF!</v>
      </c>
      <c r="BA59" s="104">
        <f t="shared" si="38"/>
        <v>0</v>
      </c>
      <c r="BB59" s="105"/>
      <c r="BC59" s="33">
        <f t="shared" si="39"/>
        <v>0</v>
      </c>
      <c r="BD59" s="33">
        <f t="shared" si="40"/>
        <v>0</v>
      </c>
      <c r="BE59" s="33">
        <f t="shared" si="41"/>
        <v>0</v>
      </c>
      <c r="BH59" s="33">
        <f t="shared" si="42"/>
        <v>0</v>
      </c>
      <c r="BQ59" s="33">
        <f t="shared" si="43"/>
        <v>0</v>
      </c>
      <c r="BT59" s="33">
        <f t="shared" si="44"/>
        <v>1</v>
      </c>
    </row>
    <row r="60" spans="30:72" x14ac:dyDescent="0.25">
      <c r="AD60" s="2">
        <f t="shared" si="25"/>
        <v>0</v>
      </c>
      <c r="AE60" s="94">
        <f t="shared" si="26"/>
        <v>0</v>
      </c>
      <c r="AF60" s="33">
        <f t="shared" si="36"/>
        <v>1000000</v>
      </c>
      <c r="AG60" s="91" t="e">
        <f t="shared" si="27"/>
        <v>#REF!</v>
      </c>
      <c r="AH60" s="33" t="e">
        <f t="shared" si="37"/>
        <v>#REF!</v>
      </c>
      <c r="AI60" s="91" t="e">
        <f t="shared" si="28"/>
        <v>#REF!</v>
      </c>
      <c r="AJ60" s="33" t="e">
        <f t="shared" si="29"/>
        <v>#REF!</v>
      </c>
      <c r="AK60" s="91" t="e">
        <f t="shared" si="30"/>
        <v>#REF!</v>
      </c>
      <c r="AL60" s="33" t="e">
        <f t="shared" si="31"/>
        <v>#REF!</v>
      </c>
      <c r="AN60" s="94" t="e">
        <f t="shared" si="32"/>
        <v>#REF!</v>
      </c>
      <c r="AO60" s="2" t="e">
        <f t="shared" si="33"/>
        <v>#REF!</v>
      </c>
      <c r="AP60" s="94" t="e">
        <f t="shared" si="34"/>
        <v>#REF!</v>
      </c>
      <c r="AQ60" s="2" t="e">
        <f t="shared" si="35"/>
        <v>#REF!</v>
      </c>
      <c r="BA60" s="104">
        <f t="shared" si="38"/>
        <v>0</v>
      </c>
      <c r="BB60" s="105"/>
      <c r="BC60" s="33">
        <f t="shared" si="39"/>
        <v>0</v>
      </c>
      <c r="BD60" s="33">
        <f t="shared" si="40"/>
        <v>0</v>
      </c>
      <c r="BE60" s="33">
        <f t="shared" si="41"/>
        <v>0</v>
      </c>
      <c r="BH60" s="33">
        <f t="shared" si="42"/>
        <v>0</v>
      </c>
      <c r="BQ60" s="33">
        <f t="shared" si="43"/>
        <v>0</v>
      </c>
      <c r="BT60" s="33">
        <f t="shared" si="44"/>
        <v>0</v>
      </c>
    </row>
    <row r="61" spans="30:72" x14ac:dyDescent="0.25">
      <c r="AD61" s="2">
        <f t="shared" si="25"/>
        <v>0</v>
      </c>
      <c r="AE61" s="94">
        <f t="shared" si="26"/>
        <v>0</v>
      </c>
      <c r="AF61" s="33">
        <f t="shared" si="36"/>
        <v>1000000</v>
      </c>
      <c r="AG61" s="91" t="e">
        <f t="shared" si="27"/>
        <v>#REF!</v>
      </c>
      <c r="AH61" s="33" t="e">
        <f t="shared" si="37"/>
        <v>#REF!</v>
      </c>
      <c r="AI61" s="91" t="e">
        <f t="shared" si="28"/>
        <v>#REF!</v>
      </c>
      <c r="AJ61" s="33" t="e">
        <f t="shared" si="29"/>
        <v>#REF!</v>
      </c>
      <c r="AK61" s="91" t="e">
        <f t="shared" si="30"/>
        <v>#REF!</v>
      </c>
      <c r="AL61" s="33" t="e">
        <f t="shared" si="31"/>
        <v>#REF!</v>
      </c>
      <c r="AN61" s="94" t="e">
        <f t="shared" si="32"/>
        <v>#REF!</v>
      </c>
      <c r="AO61" s="2" t="e">
        <f t="shared" si="33"/>
        <v>#REF!</v>
      </c>
      <c r="AP61" s="94" t="e">
        <f t="shared" si="34"/>
        <v>#REF!</v>
      </c>
      <c r="AQ61" s="2" t="e">
        <f t="shared" si="35"/>
        <v>#REF!</v>
      </c>
      <c r="BA61" s="104">
        <f t="shared" si="38"/>
        <v>0</v>
      </c>
      <c r="BB61" s="105"/>
      <c r="BC61" s="33">
        <f t="shared" si="39"/>
        <v>0</v>
      </c>
      <c r="BD61" s="33">
        <f t="shared" si="40"/>
        <v>0</v>
      </c>
      <c r="BE61" s="33">
        <f t="shared" si="41"/>
        <v>0</v>
      </c>
      <c r="BH61" s="33">
        <f t="shared" si="42"/>
        <v>0</v>
      </c>
      <c r="BQ61" s="33">
        <f t="shared" si="43"/>
        <v>0</v>
      </c>
      <c r="BT61" s="33">
        <f t="shared" si="44"/>
        <v>0</v>
      </c>
    </row>
    <row r="62" spans="30:72" x14ac:dyDescent="0.25">
      <c r="AD62" s="2">
        <f t="shared" si="25"/>
        <v>0</v>
      </c>
      <c r="AE62" s="94">
        <f t="shared" si="26"/>
        <v>0</v>
      </c>
      <c r="AF62" s="33">
        <f t="shared" si="36"/>
        <v>1000000</v>
      </c>
      <c r="AG62" s="91" t="e">
        <f t="shared" si="27"/>
        <v>#REF!</v>
      </c>
      <c r="AH62" s="33" t="e">
        <f t="shared" si="37"/>
        <v>#REF!</v>
      </c>
      <c r="AI62" s="91" t="e">
        <f t="shared" si="28"/>
        <v>#REF!</v>
      </c>
      <c r="AJ62" s="33" t="e">
        <f t="shared" si="29"/>
        <v>#REF!</v>
      </c>
      <c r="AK62" s="91" t="e">
        <f t="shared" si="30"/>
        <v>#REF!</v>
      </c>
      <c r="AL62" s="33" t="e">
        <f t="shared" si="31"/>
        <v>#REF!</v>
      </c>
      <c r="AN62" s="94" t="e">
        <f t="shared" si="32"/>
        <v>#REF!</v>
      </c>
      <c r="AO62" s="2" t="e">
        <f t="shared" si="33"/>
        <v>#REF!</v>
      </c>
      <c r="AP62" s="94" t="e">
        <f t="shared" si="34"/>
        <v>#REF!</v>
      </c>
      <c r="AQ62" s="2" t="e">
        <f t="shared" si="35"/>
        <v>#REF!</v>
      </c>
      <c r="BA62" s="104">
        <f t="shared" si="38"/>
        <v>0</v>
      </c>
      <c r="BB62" s="105"/>
      <c r="BC62" s="33">
        <f t="shared" si="39"/>
        <v>0</v>
      </c>
      <c r="BD62" s="33">
        <f t="shared" si="40"/>
        <v>0</v>
      </c>
      <c r="BE62" s="33">
        <f t="shared" si="41"/>
        <v>0</v>
      </c>
      <c r="BH62" s="33">
        <f t="shared" si="42"/>
        <v>0</v>
      </c>
      <c r="BQ62" s="33">
        <f t="shared" si="43"/>
        <v>0</v>
      </c>
      <c r="BT62" s="33">
        <f t="shared" si="44"/>
        <v>0</v>
      </c>
    </row>
    <row r="63" spans="30:72" x14ac:dyDescent="0.25">
      <c r="AD63" s="2">
        <f t="shared" si="25"/>
        <v>0</v>
      </c>
      <c r="AE63" s="94">
        <f t="shared" si="26"/>
        <v>0</v>
      </c>
      <c r="AF63" s="33">
        <f t="shared" si="36"/>
        <v>1000000</v>
      </c>
      <c r="AG63" s="91" t="e">
        <f t="shared" si="27"/>
        <v>#REF!</v>
      </c>
      <c r="AH63" s="33" t="e">
        <f t="shared" si="37"/>
        <v>#REF!</v>
      </c>
      <c r="AI63" s="91" t="e">
        <f t="shared" si="28"/>
        <v>#REF!</v>
      </c>
      <c r="AJ63" s="33" t="e">
        <f t="shared" si="29"/>
        <v>#REF!</v>
      </c>
      <c r="AK63" s="91" t="e">
        <f t="shared" si="30"/>
        <v>#REF!</v>
      </c>
      <c r="AL63" s="33" t="e">
        <f t="shared" si="31"/>
        <v>#REF!</v>
      </c>
      <c r="AN63" s="94" t="e">
        <f t="shared" si="32"/>
        <v>#REF!</v>
      </c>
      <c r="AO63" s="2" t="e">
        <f t="shared" si="33"/>
        <v>#REF!</v>
      </c>
      <c r="AP63" s="94" t="e">
        <f t="shared" si="34"/>
        <v>#REF!</v>
      </c>
      <c r="AQ63" s="2" t="e">
        <f t="shared" si="35"/>
        <v>#REF!</v>
      </c>
      <c r="BA63" s="104">
        <f t="shared" si="38"/>
        <v>0</v>
      </c>
      <c r="BB63" s="105"/>
      <c r="BC63" s="33">
        <f t="shared" si="39"/>
        <v>0</v>
      </c>
      <c r="BD63" s="33">
        <f t="shared" si="40"/>
        <v>0</v>
      </c>
      <c r="BE63" s="33">
        <f t="shared" si="41"/>
        <v>0</v>
      </c>
      <c r="BH63" s="33">
        <f t="shared" si="42"/>
        <v>0</v>
      </c>
      <c r="BQ63" s="33">
        <f t="shared" si="43"/>
        <v>0</v>
      </c>
      <c r="BT63" s="33">
        <f t="shared" si="44"/>
        <v>0</v>
      </c>
    </row>
    <row r="64" spans="30:72" x14ac:dyDescent="0.25">
      <c r="AD64" s="2">
        <f t="shared" si="25"/>
        <v>0</v>
      </c>
      <c r="AE64" s="94">
        <f t="shared" si="26"/>
        <v>0</v>
      </c>
      <c r="AF64" s="33">
        <f t="shared" si="36"/>
        <v>1000000</v>
      </c>
      <c r="AG64" s="91" t="e">
        <f t="shared" si="27"/>
        <v>#REF!</v>
      </c>
      <c r="AH64" s="33" t="e">
        <f t="shared" si="37"/>
        <v>#REF!</v>
      </c>
      <c r="AI64" s="91" t="e">
        <f t="shared" si="28"/>
        <v>#REF!</v>
      </c>
      <c r="AJ64" s="33" t="e">
        <f t="shared" si="29"/>
        <v>#REF!</v>
      </c>
      <c r="AK64" s="91" t="e">
        <f t="shared" si="30"/>
        <v>#REF!</v>
      </c>
      <c r="AL64" s="33" t="e">
        <f t="shared" si="31"/>
        <v>#REF!</v>
      </c>
      <c r="AN64" s="94" t="e">
        <f t="shared" si="32"/>
        <v>#REF!</v>
      </c>
      <c r="AO64" s="2" t="e">
        <f t="shared" si="33"/>
        <v>#REF!</v>
      </c>
      <c r="AP64" s="94" t="e">
        <f t="shared" si="34"/>
        <v>#REF!</v>
      </c>
      <c r="AQ64" s="2" t="e">
        <f t="shared" si="35"/>
        <v>#REF!</v>
      </c>
      <c r="BA64" s="104">
        <f t="shared" si="38"/>
        <v>0</v>
      </c>
      <c r="BB64" s="105"/>
      <c r="BC64" s="33">
        <f t="shared" si="39"/>
        <v>0</v>
      </c>
      <c r="BD64" s="33">
        <f t="shared" si="40"/>
        <v>0</v>
      </c>
      <c r="BE64" s="33">
        <f t="shared" si="41"/>
        <v>0</v>
      </c>
      <c r="BH64" s="33">
        <f t="shared" si="42"/>
        <v>0</v>
      </c>
      <c r="BQ64" s="33">
        <f t="shared" si="43"/>
        <v>0</v>
      </c>
      <c r="BT64" s="33">
        <f t="shared" si="44"/>
        <v>0</v>
      </c>
    </row>
    <row r="65" spans="30:72" x14ac:dyDescent="0.25">
      <c r="AD65" s="2" t="e">
        <f>#REF!</f>
        <v>#REF!</v>
      </c>
      <c r="AE65" s="94" t="e">
        <f>#REF!</f>
        <v>#REF!</v>
      </c>
      <c r="AF65" s="33" t="e">
        <f t="shared" si="36"/>
        <v>#REF!</v>
      </c>
      <c r="AG65" s="91" t="e">
        <f t="shared" si="27"/>
        <v>#REF!</v>
      </c>
      <c r="AH65" s="33" t="e">
        <f t="shared" si="37"/>
        <v>#REF!</v>
      </c>
      <c r="AI65" s="91" t="e">
        <f t="shared" si="28"/>
        <v>#REF!</v>
      </c>
      <c r="AJ65" s="33" t="e">
        <f t="shared" si="29"/>
        <v>#REF!</v>
      </c>
      <c r="AK65" s="91" t="e">
        <f t="shared" si="30"/>
        <v>#REF!</v>
      </c>
      <c r="AL65" s="33" t="e">
        <f t="shared" si="31"/>
        <v>#REF!</v>
      </c>
      <c r="AN65" s="94" t="e">
        <f t="shared" si="32"/>
        <v>#REF!</v>
      </c>
      <c r="AO65" s="2" t="e">
        <f t="shared" si="33"/>
        <v>#REF!</v>
      </c>
      <c r="AP65" s="94" t="e">
        <f t="shared" si="34"/>
        <v>#REF!</v>
      </c>
      <c r="AQ65" s="2" t="e">
        <f t="shared" si="35"/>
        <v>#REF!</v>
      </c>
      <c r="BA65" s="104">
        <f t="shared" si="38"/>
        <v>0</v>
      </c>
      <c r="BB65" s="105"/>
      <c r="BC65" s="33">
        <f t="shared" si="39"/>
        <v>0</v>
      </c>
      <c r="BD65" s="33">
        <f t="shared" si="40"/>
        <v>0</v>
      </c>
      <c r="BE65" s="33">
        <f t="shared" si="41"/>
        <v>0</v>
      </c>
      <c r="BH65" s="33">
        <f t="shared" si="42"/>
        <v>0</v>
      </c>
      <c r="BQ65" s="33">
        <f t="shared" si="43"/>
        <v>0</v>
      </c>
      <c r="BT65" s="33">
        <f t="shared" si="44"/>
        <v>0</v>
      </c>
    </row>
    <row r="66" spans="30:72" x14ac:dyDescent="0.25">
      <c r="BA66" s="110">
        <f t="shared" si="38"/>
        <v>0</v>
      </c>
      <c r="BB66" s="112"/>
      <c r="BC66" s="33">
        <f t="shared" si="39"/>
        <v>0</v>
      </c>
      <c r="BD66" s="33">
        <f t="shared" si="40"/>
        <v>0</v>
      </c>
      <c r="BE66" s="33">
        <f t="shared" si="41"/>
        <v>0</v>
      </c>
      <c r="BH66" s="33">
        <f t="shared" si="42"/>
        <v>0</v>
      </c>
      <c r="BQ66" s="33">
        <f t="shared" si="43"/>
        <v>0</v>
      </c>
      <c r="BT66" s="33">
        <f t="shared" si="44"/>
        <v>0</v>
      </c>
    </row>
    <row r="67" spans="30:72" x14ac:dyDescent="0.25">
      <c r="BA67" s="2" t="s">
        <v>117</v>
      </c>
      <c r="BC67" s="33">
        <f>BA26</f>
        <v>0</v>
      </c>
      <c r="BD67" s="33">
        <f>BY28</f>
        <v>134.44</v>
      </c>
      <c r="BE67" s="33">
        <f>BC67+BD67</f>
        <v>134.44</v>
      </c>
      <c r="BG67" s="5"/>
      <c r="BH67" s="5"/>
      <c r="BI67" s="5"/>
      <c r="BJ67" s="5"/>
      <c r="BQ67" s="33">
        <f>SUM(BQ47:BQ66)</f>
        <v>868.04000000000008</v>
      </c>
      <c r="BT67" s="33">
        <f t="shared" si="44"/>
        <v>0</v>
      </c>
    </row>
    <row r="68" spans="30:72" x14ac:dyDescent="0.25">
      <c r="BE68" s="33">
        <f>BA27+BY29</f>
        <v>868.04</v>
      </c>
      <c r="BG68" s="5"/>
      <c r="BH68" s="5"/>
      <c r="BI68" s="5"/>
      <c r="BJ68" s="5"/>
    </row>
    <row r="69" spans="30:72" x14ac:dyDescent="0.25">
      <c r="BG69" s="5"/>
      <c r="BH69" s="5"/>
      <c r="BI69" s="5"/>
      <c r="BJ69" s="5"/>
    </row>
    <row r="70" spans="30:72" x14ac:dyDescent="0.25">
      <c r="BG70" s="5"/>
      <c r="BH70" s="5"/>
      <c r="BI70" s="5"/>
      <c r="BJ70" s="5"/>
    </row>
    <row r="71" spans="30:72" x14ac:dyDescent="0.25">
      <c r="BG71" s="5"/>
      <c r="BH71" s="5"/>
      <c r="BI71" s="5"/>
      <c r="BJ71" s="5"/>
    </row>
    <row r="73" spans="30:72" x14ac:dyDescent="0.25">
      <c r="BE73" s="26" t="s">
        <v>118</v>
      </c>
    </row>
    <row r="74" spans="30:72" x14ac:dyDescent="0.25">
      <c r="BE74" s="33">
        <f>SUM(BE75:BE94)</f>
        <v>0</v>
      </c>
    </row>
    <row r="75" spans="30:72" x14ac:dyDescent="0.25">
      <c r="BE75" s="33">
        <f t="shared" ref="BE75:BE94" si="45">IF(BB5="y",1,0)</f>
        <v>0</v>
      </c>
    </row>
    <row r="76" spans="30:72" x14ac:dyDescent="0.25">
      <c r="BE76" s="33">
        <f t="shared" si="45"/>
        <v>0</v>
      </c>
    </row>
    <row r="77" spans="30:72" x14ac:dyDescent="0.25">
      <c r="BE77" s="33">
        <f t="shared" si="45"/>
        <v>0</v>
      </c>
    </row>
    <row r="78" spans="30:72" x14ac:dyDescent="0.25">
      <c r="BE78" s="33">
        <f t="shared" si="45"/>
        <v>0</v>
      </c>
    </row>
    <row r="79" spans="30:72" x14ac:dyDescent="0.25">
      <c r="BE79" s="33">
        <f t="shared" si="45"/>
        <v>0</v>
      </c>
    </row>
    <row r="80" spans="30:72" x14ac:dyDescent="0.25">
      <c r="AI80" s="33" t="e">
        <f t="shared" ref="AI80:AI86" si="46">IF(AI20&lt;&gt;0,1,0)</f>
        <v>#REF!</v>
      </c>
      <c r="AJ80" s="33"/>
      <c r="AK80" s="33" t="e">
        <f t="shared" ref="AK80:AL86" si="47">IF(AK20&lt;&gt;0,1,0)</f>
        <v>#REF!</v>
      </c>
      <c r="AL80" s="117" t="e">
        <f t="shared" si="47"/>
        <v>#REF!</v>
      </c>
      <c r="AM80" s="117"/>
      <c r="AN80" s="33" t="e">
        <f>SUM(AI80:AL80)</f>
        <v>#REF!</v>
      </c>
      <c r="BE80" s="33">
        <f t="shared" si="45"/>
        <v>0</v>
      </c>
    </row>
    <row r="81" spans="35:57" x14ac:dyDescent="0.25">
      <c r="AI81" s="33" t="e">
        <f t="shared" si="46"/>
        <v>#REF!</v>
      </c>
      <c r="AJ81" s="33"/>
      <c r="AK81" s="33" t="e">
        <f t="shared" si="47"/>
        <v>#REF!</v>
      </c>
      <c r="AL81" s="117" t="e">
        <f t="shared" si="47"/>
        <v>#REF!</v>
      </c>
      <c r="AM81" s="117"/>
      <c r="AN81" s="33" t="e">
        <f t="shared" ref="AN81:AN86" si="48">SUM(AI81:AL81)</f>
        <v>#REF!</v>
      </c>
      <c r="BE81" s="33">
        <f t="shared" si="45"/>
        <v>0</v>
      </c>
    </row>
    <row r="82" spans="35:57" x14ac:dyDescent="0.25">
      <c r="AI82" s="33" t="e">
        <f t="shared" si="46"/>
        <v>#REF!</v>
      </c>
      <c r="AJ82" s="33"/>
      <c r="AK82" s="33" t="e">
        <f t="shared" si="47"/>
        <v>#REF!</v>
      </c>
      <c r="AL82" s="117" t="e">
        <f t="shared" si="47"/>
        <v>#REF!</v>
      </c>
      <c r="AM82" s="117"/>
      <c r="AN82" s="33" t="e">
        <f t="shared" si="48"/>
        <v>#REF!</v>
      </c>
      <c r="BE82" s="33">
        <f t="shared" si="45"/>
        <v>0</v>
      </c>
    </row>
    <row r="83" spans="35:57" x14ac:dyDescent="0.25">
      <c r="AI83" s="33" t="e">
        <f t="shared" si="46"/>
        <v>#REF!</v>
      </c>
      <c r="AJ83" s="33"/>
      <c r="AK83" s="33" t="e">
        <f t="shared" si="47"/>
        <v>#REF!</v>
      </c>
      <c r="AL83" s="117" t="e">
        <f t="shared" si="47"/>
        <v>#REF!</v>
      </c>
      <c r="AM83" s="117"/>
      <c r="AN83" s="33" t="e">
        <f t="shared" si="48"/>
        <v>#REF!</v>
      </c>
      <c r="BE83" s="33">
        <f t="shared" si="45"/>
        <v>0</v>
      </c>
    </row>
    <row r="84" spans="35:57" x14ac:dyDescent="0.25">
      <c r="AI84" s="33" t="e">
        <f t="shared" si="46"/>
        <v>#REF!</v>
      </c>
      <c r="AJ84" s="33"/>
      <c r="AK84" s="33" t="e">
        <f t="shared" si="47"/>
        <v>#REF!</v>
      </c>
      <c r="AL84" s="117" t="e">
        <f t="shared" si="47"/>
        <v>#REF!</v>
      </c>
      <c r="AM84" s="117"/>
      <c r="AN84" s="33" t="e">
        <f t="shared" si="48"/>
        <v>#REF!</v>
      </c>
      <c r="BE84" s="33">
        <f t="shared" si="45"/>
        <v>0</v>
      </c>
    </row>
    <row r="85" spans="35:57" x14ac:dyDescent="0.25">
      <c r="AI85" s="33" t="e">
        <f t="shared" si="46"/>
        <v>#REF!</v>
      </c>
      <c r="AJ85" s="33"/>
      <c r="AK85" s="33" t="e">
        <f t="shared" si="47"/>
        <v>#REF!</v>
      </c>
      <c r="AL85" s="117" t="e">
        <f t="shared" si="47"/>
        <v>#REF!</v>
      </c>
      <c r="AM85" s="117"/>
      <c r="AN85" s="33" t="e">
        <f t="shared" si="48"/>
        <v>#REF!</v>
      </c>
      <c r="BE85" s="33">
        <f t="shared" si="45"/>
        <v>0</v>
      </c>
    </row>
    <row r="86" spans="35:57" x14ac:dyDescent="0.25">
      <c r="AI86" s="33">
        <f t="shared" si="46"/>
        <v>0</v>
      </c>
      <c r="AJ86" s="33"/>
      <c r="AK86" s="33">
        <f t="shared" si="47"/>
        <v>0</v>
      </c>
      <c r="AL86" s="117">
        <f t="shared" si="47"/>
        <v>0</v>
      </c>
      <c r="AM86" s="117"/>
      <c r="AN86" s="33">
        <f t="shared" si="48"/>
        <v>0</v>
      </c>
      <c r="BE86" s="33">
        <f t="shared" si="45"/>
        <v>0</v>
      </c>
    </row>
    <row r="87" spans="35:57" x14ac:dyDescent="0.25">
      <c r="AN87" s="33" t="e">
        <f>SUM(AN80:AN86)</f>
        <v>#REF!</v>
      </c>
      <c r="BE87" s="33">
        <f t="shared" si="45"/>
        <v>0</v>
      </c>
    </row>
    <row r="88" spans="35:57" x14ac:dyDescent="0.25">
      <c r="BE88" s="33">
        <f t="shared" si="45"/>
        <v>0</v>
      </c>
    </row>
    <row r="89" spans="35:57" x14ac:dyDescent="0.25">
      <c r="BE89" s="33">
        <f t="shared" si="45"/>
        <v>0</v>
      </c>
    </row>
    <row r="90" spans="35:57" x14ac:dyDescent="0.25">
      <c r="BE90" s="33">
        <f t="shared" si="45"/>
        <v>0</v>
      </c>
    </row>
    <row r="91" spans="35:57" x14ac:dyDescent="0.25">
      <c r="BE91" s="33">
        <f t="shared" si="45"/>
        <v>0</v>
      </c>
    </row>
    <row r="92" spans="35:57" x14ac:dyDescent="0.25">
      <c r="BE92" s="33">
        <f t="shared" si="45"/>
        <v>0</v>
      </c>
    </row>
    <row r="93" spans="35:57" x14ac:dyDescent="0.25">
      <c r="BE93" s="33">
        <f t="shared" si="45"/>
        <v>0</v>
      </c>
    </row>
    <row r="94" spans="35:57" x14ac:dyDescent="0.25">
      <c r="BE94" s="33">
        <f t="shared" si="45"/>
        <v>0</v>
      </c>
    </row>
  </sheetData>
  <protectedRanges>
    <protectedRange sqref="BB5:BB24" name="Range21"/>
    <protectedRange sqref="BX6" name="Range19"/>
    <protectedRange sqref="BW8:BW28" name="Range18"/>
    <protectedRange sqref="BV6" name="Range17"/>
    <protectedRange sqref="BU8:BU28" name="Range16"/>
    <protectedRange sqref="BT6" name="Range15"/>
    <protectedRange sqref="BS8:BS28" name="Range14"/>
    <protectedRange sqref="BR6" name="Range13"/>
    <protectedRange sqref="BQ8:BQ28" name="Range12"/>
    <protectedRange sqref="BO8:BO28" name="Range11"/>
    <protectedRange sqref="BM8:BM28" name="Range10"/>
    <protectedRange sqref="AZ26" name="Range7"/>
    <protectedRange sqref="AZ5:AZ24" name="Range6"/>
    <protectedRange sqref="AW13:AW14" name="Range5"/>
    <protectedRange sqref="AW10" name="Range4"/>
    <protectedRange sqref="Q33:Q34" name="Range1"/>
    <protectedRange sqref="BN3:BT3" name="Range8"/>
    <protectedRange sqref="BJ8:BJ27" name="Range9_1"/>
    <protectedRange sqref="AK5" name="Range3_1"/>
  </protectedRanges>
  <mergeCells count="72">
    <mergeCell ref="K1:L1"/>
    <mergeCell ref="O2:Q2"/>
    <mergeCell ref="T2:Z2"/>
    <mergeCell ref="BN2:BT2"/>
    <mergeCell ref="BV2:BY2"/>
    <mergeCell ref="BC3:BE3"/>
    <mergeCell ref="BN3:BT3"/>
    <mergeCell ref="E4:F4"/>
    <mergeCell ref="H4:I4"/>
    <mergeCell ref="O4:Q4"/>
    <mergeCell ref="T4:Z4"/>
    <mergeCell ref="E3:F3"/>
    <mergeCell ref="H3:I3"/>
    <mergeCell ref="O3:Q3"/>
    <mergeCell ref="T3:Z3"/>
    <mergeCell ref="AF3:AK3"/>
    <mergeCell ref="BJ5:BJ7"/>
    <mergeCell ref="F6:G6"/>
    <mergeCell ref="H6:I6"/>
    <mergeCell ref="J6:K6"/>
    <mergeCell ref="L6:M6"/>
    <mergeCell ref="N6:O6"/>
    <mergeCell ref="P6:Q6"/>
    <mergeCell ref="T6:Z7"/>
    <mergeCell ref="AE6:AJ7"/>
    <mergeCell ref="AK6:AL7"/>
    <mergeCell ref="F7:G7"/>
    <mergeCell ref="H7:I7"/>
    <mergeCell ref="J7:K7"/>
    <mergeCell ref="L7:M7"/>
    <mergeCell ref="N7:O7"/>
    <mergeCell ref="P7:Q7"/>
    <mergeCell ref="P9:Q9"/>
    <mergeCell ref="F8:G8"/>
    <mergeCell ref="H8:I8"/>
    <mergeCell ref="J8:K8"/>
    <mergeCell ref="L8:M8"/>
    <mergeCell ref="N8:O8"/>
    <mergeCell ref="P8:Q8"/>
    <mergeCell ref="F9:G9"/>
    <mergeCell ref="H9:I9"/>
    <mergeCell ref="J9:K9"/>
    <mergeCell ref="L9:M9"/>
    <mergeCell ref="N9:O9"/>
    <mergeCell ref="AE9:AJ10"/>
    <mergeCell ref="AK9:AL10"/>
    <mergeCell ref="AF13:AF17"/>
    <mergeCell ref="AG13:AG17"/>
    <mergeCell ref="AH13:AH19"/>
    <mergeCell ref="AI13:AI17"/>
    <mergeCell ref="AJ13:AJ17"/>
    <mergeCell ref="AK13:AK17"/>
    <mergeCell ref="AD20:AE20"/>
    <mergeCell ref="AI20:AJ20"/>
    <mergeCell ref="AD21:AE21"/>
    <mergeCell ref="AI21:AJ21"/>
    <mergeCell ref="AD22:AE22"/>
    <mergeCell ref="AI22:AJ22"/>
    <mergeCell ref="BR30:BS32"/>
    <mergeCell ref="AF31:AK32"/>
    <mergeCell ref="BV31:BY32"/>
    <mergeCell ref="AT22:AT23"/>
    <mergeCell ref="AD23:AE23"/>
    <mergeCell ref="AI23:AJ23"/>
    <mergeCell ref="AD24:AE24"/>
    <mergeCell ref="AI24:AJ24"/>
    <mergeCell ref="BL38:BL40"/>
    <mergeCell ref="AI25:AJ25"/>
    <mergeCell ref="AD25:AE25"/>
    <mergeCell ref="AF28:AK29"/>
    <mergeCell ref="AZ30:BA32"/>
    <mergeCell ref="BC30:BE31"/>
  </mergeCells>
  <conditionalFormatting sqref="AF3">
    <cfRule type="cellIs" dxfId="12" priority="14" stopIfTrue="1" operator="notEqual">
      <formula>0</formula>
    </cfRule>
  </conditionalFormatting>
  <conditionalFormatting sqref="AZ30:BA31">
    <cfRule type="cellIs" dxfId="11" priority="15" stopIfTrue="1" operator="equal">
      <formula>"NONE"</formula>
    </cfRule>
    <cfRule type="cellIs" dxfId="10" priority="16" stopIfTrue="1" operator="notEqual">
      <formula>"NONE"</formula>
    </cfRule>
  </conditionalFormatting>
  <conditionalFormatting sqref="BR30">
    <cfRule type="cellIs" dxfId="9" priority="17" stopIfTrue="1" operator="equal">
      <formula>"Calculations OK"</formula>
    </cfRule>
    <cfRule type="cellIs" dxfId="8" priority="18" stopIfTrue="1" operator="equal">
      <formula>"Check Count for Error"</formula>
    </cfRule>
  </conditionalFormatting>
  <conditionalFormatting sqref="BC5:BC24">
    <cfRule type="expression" dxfId="7" priority="6">
      <formula>BC5="Elected"</formula>
    </cfRule>
  </conditionalFormatting>
  <conditionalFormatting sqref="BH8:BH27">
    <cfRule type="expression" dxfId="6" priority="4">
      <formula>BH8="Elected"</formula>
    </cfRule>
  </conditionalFormatting>
  <conditionalFormatting sqref="A11:A30">
    <cfRule type="expression" dxfId="5" priority="1">
      <formula>A11="Elected"</formula>
    </cfRule>
  </conditionalFormatting>
  <conditionalFormatting sqref="BB4">
    <cfRule type="expression" dxfId="4" priority="19">
      <formula>AND($AK$5="y",$BE$74&lt;&gt;1)</formula>
    </cfRule>
    <cfRule type="expression" dxfId="3" priority="20">
      <formula>$BE$74=1</formula>
    </cfRule>
    <cfRule type="duplicateValues" priority="21"/>
  </conditionalFormatting>
  <conditionalFormatting sqref="BN2:BT2">
    <cfRule type="expression" dxfId="2" priority="22">
      <formula>AND($AK$5="n",$BT$44=0)</formula>
    </cfRule>
  </conditionalFormatting>
  <conditionalFormatting sqref="BJ5:BJ7">
    <cfRule type="expression" dxfId="1" priority="23">
      <formula>$BT$46&gt;0</formula>
    </cfRule>
    <cfRule type="expression" dxfId="0" priority="24">
      <formula>AND($AK$5="n",$BT$46&lt;&gt;1)</formula>
    </cfRule>
  </conditionalFormatting>
  <hyperlinks>
    <hyperlink ref="T6:Z7" location="'Stage 6'!A1" display="BACK to Overview of STAGE 6"/>
    <hyperlink ref="AF31" location="'Stage 2'!CC1" display="MOVE TO EXCLUDE CANDIDATE FORM"/>
    <hyperlink ref="AF31:AK32" location="'Stage 7'!BN1:CE1" display="MOVE TO EXCLUDE CANDIDATE FORM"/>
    <hyperlink ref="BC31:BE31" location="'Stage 7'!A1" display="FORWARD to OVERVIEW OF STAGE 7"/>
    <hyperlink ref="BC3:BE3" location="'Stage 7'!Y1:AR1" display="BACK to DECISION FORM"/>
    <hyperlink ref="BV2" location="'Stage 2'!AQ5" display="MOVE TO NEXT FORM"/>
    <hyperlink ref="BV2:BY2" location="'Stage 7'!Y1:AR1" display="BACK to DECISION FORM"/>
    <hyperlink ref="BV31" location="'Stage 2'!A1" display="HOME TO OVERVIEW OF STAGE 2"/>
    <hyperlink ref="BV31:BY32" location="'Stage 7'!A1" display="FORWARD to OVERVIEW OF STAGE 7"/>
    <hyperlink ref="AF28" location="'Stage 2'!BI1" display="MOVE TO TRANSFER OF SURPLUS VOTES FORM"/>
    <hyperlink ref="AF28:AK29" location="'Stage 7'!AY1:BK1" display="MOVE TO TRANSFER OF SURPLUS VOTES FORM"/>
  </hyperlinks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McDowell</dc:creator>
  <cp:lastModifiedBy>Dawn McDowell</cp:lastModifiedBy>
  <cp:lastPrinted>2014-05-29T16:57:14Z</cp:lastPrinted>
  <dcterms:created xsi:type="dcterms:W3CDTF">2014-05-29T16:46:01Z</dcterms:created>
  <dcterms:modified xsi:type="dcterms:W3CDTF">2014-05-29T17:00:19Z</dcterms:modified>
</cp:coreProperties>
</file>