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d.docs.live.net/12e5fab9a477a97c/Desktop/Adam Schonberger Portfolio/Excel Models/"/>
    </mc:Choice>
  </mc:AlternateContent>
  <xr:revisionPtr revIDLastSave="10" documentId="14_{9870E7EA-6E78-40EF-AB3F-7D2D16A6C5E6}" xr6:coauthVersionLast="47" xr6:coauthVersionMax="47" xr10:uidLastSave="{E6912198-531A-48E1-B136-31E545775A9B}"/>
  <bookViews>
    <workbookView xWindow="-108" yWindow="-108" windowWidth="23256" windowHeight="13176" firstSheet="2" activeTab="4" xr2:uid="{00000000-000D-0000-FFFF-FFFF00000000}"/>
  </bookViews>
  <sheets>
    <sheet name="(1) PROJECT STATEMENT" sheetId="14" r:id="rId1"/>
    <sheet name="(3)EXEC. SUMMARY&amp;RECOMMENDATION" sheetId="7" r:id="rId2"/>
    <sheet name="(4) ANALYSIS ASSUMPTIONS" sheetId="2" r:id="rId3"/>
    <sheet name="(5) AnalysisModel-AverageGrowth" sheetId="5" r:id="rId4"/>
    <sheet name="(5a) REGRESSION Forecasting" sheetId="15" r:id="rId5"/>
    <sheet name="(9) CORREL. COEFFICIENT CALC." sheetId="17" r:id="rId6"/>
    <sheet name="(10) CALC. REGRES. ANALYSIS" sheetId="18" r:id="rId7"/>
  </sheets>
  <definedNames>
    <definedName name="_Fill" localSheetId="6" hidden="1">#REF!</definedName>
    <definedName name="_Fill" localSheetId="4" hidden="1">#REF!</definedName>
    <definedName name="_Fill" localSheetId="5" hidden="1">#REF!</definedName>
    <definedName name="_Fill" hidden="1">#REF!</definedName>
    <definedName name="_Order1" hidden="1">255</definedName>
    <definedName name="CLIN" localSheetId="6">#REF!</definedName>
    <definedName name="CLIN" localSheetId="4">#REF!</definedName>
    <definedName name="CLIN" localSheetId="5">#REF!</definedName>
    <definedName name="CLIN">#REF!</definedName>
    <definedName name="Florin" localSheetId="6">#REF!</definedName>
    <definedName name="Florin" localSheetId="4">#REF!</definedName>
    <definedName name="Florin" localSheetId="5">#REF!</definedName>
    <definedName name="Florin">#REF!</definedName>
    <definedName name="hi" localSheetId="6">#REF!</definedName>
    <definedName name="hi" localSheetId="4">#REF!</definedName>
    <definedName name="hi" localSheetId="5">#REF!</definedName>
    <definedName name="hi">#REF!</definedName>
    <definedName name="PHARM" localSheetId="6">#REF!</definedName>
    <definedName name="PHARM" localSheetId="5">#REF!</definedName>
    <definedName name="PHARM">#REF!</definedName>
    <definedName name="Pound" localSheetId="6">#REF!</definedName>
    <definedName name="Pound" localSheetId="5">#REF!</definedName>
    <definedName name="Pound">#REF!</definedName>
    <definedName name="_xlnm.Print_Area" localSheetId="2">'(4) ANALYSIS ASSUMPTIONS'!$A$12:$F$34</definedName>
    <definedName name="swed" localSheetId="6">#REF!</definedName>
    <definedName name="swed" localSheetId="4">#REF!</definedName>
    <definedName name="swed" localSheetId="5">#REF!</definedName>
    <definedName name="swe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N15" i="15" l="1"/>
  <c r="AN11" i="15"/>
  <c r="C24" i="5" l="1"/>
  <c r="C23" i="5"/>
  <c r="I15" i="5"/>
  <c r="H15" i="5"/>
  <c r="B14" i="2" l="1"/>
  <c r="AN5" i="15"/>
  <c r="AN4" i="15"/>
  <c r="AN7" i="15"/>
  <c r="AN6" i="15"/>
  <c r="AN10" i="15"/>
  <c r="B135" i="5" l="1"/>
  <c r="B134" i="5"/>
  <c r="B38" i="5"/>
  <c r="B33" i="5"/>
  <c r="B32" i="5"/>
  <c r="H44" i="5"/>
  <c r="G44" i="5"/>
  <c r="F44" i="5"/>
  <c r="E44" i="5"/>
  <c r="D44" i="5"/>
  <c r="C44" i="5"/>
  <c r="B44" i="5"/>
  <c r="I44" i="5" s="1"/>
  <c r="H42" i="5"/>
  <c r="G42" i="5"/>
  <c r="F42" i="5"/>
  <c r="E42" i="5"/>
  <c r="D42" i="5"/>
  <c r="C42" i="5"/>
  <c r="B42" i="5"/>
  <c r="I42" i="5" s="1"/>
  <c r="H35" i="5"/>
  <c r="G35" i="5"/>
  <c r="F35" i="5"/>
  <c r="E35" i="5"/>
  <c r="D35" i="5"/>
  <c r="C35" i="5"/>
  <c r="B35" i="5"/>
  <c r="I35" i="5" s="1"/>
  <c r="I18" i="5"/>
  <c r="I21" i="5"/>
  <c r="I25" i="5"/>
  <c r="I27" i="5"/>
  <c r="I16" i="5"/>
  <c r="B20" i="5"/>
  <c r="C21" i="5"/>
  <c r="C16" i="5"/>
  <c r="B26" i="5"/>
  <c r="B28" i="5" s="1"/>
  <c r="B25" i="5"/>
  <c r="B24" i="5"/>
  <c r="B23" i="5"/>
  <c r="B22" i="5"/>
  <c r="B21" i="5"/>
  <c r="B19" i="5"/>
  <c r="B18" i="5"/>
  <c r="B16" i="5"/>
  <c r="B15" i="5"/>
  <c r="B1" i="5"/>
  <c r="C15" i="5" s="1"/>
  <c r="B35" i="2"/>
  <c r="B36" i="2"/>
  <c r="B34" i="2"/>
  <c r="A35" i="2"/>
  <c r="A36" i="2"/>
  <c r="A34" i="2"/>
  <c r="B10" i="15"/>
  <c r="B9" i="15"/>
  <c r="E3" i="17"/>
  <c r="C19" i="5" l="1"/>
  <c r="B39" i="5"/>
  <c r="C32" i="5"/>
  <c r="D32" i="5" s="1"/>
  <c r="E32" i="5" s="1"/>
  <c r="F32" i="5" s="1"/>
  <c r="G32" i="5" s="1"/>
  <c r="H32" i="5" s="1"/>
  <c r="H36" i="5" s="1"/>
  <c r="C33" i="5"/>
  <c r="C38" i="5"/>
  <c r="B34" i="5"/>
  <c r="B36" i="5"/>
  <c r="C36" i="5" l="1"/>
  <c r="E36" i="5"/>
  <c r="D36" i="5"/>
  <c r="I36" i="5" s="1"/>
  <c r="D33" i="5"/>
  <c r="C34" i="5"/>
  <c r="C37" i="5" s="1"/>
  <c r="B37" i="5"/>
  <c r="D38" i="5"/>
  <c r="C39" i="5"/>
  <c r="G36" i="5"/>
  <c r="F36" i="5"/>
  <c r="I32" i="5"/>
  <c r="K18" i="15"/>
  <c r="AM16" i="15" s="1"/>
  <c r="L18" i="15"/>
  <c r="AO16" i="15" s="1"/>
  <c r="K19" i="15"/>
  <c r="AM17" i="15" s="1"/>
  <c r="L19" i="15"/>
  <c r="AO17" i="15" s="1"/>
  <c r="K20" i="15"/>
  <c r="AM18" i="15" s="1"/>
  <c r="L20" i="15"/>
  <c r="AO18" i="15" s="1"/>
  <c r="K21" i="15"/>
  <c r="AM19" i="15" s="1"/>
  <c r="L21" i="15"/>
  <c r="AO19" i="15" s="1"/>
  <c r="K22" i="15"/>
  <c r="AM20" i="15" s="1"/>
  <c r="L22" i="15"/>
  <c r="AO20" i="15" s="1"/>
  <c r="K23" i="15"/>
  <c r="AM21" i="15" s="1"/>
  <c r="L23" i="15"/>
  <c r="AO21" i="15" s="1"/>
  <c r="L17" i="15"/>
  <c r="AO15" i="15" s="1"/>
  <c r="K17" i="15"/>
  <c r="AM15" i="15" s="1"/>
  <c r="B6" i="15"/>
  <c r="B7" i="15" s="1"/>
  <c r="B8" i="15" s="1"/>
  <c r="B11" i="15" s="1"/>
  <c r="C41" i="5" l="1"/>
  <c r="C40" i="5"/>
  <c r="C43" i="5" s="1"/>
  <c r="C45" i="5" s="1"/>
  <c r="C46" i="5" s="1"/>
  <c r="E33" i="5"/>
  <c r="D34" i="5"/>
  <c r="D37" i="5" s="1"/>
  <c r="E38" i="5"/>
  <c r="D39" i="5"/>
  <c r="B40" i="5"/>
  <c r="B41" i="5"/>
  <c r="AO22" i="15"/>
  <c r="AM22" i="15"/>
  <c r="AN17" i="15"/>
  <c r="AP17" i="15" s="1"/>
  <c r="AQ17" i="15" s="1"/>
  <c r="AN19" i="15"/>
  <c r="AP19" i="15" s="1"/>
  <c r="AQ19" i="15" s="1"/>
  <c r="AN21" i="15"/>
  <c r="AP21" i="15" s="1"/>
  <c r="AQ21" i="15" s="1"/>
  <c r="AN18" i="15"/>
  <c r="AP18" i="15" s="1"/>
  <c r="AQ18" i="15" s="1"/>
  <c r="AN16" i="15"/>
  <c r="AP16" i="15" s="1"/>
  <c r="AQ16" i="15" s="1"/>
  <c r="AN20" i="15"/>
  <c r="AP20" i="15" s="1"/>
  <c r="AQ20" i="15" s="1"/>
  <c r="B43" i="5" l="1"/>
  <c r="E39" i="5"/>
  <c r="F38" i="5"/>
  <c r="D41" i="5"/>
  <c r="D40" i="5"/>
  <c r="D43" i="5" s="1"/>
  <c r="D45" i="5" s="1"/>
  <c r="D46" i="5" s="1"/>
  <c r="E34" i="5"/>
  <c r="E37" i="5" s="1"/>
  <c r="F33" i="5"/>
  <c r="AN22" i="15"/>
  <c r="AP15" i="15"/>
  <c r="AP22" i="15" s="1"/>
  <c r="E41" i="5" l="1"/>
  <c r="E40" i="5"/>
  <c r="E43" i="5" s="1"/>
  <c r="E45" i="5" s="1"/>
  <c r="E46" i="5" s="1"/>
  <c r="B45" i="5"/>
  <c r="G38" i="5"/>
  <c r="F39" i="5"/>
  <c r="G33" i="5"/>
  <c r="F34" i="5"/>
  <c r="F37" i="5" s="1"/>
  <c r="AQ22" i="15"/>
  <c r="AQ15" i="15"/>
  <c r="B46" i="5" l="1"/>
  <c r="F41" i="5"/>
  <c r="F40" i="5"/>
  <c r="H33" i="5"/>
  <c r="H34" i="5" s="1"/>
  <c r="G34" i="5"/>
  <c r="G37" i="5" s="1"/>
  <c r="H38" i="5"/>
  <c r="G39" i="5"/>
  <c r="C134" i="5"/>
  <c r="D134" i="5"/>
  <c r="E134" i="5"/>
  <c r="F134" i="5"/>
  <c r="G134" i="5"/>
  <c r="H134" i="5"/>
  <c r="H37" i="5" l="1"/>
  <c r="I37" i="5" s="1"/>
  <c r="I34" i="5"/>
  <c r="F43" i="5"/>
  <c r="I33" i="5"/>
  <c r="G41" i="5"/>
  <c r="G40" i="5"/>
  <c r="G43" i="5" s="1"/>
  <c r="G45" i="5" s="1"/>
  <c r="G46" i="5" s="1"/>
  <c r="H39" i="5"/>
  <c r="I39" i="5" s="1"/>
  <c r="I38" i="5"/>
  <c r="H41" i="5"/>
  <c r="B5" i="5"/>
  <c r="B6" i="5" s="1"/>
  <c r="C69" i="5" s="1"/>
  <c r="D15" i="5"/>
  <c r="B10" i="5"/>
  <c r="B8" i="5"/>
  <c r="B110" i="5" s="1"/>
  <c r="B9" i="5"/>
  <c r="B78" i="5" s="1"/>
  <c r="B49" i="5"/>
  <c r="C49" i="5" s="1"/>
  <c r="D49" i="5" s="1"/>
  <c r="E49" i="5" s="1"/>
  <c r="F49" i="5" s="1"/>
  <c r="B50" i="5"/>
  <c r="B66" i="5"/>
  <c r="C66" i="5" s="1"/>
  <c r="B67" i="5"/>
  <c r="B86" i="5"/>
  <c r="B83" i="5"/>
  <c r="C83" i="5" s="1"/>
  <c r="D83" i="5" s="1"/>
  <c r="E83" i="5" s="1"/>
  <c r="B84" i="5"/>
  <c r="B100" i="5"/>
  <c r="B101" i="5"/>
  <c r="B117" i="5"/>
  <c r="C117" i="5" s="1"/>
  <c r="D117" i="5" s="1"/>
  <c r="E117" i="5" s="1"/>
  <c r="B118" i="5"/>
  <c r="B2" i="5"/>
  <c r="B3" i="5"/>
  <c r="C100" i="5"/>
  <c r="D100" i="5" s="1"/>
  <c r="E100" i="5" s="1"/>
  <c r="F100" i="5" s="1"/>
  <c r="G100" i="5" s="1"/>
  <c r="H100" i="5" s="1"/>
  <c r="D18" i="5"/>
  <c r="D59" i="5"/>
  <c r="D76" i="5"/>
  <c r="D110" i="5"/>
  <c r="D127" i="5"/>
  <c r="E25" i="5"/>
  <c r="E59" i="5"/>
  <c r="E93" i="5"/>
  <c r="E110" i="5"/>
  <c r="F25" i="5"/>
  <c r="F59" i="5"/>
  <c r="F76" i="5"/>
  <c r="F93" i="5"/>
  <c r="F120" i="5"/>
  <c r="F127" i="5"/>
  <c r="F129" i="5"/>
  <c r="G25" i="5"/>
  <c r="G59" i="5"/>
  <c r="G69" i="5"/>
  <c r="G86" i="5"/>
  <c r="G93" i="5"/>
  <c r="G110" i="5"/>
  <c r="H25" i="5"/>
  <c r="H59" i="5"/>
  <c r="H76" i="5"/>
  <c r="H86" i="5"/>
  <c r="H93" i="5"/>
  <c r="H110" i="5"/>
  <c r="H120" i="5"/>
  <c r="H127" i="5"/>
  <c r="B11" i="5"/>
  <c r="A41" i="5"/>
  <c r="A58" i="5" s="1"/>
  <c r="A75" i="5" s="1"/>
  <c r="A92" i="5" s="1"/>
  <c r="A109" i="5" s="1"/>
  <c r="A126" i="5" s="1"/>
  <c r="A38" i="5"/>
  <c r="A55" i="5" s="1"/>
  <c r="A72" i="5" s="1"/>
  <c r="A89" i="5" s="1"/>
  <c r="A106" i="5" s="1"/>
  <c r="A123" i="5" s="1"/>
  <c r="D16" i="2"/>
  <c r="F16" i="2" s="1"/>
  <c r="A31" i="5"/>
  <c r="A48" i="5" s="1"/>
  <c r="A65" i="5" s="1"/>
  <c r="A82" i="5" s="1"/>
  <c r="A99" i="5" s="1"/>
  <c r="A116" i="5" s="1"/>
  <c r="D19" i="2"/>
  <c r="D21" i="2"/>
  <c r="D22" i="2"/>
  <c r="D20" i="2"/>
  <c r="D18" i="2"/>
  <c r="D17" i="2"/>
  <c r="F17" i="2"/>
  <c r="F22" i="2"/>
  <c r="F21" i="2"/>
  <c r="H40" i="5" l="1"/>
  <c r="H43" i="5" s="1"/>
  <c r="H45" i="5" s="1"/>
  <c r="H46" i="5" s="1"/>
  <c r="E15" i="5"/>
  <c r="F15" i="5" s="1"/>
  <c r="G15" i="5" s="1"/>
  <c r="G19" i="5" s="1"/>
  <c r="I41" i="5"/>
  <c r="F45" i="5"/>
  <c r="H103" i="5"/>
  <c r="G18" i="5"/>
  <c r="F103" i="5"/>
  <c r="F52" i="5"/>
  <c r="E86" i="5"/>
  <c r="E87" i="5" s="1"/>
  <c r="C103" i="5"/>
  <c r="C104" i="5" s="1"/>
  <c r="H52" i="5"/>
  <c r="G52" i="5"/>
  <c r="D120" i="5"/>
  <c r="B69" i="5"/>
  <c r="B70" i="5" s="1"/>
  <c r="C70" i="5"/>
  <c r="B87" i="5"/>
  <c r="C67" i="5"/>
  <c r="D67" i="5" s="1"/>
  <c r="H78" i="5"/>
  <c r="G127" i="5"/>
  <c r="G76" i="5"/>
  <c r="F110" i="5"/>
  <c r="F69" i="5"/>
  <c r="E127" i="5"/>
  <c r="E76" i="5"/>
  <c r="D93" i="5"/>
  <c r="D25" i="5"/>
  <c r="C110" i="5"/>
  <c r="B85" i="5"/>
  <c r="H112" i="5"/>
  <c r="H95" i="5"/>
  <c r="G129" i="5"/>
  <c r="G95" i="5"/>
  <c r="F95" i="5"/>
  <c r="E112" i="5"/>
  <c r="C112" i="5"/>
  <c r="C59" i="5"/>
  <c r="C27" i="5"/>
  <c r="G27" i="5"/>
  <c r="D61" i="5"/>
  <c r="C78" i="5"/>
  <c r="B112" i="5"/>
  <c r="B95" i="5"/>
  <c r="H61" i="5"/>
  <c r="F27" i="5"/>
  <c r="H104" i="5"/>
  <c r="H27" i="5"/>
  <c r="G112" i="5"/>
  <c r="F78" i="5"/>
  <c r="E95" i="5"/>
  <c r="E61" i="5"/>
  <c r="D129" i="5"/>
  <c r="D95" i="5"/>
  <c r="C76" i="5"/>
  <c r="C84" i="5"/>
  <c r="C85" i="5" s="1"/>
  <c r="B123" i="5"/>
  <c r="C123" i="5" s="1"/>
  <c r="D19" i="5"/>
  <c r="B119" i="5"/>
  <c r="C118" i="5"/>
  <c r="C119" i="5" s="1"/>
  <c r="B120" i="5"/>
  <c r="B121" i="5" s="1"/>
  <c r="C18" i="5"/>
  <c r="D69" i="5"/>
  <c r="D103" i="5"/>
  <c r="D104" i="5" s="1"/>
  <c r="E69" i="5"/>
  <c r="B52" i="5"/>
  <c r="B53" i="5" s="1"/>
  <c r="D52" i="5"/>
  <c r="D53" i="5" s="1"/>
  <c r="D86" i="5"/>
  <c r="D87" i="5" s="1"/>
  <c r="E18" i="5"/>
  <c r="E19" i="5" s="1"/>
  <c r="E52" i="5"/>
  <c r="E53" i="5" s="1"/>
  <c r="F18" i="5"/>
  <c r="F86" i="5"/>
  <c r="G103" i="5"/>
  <c r="G104" i="5" s="1"/>
  <c r="H69" i="5"/>
  <c r="B106" i="5"/>
  <c r="B107" i="5" s="1"/>
  <c r="H18" i="5"/>
  <c r="G120" i="5"/>
  <c r="G61" i="5"/>
  <c r="F112" i="5"/>
  <c r="E120" i="5"/>
  <c r="E121" i="5" s="1"/>
  <c r="E103" i="5"/>
  <c r="E104" i="5" s="1"/>
  <c r="E78" i="5"/>
  <c r="D112" i="5"/>
  <c r="C86" i="5"/>
  <c r="C61" i="5"/>
  <c r="B89" i="5"/>
  <c r="B90" i="5" s="1"/>
  <c r="B72" i="5"/>
  <c r="B73" i="5" s="1"/>
  <c r="B55" i="5"/>
  <c r="B56" i="5" s="1"/>
  <c r="C68" i="5"/>
  <c r="D66" i="5"/>
  <c r="E66" i="5" s="1"/>
  <c r="F66" i="5" s="1"/>
  <c r="F53" i="5"/>
  <c r="B27" i="5"/>
  <c r="B129" i="5"/>
  <c r="D27" i="5"/>
  <c r="D78" i="5"/>
  <c r="E27" i="5"/>
  <c r="B61" i="5"/>
  <c r="C95" i="5"/>
  <c r="C129" i="5"/>
  <c r="E129" i="5"/>
  <c r="F61" i="5"/>
  <c r="G78" i="5"/>
  <c r="H129" i="5"/>
  <c r="B68" i="5"/>
  <c r="F117" i="5"/>
  <c r="D121" i="5"/>
  <c r="I100" i="5"/>
  <c r="G49" i="5"/>
  <c r="H49" i="5" s="1"/>
  <c r="C87" i="5"/>
  <c r="F104" i="5"/>
  <c r="F83" i="5"/>
  <c r="G83" i="5" s="1"/>
  <c r="B124" i="5"/>
  <c r="F20" i="2"/>
  <c r="F19" i="2"/>
  <c r="C89" i="5"/>
  <c r="F18" i="2"/>
  <c r="D84" i="5"/>
  <c r="B102" i="5"/>
  <c r="C101" i="5"/>
  <c r="B51" i="5"/>
  <c r="C50" i="5"/>
  <c r="B17" i="5"/>
  <c r="B76" i="5"/>
  <c r="C25" i="5"/>
  <c r="C93" i="5"/>
  <c r="C127" i="5"/>
  <c r="B127" i="5"/>
  <c r="I127" i="5" s="1"/>
  <c r="B93" i="5"/>
  <c r="B59" i="5"/>
  <c r="B103" i="5"/>
  <c r="C52" i="5"/>
  <c r="C120" i="5"/>
  <c r="H19" i="5" l="1"/>
  <c r="F19" i="5"/>
  <c r="I19" i="5" s="1"/>
  <c r="I40" i="5"/>
  <c r="I43" i="5"/>
  <c r="F46" i="5"/>
  <c r="I46" i="5" s="1"/>
  <c r="I45" i="5"/>
  <c r="I86" i="5"/>
  <c r="H53" i="5"/>
  <c r="C71" i="5"/>
  <c r="C75" i="5" s="1"/>
  <c r="G53" i="5"/>
  <c r="E70" i="5"/>
  <c r="B54" i="5"/>
  <c r="B58" i="5" s="1"/>
  <c r="B88" i="5"/>
  <c r="B92" i="5" s="1"/>
  <c r="I110" i="5"/>
  <c r="F70" i="5"/>
  <c r="D68" i="5"/>
  <c r="D118" i="5"/>
  <c r="I76" i="5"/>
  <c r="E67" i="5"/>
  <c r="I95" i="5"/>
  <c r="C72" i="5"/>
  <c r="I61" i="5"/>
  <c r="I78" i="5"/>
  <c r="I129" i="5"/>
  <c r="C106" i="5"/>
  <c r="C107" i="5" s="1"/>
  <c r="C55" i="5"/>
  <c r="D70" i="5"/>
  <c r="I112" i="5"/>
  <c r="I69" i="5"/>
  <c r="G66" i="5"/>
  <c r="H66" i="5" s="1"/>
  <c r="H70" i="5" s="1"/>
  <c r="B122" i="5"/>
  <c r="B126" i="5" s="1"/>
  <c r="F121" i="5"/>
  <c r="G117" i="5"/>
  <c r="F87" i="5"/>
  <c r="G87" i="5"/>
  <c r="H83" i="5"/>
  <c r="I59" i="5"/>
  <c r="B57" i="5"/>
  <c r="D16" i="5"/>
  <c r="C17" i="5"/>
  <c r="C51" i="5"/>
  <c r="D50" i="5"/>
  <c r="D119" i="5"/>
  <c r="D122" i="5" s="1"/>
  <c r="E118" i="5"/>
  <c r="D89" i="5"/>
  <c r="C90" i="5"/>
  <c r="B71" i="5"/>
  <c r="C88" i="5"/>
  <c r="I93" i="5"/>
  <c r="C102" i="5"/>
  <c r="C105" i="5" s="1"/>
  <c r="D101" i="5"/>
  <c r="I49" i="5"/>
  <c r="C53" i="5"/>
  <c r="I52" i="5"/>
  <c r="E84" i="5"/>
  <c r="D85" i="5"/>
  <c r="D88" i="5" s="1"/>
  <c r="C124" i="5"/>
  <c r="D123" i="5"/>
  <c r="C121" i="5"/>
  <c r="I120" i="5"/>
  <c r="B104" i="5"/>
  <c r="I103" i="5"/>
  <c r="E68" i="5"/>
  <c r="F67" i="5"/>
  <c r="C73" i="5"/>
  <c r="D72" i="5"/>
  <c r="C56" i="5"/>
  <c r="D55" i="5"/>
  <c r="C22" i="5"/>
  <c r="D21" i="5"/>
  <c r="C20" i="5" l="1"/>
  <c r="C74" i="5"/>
  <c r="C77" i="5" s="1"/>
  <c r="C79" i="5" s="1"/>
  <c r="C80" i="5" s="1"/>
  <c r="B91" i="5"/>
  <c r="D71" i="5"/>
  <c r="D75" i="5" s="1"/>
  <c r="D106" i="5"/>
  <c r="B125" i="5"/>
  <c r="B128" i="5" s="1"/>
  <c r="G70" i="5"/>
  <c r="I70" i="5" s="1"/>
  <c r="H117" i="5"/>
  <c r="H121" i="5" s="1"/>
  <c r="G121" i="5"/>
  <c r="H87" i="5"/>
  <c r="I87" i="5" s="1"/>
  <c r="I83" i="5"/>
  <c r="I66" i="5"/>
  <c r="B105" i="5"/>
  <c r="I104" i="5"/>
  <c r="E71" i="5"/>
  <c r="E89" i="5"/>
  <c r="D90" i="5"/>
  <c r="D91" i="5" s="1"/>
  <c r="E16" i="5"/>
  <c r="D17" i="5"/>
  <c r="D107" i="5"/>
  <c r="E106" i="5"/>
  <c r="E72" i="5"/>
  <c r="D73" i="5"/>
  <c r="C91" i="5"/>
  <c r="C92" i="5"/>
  <c r="E85" i="5"/>
  <c r="E88" i="5" s="1"/>
  <c r="F84" i="5"/>
  <c r="C54" i="5"/>
  <c r="I53" i="5"/>
  <c r="D126" i="5"/>
  <c r="D102" i="5"/>
  <c r="E101" i="5"/>
  <c r="B94" i="5"/>
  <c r="B74" i="5"/>
  <c r="B75" i="5"/>
  <c r="D51" i="5"/>
  <c r="D54" i="5" s="1"/>
  <c r="E50" i="5"/>
  <c r="C122" i="5"/>
  <c r="D124" i="5"/>
  <c r="D125" i="5" s="1"/>
  <c r="E123" i="5"/>
  <c r="E21" i="5"/>
  <c r="D22" i="5"/>
  <c r="D56" i="5"/>
  <c r="E55" i="5"/>
  <c r="G67" i="5"/>
  <c r="F68" i="5"/>
  <c r="F71" i="5" s="1"/>
  <c r="D92" i="5"/>
  <c r="C109" i="5"/>
  <c r="C108" i="5"/>
  <c r="E119" i="5"/>
  <c r="F118" i="5"/>
  <c r="B60" i="5"/>
  <c r="I134" i="5"/>
  <c r="B141" i="5" l="1"/>
  <c r="D74" i="5"/>
  <c r="D77" i="5" s="1"/>
  <c r="D79" i="5" s="1"/>
  <c r="D80" i="5" s="1"/>
  <c r="I121" i="5"/>
  <c r="D94" i="5"/>
  <c r="D96" i="5" s="1"/>
  <c r="D97" i="5" s="1"/>
  <c r="C94" i="5"/>
  <c r="C96" i="5" s="1"/>
  <c r="C97" i="5" s="1"/>
  <c r="I117" i="5"/>
  <c r="C111" i="5"/>
  <c r="C113" i="5" s="1"/>
  <c r="C114" i="5" s="1"/>
  <c r="D128" i="5"/>
  <c r="D130" i="5" s="1"/>
  <c r="D131" i="5" s="1"/>
  <c r="G68" i="5"/>
  <c r="G71" i="5" s="1"/>
  <c r="H67" i="5"/>
  <c r="H68" i="5" s="1"/>
  <c r="H71" i="5" s="1"/>
  <c r="D57" i="5"/>
  <c r="D58" i="5"/>
  <c r="B96" i="5"/>
  <c r="C57" i="5"/>
  <c r="C58" i="5"/>
  <c r="B130" i="5"/>
  <c r="E73" i="5"/>
  <c r="E74" i="5" s="1"/>
  <c r="F72" i="5"/>
  <c r="E22" i="5"/>
  <c r="F21" i="5"/>
  <c r="G84" i="5"/>
  <c r="F85" i="5"/>
  <c r="D20" i="5"/>
  <c r="B62" i="5"/>
  <c r="E122" i="5"/>
  <c r="F55" i="5"/>
  <c r="E56" i="5"/>
  <c r="F123" i="5"/>
  <c r="E124" i="5"/>
  <c r="E102" i="5"/>
  <c r="E105" i="5" s="1"/>
  <c r="F101" i="5"/>
  <c r="E92" i="5"/>
  <c r="F16" i="5"/>
  <c r="E17" i="5"/>
  <c r="E20" i="5" s="1"/>
  <c r="E90" i="5"/>
  <c r="E91" i="5" s="1"/>
  <c r="F89" i="5"/>
  <c r="B108" i="5"/>
  <c r="B109" i="5"/>
  <c r="F119" i="5"/>
  <c r="F122" i="5" s="1"/>
  <c r="G118" i="5"/>
  <c r="C125" i="5"/>
  <c r="C126" i="5"/>
  <c r="F75" i="5"/>
  <c r="E51" i="5"/>
  <c r="E54" i="5" s="1"/>
  <c r="F50" i="5"/>
  <c r="B77" i="5"/>
  <c r="D105" i="5"/>
  <c r="F106" i="5"/>
  <c r="E107" i="5"/>
  <c r="E75" i="5"/>
  <c r="C26" i="5" l="1"/>
  <c r="F8" i="7"/>
  <c r="B133" i="5"/>
  <c r="C133" i="5"/>
  <c r="E77" i="5"/>
  <c r="E79" i="5" s="1"/>
  <c r="E80" i="5" s="1"/>
  <c r="I68" i="5"/>
  <c r="E94" i="5"/>
  <c r="G119" i="5"/>
  <c r="H118" i="5"/>
  <c r="H119" i="5" s="1"/>
  <c r="H122" i="5" s="1"/>
  <c r="D24" i="5"/>
  <c r="D23" i="5"/>
  <c r="F88" i="5"/>
  <c r="B131" i="5"/>
  <c r="F51" i="5"/>
  <c r="F54" i="5" s="1"/>
  <c r="G50" i="5"/>
  <c r="F126" i="5"/>
  <c r="B111" i="5"/>
  <c r="F17" i="5"/>
  <c r="G16" i="5"/>
  <c r="G101" i="5"/>
  <c r="F102" i="5"/>
  <c r="G123" i="5"/>
  <c r="F124" i="5"/>
  <c r="F125" i="5" s="1"/>
  <c r="E126" i="5"/>
  <c r="E125" i="5"/>
  <c r="G85" i="5"/>
  <c r="G88" i="5" s="1"/>
  <c r="H84" i="5"/>
  <c r="H85" i="5" s="1"/>
  <c r="H88" i="5" s="1"/>
  <c r="F22" i="5"/>
  <c r="G21" i="5"/>
  <c r="D60" i="5"/>
  <c r="D62" i="5" s="1"/>
  <c r="D63" i="5" s="1"/>
  <c r="I67" i="5"/>
  <c r="B79" i="5"/>
  <c r="F107" i="5"/>
  <c r="G106" i="5"/>
  <c r="E108" i="5"/>
  <c r="E109" i="5"/>
  <c r="F73" i="5"/>
  <c r="F74" i="5" s="1"/>
  <c r="F77" i="5" s="1"/>
  <c r="F79" i="5" s="1"/>
  <c r="F80" i="5" s="1"/>
  <c r="G72" i="5"/>
  <c r="H75" i="5"/>
  <c r="E23" i="5"/>
  <c r="E24" i="5"/>
  <c r="E58" i="5"/>
  <c r="E57" i="5"/>
  <c r="C128" i="5"/>
  <c r="F90" i="5"/>
  <c r="G89" i="5"/>
  <c r="D108" i="5"/>
  <c r="D109" i="5"/>
  <c r="G55" i="5"/>
  <c r="F56" i="5"/>
  <c r="B63" i="5"/>
  <c r="C60" i="5"/>
  <c r="B97" i="5"/>
  <c r="G75" i="5"/>
  <c r="I71" i="5"/>
  <c r="F20" i="5" l="1"/>
  <c r="C28" i="5"/>
  <c r="E133" i="5"/>
  <c r="D133" i="5"/>
  <c r="E60" i="5"/>
  <c r="E62" i="5" s="1"/>
  <c r="E63" i="5" s="1"/>
  <c r="I75" i="5"/>
  <c r="I118" i="5"/>
  <c r="I84" i="5"/>
  <c r="E111" i="5"/>
  <c r="E113" i="5" s="1"/>
  <c r="E114" i="5" s="1"/>
  <c r="E128" i="5"/>
  <c r="E130" i="5" s="1"/>
  <c r="E131" i="5" s="1"/>
  <c r="C130" i="5"/>
  <c r="G17" i="5"/>
  <c r="I17" i="5" s="1"/>
  <c r="H16" i="5"/>
  <c r="H17" i="5" s="1"/>
  <c r="H20" i="5" s="1"/>
  <c r="F23" i="5"/>
  <c r="F128" i="5"/>
  <c r="F130" i="5" s="1"/>
  <c r="F131" i="5" s="1"/>
  <c r="E96" i="5"/>
  <c r="G73" i="5"/>
  <c r="G74" i="5" s="1"/>
  <c r="G77" i="5" s="1"/>
  <c r="G79" i="5" s="1"/>
  <c r="G80" i="5" s="1"/>
  <c r="H72" i="5"/>
  <c r="H73" i="5" s="1"/>
  <c r="B80" i="5"/>
  <c r="F105" i="5"/>
  <c r="F57" i="5"/>
  <c r="F58" i="5"/>
  <c r="D26" i="5"/>
  <c r="D111" i="5"/>
  <c r="D113" i="5" s="1"/>
  <c r="D114" i="5" s="1"/>
  <c r="E26" i="5"/>
  <c r="E28" i="5" s="1"/>
  <c r="G107" i="5"/>
  <c r="H106" i="5"/>
  <c r="G102" i="5"/>
  <c r="G105" i="5" s="1"/>
  <c r="H101" i="5"/>
  <c r="C62" i="5"/>
  <c r="H126" i="5"/>
  <c r="G92" i="5"/>
  <c r="F91" i="5"/>
  <c r="F92" i="5"/>
  <c r="I88" i="5"/>
  <c r="G90" i="5"/>
  <c r="G91" i="5" s="1"/>
  <c r="G94" i="5" s="1"/>
  <c r="G96" i="5" s="1"/>
  <c r="G97" i="5" s="1"/>
  <c r="H89" i="5"/>
  <c r="B29" i="5"/>
  <c r="H55" i="5"/>
  <c r="G56" i="5"/>
  <c r="H21" i="5"/>
  <c r="G22" i="5"/>
  <c r="H92" i="5"/>
  <c r="H123" i="5"/>
  <c r="G124" i="5"/>
  <c r="B113" i="5"/>
  <c r="G51" i="5"/>
  <c r="G54" i="5" s="1"/>
  <c r="H50" i="5"/>
  <c r="H51" i="5" s="1"/>
  <c r="I85" i="5"/>
  <c r="G122" i="5"/>
  <c r="I119" i="5"/>
  <c r="C29" i="5" l="1"/>
  <c r="C135" i="5"/>
  <c r="C136" i="5" s="1"/>
  <c r="F24" i="5"/>
  <c r="B136" i="5"/>
  <c r="E29" i="5"/>
  <c r="E135" i="5"/>
  <c r="E136" i="5" s="1"/>
  <c r="I72" i="5"/>
  <c r="I92" i="5"/>
  <c r="G57" i="5"/>
  <c r="G58" i="5"/>
  <c r="H124" i="5"/>
  <c r="I123" i="5"/>
  <c r="H102" i="5"/>
  <c r="H105" i="5" s="1"/>
  <c r="I101" i="5"/>
  <c r="H107" i="5"/>
  <c r="I107" i="5" s="1"/>
  <c r="I106" i="5"/>
  <c r="F60" i="5"/>
  <c r="H74" i="5"/>
  <c r="I73" i="5"/>
  <c r="E97" i="5"/>
  <c r="F26" i="5"/>
  <c r="F28" i="5" s="1"/>
  <c r="H24" i="5"/>
  <c r="C131" i="5"/>
  <c r="I50" i="5"/>
  <c r="B114" i="5"/>
  <c r="C63" i="5"/>
  <c r="G109" i="5"/>
  <c r="G108" i="5"/>
  <c r="D28" i="5"/>
  <c r="D135" i="5" s="1"/>
  <c r="D136" i="5" s="1"/>
  <c r="D138" i="5" s="1"/>
  <c r="G20" i="5"/>
  <c r="I20" i="5" s="1"/>
  <c r="G125" i="5"/>
  <c r="G126" i="5"/>
  <c r="I126" i="5" s="1"/>
  <c r="I122" i="5"/>
  <c r="H54" i="5"/>
  <c r="I51" i="5"/>
  <c r="H22" i="5"/>
  <c r="I22" i="5" s="1"/>
  <c r="H56" i="5"/>
  <c r="I56" i="5" s="1"/>
  <c r="I55" i="5"/>
  <c r="H90" i="5"/>
  <c r="I89" i="5"/>
  <c r="F94" i="5"/>
  <c r="F108" i="5"/>
  <c r="F109" i="5"/>
  <c r="F133" i="5" l="1"/>
  <c r="E138" i="5"/>
  <c r="C138" i="5"/>
  <c r="F29" i="5"/>
  <c r="I102" i="5"/>
  <c r="G60" i="5"/>
  <c r="G62" i="5" s="1"/>
  <c r="G63" i="5" s="1"/>
  <c r="G128" i="5"/>
  <c r="H58" i="5"/>
  <c r="I58" i="5" s="1"/>
  <c r="H57" i="5"/>
  <c r="H60" i="5" s="1"/>
  <c r="H62" i="5" s="1"/>
  <c r="H63" i="5" s="1"/>
  <c r="I54" i="5"/>
  <c r="D29" i="5"/>
  <c r="H77" i="5"/>
  <c r="I74" i="5"/>
  <c r="F111" i="5"/>
  <c r="H108" i="5"/>
  <c r="H109" i="5"/>
  <c r="I105" i="5"/>
  <c r="I90" i="5"/>
  <c r="H91" i="5"/>
  <c r="G23" i="5"/>
  <c r="G24" i="5"/>
  <c r="I24" i="5" s="1"/>
  <c r="G111" i="5"/>
  <c r="G113" i="5" s="1"/>
  <c r="G114" i="5" s="1"/>
  <c r="I124" i="5"/>
  <c r="H125" i="5"/>
  <c r="H128" i="5" s="1"/>
  <c r="H130" i="5" s="1"/>
  <c r="H131" i="5" s="1"/>
  <c r="I109" i="5"/>
  <c r="F96" i="5"/>
  <c r="H23" i="5"/>
  <c r="F62" i="5"/>
  <c r="G133" i="5" l="1"/>
  <c r="I23" i="5"/>
  <c r="H26" i="5"/>
  <c r="H28" i="5" s="1"/>
  <c r="H111" i="5"/>
  <c r="H113" i="5" s="1"/>
  <c r="H114" i="5" s="1"/>
  <c r="I57" i="5"/>
  <c r="I60" i="5"/>
  <c r="I125" i="5"/>
  <c r="I108" i="5"/>
  <c r="G130" i="5"/>
  <c r="I128" i="5"/>
  <c r="G26" i="5"/>
  <c r="I26" i="5" s="1"/>
  <c r="F113" i="5"/>
  <c r="B138" i="5"/>
  <c r="F97" i="5"/>
  <c r="F63" i="5"/>
  <c r="I63" i="5" s="1"/>
  <c r="I62" i="5"/>
  <c r="H133" i="5"/>
  <c r="I133" i="5" s="1"/>
  <c r="H94" i="5"/>
  <c r="I91" i="5"/>
  <c r="H79" i="5"/>
  <c r="I77" i="5"/>
  <c r="F135" i="5" l="1"/>
  <c r="F136" i="5" s="1"/>
  <c r="H29" i="5"/>
  <c r="I111" i="5"/>
  <c r="G131" i="5"/>
  <c r="I131" i="5" s="1"/>
  <c r="I130" i="5"/>
  <c r="H80" i="5"/>
  <c r="I80" i="5" s="1"/>
  <c r="I79" i="5"/>
  <c r="G28" i="5"/>
  <c r="H96" i="5"/>
  <c r="I94" i="5"/>
  <c r="F114" i="5"/>
  <c r="I114" i="5" s="1"/>
  <c r="I113" i="5"/>
  <c r="G135" i="5" l="1"/>
  <c r="G136" i="5" s="1"/>
  <c r="I28" i="5"/>
  <c r="H97" i="5"/>
  <c r="I97" i="5" s="1"/>
  <c r="I96" i="5"/>
  <c r="G29" i="5"/>
  <c r="H135" i="5"/>
  <c r="H136" i="5" s="1"/>
  <c r="I136" i="5" s="1"/>
  <c r="B140" i="5" l="1"/>
  <c r="B144" i="5" s="1"/>
  <c r="G138" i="5"/>
  <c r="I29" i="5"/>
  <c r="F138" i="5" l="1"/>
  <c r="I135" i="5" l="1"/>
  <c r="C140" i="5" s="1"/>
  <c r="H138" i="5" l="1"/>
  <c r="B139" i="5" l="1"/>
  <c r="B142" i="5" s="1"/>
  <c r="I138" i="5"/>
  <c r="G8" i="7" l="1"/>
  <c r="H8" i="7" s="1"/>
  <c r="C139" i="5"/>
</calcChain>
</file>

<file path=xl/sharedStrings.xml><?xml version="1.0" encoding="utf-8"?>
<sst xmlns="http://schemas.openxmlformats.org/spreadsheetml/2006/main" count="391" uniqueCount="188">
  <si>
    <t>Year 1</t>
  </si>
  <si>
    <t>Year 2</t>
  </si>
  <si>
    <t>Year 3</t>
  </si>
  <si>
    <t>Year 4</t>
  </si>
  <si>
    <t>Year 5</t>
  </si>
  <si>
    <t>Year 6</t>
  </si>
  <si>
    <t>Selling Price</t>
  </si>
  <si>
    <t>Profit from Service and Parts per Car</t>
  </si>
  <si>
    <t>Price Increase (Each Year)</t>
  </si>
  <si>
    <t>Cost Increase (Each Year)</t>
  </si>
  <si>
    <t>Service and Parts Revenue per Car</t>
  </si>
  <si>
    <t>Service and Parts amortized over</t>
  </si>
  <si>
    <t>2 Series</t>
  </si>
  <si>
    <t>BMW 1 Series</t>
  </si>
  <si>
    <t>3 Series</t>
  </si>
  <si>
    <t>4 Series</t>
  </si>
  <si>
    <t>5 Series</t>
  </si>
  <si>
    <t>6 Series</t>
  </si>
  <si>
    <t>7 Series</t>
  </si>
  <si>
    <t>Units Sold</t>
  </si>
  <si>
    <t>Total Profit from 1 Series Cars Sold</t>
  </si>
  <si>
    <t>1 Series Units Sold</t>
  </si>
  <si>
    <t>2 Series Units Sold</t>
  </si>
  <si>
    <t>3 Series Units Sold</t>
  </si>
  <si>
    <t>4 Series Units Sold</t>
  </si>
  <si>
    <t>5 Series Units Sold</t>
  </si>
  <si>
    <t>6 Series Units Sold</t>
  </si>
  <si>
    <t>7 Series Units Sold</t>
  </si>
  <si>
    <t>Total Profit from 2 Series Cars Sold</t>
  </si>
  <si>
    <t>Total Profit from 3 Series Cars Sold</t>
  </si>
  <si>
    <t>Total Profit from 4 Series Cars Sold</t>
  </si>
  <si>
    <t>Total Profit from 5 Series Cars Sold</t>
  </si>
  <si>
    <t>Total Profit from 6 Series Cars Sold</t>
  </si>
  <si>
    <t>Total Profit from 7 Series Cars Sold</t>
  </si>
  <si>
    <t>SEDANS</t>
  </si>
  <si>
    <t>Total Units Sold</t>
  </si>
  <si>
    <t>Total Revenue</t>
  </si>
  <si>
    <t>Revenues From Auto Sales</t>
  </si>
  <si>
    <t>Revenues From Auto Maintnence</t>
  </si>
  <si>
    <t>Gross Profit</t>
  </si>
  <si>
    <t>Total Cost to Build and Sell</t>
  </si>
  <si>
    <t>Depreciation and Amortization</t>
  </si>
  <si>
    <t>Operating Income</t>
  </si>
  <si>
    <t>Interest Income</t>
  </si>
  <si>
    <t>Net Income</t>
  </si>
  <si>
    <t>Executive Summary and Recommendation</t>
  </si>
  <si>
    <t>Year 0</t>
  </si>
  <si>
    <t>Discount Rate</t>
  </si>
  <si>
    <t xml:space="preserve"> </t>
  </si>
  <si>
    <t>Years</t>
  </si>
  <si>
    <t>Interest Income/(Expense)</t>
  </si>
  <si>
    <t>Cost to Build and Sell (50%)</t>
  </si>
  <si>
    <t>PV of All Annual Cash Flows</t>
  </si>
  <si>
    <t>G&amp;A Expense Ratio</t>
  </si>
  <si>
    <t>Annual Depreciation Expense</t>
  </si>
  <si>
    <t>Annual Interest Income/Expense</t>
  </si>
  <si>
    <t xml:space="preserve">         PROJECT STATEMENT:</t>
  </si>
  <si>
    <t xml:space="preserve">        Analysis Assumptions:</t>
  </si>
  <si>
    <t>to determine the profit in terms of "Cash (PV) Profit Per Car Sold" for all the units sold over the next 6 years.</t>
  </si>
  <si>
    <t>Knowing the profit in terms of cash per car, the company can decide further on investing additional money in advertising.</t>
  </si>
  <si>
    <t>According to the information provided below, it's required that you build a financial business model</t>
  </si>
  <si>
    <t>You are required to build 3 models based on 3 business scenarios - Good Economy, Poor Economy, and Average Economy.</t>
  </si>
  <si>
    <t>7 Year Total</t>
  </si>
  <si>
    <r>
      <rPr>
        <b/>
        <sz val="14"/>
        <color rgb="FFC00000"/>
        <rFont val="Arial"/>
        <family val="2"/>
      </rPr>
      <t>Utilizing Regression Analytics</t>
    </r>
    <r>
      <rPr>
        <sz val="14"/>
        <color rgb="FFC00000"/>
        <rFont val="Arial"/>
        <family val="2"/>
      </rPr>
      <t>, based on the same customer base, how many units expected to be sold annually.</t>
    </r>
  </si>
  <si>
    <t>TOTAL GROSS PROFIT</t>
  </si>
  <si>
    <t>TOTAL DEPRECIATION &amp; AMORT. EXP.</t>
  </si>
  <si>
    <t>TOTAL CASH FLOW</t>
  </si>
  <si>
    <t>PROFIT PER CAR</t>
  </si>
  <si>
    <t>The objective of this project is to determine the "present value of cash flow earned per car" and provide recommendation to the management of your findings.</t>
  </si>
  <si>
    <t>The project and analysis is Excel Financial Modeling over the 7-year period.</t>
  </si>
  <si>
    <t>into its showroom for the first time.</t>
  </si>
  <si>
    <t>Thank you.</t>
  </si>
  <si>
    <t>Please describe the summary of your work in 1-3 short paragraphs and few bullets in between on your analysis and findings.</t>
  </si>
  <si>
    <t>This could be in the form of small "Contingency Table" summarizing your work with numbers.</t>
  </si>
  <si>
    <t>Average Economy</t>
  </si>
  <si>
    <t>Poor Economy</t>
  </si>
  <si>
    <t>Economic Growth %</t>
  </si>
  <si>
    <t>Total PV Cash Flow</t>
  </si>
  <si>
    <t>PV Cash Flow/Car</t>
  </si>
  <si>
    <t>Current Year - Units Sold</t>
  </si>
  <si>
    <t>Average Case Scenario (5% Growth)</t>
  </si>
  <si>
    <t>Vehicle Sales Revenue Per Unit</t>
  </si>
  <si>
    <t>Vehicle Cost Per Unit</t>
  </si>
  <si>
    <r>
      <t xml:space="preserve">  Analysis: </t>
    </r>
    <r>
      <rPr>
        <sz val="13"/>
        <color theme="1"/>
        <rFont val="Arial"/>
        <family val="2"/>
      </rPr>
      <t>7-Year Model</t>
    </r>
  </si>
  <si>
    <t xml:space="preserve">  ** The same amount every year</t>
  </si>
  <si>
    <t xml:space="preserve">  ** Assumed at the same % every year</t>
  </si>
  <si>
    <t xml:space="preserve">  ** Assumed G&amp;A Expense at the same % of revenue every year</t>
  </si>
  <si>
    <t>Gross Profit Per Unit Sold</t>
  </si>
  <si>
    <t>PROJECT STATEMENT:</t>
  </si>
  <si>
    <t>The company plan to offer a new model next year called Z5 with the ticket price of $83,500.</t>
  </si>
  <si>
    <t>BUSINESS SCENARIO - AVERAGE GROWTH</t>
  </si>
  <si>
    <t>AVERAGE GROWTH</t>
  </si>
  <si>
    <t>Service and Parts Revenue per Car (7 Years)</t>
  </si>
  <si>
    <t>Service and Parts annually allocated</t>
  </si>
  <si>
    <t>G&amp;A Expense Ratio (% of Revenue)</t>
  </si>
  <si>
    <t>Assumed Constant</t>
  </si>
  <si>
    <t>This project will teach you tremendously on Excel skills before entering the business workplace in Corporate America.</t>
  </si>
  <si>
    <t>You are only allowed to input the data for modeling purpose via Tab # 4 ……. Assumption Page!</t>
  </si>
  <si>
    <t>Over the 7-Year Analysis Period</t>
  </si>
  <si>
    <t>Total Accounting Profit</t>
  </si>
  <si>
    <t>&lt;&lt; CHECKING</t>
  </si>
  <si>
    <t>TOTAL ACCOUNTING PROFIT</t>
  </si>
  <si>
    <t>KEY</t>
  </si>
  <si>
    <t>KEY 1</t>
  </si>
  <si>
    <t>Once you get one " 5% Growth Model" completed, you can complete the other 3% and 8% quickly by duplicating and replacing the 5% with 3% and 8%, respectively.</t>
  </si>
  <si>
    <t>When knowing how much the organization earns in terms of PV cash profit per car, the management can set advertising budget and decide on how much to spend to advertise to draw new customers</t>
  </si>
  <si>
    <t>You are not allowed to input any data into Tab # 5 because all input data should be linked to Tab # 4, the feeding sheet.</t>
  </si>
  <si>
    <t xml:space="preserve">         FINANCIAL MODELING:</t>
  </si>
  <si>
    <t>Determine the Correlation Coefficient between "Units Sold" vs. "Vehicle Price Per Unit"?</t>
  </si>
  <si>
    <t>Cash Flow (PV) Per Unit Sold</t>
  </si>
  <si>
    <t>PV of Annual Cash Flows</t>
  </si>
  <si>
    <t>(Not Easily Quantifiable) (Multi-Variable Regression Method)</t>
  </si>
  <si>
    <t>Please build the Model for analysis.</t>
  </si>
  <si>
    <t>REGRESSION MODELING:</t>
  </si>
  <si>
    <t>SUMMARY OUTPUT</t>
  </si>
  <si>
    <t>CORRELATION =</t>
  </si>
  <si>
    <t xml:space="preserve">  ** USE CORRELATION EQUATION</t>
  </si>
  <si>
    <t xml:space="preserve">  *** USE REGRESSION ANALYSIS</t>
  </si>
  <si>
    <t>SLOPE =</t>
  </si>
  <si>
    <t>Regression Statistics</t>
  </si>
  <si>
    <t>INTERCEPT =</t>
  </si>
  <si>
    <t>Multiple R</t>
  </si>
  <si>
    <t>R Square</t>
  </si>
  <si>
    <t>PROJECTED ASKING PRICES FOR THE HOME SIZES BELOW:</t>
  </si>
  <si>
    <t>Adjusted R Square</t>
  </si>
  <si>
    <t>State of U.S. Economy</t>
  </si>
  <si>
    <t>Standard Error</t>
  </si>
  <si>
    <t>Observations</t>
  </si>
  <si>
    <t>X</t>
  </si>
  <si>
    <t>Calculated Y</t>
  </si>
  <si>
    <t>Y</t>
  </si>
  <si>
    <t>Difference</t>
  </si>
  <si>
    <t>% Difference</t>
  </si>
  <si>
    <t>ANOVA</t>
  </si>
  <si>
    <t>df</t>
  </si>
  <si>
    <t>SS</t>
  </si>
  <si>
    <t>MS</t>
  </si>
  <si>
    <t>F</t>
  </si>
  <si>
    <t>Significance F</t>
  </si>
  <si>
    <t>Regression</t>
  </si>
  <si>
    <t>Residual</t>
  </si>
  <si>
    <t>Total</t>
  </si>
  <si>
    <t>Coefficients</t>
  </si>
  <si>
    <t>t Stat</t>
  </si>
  <si>
    <t>P-value</t>
  </si>
  <si>
    <t>Lower 95%</t>
  </si>
  <si>
    <t>Upper 95%</t>
  </si>
  <si>
    <t>Lower 95.0%</t>
  </si>
  <si>
    <t>Upper 95.0%</t>
  </si>
  <si>
    <t>Intercept</t>
  </si>
  <si>
    <t>RESIDUAL OUTPUT</t>
  </si>
  <si>
    <t>PROBABILITY OUTPUT</t>
  </si>
  <si>
    <t>Observation</t>
  </si>
  <si>
    <t>Residuals</t>
  </si>
  <si>
    <t>Percentile</t>
  </si>
  <si>
    <t>Average</t>
  </si>
  <si>
    <t>FACTORS INFLUENCING CAR SALES &amp; BUSINESS FORECASTING (AFFORDABILITY):</t>
  </si>
  <si>
    <t>Maintenance Cost</t>
  </si>
  <si>
    <t>Insurance Coverage Cost</t>
  </si>
  <si>
    <t>Preferences</t>
  </si>
  <si>
    <t>SIMILAR CARS FOR SALE:</t>
  </si>
  <si>
    <t>UNITS SOLD; Y</t>
  </si>
  <si>
    <t>CAR PRICES ($); X</t>
  </si>
  <si>
    <t>*** Prices &amp; Affordability</t>
  </si>
  <si>
    <t>QUESTION - What would be the best forecasting number of units sold when</t>
  </si>
  <si>
    <t>the Marlton BMW introduce its first new iX Model BMW electric car in 2022?</t>
  </si>
  <si>
    <t>Target Selling Price =</t>
  </si>
  <si>
    <t>Predicted UNITS SOLD; Y</t>
  </si>
  <si>
    <t>No. of Cars Sold Per Week (Y)</t>
  </si>
  <si>
    <t>No. of TV Ads Per Week (X)</t>
  </si>
  <si>
    <t>Correlation Coefficient</t>
  </si>
  <si>
    <t xml:space="preserve">   Excel Calculated Value</t>
  </si>
  <si>
    <t>Simple Regression Equation:</t>
  </si>
  <si>
    <t>EXPLAIN Regression Equation:</t>
  </si>
  <si>
    <r>
      <t>SUMMARY</t>
    </r>
    <r>
      <rPr>
        <b/>
        <sz val="28"/>
        <color rgb="FF0070C0"/>
        <rFont val="Arial"/>
        <family val="2"/>
      </rPr>
      <t>:</t>
    </r>
  </si>
  <si>
    <t xml:space="preserve">    Line of Best Fit; Linear Regression Equation:</t>
  </si>
  <si>
    <t>Good Old Way to Calculate "Slope" and "Intercept"</t>
  </si>
  <si>
    <t xml:space="preserve">    Usefulness of Regression Equation:</t>
  </si>
  <si>
    <t xml:space="preserve">    Using Regression Equation: if the Dealership advertise 5 times per week</t>
  </si>
  <si>
    <t xml:space="preserve">      &gt;&gt;&gt; the Dealership can expect to sell 24 cars per week!</t>
  </si>
  <si>
    <t>QUESTION - What would be the best forecasting number of units sold new BMW iX?</t>
  </si>
  <si>
    <t>Dealership Locations</t>
  </si>
  <si>
    <t>State of Local Economy</t>
  </si>
  <si>
    <t>UNIT PRICE (X) =</t>
  </si>
  <si>
    <t>FORECAST UNITS SOLD (Y) =</t>
  </si>
  <si>
    <t xml:space="preserve">        BMW U.S. Northeast Region Business Projection Fiscal 2022</t>
  </si>
  <si>
    <t>Strong Economy</t>
  </si>
  <si>
    <t>G&amp;A Expenses (13%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</si>
</sst>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5" formatCode="&quot;$&quot;#,##0_);\(&quot;$&quot;#,##0\)"/>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_(&quot;$&quot;* #,##0_);_(&quot;$&quot;* \(#,##0\);_(&quot;$&quot;* &quot;-&quot;??_);_(@_)"/>
    <numFmt numFmtId="166" formatCode="0.0%"/>
    <numFmt numFmtId="167" formatCode="&quot;$&quot;#,##0"/>
    <numFmt numFmtId="168" formatCode="0.0000"/>
    <numFmt numFmtId="169" formatCode="0_);\(0\)"/>
    <numFmt numFmtId="170" formatCode="0.000"/>
  </numFmts>
  <fonts count="57" x14ac:knownFonts="1">
    <font>
      <sz val="11"/>
      <color theme="1"/>
      <name val="Calibri"/>
      <family val="2"/>
      <scheme val="minor"/>
    </font>
    <font>
      <sz val="11"/>
      <color theme="1"/>
      <name val="Calibri"/>
      <family val="2"/>
      <scheme val="minor"/>
    </font>
    <font>
      <sz val="11"/>
      <color theme="1"/>
      <name val="Arial"/>
      <family val="2"/>
    </font>
    <font>
      <b/>
      <sz val="11"/>
      <color theme="1"/>
      <name val="Arial"/>
      <family val="2"/>
    </font>
    <font>
      <b/>
      <u/>
      <sz val="11"/>
      <color theme="1"/>
      <name val="Arial"/>
      <family val="2"/>
    </font>
    <font>
      <u/>
      <sz val="11"/>
      <color theme="1"/>
      <name val="Arial"/>
      <family val="2"/>
    </font>
    <font>
      <b/>
      <sz val="11"/>
      <color theme="4" tint="-0.249977111117893"/>
      <name val="Arial"/>
      <family val="2"/>
    </font>
    <font>
      <sz val="12"/>
      <color theme="1"/>
      <name val="Arial"/>
      <family val="2"/>
    </font>
    <font>
      <b/>
      <sz val="12"/>
      <color theme="1"/>
      <name val="Arial"/>
      <family val="2"/>
    </font>
    <font>
      <b/>
      <u/>
      <sz val="12"/>
      <color theme="1"/>
      <name val="Arial"/>
      <family val="2"/>
    </font>
    <font>
      <b/>
      <u/>
      <sz val="14"/>
      <color theme="1"/>
      <name val="Arial"/>
      <family val="2"/>
    </font>
    <font>
      <sz val="14"/>
      <color theme="1"/>
      <name val="Arial"/>
      <family val="2"/>
    </font>
    <font>
      <sz val="11"/>
      <color rgb="FFFF0000"/>
      <name val="Arial"/>
      <family val="2"/>
    </font>
    <font>
      <sz val="11"/>
      <color rgb="FFC00000"/>
      <name val="Arial"/>
      <family val="2"/>
    </font>
    <font>
      <b/>
      <i/>
      <sz val="11"/>
      <color theme="1"/>
      <name val="Arial"/>
      <family val="2"/>
    </font>
    <font>
      <b/>
      <sz val="14"/>
      <color theme="1"/>
      <name val="Arial"/>
      <family val="2"/>
    </font>
    <font>
      <sz val="14"/>
      <color rgb="FFC00000"/>
      <name val="Arial"/>
      <family val="2"/>
    </font>
    <font>
      <sz val="10"/>
      <name val="Arial"/>
      <family val="2"/>
    </font>
    <font>
      <b/>
      <sz val="14"/>
      <color rgb="FFC00000"/>
      <name val="Arial"/>
      <family val="2"/>
    </font>
    <font>
      <b/>
      <sz val="11"/>
      <color rgb="FFFF0000"/>
      <name val="Arial"/>
      <family val="2"/>
    </font>
    <font>
      <b/>
      <sz val="11"/>
      <color rgb="FF0070C0"/>
      <name val="Arial"/>
      <family val="2"/>
    </font>
    <font>
      <sz val="10"/>
      <name val="Arial"/>
      <family val="2"/>
    </font>
    <font>
      <sz val="16"/>
      <color theme="1"/>
      <name val="Arial"/>
      <family val="2"/>
    </font>
    <font>
      <sz val="13"/>
      <color theme="1"/>
      <name val="Arial"/>
      <family val="2"/>
    </font>
    <font>
      <b/>
      <sz val="13"/>
      <color theme="1"/>
      <name val="Arial"/>
      <family val="2"/>
    </font>
    <font>
      <b/>
      <sz val="12"/>
      <color rgb="FFC00000"/>
      <name val="Arial"/>
      <family val="2"/>
    </font>
    <font>
      <b/>
      <u/>
      <sz val="18"/>
      <color theme="1"/>
      <name val="Arial"/>
      <family val="2"/>
    </font>
    <font>
      <b/>
      <sz val="16"/>
      <color theme="1"/>
      <name val="Arial"/>
      <family val="2"/>
    </font>
    <font>
      <b/>
      <sz val="13"/>
      <color theme="1"/>
      <name val="Calibri"/>
      <family val="2"/>
      <scheme val="minor"/>
    </font>
    <font>
      <b/>
      <sz val="11"/>
      <color rgb="FFC00000"/>
      <name val="Arial"/>
      <family val="2"/>
    </font>
    <font>
      <b/>
      <u/>
      <sz val="24"/>
      <color rgb="FFC00000"/>
      <name val="Arial"/>
      <family val="2"/>
    </font>
    <font>
      <sz val="11"/>
      <color theme="0"/>
      <name val="Arial"/>
      <family val="2"/>
    </font>
    <font>
      <sz val="16"/>
      <color rgb="FFFF0000"/>
      <name val="Arial"/>
      <family val="2"/>
    </font>
    <font>
      <u/>
      <sz val="11"/>
      <color theme="10"/>
      <name val="Calibri"/>
      <family val="2"/>
      <scheme val="minor"/>
    </font>
    <font>
      <sz val="14"/>
      <color theme="1"/>
      <name val="Times New Roman"/>
      <family val="1"/>
    </font>
    <font>
      <b/>
      <sz val="18"/>
      <color rgb="FFC00000"/>
      <name val="Arial"/>
      <family val="2"/>
    </font>
    <font>
      <b/>
      <sz val="20"/>
      <color rgb="FFC00000"/>
      <name val="Arial"/>
      <family val="2"/>
    </font>
    <font>
      <b/>
      <u/>
      <sz val="14"/>
      <name val="Times New Roman"/>
      <family val="1"/>
    </font>
    <font>
      <sz val="14"/>
      <color rgb="FF0070C0"/>
      <name val="Times New Roman"/>
      <family val="1"/>
    </font>
    <font>
      <sz val="14"/>
      <name val="Times New Roman"/>
      <family val="1"/>
    </font>
    <font>
      <b/>
      <sz val="18"/>
      <color rgb="FF0070C0"/>
      <name val="Calibri"/>
      <family val="2"/>
      <scheme val="minor"/>
    </font>
    <font>
      <b/>
      <sz val="14"/>
      <color theme="1"/>
      <name val="Times New Roman"/>
      <family val="1"/>
    </font>
    <font>
      <b/>
      <sz val="14"/>
      <color rgb="FF0070C0"/>
      <name val="Times New Roman"/>
      <family val="1"/>
    </font>
    <font>
      <b/>
      <sz val="14"/>
      <color rgb="FFFF0000"/>
      <name val="Times New Roman"/>
      <family val="1"/>
    </font>
    <font>
      <i/>
      <sz val="11"/>
      <color theme="1"/>
      <name val="Calibri"/>
      <family val="2"/>
      <scheme val="minor"/>
    </font>
    <font>
      <b/>
      <sz val="12"/>
      <color rgb="FF0070C0"/>
      <name val="Arial"/>
      <family val="2"/>
    </font>
    <font>
      <b/>
      <sz val="14"/>
      <color rgb="FFC00000"/>
      <name val="Times New Roman"/>
      <family val="1"/>
    </font>
    <font>
      <sz val="14"/>
      <name val="Arial"/>
      <family val="2"/>
    </font>
    <font>
      <b/>
      <sz val="16"/>
      <name val="Times New Roman"/>
      <family val="1"/>
    </font>
    <font>
      <b/>
      <sz val="14"/>
      <name val="Arial"/>
      <family val="2"/>
    </font>
    <font>
      <sz val="16"/>
      <name val="Times New Roman"/>
      <family val="1"/>
    </font>
    <font>
      <b/>
      <sz val="20"/>
      <color rgb="FFC00000"/>
      <name val="Times New Roman"/>
      <family val="1"/>
    </font>
    <font>
      <b/>
      <sz val="26"/>
      <color rgb="FFC00000"/>
      <name val="Arial"/>
      <family val="2"/>
    </font>
    <font>
      <b/>
      <sz val="24"/>
      <color rgb="FF0070C0"/>
      <name val="Arial"/>
      <family val="2"/>
    </font>
    <font>
      <b/>
      <sz val="28"/>
      <color rgb="FF0070C0"/>
      <name val="Arial"/>
      <family val="2"/>
    </font>
    <font>
      <b/>
      <sz val="18"/>
      <color theme="1"/>
      <name val="Calibri"/>
      <family val="2"/>
      <scheme val="minor"/>
    </font>
    <font>
      <b/>
      <sz val="16"/>
      <color rgb="FFC00000"/>
      <name val="Arial"/>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1"/>
        <bgColor indexed="64"/>
      </patternFill>
    </fill>
    <fill>
      <patternFill patternType="solid">
        <fgColor rgb="FFFFFF99"/>
        <bgColor indexed="64"/>
      </patternFill>
    </fill>
  </fills>
  <borders count="46">
    <border>
      <left/>
      <right/>
      <top/>
      <bottom/>
      <diagonal/>
    </border>
    <border>
      <left style="thin">
        <color theme="3"/>
      </left>
      <right style="thin">
        <color theme="3"/>
      </right>
      <top/>
      <bottom/>
      <diagonal/>
    </border>
    <border>
      <left style="thin">
        <color theme="3"/>
      </left>
      <right style="thin">
        <color theme="3"/>
      </right>
      <top style="thin">
        <color theme="3"/>
      </top>
      <bottom style="double">
        <color theme="3"/>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3"/>
      </left>
      <right style="thin">
        <color theme="3"/>
      </right>
      <top style="thin">
        <color indexed="64"/>
      </top>
      <bottom style="double">
        <color indexed="64"/>
      </bottom>
      <diagonal/>
    </border>
    <border>
      <left style="thin">
        <color indexed="64"/>
      </left>
      <right style="thin">
        <color indexed="64"/>
      </right>
      <top/>
      <bottom/>
      <diagonal/>
    </border>
    <border>
      <left/>
      <right/>
      <top/>
      <bottom style="double">
        <color indexed="64"/>
      </bottom>
      <diagonal/>
    </border>
    <border>
      <left style="thin">
        <color theme="3"/>
      </left>
      <right/>
      <top/>
      <bottom/>
      <diagonal/>
    </border>
    <border>
      <left style="thin">
        <color indexed="64"/>
      </left>
      <right/>
      <top/>
      <bottom/>
      <diagonal/>
    </border>
    <border>
      <left style="thin">
        <color indexed="64"/>
      </left>
      <right/>
      <top/>
      <bottom style="thin">
        <color indexed="64"/>
      </bottom>
      <diagonal/>
    </border>
    <border>
      <left/>
      <right/>
      <top/>
      <bottom style="medium">
        <color indexed="64"/>
      </bottom>
      <diagonal/>
    </border>
    <border>
      <left style="thin">
        <color theme="3"/>
      </left>
      <right/>
      <top/>
      <bottom style="thin">
        <color indexed="64"/>
      </bottom>
      <diagonal/>
    </border>
    <border>
      <left style="medium">
        <color indexed="64"/>
      </left>
      <right style="medium">
        <color indexed="64"/>
      </right>
      <top style="medium">
        <color indexed="64"/>
      </top>
      <bottom style="medium">
        <color indexed="64"/>
      </bottom>
      <diagonal/>
    </border>
    <border>
      <left style="thin">
        <color theme="3"/>
      </left>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double">
        <color indexed="64"/>
      </bottom>
      <diagonal/>
    </border>
    <border>
      <left style="thin">
        <color indexed="64"/>
      </left>
      <right/>
      <top style="thin">
        <color indexed="64"/>
      </top>
      <bottom style="thin">
        <color indexed="64"/>
      </bottom>
      <diagonal/>
    </border>
    <border>
      <left style="thin">
        <color theme="3"/>
      </left>
      <right/>
      <top style="thin">
        <color theme="3"/>
      </top>
      <bottom style="medium">
        <color indexed="64"/>
      </bottom>
      <diagonal/>
    </border>
    <border>
      <left style="thin">
        <color theme="3"/>
      </left>
      <right style="thin">
        <color theme="3"/>
      </right>
      <top style="thin">
        <color theme="3"/>
      </top>
      <bottom style="medium">
        <color indexed="64"/>
      </bottom>
      <diagonal/>
    </border>
    <border>
      <left style="thin">
        <color theme="3"/>
      </left>
      <right style="thin">
        <color theme="3"/>
      </right>
      <top style="medium">
        <color indexed="64"/>
      </top>
      <bottom style="medium">
        <color indexed="64"/>
      </bottom>
      <diagonal/>
    </border>
    <border>
      <left style="thin">
        <color theme="3"/>
      </left>
      <right/>
      <top style="medium">
        <color indexed="64"/>
      </top>
      <bottom style="medium">
        <color indexed="64"/>
      </bottom>
      <diagonal/>
    </border>
    <border>
      <left/>
      <right style="thin">
        <color indexed="64"/>
      </right>
      <top/>
      <bottom/>
      <diagonal/>
    </border>
    <border>
      <left style="medium">
        <color indexed="64"/>
      </left>
      <right style="thin">
        <color theme="3"/>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double">
        <color theme="3"/>
      </top>
      <bottom style="medium">
        <color indexed="64"/>
      </bottom>
      <diagonal/>
    </border>
    <border>
      <left/>
      <right/>
      <top style="medium">
        <color indexed="64"/>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top style="thin">
        <color indexed="64"/>
      </top>
      <bottom style="double">
        <color indexed="64"/>
      </bottom>
      <diagonal/>
    </border>
  </borders>
  <cellStyleXfs count="9">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7" fillId="0" borderId="0"/>
    <xf numFmtId="0" fontId="21" fillId="0" borderId="0"/>
    <xf numFmtId="0" fontId="33" fillId="0" borderId="0" applyNumberFormat="0" applyFill="0" applyBorder="0" applyAlignment="0" applyProtection="0"/>
    <xf numFmtId="0" fontId="1" fillId="0" borderId="0"/>
    <xf numFmtId="0" fontId="17" fillId="0" borderId="0"/>
  </cellStyleXfs>
  <cellXfs count="196">
    <xf numFmtId="0" fontId="0" fillId="0" borderId="0" xfId="0"/>
    <xf numFmtId="44" fontId="2" fillId="0" borderId="0" xfId="2" applyFont="1"/>
    <xf numFmtId="164" fontId="2" fillId="0" borderId="0" xfId="1" applyNumberFormat="1" applyFont="1" applyFill="1" applyBorder="1"/>
    <xf numFmtId="165" fontId="2" fillId="0" borderId="10" xfId="2" applyNumberFormat="1" applyFont="1" applyFill="1" applyBorder="1"/>
    <xf numFmtId="0" fontId="2" fillId="0" borderId="0" xfId="0" applyFont="1" applyAlignment="1">
      <alignment horizontal="right"/>
    </xf>
    <xf numFmtId="0" fontId="3" fillId="0" borderId="1" xfId="0" applyFont="1" applyBorder="1"/>
    <xf numFmtId="0" fontId="3" fillId="0" borderId="2" xfId="0" applyFont="1" applyBorder="1"/>
    <xf numFmtId="0" fontId="3" fillId="0" borderId="3" xfId="0" applyFont="1" applyBorder="1" applyAlignment="1">
      <alignment horizontal="right"/>
    </xf>
    <xf numFmtId="165" fontId="2" fillId="0" borderId="4" xfId="2" applyNumberFormat="1" applyFont="1" applyFill="1" applyBorder="1"/>
    <xf numFmtId="0" fontId="3" fillId="0" borderId="5" xfId="0" applyFont="1" applyBorder="1" applyAlignment="1">
      <alignment horizontal="right"/>
    </xf>
    <xf numFmtId="164" fontId="2" fillId="0" borderId="6" xfId="0" applyNumberFormat="1" applyFont="1" applyBorder="1"/>
    <xf numFmtId="0" fontId="3" fillId="0" borderId="7" xfId="0" applyFont="1" applyBorder="1" applyAlignment="1">
      <alignment horizontal="right"/>
    </xf>
    <xf numFmtId="165" fontId="2" fillId="0" borderId="0" xfId="2" applyNumberFormat="1" applyFont="1" applyFill="1" applyBorder="1"/>
    <xf numFmtId="0" fontId="2" fillId="0" borderId="0" xfId="0" applyFont="1"/>
    <xf numFmtId="0" fontId="3" fillId="0" borderId="1" xfId="0" applyFont="1" applyBorder="1" applyAlignment="1">
      <alignment horizontal="left" indent="2"/>
    </xf>
    <xf numFmtId="0" fontId="6" fillId="0" borderId="0" xfId="0" applyFont="1" applyAlignment="1">
      <alignment horizontal="left" indent="2"/>
    </xf>
    <xf numFmtId="0" fontId="6" fillId="0" borderId="1" xfId="0" applyFont="1" applyBorder="1" applyAlignment="1">
      <alignment horizontal="left" indent="2"/>
    </xf>
    <xf numFmtId="0" fontId="5" fillId="0" borderId="0" xfId="0" applyFont="1"/>
    <xf numFmtId="0" fontId="7" fillId="0" borderId="0" xfId="0" applyFont="1"/>
    <xf numFmtId="0" fontId="9" fillId="0" borderId="0" xfId="0" applyFont="1" applyAlignment="1">
      <alignment horizontal="left" indent="3"/>
    </xf>
    <xf numFmtId="0" fontId="10" fillId="0" borderId="0" xfId="0" applyFont="1" applyAlignment="1">
      <alignment horizontal="left"/>
    </xf>
    <xf numFmtId="0" fontId="11" fillId="0" borderId="0" xfId="0" applyFont="1"/>
    <xf numFmtId="165" fontId="2" fillId="0" borderId="0" xfId="0" applyNumberFormat="1" applyFont="1"/>
    <xf numFmtId="0" fontId="3" fillId="0" borderId="0" xfId="0" applyFont="1" applyAlignment="1">
      <alignment horizontal="right"/>
    </xf>
    <xf numFmtId="165" fontId="2" fillId="0" borderId="12" xfId="2" applyNumberFormat="1" applyFont="1" applyFill="1" applyBorder="1"/>
    <xf numFmtId="0" fontId="3" fillId="0" borderId="12" xfId="0" applyFont="1" applyBorder="1"/>
    <xf numFmtId="0" fontId="3" fillId="0" borderId="12" xfId="0" applyFont="1" applyBorder="1" applyAlignment="1">
      <alignment horizontal="left" indent="2"/>
    </xf>
    <xf numFmtId="0" fontId="6" fillId="0" borderId="12" xfId="0" applyFont="1" applyBorder="1" applyAlignment="1">
      <alignment horizontal="left" indent="2"/>
    </xf>
    <xf numFmtId="164" fontId="2" fillId="0" borderId="0" xfId="1" applyNumberFormat="1" applyFont="1" applyFill="1" applyBorder="1" applyAlignment="1">
      <alignment horizontal="right"/>
    </xf>
    <xf numFmtId="164" fontId="2" fillId="3" borderId="0" xfId="1" applyNumberFormat="1" applyFont="1" applyFill="1" applyBorder="1" applyAlignment="1">
      <alignment horizontal="right"/>
    </xf>
    <xf numFmtId="10" fontId="2" fillId="3" borderId="0" xfId="3" applyNumberFormat="1" applyFont="1" applyFill="1" applyBorder="1" applyAlignment="1">
      <alignment horizontal="right"/>
    </xf>
    <xf numFmtId="165" fontId="2" fillId="3" borderId="0" xfId="2" applyNumberFormat="1" applyFont="1" applyFill="1" applyAlignment="1">
      <alignment horizontal="right"/>
    </xf>
    <xf numFmtId="1" fontId="2" fillId="3" borderId="0" xfId="0" applyNumberFormat="1" applyFont="1" applyFill="1" applyAlignment="1">
      <alignment horizontal="right"/>
    </xf>
    <xf numFmtId="165" fontId="13" fillId="0" borderId="0" xfId="0" applyNumberFormat="1" applyFont="1"/>
    <xf numFmtId="10" fontId="2" fillId="2" borderId="0" xfId="0" applyNumberFormat="1" applyFont="1" applyFill="1" applyAlignment="1">
      <alignment horizontal="right"/>
    </xf>
    <xf numFmtId="166" fontId="2" fillId="3" borderId="0" xfId="3" applyNumberFormat="1" applyFont="1" applyFill="1" applyBorder="1" applyAlignment="1">
      <alignment horizontal="right"/>
    </xf>
    <xf numFmtId="165" fontId="2" fillId="3" borderId="0" xfId="0" applyNumberFormat="1" applyFont="1" applyFill="1"/>
    <xf numFmtId="0" fontId="15" fillId="0" borderId="0" xfId="0" applyFont="1" applyAlignment="1">
      <alignment horizontal="left"/>
    </xf>
    <xf numFmtId="164" fontId="2" fillId="3" borderId="0" xfId="1" applyNumberFormat="1" applyFont="1" applyFill="1" applyBorder="1"/>
    <xf numFmtId="0" fontId="16" fillId="0" borderId="0" xfId="0" applyFont="1"/>
    <xf numFmtId="0" fontId="3" fillId="0" borderId="0" xfId="0" applyFont="1" applyAlignment="1">
      <alignment horizontal="center"/>
    </xf>
    <xf numFmtId="0" fontId="18" fillId="0" borderId="0" xfId="0" applyFont="1"/>
    <xf numFmtId="165" fontId="19" fillId="0" borderId="0" xfId="0" applyNumberFormat="1" applyFont="1"/>
    <xf numFmtId="0" fontId="12" fillId="0" borderId="0" xfId="0" applyFont="1"/>
    <xf numFmtId="0" fontId="19" fillId="0" borderId="0" xfId="0" applyFont="1" applyAlignment="1">
      <alignment horizontal="right"/>
    </xf>
    <xf numFmtId="0" fontId="20" fillId="0" borderId="0" xfId="0" applyFont="1" applyAlignment="1">
      <alignment horizontal="right"/>
    </xf>
    <xf numFmtId="42" fontId="20" fillId="0" borderId="0" xfId="1" applyNumberFormat="1" applyFont="1"/>
    <xf numFmtId="165" fontId="3" fillId="3" borderId="8" xfId="2" applyNumberFormat="1" applyFont="1" applyFill="1" applyBorder="1"/>
    <xf numFmtId="164" fontId="2" fillId="3" borderId="12" xfId="1" applyNumberFormat="1" applyFont="1" applyFill="1" applyBorder="1"/>
    <xf numFmtId="165" fontId="2" fillId="3" borderId="12" xfId="2" applyNumberFormat="1" applyFont="1" applyFill="1" applyBorder="1"/>
    <xf numFmtId="165" fontId="2" fillId="0" borderId="9" xfId="2" applyNumberFormat="1" applyFont="1" applyFill="1" applyBorder="1"/>
    <xf numFmtId="165" fontId="2" fillId="0" borderId="18" xfId="2" applyNumberFormat="1" applyFont="1" applyFill="1" applyBorder="1"/>
    <xf numFmtId="165" fontId="2" fillId="0" borderId="19" xfId="2" applyNumberFormat="1" applyFont="1" applyFill="1" applyBorder="1"/>
    <xf numFmtId="165" fontId="2" fillId="0" borderId="20" xfId="2" applyNumberFormat="1" applyFont="1" applyFill="1" applyBorder="1"/>
    <xf numFmtId="165" fontId="2" fillId="0" borderId="21" xfId="2" applyNumberFormat="1" applyFont="1" applyFill="1" applyBorder="1"/>
    <xf numFmtId="0" fontId="3" fillId="0" borderId="23" xfId="0" applyFont="1" applyBorder="1"/>
    <xf numFmtId="165" fontId="2" fillId="0" borderId="15" xfId="2" applyNumberFormat="1" applyFont="1" applyFill="1" applyBorder="1"/>
    <xf numFmtId="164" fontId="2" fillId="0" borderId="15" xfId="1" applyNumberFormat="1" applyFont="1" applyFill="1" applyBorder="1"/>
    <xf numFmtId="0" fontId="2" fillId="0" borderId="15" xfId="0" applyFont="1" applyBorder="1"/>
    <xf numFmtId="0" fontId="3" fillId="0" borderId="24" xfId="0" applyFont="1" applyBorder="1"/>
    <xf numFmtId="164" fontId="2" fillId="0" borderId="13" xfId="1" applyNumberFormat="1" applyFont="1" applyFill="1" applyBorder="1"/>
    <xf numFmtId="164" fontId="2" fillId="0" borderId="10" xfId="1" applyNumberFormat="1" applyFont="1" applyFill="1" applyBorder="1"/>
    <xf numFmtId="0" fontId="3" fillId="0" borderId="25" xfId="0" applyFont="1" applyBorder="1" applyAlignment="1">
      <alignment horizontal="center"/>
    </xf>
    <xf numFmtId="0" fontId="3" fillId="0" borderId="26" xfId="0" applyFont="1" applyBorder="1" applyAlignment="1">
      <alignment horizontal="center"/>
    </xf>
    <xf numFmtId="0" fontId="3" fillId="0" borderId="17" xfId="0" applyFont="1" applyBorder="1" applyAlignment="1">
      <alignment horizontal="center"/>
    </xf>
    <xf numFmtId="0" fontId="6" fillId="0" borderId="27" xfId="0" applyFont="1" applyBorder="1" applyAlignment="1">
      <alignment horizontal="left" indent="2"/>
    </xf>
    <xf numFmtId="0" fontId="22" fillId="0" borderId="0" xfId="0" applyFont="1"/>
    <xf numFmtId="0" fontId="2" fillId="0" borderId="0" xfId="0" applyFont="1" applyAlignment="1">
      <alignment horizontal="left" vertical="top" indent="3"/>
    </xf>
    <xf numFmtId="0" fontId="11" fillId="0" borderId="0" xfId="0" applyFont="1" applyAlignment="1">
      <alignment horizontal="left" vertical="top" indent="3"/>
    </xf>
    <xf numFmtId="0" fontId="11" fillId="0" borderId="0" xfId="0" applyFont="1" applyAlignment="1">
      <alignment horizontal="left" indent="3"/>
    </xf>
    <xf numFmtId="0" fontId="11" fillId="0" borderId="29" xfId="0" applyFont="1" applyBorder="1" applyAlignment="1">
      <alignment horizontal="left" vertical="top" indent="3"/>
    </xf>
    <xf numFmtId="0" fontId="11" fillId="0" borderId="30" xfId="0" applyFont="1" applyBorder="1" applyAlignment="1">
      <alignment horizontal="left" vertical="top" indent="3"/>
    </xf>
    <xf numFmtId="0" fontId="11" fillId="0" borderId="15" xfId="0" applyFont="1" applyBorder="1" applyAlignment="1">
      <alignment horizontal="left" indent="3"/>
    </xf>
    <xf numFmtId="0" fontId="2" fillId="0" borderId="0" xfId="0" applyFont="1" applyAlignment="1">
      <alignment horizontal="left" vertical="center"/>
    </xf>
    <xf numFmtId="0" fontId="11" fillId="0" borderId="0" xfId="0" applyFont="1" applyAlignment="1">
      <alignment horizontal="left" vertical="center"/>
    </xf>
    <xf numFmtId="0" fontId="2" fillId="0" borderId="0" xfId="0" applyFont="1" applyAlignment="1">
      <alignment vertical="center"/>
    </xf>
    <xf numFmtId="0" fontId="23" fillId="0" borderId="17" xfId="0" applyFont="1" applyBorder="1" applyAlignment="1">
      <alignment horizontal="center" vertical="center"/>
    </xf>
    <xf numFmtId="0" fontId="23" fillId="0" borderId="32" xfId="0" applyFont="1" applyBorder="1" applyAlignment="1">
      <alignment horizontal="center" vertical="center"/>
    </xf>
    <xf numFmtId="9" fontId="23" fillId="0" borderId="19" xfId="0" applyNumberFormat="1" applyFont="1" applyBorder="1" applyAlignment="1">
      <alignment horizontal="center"/>
    </xf>
    <xf numFmtId="0" fontId="23" fillId="0" borderId="34" xfId="0" applyFont="1" applyBorder="1" applyAlignment="1">
      <alignment horizontal="left" indent="3"/>
    </xf>
    <xf numFmtId="0" fontId="24" fillId="0" borderId="0" xfId="0" applyFont="1"/>
    <xf numFmtId="0" fontId="3" fillId="0" borderId="0" xfId="0" applyFont="1"/>
    <xf numFmtId="0" fontId="25" fillId="0" borderId="25" xfId="0" applyFont="1" applyBorder="1"/>
    <xf numFmtId="0" fontId="25" fillId="0" borderId="28" xfId="0" applyFont="1" applyBorder="1"/>
    <xf numFmtId="0" fontId="4" fillId="0" borderId="0" xfId="0" applyFont="1" applyAlignment="1">
      <alignment horizontal="right"/>
    </xf>
    <xf numFmtId="0" fontId="3" fillId="0" borderId="14" xfId="0" applyFont="1" applyBorder="1"/>
    <xf numFmtId="0" fontId="3" fillId="0" borderId="22" xfId="0" applyFont="1" applyBorder="1"/>
    <xf numFmtId="0" fontId="3" fillId="0" borderId="11" xfId="0" applyFont="1" applyBorder="1"/>
    <xf numFmtId="165" fontId="2" fillId="0" borderId="3" xfId="0" applyNumberFormat="1" applyFont="1" applyBorder="1"/>
    <xf numFmtId="165" fontId="2" fillId="0" borderId="4" xfId="0" applyNumberFormat="1" applyFont="1" applyBorder="1"/>
    <xf numFmtId="165" fontId="2" fillId="0" borderId="5" xfId="0" applyNumberFormat="1" applyFont="1" applyBorder="1"/>
    <xf numFmtId="165" fontId="2" fillId="0" borderId="6" xfId="0" applyNumberFormat="1" applyFont="1" applyBorder="1"/>
    <xf numFmtId="165" fontId="2" fillId="0" borderId="35" xfId="0" applyNumberFormat="1" applyFont="1" applyBorder="1"/>
    <xf numFmtId="165" fontId="2" fillId="0" borderId="36" xfId="0" applyNumberFormat="1" applyFont="1" applyBorder="1"/>
    <xf numFmtId="0" fontId="2" fillId="0" borderId="0" xfId="0" applyFont="1" applyAlignment="1">
      <alignment horizontal="left"/>
    </xf>
    <xf numFmtId="0" fontId="26" fillId="0" borderId="0" xfId="0" applyFont="1" applyAlignment="1">
      <alignment horizontal="left"/>
    </xf>
    <xf numFmtId="0" fontId="27" fillId="0" borderId="0" xfId="0" applyFont="1"/>
    <xf numFmtId="0" fontId="23" fillId="0" borderId="33" xfId="0" applyFont="1" applyBorder="1" applyAlignment="1">
      <alignment horizontal="center" vertical="center"/>
    </xf>
    <xf numFmtId="0" fontId="8" fillId="0" borderId="0" xfId="0" applyFont="1" applyAlignment="1">
      <alignment horizontal="right"/>
    </xf>
    <xf numFmtId="10" fontId="3" fillId="0" borderId="0" xfId="0" applyNumberFormat="1" applyFont="1" applyAlignment="1">
      <alignment horizontal="center"/>
    </xf>
    <xf numFmtId="37" fontId="3" fillId="0" borderId="0" xfId="0" applyNumberFormat="1" applyFont="1" applyAlignment="1">
      <alignment horizontal="center"/>
    </xf>
    <xf numFmtId="0" fontId="25" fillId="0" borderId="0" xfId="0" applyFont="1" applyAlignment="1">
      <alignment horizontal="right"/>
    </xf>
    <xf numFmtId="0" fontId="30" fillId="0" borderId="0" xfId="0" applyFont="1"/>
    <xf numFmtId="0" fontId="11" fillId="3" borderId="0" xfId="0" applyFont="1" applyFill="1" applyAlignment="1">
      <alignment horizontal="left" vertical="top" indent="3"/>
    </xf>
    <xf numFmtId="0" fontId="11" fillId="3" borderId="0" xfId="0" applyFont="1" applyFill="1" applyAlignment="1">
      <alignment horizontal="left" indent="3"/>
    </xf>
    <xf numFmtId="0" fontId="2" fillId="3" borderId="0" xfId="0" applyFont="1" applyFill="1" applyAlignment="1">
      <alignment horizontal="left" vertical="top" indent="3"/>
    </xf>
    <xf numFmtId="10" fontId="3" fillId="0" borderId="0" xfId="3" applyNumberFormat="1" applyFont="1" applyAlignment="1">
      <alignment horizontal="center"/>
    </xf>
    <xf numFmtId="0" fontId="3" fillId="0" borderId="0" xfId="0" applyFont="1" applyAlignment="1">
      <alignment horizontal="left"/>
    </xf>
    <xf numFmtId="9" fontId="2" fillId="3" borderId="0" xfId="0" quotePrefix="1" applyNumberFormat="1" applyFont="1" applyFill="1" applyAlignment="1">
      <alignment horizontal="right"/>
    </xf>
    <xf numFmtId="165" fontId="2" fillId="0" borderId="16" xfId="2" applyNumberFormat="1" applyFont="1" applyFill="1" applyBorder="1"/>
    <xf numFmtId="165" fontId="2" fillId="0" borderId="13" xfId="2" applyNumberFormat="1" applyFont="1" applyFill="1" applyBorder="1"/>
    <xf numFmtId="164" fontId="2" fillId="0" borderId="37" xfId="1" applyNumberFormat="1" applyFont="1" applyFill="1" applyBorder="1"/>
    <xf numFmtId="165" fontId="2" fillId="0" borderId="27" xfId="0" applyNumberFormat="1" applyFont="1" applyBorder="1"/>
    <xf numFmtId="165" fontId="2" fillId="0" borderId="10" xfId="0" applyNumberFormat="1" applyFont="1" applyBorder="1"/>
    <xf numFmtId="0" fontId="3" fillId="0" borderId="38" xfId="0" applyFont="1" applyBorder="1" applyAlignment="1">
      <alignment horizontal="right"/>
    </xf>
    <xf numFmtId="165" fontId="2" fillId="0" borderId="39" xfId="2" applyNumberFormat="1" applyFont="1" applyFill="1" applyBorder="1"/>
    <xf numFmtId="0" fontId="19" fillId="0" borderId="0" xfId="0" quotePrefix="1" applyFont="1"/>
    <xf numFmtId="0" fontId="31" fillId="0" borderId="0" xfId="0" applyFont="1"/>
    <xf numFmtId="0" fontId="32" fillId="0" borderId="0" xfId="0" applyFont="1"/>
    <xf numFmtId="167" fontId="23" fillId="3" borderId="19" xfId="0" applyNumberFormat="1" applyFont="1" applyFill="1" applyBorder="1" applyAlignment="1">
      <alignment horizontal="center"/>
    </xf>
    <xf numFmtId="0" fontId="23" fillId="3" borderId="15" xfId="0" applyFont="1" applyFill="1" applyBorder="1" applyAlignment="1">
      <alignment horizontal="left" indent="3"/>
    </xf>
    <xf numFmtId="0" fontId="23" fillId="3" borderId="34" xfId="0" applyFont="1" applyFill="1" applyBorder="1" applyAlignment="1">
      <alignment horizontal="left" indent="3"/>
    </xf>
    <xf numFmtId="0" fontId="23" fillId="3" borderId="34" xfId="0" applyFont="1" applyFill="1" applyBorder="1" applyAlignment="1">
      <alignment horizontal="left" vertical="top" indent="3"/>
    </xf>
    <xf numFmtId="0" fontId="3" fillId="0" borderId="40" xfId="0" applyFont="1" applyBorder="1"/>
    <xf numFmtId="37" fontId="23" fillId="3" borderId="0" xfId="0" applyNumberFormat="1" applyFont="1" applyFill="1" applyAlignment="1">
      <alignment horizontal="center"/>
    </xf>
    <xf numFmtId="0" fontId="7" fillId="0" borderId="0" xfId="0" applyFont="1" applyAlignment="1">
      <alignment horizontal="center"/>
    </xf>
    <xf numFmtId="0" fontId="34" fillId="0" borderId="0" xfId="0" applyFont="1"/>
    <xf numFmtId="0" fontId="35" fillId="0" borderId="0" xfId="0" applyFont="1"/>
    <xf numFmtId="0" fontId="33" fillId="0" borderId="0" xfId="6" applyAlignment="1">
      <alignment vertical="top"/>
    </xf>
    <xf numFmtId="164" fontId="7" fillId="0" borderId="0" xfId="1" applyNumberFormat="1" applyFont="1" applyAlignment="1">
      <alignment horizontal="center"/>
    </xf>
    <xf numFmtId="0" fontId="8" fillId="0" borderId="0" xfId="0" applyFont="1" applyAlignment="1">
      <alignment horizontal="center"/>
    </xf>
    <xf numFmtId="0" fontId="36" fillId="0" borderId="0" xfId="0" applyFont="1" applyAlignment="1">
      <alignment horizontal="left" vertical="center"/>
    </xf>
    <xf numFmtId="0" fontId="15" fillId="0" borderId="0" xfId="0" applyFont="1"/>
    <xf numFmtId="0" fontId="37" fillId="0" borderId="0" xfId="4" applyFont="1"/>
    <xf numFmtId="0" fontId="38" fillId="0" borderId="0" xfId="4" applyFont="1"/>
    <xf numFmtId="0" fontId="39" fillId="0" borderId="0" xfId="4" applyFont="1"/>
    <xf numFmtId="0" fontId="40" fillId="0" borderId="0" xfId="0" applyFont="1"/>
    <xf numFmtId="0" fontId="41" fillId="0" borderId="0" xfId="0" applyFont="1" applyAlignment="1">
      <alignment horizontal="right"/>
    </xf>
    <xf numFmtId="168" fontId="41" fillId="3" borderId="0" xfId="0" applyNumberFormat="1" applyFont="1" applyFill="1" applyAlignment="1">
      <alignment horizontal="right"/>
    </xf>
    <xf numFmtId="0" fontId="42" fillId="0" borderId="0" xfId="4" applyFont="1"/>
    <xf numFmtId="169" fontId="11" fillId="0" borderId="0" xfId="0" applyNumberFormat="1" applyFont="1" applyAlignment="1">
      <alignment horizontal="center"/>
    </xf>
    <xf numFmtId="0" fontId="43" fillId="0" borderId="0" xfId="4" applyFont="1"/>
    <xf numFmtId="2" fontId="41" fillId="3" borderId="0" xfId="0" applyNumberFormat="1" applyFont="1" applyFill="1" applyAlignment="1">
      <alignment horizontal="right"/>
    </xf>
    <xf numFmtId="0" fontId="34" fillId="0" borderId="0" xfId="0" applyFont="1" applyAlignment="1">
      <alignment horizontal="center"/>
    </xf>
    <xf numFmtId="2" fontId="41" fillId="0" borderId="0" xfId="0" applyNumberFormat="1" applyFont="1" applyAlignment="1">
      <alignment horizontal="right"/>
    </xf>
    <xf numFmtId="5" fontId="41" fillId="3" borderId="0" xfId="1" applyNumberFormat="1" applyFont="1" applyFill="1" applyAlignment="1">
      <alignment horizontal="right"/>
    </xf>
    <xf numFmtId="0" fontId="45" fillId="0" borderId="0" xfId="0" applyFont="1" applyAlignment="1">
      <alignment horizontal="left" vertical="center"/>
    </xf>
    <xf numFmtId="0" fontId="25" fillId="3" borderId="42" xfId="0" applyFont="1" applyFill="1" applyBorder="1" applyAlignment="1">
      <alignment horizontal="center" vertical="center"/>
    </xf>
    <xf numFmtId="0" fontId="25" fillId="3" borderId="43" xfId="0" applyFont="1" applyFill="1" applyBorder="1" applyAlignment="1">
      <alignment horizontal="center" vertical="center"/>
    </xf>
    <xf numFmtId="0" fontId="46" fillId="0" borderId="42" xfId="0" applyFont="1" applyBorder="1" applyAlignment="1">
      <alignment horizontal="center" vertical="center"/>
    </xf>
    <xf numFmtId="0" fontId="46" fillId="0" borderId="43" xfId="0" applyFont="1" applyBorder="1" applyAlignment="1">
      <alignment horizontal="center" vertical="center"/>
    </xf>
    <xf numFmtId="0" fontId="46" fillId="0" borderId="44" xfId="0" applyFont="1" applyBorder="1" applyAlignment="1">
      <alignment horizontal="center" vertical="center"/>
    </xf>
    <xf numFmtId="164" fontId="7" fillId="0" borderId="0" xfId="1" applyNumberFormat="1" applyFont="1" applyAlignment="1">
      <alignment horizontal="right"/>
    </xf>
    <xf numFmtId="37" fontId="34" fillId="0" borderId="0" xfId="0" applyNumberFormat="1" applyFont="1" applyAlignment="1">
      <alignment horizontal="center"/>
    </xf>
    <xf numFmtId="3" fontId="34" fillId="0" borderId="0" xfId="0" applyNumberFormat="1" applyFont="1" applyAlignment="1">
      <alignment horizontal="center"/>
    </xf>
    <xf numFmtId="166" fontId="34" fillId="0" borderId="0" xfId="3" applyNumberFormat="1" applyFont="1" applyAlignment="1">
      <alignment horizontal="center"/>
    </xf>
    <xf numFmtId="5" fontId="46" fillId="0" borderId="45" xfId="0" applyNumberFormat="1" applyFont="1" applyBorder="1" applyAlignment="1">
      <alignment horizontal="center"/>
    </xf>
    <xf numFmtId="3" fontId="46" fillId="0" borderId="45" xfId="0" applyNumberFormat="1" applyFont="1" applyBorder="1" applyAlignment="1">
      <alignment horizontal="center"/>
    </xf>
    <xf numFmtId="166" fontId="46" fillId="0" borderId="45" xfId="3" applyNumberFormat="1" applyFont="1" applyBorder="1" applyAlignment="1">
      <alignment horizontal="center"/>
    </xf>
    <xf numFmtId="37" fontId="0" fillId="0" borderId="0" xfId="0" applyNumberFormat="1"/>
    <xf numFmtId="3" fontId="0" fillId="0" borderId="0" xfId="0" applyNumberFormat="1"/>
    <xf numFmtId="6" fontId="36" fillId="0" borderId="0" xfId="0" applyNumberFormat="1" applyFont="1" applyAlignment="1">
      <alignment horizontal="left" vertical="center"/>
    </xf>
    <xf numFmtId="0" fontId="35" fillId="0" borderId="0" xfId="0" applyFont="1" applyAlignment="1">
      <alignment horizontal="left" vertical="center"/>
    </xf>
    <xf numFmtId="0" fontId="0" fillId="0" borderId="15" xfId="0" applyBorder="1"/>
    <xf numFmtId="0" fontId="44" fillId="0" borderId="41" xfId="0" applyFont="1" applyBorder="1" applyAlignment="1">
      <alignment horizontal="center"/>
    </xf>
    <xf numFmtId="0" fontId="44" fillId="0" borderId="41" xfId="0" applyFont="1" applyBorder="1" applyAlignment="1">
      <alignment horizontal="centerContinuous"/>
    </xf>
    <xf numFmtId="3" fontId="41" fillId="3" borderId="0" xfId="0" applyNumberFormat="1" applyFont="1" applyFill="1" applyAlignment="1">
      <alignment horizontal="right"/>
    </xf>
    <xf numFmtId="0" fontId="47" fillId="0" borderId="0" xfId="4" applyFont="1" applyAlignment="1">
      <alignment horizontal="center"/>
    </xf>
    <xf numFmtId="0" fontId="48" fillId="0" borderId="31" xfId="4" applyFont="1" applyBorder="1" applyAlignment="1">
      <alignment horizontal="center" vertical="center"/>
    </xf>
    <xf numFmtId="0" fontId="48" fillId="0" borderId="17" xfId="4" applyFont="1" applyBorder="1" applyAlignment="1">
      <alignment horizontal="center" vertical="center"/>
    </xf>
    <xf numFmtId="0" fontId="48" fillId="0" borderId="33" xfId="4" applyFont="1" applyBorder="1" applyAlignment="1">
      <alignment horizontal="center" vertical="center"/>
    </xf>
    <xf numFmtId="0" fontId="49" fillId="0" borderId="0" xfId="4" applyFont="1" applyAlignment="1">
      <alignment horizontal="center" vertical="center"/>
    </xf>
    <xf numFmtId="0" fontId="47" fillId="0" borderId="0" xfId="4" applyFont="1" applyAlignment="1">
      <alignment horizontal="center" vertical="center"/>
    </xf>
    <xf numFmtId="0" fontId="50" fillId="0" borderId="0" xfId="4" applyFont="1" applyAlignment="1">
      <alignment horizontal="center"/>
    </xf>
    <xf numFmtId="170" fontId="48" fillId="3" borderId="0" xfId="4" applyNumberFormat="1" applyFont="1" applyFill="1" applyAlignment="1">
      <alignment horizontal="center"/>
    </xf>
    <xf numFmtId="0" fontId="51" fillId="0" borderId="0" xfId="8" applyFont="1"/>
    <xf numFmtId="0" fontId="47" fillId="4" borderId="0" xfId="4" applyFont="1" applyFill="1" applyAlignment="1">
      <alignment horizontal="center"/>
    </xf>
    <xf numFmtId="0" fontId="52" fillId="0" borderId="0" xfId="4" applyFont="1" applyAlignment="1">
      <alignment horizontal="left" vertical="top"/>
    </xf>
    <xf numFmtId="0" fontId="36" fillId="0" borderId="0" xfId="4" applyFont="1" applyAlignment="1">
      <alignment horizontal="left" vertical="top"/>
    </xf>
    <xf numFmtId="0" fontId="53" fillId="0" borderId="0" xfId="4" applyFont="1" applyAlignment="1">
      <alignment horizontal="left" vertical="center"/>
    </xf>
    <xf numFmtId="0" fontId="36" fillId="0" borderId="0" xfId="4" applyFont="1" applyAlignment="1">
      <alignment horizontal="left"/>
    </xf>
    <xf numFmtId="0" fontId="49" fillId="4" borderId="0" xfId="4" applyFont="1" applyFill="1" applyAlignment="1">
      <alignment horizontal="center"/>
    </xf>
    <xf numFmtId="0" fontId="49" fillId="0" borderId="0" xfId="4" applyFont="1" applyAlignment="1">
      <alignment horizontal="center"/>
    </xf>
    <xf numFmtId="168" fontId="47" fillId="4" borderId="0" xfId="4" applyNumberFormat="1" applyFont="1" applyFill="1" applyAlignment="1">
      <alignment horizontal="center"/>
    </xf>
    <xf numFmtId="168" fontId="47" fillId="0" borderId="0" xfId="4" applyNumberFormat="1" applyFont="1" applyAlignment="1">
      <alignment horizontal="center"/>
    </xf>
    <xf numFmtId="0" fontId="14" fillId="0" borderId="0" xfId="0" applyFont="1" applyAlignment="1">
      <alignment horizontal="right"/>
    </xf>
    <xf numFmtId="0" fontId="55" fillId="0" borderId="0" xfId="0" applyFont="1"/>
    <xf numFmtId="0" fontId="0" fillId="5" borderId="0" xfId="0" applyFill="1"/>
    <xf numFmtId="0" fontId="0" fillId="5" borderId="15" xfId="0" applyFill="1" applyBorder="1"/>
    <xf numFmtId="10" fontId="56" fillId="3" borderId="0" xfId="0" applyNumberFormat="1" applyFont="1" applyFill="1" applyAlignment="1">
      <alignment horizontal="center"/>
    </xf>
    <xf numFmtId="0" fontId="29" fillId="0" borderId="0" xfId="0" applyFont="1" applyAlignment="1">
      <alignment horizontal="center"/>
    </xf>
    <xf numFmtId="0" fontId="24" fillId="0" borderId="31" xfId="0" applyFont="1" applyBorder="1" applyAlignment="1">
      <alignment horizontal="left" vertical="center"/>
    </xf>
    <xf numFmtId="0" fontId="28" fillId="0" borderId="33" xfId="0" applyFont="1" applyBorder="1" applyAlignment="1">
      <alignment horizontal="left" vertical="center"/>
    </xf>
    <xf numFmtId="0" fontId="4" fillId="2" borderId="31" xfId="0" applyFont="1" applyFill="1" applyBorder="1" applyAlignment="1">
      <alignment horizontal="left"/>
    </xf>
    <xf numFmtId="0" fontId="4" fillId="2" borderId="32" xfId="0" applyFont="1" applyFill="1" applyBorder="1" applyAlignment="1">
      <alignment horizontal="left"/>
    </xf>
    <xf numFmtId="0" fontId="4" fillId="2" borderId="33" xfId="0" applyFont="1" applyFill="1" applyBorder="1" applyAlignment="1">
      <alignment horizontal="left"/>
    </xf>
  </cellXfs>
  <cellStyles count="9">
    <cellStyle name="Comma" xfId="1" builtinId="3"/>
    <cellStyle name="Currency" xfId="2" builtinId="4"/>
    <cellStyle name="Hyperlink" xfId="6" builtinId="8"/>
    <cellStyle name="Normal" xfId="0" builtinId="0"/>
    <cellStyle name="Normal 12" xfId="7" xr:uid="{AAA25E44-9943-4C32-BAD4-2C9F2C8647A8}"/>
    <cellStyle name="Normal 2" xfId="5" xr:uid="{C9478BCB-1B20-42A8-BD62-34DDB4CE6807}"/>
    <cellStyle name="Normal 2 3" xfId="4" xr:uid="{00000000-0005-0000-0000-000003000000}"/>
    <cellStyle name="Normal 3" xfId="8" xr:uid="{467903CB-CC85-4346-B4BE-EF8AA6A1D55F}"/>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CAR PRICES ($); X Line Fit  Plot</a:t>
            </a:r>
          </a:p>
        </c:rich>
      </c:tx>
      <c:overlay val="0"/>
    </c:title>
    <c:autoTitleDeleted val="0"/>
    <c:plotArea>
      <c:layout/>
      <c:scatterChart>
        <c:scatterStyle val="lineMarker"/>
        <c:varyColors val="0"/>
        <c:ser>
          <c:idx val="0"/>
          <c:order val="0"/>
          <c:tx>
            <c:v>UNITS SOLD; Y</c:v>
          </c:tx>
          <c:spPr>
            <a:ln w="19050">
              <a:noFill/>
            </a:ln>
          </c:spPr>
          <c:xVal>
            <c:numRef>
              <c:f>'(5a) REGRESSION Forecasting'!$K$17:$K$23</c:f>
              <c:numCache>
                <c:formatCode>_(* #,##0_);_(* \(#,##0\);_(* "-"??_);_(@_)</c:formatCode>
                <c:ptCount val="7"/>
                <c:pt idx="0">
                  <c:v>46000</c:v>
                </c:pt>
                <c:pt idx="1">
                  <c:v>49600</c:v>
                </c:pt>
                <c:pt idx="2">
                  <c:v>52000</c:v>
                </c:pt>
                <c:pt idx="3">
                  <c:v>56800</c:v>
                </c:pt>
                <c:pt idx="4">
                  <c:v>62500</c:v>
                </c:pt>
                <c:pt idx="5">
                  <c:v>72000</c:v>
                </c:pt>
                <c:pt idx="6">
                  <c:v>81500</c:v>
                </c:pt>
              </c:numCache>
            </c:numRef>
          </c:xVal>
          <c:yVal>
            <c:numRef>
              <c:f>'(5a) REGRESSION Forecasting'!$L$17:$L$23</c:f>
              <c:numCache>
                <c:formatCode>_(* #,##0_);_(* \(#,##0\);_(* "-"??_);_(@_)</c:formatCode>
                <c:ptCount val="7"/>
                <c:pt idx="0">
                  <c:v>586000</c:v>
                </c:pt>
                <c:pt idx="1">
                  <c:v>458400</c:v>
                </c:pt>
                <c:pt idx="2">
                  <c:v>320000</c:v>
                </c:pt>
                <c:pt idx="3">
                  <c:v>258000</c:v>
                </c:pt>
                <c:pt idx="4">
                  <c:v>248000</c:v>
                </c:pt>
                <c:pt idx="5">
                  <c:v>120962</c:v>
                </c:pt>
                <c:pt idx="6">
                  <c:v>86000</c:v>
                </c:pt>
              </c:numCache>
            </c:numRef>
          </c:yVal>
          <c:smooth val="0"/>
          <c:extLst>
            <c:ext xmlns:c16="http://schemas.microsoft.com/office/drawing/2014/chart" uri="{C3380CC4-5D6E-409C-BE32-E72D297353CC}">
              <c16:uniqueId val="{00000001-186D-4F13-A17F-F8955B444E50}"/>
            </c:ext>
          </c:extLst>
        </c:ser>
        <c:ser>
          <c:idx val="1"/>
          <c:order val="1"/>
          <c:tx>
            <c:v>Predicted UNITS SOLD; Y</c:v>
          </c:tx>
          <c:spPr>
            <a:ln w="19050">
              <a:noFill/>
            </a:ln>
          </c:spPr>
          <c:xVal>
            <c:numRef>
              <c:f>'(5a) REGRESSION Forecasting'!$K$17:$K$23</c:f>
              <c:numCache>
                <c:formatCode>_(* #,##0_);_(* \(#,##0\);_(* "-"??_);_(@_)</c:formatCode>
                <c:ptCount val="7"/>
                <c:pt idx="0">
                  <c:v>46000</c:v>
                </c:pt>
                <c:pt idx="1">
                  <c:v>49600</c:v>
                </c:pt>
                <c:pt idx="2">
                  <c:v>52000</c:v>
                </c:pt>
                <c:pt idx="3">
                  <c:v>56800</c:v>
                </c:pt>
                <c:pt idx="4">
                  <c:v>62500</c:v>
                </c:pt>
                <c:pt idx="5">
                  <c:v>72000</c:v>
                </c:pt>
                <c:pt idx="6">
                  <c:v>81500</c:v>
                </c:pt>
              </c:numCache>
            </c:numRef>
          </c:xVal>
          <c:yVal>
            <c:numRef>
              <c:f>'(5a) REGRESSION Forecasting'!$Q$32:$Q$38</c:f>
              <c:numCache>
                <c:formatCode>General</c:formatCode>
                <c:ptCount val="7"/>
                <c:pt idx="0">
                  <c:v>474880.05827448703</c:v>
                </c:pt>
                <c:pt idx="1">
                  <c:v>429265.4823749233</c:v>
                </c:pt>
                <c:pt idx="2">
                  <c:v>398855.76510854741</c:v>
                </c:pt>
                <c:pt idx="3">
                  <c:v>338036.33057579573</c:v>
                </c:pt>
                <c:pt idx="4">
                  <c:v>265813.25206815312</c:v>
                </c:pt>
                <c:pt idx="5">
                  <c:v>145441.45455541555</c:v>
                </c:pt>
                <c:pt idx="6">
                  <c:v>25069.657042677864</c:v>
                </c:pt>
              </c:numCache>
            </c:numRef>
          </c:yVal>
          <c:smooth val="0"/>
          <c:extLst>
            <c:ext xmlns:c16="http://schemas.microsoft.com/office/drawing/2014/chart" uri="{C3380CC4-5D6E-409C-BE32-E72D297353CC}">
              <c16:uniqueId val="{00000002-186D-4F13-A17F-F8955B444E50}"/>
            </c:ext>
          </c:extLst>
        </c:ser>
        <c:dLbls>
          <c:showLegendKey val="0"/>
          <c:showVal val="0"/>
          <c:showCatName val="0"/>
          <c:showSerName val="0"/>
          <c:showPercent val="0"/>
          <c:showBubbleSize val="0"/>
        </c:dLbls>
        <c:axId val="257658064"/>
        <c:axId val="257646832"/>
      </c:scatterChart>
      <c:valAx>
        <c:axId val="257658064"/>
        <c:scaling>
          <c:orientation val="minMax"/>
        </c:scaling>
        <c:delete val="0"/>
        <c:axPos val="b"/>
        <c:title>
          <c:tx>
            <c:rich>
              <a:bodyPr/>
              <a:lstStyle/>
              <a:p>
                <a:pPr>
                  <a:defRPr/>
                </a:pPr>
                <a:r>
                  <a:rPr lang="en-US"/>
                  <a:t>CAR PRICES ($); X</a:t>
                </a:r>
              </a:p>
            </c:rich>
          </c:tx>
          <c:overlay val="0"/>
        </c:title>
        <c:numFmt formatCode="_(* #,##0_);_(* \(#,##0\);_(* &quot;-&quot;??_);_(@_)" sourceLinked="1"/>
        <c:majorTickMark val="out"/>
        <c:minorTickMark val="none"/>
        <c:tickLblPos val="nextTo"/>
        <c:crossAx val="257646832"/>
        <c:crosses val="autoZero"/>
        <c:crossBetween val="midCat"/>
      </c:valAx>
      <c:valAx>
        <c:axId val="257646832"/>
        <c:scaling>
          <c:orientation val="minMax"/>
        </c:scaling>
        <c:delete val="0"/>
        <c:axPos val="l"/>
        <c:title>
          <c:tx>
            <c:rich>
              <a:bodyPr/>
              <a:lstStyle/>
              <a:p>
                <a:pPr>
                  <a:defRPr/>
                </a:pPr>
                <a:r>
                  <a:rPr lang="en-US"/>
                  <a:t>UNITS SOLD; Y</a:t>
                </a:r>
              </a:p>
            </c:rich>
          </c:tx>
          <c:overlay val="0"/>
        </c:title>
        <c:numFmt formatCode="_(* #,##0_);_(* \(#,##0\);_(* &quot;-&quot;??_);_(@_)" sourceLinked="1"/>
        <c:majorTickMark val="out"/>
        <c:minorTickMark val="none"/>
        <c:tickLblPos val="nextTo"/>
        <c:crossAx val="25765806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'(5a) REGRESSION Forecasting'!$T$32:$T$38</c:f>
              <c:numCache>
                <c:formatCode>General</c:formatCode>
                <c:ptCount val="7"/>
                <c:pt idx="0">
                  <c:v>7.1428571428571432</c:v>
                </c:pt>
                <c:pt idx="1">
                  <c:v>21.428571428571431</c:v>
                </c:pt>
                <c:pt idx="2">
                  <c:v>35.714285714285715</c:v>
                </c:pt>
                <c:pt idx="3">
                  <c:v>50.000000000000007</c:v>
                </c:pt>
                <c:pt idx="4">
                  <c:v>64.285714285714292</c:v>
                </c:pt>
                <c:pt idx="5">
                  <c:v>78.571428571428569</c:v>
                </c:pt>
                <c:pt idx="6">
                  <c:v>92.857142857142861</c:v>
                </c:pt>
              </c:numCache>
            </c:numRef>
          </c:xVal>
          <c:yVal>
            <c:numRef>
              <c:f>'(5a) REGRESSION Forecasting'!$U$32:$U$38</c:f>
              <c:numCache>
                <c:formatCode>General</c:formatCode>
                <c:ptCount val="7"/>
                <c:pt idx="0">
                  <c:v>86000</c:v>
                </c:pt>
                <c:pt idx="1">
                  <c:v>120962</c:v>
                </c:pt>
                <c:pt idx="2">
                  <c:v>248000</c:v>
                </c:pt>
                <c:pt idx="3">
                  <c:v>258000</c:v>
                </c:pt>
                <c:pt idx="4">
                  <c:v>320000</c:v>
                </c:pt>
                <c:pt idx="5">
                  <c:v>458400</c:v>
                </c:pt>
                <c:pt idx="6">
                  <c:v>586000</c:v>
                </c:pt>
              </c:numCache>
            </c:numRef>
          </c:yVal>
          <c:smooth val="0"/>
          <c:extLst>
            <c:ext xmlns:c16="http://schemas.microsoft.com/office/drawing/2014/chart" uri="{C3380CC4-5D6E-409C-BE32-E72D297353CC}">
              <c16:uniqueId val="{00000001-587E-426D-90EA-DD4EF0D06B2D}"/>
            </c:ext>
          </c:extLst>
        </c:ser>
        <c:dLbls>
          <c:showLegendKey val="0"/>
          <c:showVal val="0"/>
          <c:showCatName val="0"/>
          <c:showSerName val="0"/>
          <c:showPercent val="0"/>
          <c:showBubbleSize val="0"/>
        </c:dLbls>
        <c:axId val="257656400"/>
        <c:axId val="257640176"/>
      </c:scatterChart>
      <c:valAx>
        <c:axId val="257656400"/>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257640176"/>
        <c:crosses val="autoZero"/>
        <c:crossBetween val="midCat"/>
      </c:valAx>
      <c:valAx>
        <c:axId val="257640176"/>
        <c:scaling>
          <c:orientation val="minMax"/>
        </c:scaling>
        <c:delete val="0"/>
        <c:axPos val="l"/>
        <c:title>
          <c:tx>
            <c:rich>
              <a:bodyPr/>
              <a:lstStyle/>
              <a:p>
                <a:pPr>
                  <a:defRPr/>
                </a:pPr>
                <a:r>
                  <a:rPr lang="en-US"/>
                  <a:t>UNITS SOLD; Y</a:t>
                </a:r>
              </a:p>
            </c:rich>
          </c:tx>
          <c:overlay val="0"/>
        </c:title>
        <c:numFmt formatCode="General" sourceLinked="1"/>
        <c:majorTickMark val="out"/>
        <c:minorTickMark val="none"/>
        <c:tickLblPos val="nextTo"/>
        <c:crossAx val="25765640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1.pn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19.png"/><Relationship Id="rId3" Type="http://schemas.openxmlformats.org/officeDocument/2006/relationships/image" Target="../media/image10.png"/><Relationship Id="rId7" Type="http://schemas.openxmlformats.org/officeDocument/2006/relationships/image" Target="../media/image14.png"/><Relationship Id="rId12" Type="http://schemas.openxmlformats.org/officeDocument/2006/relationships/image" Target="../media/image18.png"/><Relationship Id="rId17" Type="http://schemas.openxmlformats.org/officeDocument/2006/relationships/image" Target="../media/image23.png"/><Relationship Id="rId2" Type="http://schemas.openxmlformats.org/officeDocument/2006/relationships/image" Target="../media/image9.png"/><Relationship Id="rId16" Type="http://schemas.openxmlformats.org/officeDocument/2006/relationships/image" Target="../media/image22.png"/><Relationship Id="rId1" Type="http://schemas.openxmlformats.org/officeDocument/2006/relationships/image" Target="../media/image8.png"/><Relationship Id="rId6" Type="http://schemas.openxmlformats.org/officeDocument/2006/relationships/image" Target="../media/image13.png"/><Relationship Id="rId11" Type="http://schemas.openxmlformats.org/officeDocument/2006/relationships/image" Target="../media/image7.png"/><Relationship Id="rId5" Type="http://schemas.openxmlformats.org/officeDocument/2006/relationships/image" Target="../media/image12.png"/><Relationship Id="rId15" Type="http://schemas.openxmlformats.org/officeDocument/2006/relationships/image" Target="../media/image21.png"/><Relationship Id="rId10" Type="http://schemas.openxmlformats.org/officeDocument/2006/relationships/image" Target="../media/image17.png"/><Relationship Id="rId4" Type="http://schemas.openxmlformats.org/officeDocument/2006/relationships/image" Target="../media/image11.png"/><Relationship Id="rId9" Type="http://schemas.openxmlformats.org/officeDocument/2006/relationships/image" Target="../media/image16.png"/><Relationship Id="rId14"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42</xdr:col>
      <xdr:colOff>361950</xdr:colOff>
      <xdr:row>2</xdr:row>
      <xdr:rowOff>238125</xdr:rowOff>
    </xdr:from>
    <xdr:to>
      <xdr:col>43</xdr:col>
      <xdr:colOff>984177</xdr:colOff>
      <xdr:row>4</xdr:row>
      <xdr:rowOff>180976</xdr:rowOff>
    </xdr:to>
    <xdr:pic>
      <xdr:nvPicPr>
        <xdr:cNvPr id="4" name="Picture 3">
          <a:extLst>
            <a:ext uri="{FF2B5EF4-FFF2-40B4-BE49-F238E27FC236}">
              <a16:creationId xmlns:a16="http://schemas.microsoft.com/office/drawing/2014/main" id="{76AE817B-29DA-406B-91CB-8C687A1708DA}"/>
            </a:ext>
          </a:extLst>
        </xdr:cNvPr>
        <xdr:cNvPicPr>
          <a:picLocks noChangeAspect="1"/>
        </xdr:cNvPicPr>
      </xdr:nvPicPr>
      <xdr:blipFill>
        <a:blip xmlns:r="http://schemas.openxmlformats.org/officeDocument/2006/relationships" r:embed="rId1"/>
        <a:stretch>
          <a:fillRect/>
        </a:stretch>
      </xdr:blipFill>
      <xdr:spPr>
        <a:xfrm>
          <a:off x="49977675" y="847725"/>
          <a:ext cx="2022402" cy="542926"/>
        </a:xfrm>
        <a:prstGeom prst="rect">
          <a:avLst/>
        </a:prstGeom>
      </xdr:spPr>
    </xdr:pic>
    <xdr:clientData/>
  </xdr:twoCellAnchor>
  <xdr:twoCellAnchor>
    <xdr:from>
      <xdr:col>17</xdr:col>
      <xdr:colOff>495300</xdr:colOff>
      <xdr:row>9</xdr:row>
      <xdr:rowOff>95251</xdr:rowOff>
    </xdr:from>
    <xdr:to>
      <xdr:col>17</xdr:col>
      <xdr:colOff>923925</xdr:colOff>
      <xdr:row>11</xdr:row>
      <xdr:rowOff>19051</xdr:rowOff>
    </xdr:to>
    <xdr:sp macro="" textlink="">
      <xdr:nvSpPr>
        <xdr:cNvPr id="5" name="Explosion: 8 Points 4">
          <a:extLst>
            <a:ext uri="{FF2B5EF4-FFF2-40B4-BE49-F238E27FC236}">
              <a16:creationId xmlns:a16="http://schemas.microsoft.com/office/drawing/2014/main" id="{79AE43FA-EC1F-4D5C-83B1-05A55C61E02A}"/>
            </a:ext>
          </a:extLst>
        </xdr:cNvPr>
        <xdr:cNvSpPr/>
      </xdr:nvSpPr>
      <xdr:spPr>
        <a:xfrm>
          <a:off x="23993475" y="2733676"/>
          <a:ext cx="428625" cy="495300"/>
        </a:xfrm>
        <a:prstGeom prst="irregularSeal1">
          <a:avLst/>
        </a:prstGeom>
        <a:solidFill>
          <a:srgbClr val="FF0000"/>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40</xdr:col>
      <xdr:colOff>228600</xdr:colOff>
      <xdr:row>5</xdr:row>
      <xdr:rowOff>123825</xdr:rowOff>
    </xdr:from>
    <xdr:to>
      <xdr:col>40</xdr:col>
      <xdr:colOff>704850</xdr:colOff>
      <xdr:row>7</xdr:row>
      <xdr:rowOff>95250</xdr:rowOff>
    </xdr:to>
    <xdr:sp macro="" textlink="">
      <xdr:nvSpPr>
        <xdr:cNvPr id="6" name="Explosion: 8 Points 5">
          <a:extLst>
            <a:ext uri="{FF2B5EF4-FFF2-40B4-BE49-F238E27FC236}">
              <a16:creationId xmlns:a16="http://schemas.microsoft.com/office/drawing/2014/main" id="{1942E42F-4C51-43C9-8813-B00465F5A60E}"/>
            </a:ext>
          </a:extLst>
        </xdr:cNvPr>
        <xdr:cNvSpPr/>
      </xdr:nvSpPr>
      <xdr:spPr>
        <a:xfrm>
          <a:off x="49920525" y="1619250"/>
          <a:ext cx="476250" cy="542925"/>
        </a:xfrm>
        <a:prstGeom prst="irregularSeal1">
          <a:avLst/>
        </a:prstGeom>
        <a:solidFill>
          <a:srgbClr val="FF0000"/>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40</xdr:col>
      <xdr:colOff>247650</xdr:colOff>
      <xdr:row>9</xdr:row>
      <xdr:rowOff>85725</xdr:rowOff>
    </xdr:from>
    <xdr:to>
      <xdr:col>40</xdr:col>
      <xdr:colOff>723900</xdr:colOff>
      <xdr:row>11</xdr:row>
      <xdr:rowOff>57150</xdr:rowOff>
    </xdr:to>
    <xdr:sp macro="" textlink="">
      <xdr:nvSpPr>
        <xdr:cNvPr id="7" name="Explosion: 8 Points 6">
          <a:extLst>
            <a:ext uri="{FF2B5EF4-FFF2-40B4-BE49-F238E27FC236}">
              <a16:creationId xmlns:a16="http://schemas.microsoft.com/office/drawing/2014/main" id="{8C8455E7-FAAA-483F-9D7B-A0A045D6AB9A}"/>
            </a:ext>
          </a:extLst>
        </xdr:cNvPr>
        <xdr:cNvSpPr/>
      </xdr:nvSpPr>
      <xdr:spPr>
        <a:xfrm>
          <a:off x="49939575" y="2724150"/>
          <a:ext cx="476250" cy="542925"/>
        </a:xfrm>
        <a:prstGeom prst="irregularSeal1">
          <a:avLst/>
        </a:prstGeom>
        <a:solidFill>
          <a:srgbClr val="FF0000"/>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400050</xdr:colOff>
      <xdr:row>3</xdr:row>
      <xdr:rowOff>304800</xdr:rowOff>
    </xdr:from>
    <xdr:to>
      <xdr:col>8</xdr:col>
      <xdr:colOff>1198128</xdr:colOff>
      <xdr:row>17</xdr:row>
      <xdr:rowOff>142875</xdr:rowOff>
    </xdr:to>
    <xdr:pic>
      <xdr:nvPicPr>
        <xdr:cNvPr id="13" name="Picture 12">
          <a:extLst>
            <a:ext uri="{FF2B5EF4-FFF2-40B4-BE49-F238E27FC236}">
              <a16:creationId xmlns:a16="http://schemas.microsoft.com/office/drawing/2014/main" id="{4DE5C886-8FF0-470B-9207-1FFAA59D1360}"/>
            </a:ext>
          </a:extLst>
        </xdr:cNvPr>
        <xdr:cNvPicPr>
          <a:picLocks noChangeAspect="1"/>
        </xdr:cNvPicPr>
      </xdr:nvPicPr>
      <xdr:blipFill>
        <a:blip xmlns:r="http://schemas.openxmlformats.org/officeDocument/2006/relationships" r:embed="rId2"/>
        <a:stretch>
          <a:fillRect/>
        </a:stretch>
      </xdr:blipFill>
      <xdr:spPr>
        <a:xfrm>
          <a:off x="3705225" y="1190625"/>
          <a:ext cx="9637278" cy="3848100"/>
        </a:xfrm>
        <a:prstGeom prst="rect">
          <a:avLst/>
        </a:prstGeom>
      </xdr:spPr>
    </xdr:pic>
    <xdr:clientData/>
  </xdr:twoCellAnchor>
  <xdr:twoCellAnchor editAs="oneCell">
    <xdr:from>
      <xdr:col>9</xdr:col>
      <xdr:colOff>28575</xdr:colOff>
      <xdr:row>0</xdr:row>
      <xdr:rowOff>247650</xdr:rowOff>
    </xdr:from>
    <xdr:to>
      <xdr:col>12</xdr:col>
      <xdr:colOff>275464</xdr:colOff>
      <xdr:row>13</xdr:row>
      <xdr:rowOff>218608</xdr:rowOff>
    </xdr:to>
    <xdr:pic>
      <xdr:nvPicPr>
        <xdr:cNvPr id="16" name="Picture 15">
          <a:extLst>
            <a:ext uri="{FF2B5EF4-FFF2-40B4-BE49-F238E27FC236}">
              <a16:creationId xmlns:a16="http://schemas.microsoft.com/office/drawing/2014/main" id="{2604DFC9-8404-4828-83B4-828D17DF537C}"/>
            </a:ext>
          </a:extLst>
        </xdr:cNvPr>
        <xdr:cNvPicPr>
          <a:picLocks noChangeAspect="1"/>
        </xdr:cNvPicPr>
      </xdr:nvPicPr>
      <xdr:blipFill>
        <a:blip xmlns:r="http://schemas.openxmlformats.org/officeDocument/2006/relationships" r:embed="rId3"/>
        <a:stretch>
          <a:fillRect/>
        </a:stretch>
      </xdr:blipFill>
      <xdr:spPr>
        <a:xfrm>
          <a:off x="13735050" y="247650"/>
          <a:ext cx="6085714" cy="3733333"/>
        </a:xfrm>
        <a:prstGeom prst="rect">
          <a:avLst/>
        </a:prstGeom>
      </xdr:spPr>
    </xdr:pic>
    <xdr:clientData/>
  </xdr:twoCellAnchor>
  <xdr:twoCellAnchor editAs="oneCell">
    <xdr:from>
      <xdr:col>41</xdr:col>
      <xdr:colOff>285752</xdr:colOff>
      <xdr:row>7</xdr:row>
      <xdr:rowOff>142876</xdr:rowOff>
    </xdr:from>
    <xdr:to>
      <xdr:col>43</xdr:col>
      <xdr:colOff>619126</xdr:colOff>
      <xdr:row>11</xdr:row>
      <xdr:rowOff>158244</xdr:rowOff>
    </xdr:to>
    <xdr:pic>
      <xdr:nvPicPr>
        <xdr:cNvPr id="17" name="Picture 16">
          <a:extLst>
            <a:ext uri="{FF2B5EF4-FFF2-40B4-BE49-F238E27FC236}">
              <a16:creationId xmlns:a16="http://schemas.microsoft.com/office/drawing/2014/main" id="{B82DB574-ECB9-4C8D-BB5D-D79527D03E83}"/>
            </a:ext>
          </a:extLst>
        </xdr:cNvPr>
        <xdr:cNvPicPr>
          <a:picLocks noChangeAspect="1"/>
        </xdr:cNvPicPr>
      </xdr:nvPicPr>
      <xdr:blipFill>
        <a:blip xmlns:r="http://schemas.openxmlformats.org/officeDocument/2006/relationships" r:embed="rId4"/>
        <a:stretch>
          <a:fillRect/>
        </a:stretch>
      </xdr:blipFill>
      <xdr:spPr>
        <a:xfrm>
          <a:off x="48339377" y="2209801"/>
          <a:ext cx="3190874" cy="1158368"/>
        </a:xfrm>
        <a:prstGeom prst="rect">
          <a:avLst/>
        </a:prstGeom>
      </xdr:spPr>
    </xdr:pic>
    <xdr:clientData/>
  </xdr:twoCellAnchor>
  <xdr:twoCellAnchor>
    <xdr:from>
      <xdr:col>27</xdr:col>
      <xdr:colOff>819150</xdr:colOff>
      <xdr:row>11</xdr:row>
      <xdr:rowOff>76200</xdr:rowOff>
    </xdr:from>
    <xdr:to>
      <xdr:col>34</xdr:col>
      <xdr:colOff>180975</xdr:colOff>
      <xdr:row>21</xdr:row>
      <xdr:rowOff>114300</xdr:rowOff>
    </xdr:to>
    <xdr:graphicFrame macro="">
      <xdr:nvGraphicFramePr>
        <xdr:cNvPr id="8" name="Chart 7">
          <a:extLst>
            <a:ext uri="{FF2B5EF4-FFF2-40B4-BE49-F238E27FC236}">
              <a16:creationId xmlns:a16="http://schemas.microsoft.com/office/drawing/2014/main" id="{C39F9F6B-7AD5-4892-BDAF-10DBD01AD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27</xdr:col>
      <xdr:colOff>819150</xdr:colOff>
      <xdr:row>1</xdr:row>
      <xdr:rowOff>28575</xdr:rowOff>
    </xdr:from>
    <xdr:to>
      <xdr:col>34</xdr:col>
      <xdr:colOff>180975</xdr:colOff>
      <xdr:row>10</xdr:row>
      <xdr:rowOff>190500</xdr:rowOff>
    </xdr:to>
    <xdr:graphicFrame macro="">
      <xdr:nvGraphicFramePr>
        <xdr:cNvPr id="9" name="Chart 8">
          <a:extLst>
            <a:ext uri="{FF2B5EF4-FFF2-40B4-BE49-F238E27FC236}">
              <a16:creationId xmlns:a16="http://schemas.microsoft.com/office/drawing/2014/main" id="{F27FB75B-05EB-4709-AF40-B41D2D13C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1200150</xdr:colOff>
      <xdr:row>13</xdr:row>
      <xdr:rowOff>247650</xdr:rowOff>
    </xdr:from>
    <xdr:to>
      <xdr:col>17</xdr:col>
      <xdr:colOff>57150</xdr:colOff>
      <xdr:row>15</xdr:row>
      <xdr:rowOff>0</xdr:rowOff>
    </xdr:to>
    <xdr:sp macro="" textlink="">
      <xdr:nvSpPr>
        <xdr:cNvPr id="24" name="Rectangle: Rounded Corners 23">
          <a:extLst>
            <a:ext uri="{FF2B5EF4-FFF2-40B4-BE49-F238E27FC236}">
              <a16:creationId xmlns:a16="http://schemas.microsoft.com/office/drawing/2014/main" id="{7EBF2A82-6D3B-477D-A1CA-2730088695DB}"/>
            </a:ext>
          </a:extLst>
        </xdr:cNvPr>
        <xdr:cNvSpPr/>
      </xdr:nvSpPr>
      <xdr:spPr>
        <a:xfrm>
          <a:off x="22459950" y="4010025"/>
          <a:ext cx="1095375" cy="30480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1181100</xdr:colOff>
      <xdr:row>10</xdr:row>
      <xdr:rowOff>0</xdr:rowOff>
    </xdr:from>
    <xdr:to>
      <xdr:col>17</xdr:col>
      <xdr:colOff>38100</xdr:colOff>
      <xdr:row>11</xdr:row>
      <xdr:rowOff>19050</xdr:rowOff>
    </xdr:to>
    <xdr:sp macro="" textlink="">
      <xdr:nvSpPr>
        <xdr:cNvPr id="26" name="Rectangle: Rounded Corners 25">
          <a:extLst>
            <a:ext uri="{FF2B5EF4-FFF2-40B4-BE49-F238E27FC236}">
              <a16:creationId xmlns:a16="http://schemas.microsoft.com/office/drawing/2014/main" id="{91366C09-FF09-45FD-A917-4725D039FD10}"/>
            </a:ext>
          </a:extLst>
        </xdr:cNvPr>
        <xdr:cNvSpPr/>
      </xdr:nvSpPr>
      <xdr:spPr>
        <a:xfrm>
          <a:off x="22440900" y="2924175"/>
          <a:ext cx="1095375" cy="30480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1171575</xdr:colOff>
      <xdr:row>23</xdr:row>
      <xdr:rowOff>19049</xdr:rowOff>
    </xdr:from>
    <xdr:to>
      <xdr:col>17</xdr:col>
      <xdr:colOff>28575</xdr:colOff>
      <xdr:row>25</xdr:row>
      <xdr:rowOff>28574</xdr:rowOff>
    </xdr:to>
    <xdr:sp macro="" textlink="">
      <xdr:nvSpPr>
        <xdr:cNvPr id="27" name="Rectangle: Rounded Corners 26">
          <a:extLst>
            <a:ext uri="{FF2B5EF4-FFF2-40B4-BE49-F238E27FC236}">
              <a16:creationId xmlns:a16="http://schemas.microsoft.com/office/drawing/2014/main" id="{461E5183-18A6-4FDB-A1A7-8E63FCCA7FCD}"/>
            </a:ext>
          </a:extLst>
        </xdr:cNvPr>
        <xdr:cNvSpPr/>
      </xdr:nvSpPr>
      <xdr:spPr>
        <a:xfrm>
          <a:off x="22431375" y="6572249"/>
          <a:ext cx="1095375" cy="561975"/>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219075</xdr:colOff>
      <xdr:row>3</xdr:row>
      <xdr:rowOff>57149</xdr:rowOff>
    </xdr:from>
    <xdr:to>
      <xdr:col>4</xdr:col>
      <xdr:colOff>2241477</xdr:colOff>
      <xdr:row>5</xdr:row>
      <xdr:rowOff>9525</xdr:rowOff>
    </xdr:to>
    <xdr:pic>
      <xdr:nvPicPr>
        <xdr:cNvPr id="2" name="Picture 1">
          <a:extLst>
            <a:ext uri="{FF2B5EF4-FFF2-40B4-BE49-F238E27FC236}">
              <a16:creationId xmlns:a16="http://schemas.microsoft.com/office/drawing/2014/main" id="{EB4F5A81-FE3C-444C-910E-62BD1F2DF379}"/>
            </a:ext>
          </a:extLst>
        </xdr:cNvPr>
        <xdr:cNvPicPr>
          <a:picLocks noChangeAspect="1"/>
        </xdr:cNvPicPr>
      </xdr:nvPicPr>
      <xdr:blipFill>
        <a:blip xmlns:r="http://schemas.openxmlformats.org/officeDocument/2006/relationships" r:embed="rId1"/>
        <a:stretch>
          <a:fillRect/>
        </a:stretch>
      </xdr:blipFill>
      <xdr:spPr>
        <a:xfrm>
          <a:off x="6991350" y="1123949"/>
          <a:ext cx="2022402" cy="542926"/>
        </a:xfrm>
        <a:prstGeom prst="rect">
          <a:avLst/>
        </a:prstGeom>
      </xdr:spPr>
    </xdr:pic>
    <xdr:clientData/>
  </xdr:twoCellAnchor>
  <xdr:twoCellAnchor editAs="oneCell">
    <xdr:from>
      <xdr:col>1</xdr:col>
      <xdr:colOff>180975</xdr:colOff>
      <xdr:row>12</xdr:row>
      <xdr:rowOff>66675</xdr:rowOff>
    </xdr:from>
    <xdr:to>
      <xdr:col>4</xdr:col>
      <xdr:colOff>1361171</xdr:colOff>
      <xdr:row>27</xdr:row>
      <xdr:rowOff>104240</xdr:rowOff>
    </xdr:to>
    <xdr:pic>
      <xdr:nvPicPr>
        <xdr:cNvPr id="3" name="Picture 2">
          <a:extLst>
            <a:ext uri="{FF2B5EF4-FFF2-40B4-BE49-F238E27FC236}">
              <a16:creationId xmlns:a16="http://schemas.microsoft.com/office/drawing/2014/main" id="{E2AA15CB-7AC1-405F-BD0C-713D8A2DAF42}"/>
            </a:ext>
          </a:extLst>
        </xdr:cNvPr>
        <xdr:cNvPicPr>
          <a:picLocks noChangeAspect="1"/>
        </xdr:cNvPicPr>
      </xdr:nvPicPr>
      <xdr:blipFill>
        <a:blip xmlns:r="http://schemas.openxmlformats.org/officeDocument/2006/relationships" r:embed="rId2"/>
        <a:stretch>
          <a:fillRect/>
        </a:stretch>
      </xdr:blipFill>
      <xdr:spPr>
        <a:xfrm>
          <a:off x="904875" y="3714750"/>
          <a:ext cx="7228571" cy="4276190"/>
        </a:xfrm>
        <a:prstGeom prst="rect">
          <a:avLst/>
        </a:prstGeom>
      </xdr:spPr>
    </xdr:pic>
    <xdr:clientData/>
  </xdr:twoCellAnchor>
  <xdr:twoCellAnchor editAs="oneCell">
    <xdr:from>
      <xdr:col>1</xdr:col>
      <xdr:colOff>161925</xdr:colOff>
      <xdr:row>9</xdr:row>
      <xdr:rowOff>180974</xdr:rowOff>
    </xdr:from>
    <xdr:to>
      <xdr:col>4</xdr:col>
      <xdr:colOff>1209866</xdr:colOff>
      <xdr:row>11</xdr:row>
      <xdr:rowOff>190499</xdr:rowOff>
    </xdr:to>
    <xdr:pic>
      <xdr:nvPicPr>
        <xdr:cNvPr id="4" name="Picture 3">
          <a:extLst>
            <a:ext uri="{FF2B5EF4-FFF2-40B4-BE49-F238E27FC236}">
              <a16:creationId xmlns:a16="http://schemas.microsoft.com/office/drawing/2014/main" id="{591B2BF3-238B-47D4-86D3-D4D269880085}"/>
            </a:ext>
          </a:extLst>
        </xdr:cNvPr>
        <xdr:cNvPicPr>
          <a:picLocks noChangeAspect="1"/>
        </xdr:cNvPicPr>
      </xdr:nvPicPr>
      <xdr:blipFill>
        <a:blip xmlns:r="http://schemas.openxmlformats.org/officeDocument/2006/relationships" r:embed="rId3"/>
        <a:stretch>
          <a:fillRect/>
        </a:stretch>
      </xdr:blipFill>
      <xdr:spPr>
        <a:xfrm>
          <a:off x="885825" y="3000374"/>
          <a:ext cx="7096316" cy="561975"/>
        </a:xfrm>
        <a:prstGeom prst="rect">
          <a:avLst/>
        </a:prstGeom>
      </xdr:spPr>
    </xdr:pic>
    <xdr:clientData/>
  </xdr:twoCellAnchor>
  <xdr:twoCellAnchor editAs="oneCell">
    <xdr:from>
      <xdr:col>5</xdr:col>
      <xdr:colOff>152400</xdr:colOff>
      <xdr:row>12</xdr:row>
      <xdr:rowOff>28575</xdr:rowOff>
    </xdr:from>
    <xdr:to>
      <xdr:col>15</xdr:col>
      <xdr:colOff>84828</xdr:colOff>
      <xdr:row>27</xdr:row>
      <xdr:rowOff>66140</xdr:rowOff>
    </xdr:to>
    <xdr:pic>
      <xdr:nvPicPr>
        <xdr:cNvPr id="5" name="Picture 4">
          <a:extLst>
            <a:ext uri="{FF2B5EF4-FFF2-40B4-BE49-F238E27FC236}">
              <a16:creationId xmlns:a16="http://schemas.microsoft.com/office/drawing/2014/main" id="{B3CB0461-8F99-4234-B621-D9E70263B5C7}"/>
            </a:ext>
          </a:extLst>
        </xdr:cNvPr>
        <xdr:cNvPicPr>
          <a:picLocks noChangeAspect="1"/>
        </xdr:cNvPicPr>
      </xdr:nvPicPr>
      <xdr:blipFill>
        <a:blip xmlns:r="http://schemas.openxmlformats.org/officeDocument/2006/relationships" r:embed="rId4"/>
        <a:stretch>
          <a:fillRect/>
        </a:stretch>
      </xdr:blipFill>
      <xdr:spPr>
        <a:xfrm>
          <a:off x="9382125" y="3676650"/>
          <a:ext cx="7171428" cy="4276190"/>
        </a:xfrm>
        <a:prstGeom prst="rect">
          <a:avLst/>
        </a:prstGeom>
      </xdr:spPr>
    </xdr:pic>
    <xdr:clientData/>
  </xdr:twoCellAnchor>
  <xdr:twoCellAnchor>
    <xdr:from>
      <xdr:col>4</xdr:col>
      <xdr:colOff>638175</xdr:colOff>
      <xdr:row>2</xdr:row>
      <xdr:rowOff>19050</xdr:rowOff>
    </xdr:from>
    <xdr:to>
      <xdr:col>4</xdr:col>
      <xdr:colOff>1790700</xdr:colOff>
      <xdr:row>3</xdr:row>
      <xdr:rowOff>9525</xdr:rowOff>
    </xdr:to>
    <xdr:sp macro="" textlink="">
      <xdr:nvSpPr>
        <xdr:cNvPr id="6" name="Rectangle: Rounded Corners 5">
          <a:extLst>
            <a:ext uri="{FF2B5EF4-FFF2-40B4-BE49-F238E27FC236}">
              <a16:creationId xmlns:a16="http://schemas.microsoft.com/office/drawing/2014/main" id="{CA4396E7-76F2-4E75-A020-4CCEC8A5467F}"/>
            </a:ext>
          </a:extLst>
        </xdr:cNvPr>
        <xdr:cNvSpPr/>
      </xdr:nvSpPr>
      <xdr:spPr>
        <a:xfrm>
          <a:off x="7410450" y="742950"/>
          <a:ext cx="1152525" cy="333375"/>
        </a:xfrm>
        <a:prstGeom prst="roundRect">
          <a:avLst/>
        </a:prstGeom>
        <a:no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1350169</xdr:colOff>
      <xdr:row>3</xdr:row>
      <xdr:rowOff>38101</xdr:rowOff>
    </xdr:from>
    <xdr:to>
      <xdr:col>4</xdr:col>
      <xdr:colOff>1866900</xdr:colOff>
      <xdr:row>11</xdr:row>
      <xdr:rowOff>228600</xdr:rowOff>
    </xdr:to>
    <xdr:cxnSp macro="">
      <xdr:nvCxnSpPr>
        <xdr:cNvPr id="7" name="Straight Arrow Connector 6">
          <a:extLst>
            <a:ext uri="{FF2B5EF4-FFF2-40B4-BE49-F238E27FC236}">
              <a16:creationId xmlns:a16="http://schemas.microsoft.com/office/drawing/2014/main" id="{596E5472-0942-4BF8-B41D-8083CC55F8C0}"/>
            </a:ext>
          </a:extLst>
        </xdr:cNvPr>
        <xdr:cNvCxnSpPr/>
      </xdr:nvCxnSpPr>
      <xdr:spPr>
        <a:xfrm flipH="1" flipV="1">
          <a:off x="8122444" y="1104901"/>
          <a:ext cx="516731" cy="2495549"/>
        </a:xfrm>
        <a:prstGeom prst="straightConnector1">
          <a:avLst/>
        </a:prstGeom>
        <a:ln w="66675">
          <a:solidFill>
            <a:srgbClr val="0070C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542925</xdr:colOff>
      <xdr:row>11</xdr:row>
      <xdr:rowOff>217225</xdr:rowOff>
    </xdr:from>
    <xdr:to>
      <xdr:col>4</xdr:col>
      <xdr:colOff>1876425</xdr:colOff>
      <xdr:row>22</xdr:row>
      <xdr:rowOff>161925</xdr:rowOff>
    </xdr:to>
    <xdr:cxnSp macro="">
      <xdr:nvCxnSpPr>
        <xdr:cNvPr id="8" name="Straight Arrow Connector 7">
          <a:extLst>
            <a:ext uri="{FF2B5EF4-FFF2-40B4-BE49-F238E27FC236}">
              <a16:creationId xmlns:a16="http://schemas.microsoft.com/office/drawing/2014/main" id="{D3C1E45B-3821-40CF-84CF-96864113A211}"/>
            </a:ext>
          </a:extLst>
        </xdr:cNvPr>
        <xdr:cNvCxnSpPr/>
      </xdr:nvCxnSpPr>
      <xdr:spPr>
        <a:xfrm flipH="1">
          <a:off x="7315200" y="3589075"/>
          <a:ext cx="1333500" cy="3078425"/>
        </a:xfrm>
        <a:prstGeom prst="straightConnector1">
          <a:avLst/>
        </a:prstGeom>
        <a:ln w="66675">
          <a:solidFill>
            <a:schemeClr val="accent2">
              <a:lumMod val="75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73</xdr:col>
      <xdr:colOff>28575</xdr:colOff>
      <xdr:row>2</xdr:row>
      <xdr:rowOff>228600</xdr:rowOff>
    </xdr:from>
    <xdr:to>
      <xdr:col>81</xdr:col>
      <xdr:colOff>561069</xdr:colOff>
      <xdr:row>21</xdr:row>
      <xdr:rowOff>104129</xdr:rowOff>
    </xdr:to>
    <xdr:pic>
      <xdr:nvPicPr>
        <xdr:cNvPr id="2" name="Picture 1">
          <a:extLst>
            <a:ext uri="{FF2B5EF4-FFF2-40B4-BE49-F238E27FC236}">
              <a16:creationId xmlns:a16="http://schemas.microsoft.com/office/drawing/2014/main" id="{CBA79650-C700-47D0-8C78-3B1578B05BE5}"/>
            </a:ext>
          </a:extLst>
        </xdr:cNvPr>
        <xdr:cNvPicPr>
          <a:picLocks noChangeAspect="1"/>
        </xdr:cNvPicPr>
      </xdr:nvPicPr>
      <xdr:blipFill>
        <a:blip xmlns:r="http://schemas.openxmlformats.org/officeDocument/2006/relationships" r:embed="rId1"/>
        <a:stretch>
          <a:fillRect/>
        </a:stretch>
      </xdr:blipFill>
      <xdr:spPr>
        <a:xfrm>
          <a:off x="55397400" y="962025"/>
          <a:ext cx="7247619" cy="5171429"/>
        </a:xfrm>
        <a:prstGeom prst="rect">
          <a:avLst/>
        </a:prstGeom>
      </xdr:spPr>
    </xdr:pic>
    <xdr:clientData/>
  </xdr:twoCellAnchor>
  <xdr:twoCellAnchor editAs="oneCell">
    <xdr:from>
      <xdr:col>82</xdr:col>
      <xdr:colOff>85725</xdr:colOff>
      <xdr:row>2</xdr:row>
      <xdr:rowOff>152400</xdr:rowOff>
    </xdr:from>
    <xdr:to>
      <xdr:col>91</xdr:col>
      <xdr:colOff>351588</xdr:colOff>
      <xdr:row>20</xdr:row>
      <xdr:rowOff>266058</xdr:rowOff>
    </xdr:to>
    <xdr:pic>
      <xdr:nvPicPr>
        <xdr:cNvPr id="3" name="Picture 2">
          <a:extLst>
            <a:ext uri="{FF2B5EF4-FFF2-40B4-BE49-F238E27FC236}">
              <a16:creationId xmlns:a16="http://schemas.microsoft.com/office/drawing/2014/main" id="{05E21D37-11A0-462B-AB25-119664AEB171}"/>
            </a:ext>
          </a:extLst>
        </xdr:cNvPr>
        <xdr:cNvPicPr>
          <a:picLocks noChangeAspect="1"/>
        </xdr:cNvPicPr>
      </xdr:nvPicPr>
      <xdr:blipFill>
        <a:blip xmlns:r="http://schemas.openxmlformats.org/officeDocument/2006/relationships" r:embed="rId2"/>
        <a:stretch>
          <a:fillRect/>
        </a:stretch>
      </xdr:blipFill>
      <xdr:spPr>
        <a:xfrm>
          <a:off x="62884050" y="885825"/>
          <a:ext cx="6695238" cy="5133333"/>
        </a:xfrm>
        <a:prstGeom prst="rect">
          <a:avLst/>
        </a:prstGeom>
      </xdr:spPr>
    </xdr:pic>
    <xdr:clientData/>
  </xdr:twoCellAnchor>
  <xdr:twoCellAnchor editAs="oneCell">
    <xdr:from>
      <xdr:col>91</xdr:col>
      <xdr:colOff>600075</xdr:colOff>
      <xdr:row>2</xdr:row>
      <xdr:rowOff>161925</xdr:rowOff>
    </xdr:from>
    <xdr:to>
      <xdr:col>101</xdr:col>
      <xdr:colOff>399182</xdr:colOff>
      <xdr:row>13</xdr:row>
      <xdr:rowOff>275825</xdr:rowOff>
    </xdr:to>
    <xdr:pic>
      <xdr:nvPicPr>
        <xdr:cNvPr id="4" name="Picture 3">
          <a:extLst>
            <a:ext uri="{FF2B5EF4-FFF2-40B4-BE49-F238E27FC236}">
              <a16:creationId xmlns:a16="http://schemas.microsoft.com/office/drawing/2014/main" id="{0E96F1C9-F346-4F8C-B9B4-A3A37EF1454C}"/>
            </a:ext>
          </a:extLst>
        </xdr:cNvPr>
        <xdr:cNvPicPr>
          <a:picLocks noChangeAspect="1"/>
        </xdr:cNvPicPr>
      </xdr:nvPicPr>
      <xdr:blipFill>
        <a:blip xmlns:r="http://schemas.openxmlformats.org/officeDocument/2006/relationships" r:embed="rId3"/>
        <a:stretch>
          <a:fillRect/>
        </a:stretch>
      </xdr:blipFill>
      <xdr:spPr>
        <a:xfrm>
          <a:off x="69827775" y="895350"/>
          <a:ext cx="6942857" cy="3200000"/>
        </a:xfrm>
        <a:prstGeom prst="rect">
          <a:avLst/>
        </a:prstGeom>
      </xdr:spPr>
    </xdr:pic>
    <xdr:clientData/>
  </xdr:twoCellAnchor>
  <xdr:twoCellAnchor editAs="oneCell">
    <xdr:from>
      <xdr:col>101</xdr:col>
      <xdr:colOff>590550</xdr:colOff>
      <xdr:row>2</xdr:row>
      <xdr:rowOff>123825</xdr:rowOff>
    </xdr:from>
    <xdr:to>
      <xdr:col>112</xdr:col>
      <xdr:colOff>94330</xdr:colOff>
      <xdr:row>17</xdr:row>
      <xdr:rowOff>170920</xdr:rowOff>
    </xdr:to>
    <xdr:pic>
      <xdr:nvPicPr>
        <xdr:cNvPr id="5" name="Picture 4">
          <a:extLst>
            <a:ext uri="{FF2B5EF4-FFF2-40B4-BE49-F238E27FC236}">
              <a16:creationId xmlns:a16="http://schemas.microsoft.com/office/drawing/2014/main" id="{C0CA6699-4C42-454B-9DA5-71B7E6F67ACF}"/>
            </a:ext>
          </a:extLst>
        </xdr:cNvPr>
        <xdr:cNvPicPr>
          <a:picLocks noChangeAspect="1"/>
        </xdr:cNvPicPr>
      </xdr:nvPicPr>
      <xdr:blipFill>
        <a:blip xmlns:r="http://schemas.openxmlformats.org/officeDocument/2006/relationships" r:embed="rId4"/>
        <a:stretch>
          <a:fillRect/>
        </a:stretch>
      </xdr:blipFill>
      <xdr:spPr>
        <a:xfrm>
          <a:off x="76962000" y="857250"/>
          <a:ext cx="7361905" cy="4238095"/>
        </a:xfrm>
        <a:prstGeom prst="rect">
          <a:avLst/>
        </a:prstGeom>
      </xdr:spPr>
    </xdr:pic>
    <xdr:clientData/>
  </xdr:twoCellAnchor>
  <xdr:twoCellAnchor editAs="oneCell">
    <xdr:from>
      <xdr:col>114</xdr:col>
      <xdr:colOff>685800</xdr:colOff>
      <xdr:row>3</xdr:row>
      <xdr:rowOff>114300</xdr:rowOff>
    </xdr:from>
    <xdr:to>
      <xdr:col>124</xdr:col>
      <xdr:colOff>370621</xdr:colOff>
      <xdr:row>13</xdr:row>
      <xdr:rowOff>142526</xdr:rowOff>
    </xdr:to>
    <xdr:pic>
      <xdr:nvPicPr>
        <xdr:cNvPr id="6" name="Picture 5">
          <a:extLst>
            <a:ext uri="{FF2B5EF4-FFF2-40B4-BE49-F238E27FC236}">
              <a16:creationId xmlns:a16="http://schemas.microsoft.com/office/drawing/2014/main" id="{EFEFD468-96DE-44D0-8CEC-F1D7A495DC4A}"/>
            </a:ext>
          </a:extLst>
        </xdr:cNvPr>
        <xdr:cNvPicPr>
          <a:picLocks noChangeAspect="1"/>
        </xdr:cNvPicPr>
      </xdr:nvPicPr>
      <xdr:blipFill>
        <a:blip xmlns:r="http://schemas.openxmlformats.org/officeDocument/2006/relationships" r:embed="rId5"/>
        <a:stretch>
          <a:fillRect/>
        </a:stretch>
      </xdr:blipFill>
      <xdr:spPr>
        <a:xfrm>
          <a:off x="85715475" y="1171575"/>
          <a:ext cx="6828571" cy="2790476"/>
        </a:xfrm>
        <a:prstGeom prst="rect">
          <a:avLst/>
        </a:prstGeom>
      </xdr:spPr>
    </xdr:pic>
    <xdr:clientData/>
  </xdr:twoCellAnchor>
  <xdr:twoCellAnchor editAs="oneCell">
    <xdr:from>
      <xdr:col>66</xdr:col>
      <xdr:colOff>800100</xdr:colOff>
      <xdr:row>14</xdr:row>
      <xdr:rowOff>266700</xdr:rowOff>
    </xdr:from>
    <xdr:to>
      <xdr:col>69</xdr:col>
      <xdr:colOff>2608967</xdr:colOff>
      <xdr:row>28</xdr:row>
      <xdr:rowOff>237633</xdr:rowOff>
    </xdr:to>
    <xdr:pic>
      <xdr:nvPicPr>
        <xdr:cNvPr id="7" name="Picture 6">
          <a:extLst>
            <a:ext uri="{FF2B5EF4-FFF2-40B4-BE49-F238E27FC236}">
              <a16:creationId xmlns:a16="http://schemas.microsoft.com/office/drawing/2014/main" id="{9B758000-C896-4ECA-AA53-5BE3F79DA320}"/>
            </a:ext>
          </a:extLst>
        </xdr:cNvPr>
        <xdr:cNvPicPr>
          <a:picLocks noChangeAspect="1"/>
        </xdr:cNvPicPr>
      </xdr:nvPicPr>
      <xdr:blipFill>
        <a:blip xmlns:r="http://schemas.openxmlformats.org/officeDocument/2006/relationships" r:embed="rId6"/>
        <a:stretch>
          <a:fillRect/>
        </a:stretch>
      </xdr:blipFill>
      <xdr:spPr>
        <a:xfrm>
          <a:off x="46577250" y="4362450"/>
          <a:ext cx="7066667" cy="3933333"/>
        </a:xfrm>
        <a:prstGeom prst="rect">
          <a:avLst/>
        </a:prstGeom>
      </xdr:spPr>
    </xdr:pic>
    <xdr:clientData/>
  </xdr:twoCellAnchor>
  <xdr:twoCellAnchor editAs="oneCell">
    <xdr:from>
      <xdr:col>67</xdr:col>
      <xdr:colOff>161925</xdr:colOff>
      <xdr:row>5</xdr:row>
      <xdr:rowOff>114300</xdr:rowOff>
    </xdr:from>
    <xdr:to>
      <xdr:col>68</xdr:col>
      <xdr:colOff>1571170</xdr:colOff>
      <xdr:row>14</xdr:row>
      <xdr:rowOff>142561</xdr:rowOff>
    </xdr:to>
    <xdr:pic>
      <xdr:nvPicPr>
        <xdr:cNvPr id="8" name="Picture 7">
          <a:extLst>
            <a:ext uri="{FF2B5EF4-FFF2-40B4-BE49-F238E27FC236}">
              <a16:creationId xmlns:a16="http://schemas.microsoft.com/office/drawing/2014/main" id="{EC8F3B3C-9407-4BD2-A36D-586DAC1168E3}"/>
            </a:ext>
          </a:extLst>
        </xdr:cNvPr>
        <xdr:cNvPicPr>
          <a:picLocks noChangeAspect="1"/>
        </xdr:cNvPicPr>
      </xdr:nvPicPr>
      <xdr:blipFill>
        <a:blip xmlns:r="http://schemas.openxmlformats.org/officeDocument/2006/relationships" r:embed="rId7"/>
        <a:stretch>
          <a:fillRect/>
        </a:stretch>
      </xdr:blipFill>
      <xdr:spPr>
        <a:xfrm>
          <a:off x="46739175" y="1724025"/>
          <a:ext cx="3638095" cy="2514286"/>
        </a:xfrm>
        <a:prstGeom prst="rect">
          <a:avLst/>
        </a:prstGeom>
      </xdr:spPr>
    </xdr:pic>
    <xdr:clientData/>
  </xdr:twoCellAnchor>
  <xdr:twoCellAnchor editAs="oneCell">
    <xdr:from>
      <xdr:col>128</xdr:col>
      <xdr:colOff>9525</xdr:colOff>
      <xdr:row>3</xdr:row>
      <xdr:rowOff>142875</xdr:rowOff>
    </xdr:from>
    <xdr:to>
      <xdr:col>137</xdr:col>
      <xdr:colOff>561102</xdr:colOff>
      <xdr:row>18</xdr:row>
      <xdr:rowOff>189976</xdr:rowOff>
    </xdr:to>
    <xdr:pic>
      <xdr:nvPicPr>
        <xdr:cNvPr id="9" name="Picture 8">
          <a:extLst>
            <a:ext uri="{FF2B5EF4-FFF2-40B4-BE49-F238E27FC236}">
              <a16:creationId xmlns:a16="http://schemas.microsoft.com/office/drawing/2014/main" id="{A4A22ED7-E107-4F47-8859-75F5CED4A8CB}"/>
            </a:ext>
          </a:extLst>
        </xdr:cNvPr>
        <xdr:cNvPicPr>
          <a:picLocks noChangeAspect="1"/>
        </xdr:cNvPicPr>
      </xdr:nvPicPr>
      <xdr:blipFill>
        <a:blip xmlns:r="http://schemas.openxmlformats.org/officeDocument/2006/relationships" r:embed="rId8"/>
        <a:stretch>
          <a:fillRect/>
        </a:stretch>
      </xdr:blipFill>
      <xdr:spPr>
        <a:xfrm>
          <a:off x="94154625" y="1200150"/>
          <a:ext cx="6980952" cy="4190476"/>
        </a:xfrm>
        <a:prstGeom prst="rect">
          <a:avLst/>
        </a:prstGeom>
      </xdr:spPr>
    </xdr:pic>
    <xdr:clientData/>
  </xdr:twoCellAnchor>
  <xdr:twoCellAnchor editAs="oneCell">
    <xdr:from>
      <xdr:col>67</xdr:col>
      <xdr:colOff>228600</xdr:colOff>
      <xdr:row>2</xdr:row>
      <xdr:rowOff>0</xdr:rowOff>
    </xdr:from>
    <xdr:to>
      <xdr:col>70</xdr:col>
      <xdr:colOff>104775</xdr:colOff>
      <xdr:row>5</xdr:row>
      <xdr:rowOff>100956</xdr:rowOff>
    </xdr:to>
    <xdr:pic>
      <xdr:nvPicPr>
        <xdr:cNvPr id="10" name="Picture 9">
          <a:extLst>
            <a:ext uri="{FF2B5EF4-FFF2-40B4-BE49-F238E27FC236}">
              <a16:creationId xmlns:a16="http://schemas.microsoft.com/office/drawing/2014/main" id="{268F29B3-9F62-48D9-8129-4957AD2B46C6}"/>
            </a:ext>
          </a:extLst>
        </xdr:cNvPr>
        <xdr:cNvPicPr>
          <a:picLocks noChangeAspect="1"/>
        </xdr:cNvPicPr>
      </xdr:nvPicPr>
      <xdr:blipFill>
        <a:blip xmlns:r="http://schemas.openxmlformats.org/officeDocument/2006/relationships" r:embed="rId9"/>
        <a:stretch>
          <a:fillRect/>
        </a:stretch>
      </xdr:blipFill>
      <xdr:spPr>
        <a:xfrm>
          <a:off x="46805850" y="733425"/>
          <a:ext cx="7105650" cy="977256"/>
        </a:xfrm>
        <a:prstGeom prst="rect">
          <a:avLst/>
        </a:prstGeom>
      </xdr:spPr>
    </xdr:pic>
    <xdr:clientData/>
  </xdr:twoCellAnchor>
  <xdr:twoCellAnchor editAs="oneCell">
    <xdr:from>
      <xdr:col>22</xdr:col>
      <xdr:colOff>276225</xdr:colOff>
      <xdr:row>2</xdr:row>
      <xdr:rowOff>66675</xdr:rowOff>
    </xdr:from>
    <xdr:to>
      <xdr:col>33</xdr:col>
      <xdr:colOff>46671</xdr:colOff>
      <xdr:row>15</xdr:row>
      <xdr:rowOff>170982</xdr:rowOff>
    </xdr:to>
    <xdr:pic>
      <xdr:nvPicPr>
        <xdr:cNvPr id="11" name="Picture 10">
          <a:extLst>
            <a:ext uri="{FF2B5EF4-FFF2-40B4-BE49-F238E27FC236}">
              <a16:creationId xmlns:a16="http://schemas.microsoft.com/office/drawing/2014/main" id="{A99BF6F1-4CDE-48CF-BFF5-0295CBA3EF75}"/>
            </a:ext>
          </a:extLst>
        </xdr:cNvPr>
        <xdr:cNvPicPr>
          <a:picLocks noChangeAspect="1"/>
        </xdr:cNvPicPr>
      </xdr:nvPicPr>
      <xdr:blipFill>
        <a:blip xmlns:r="http://schemas.openxmlformats.org/officeDocument/2006/relationships" r:embed="rId10"/>
        <a:stretch>
          <a:fillRect/>
        </a:stretch>
      </xdr:blipFill>
      <xdr:spPr>
        <a:xfrm>
          <a:off x="15563850" y="800100"/>
          <a:ext cx="7628571" cy="3742857"/>
        </a:xfrm>
        <a:prstGeom prst="rect">
          <a:avLst/>
        </a:prstGeom>
      </xdr:spPr>
    </xdr:pic>
    <xdr:clientData/>
  </xdr:twoCellAnchor>
  <xdr:twoCellAnchor editAs="oneCell">
    <xdr:from>
      <xdr:col>33</xdr:col>
      <xdr:colOff>495300</xdr:colOff>
      <xdr:row>2</xdr:row>
      <xdr:rowOff>38100</xdr:rowOff>
    </xdr:from>
    <xdr:to>
      <xdr:col>43</xdr:col>
      <xdr:colOff>522978</xdr:colOff>
      <xdr:row>17</xdr:row>
      <xdr:rowOff>123290</xdr:rowOff>
    </xdr:to>
    <xdr:pic>
      <xdr:nvPicPr>
        <xdr:cNvPr id="12" name="Picture 11">
          <a:extLst>
            <a:ext uri="{FF2B5EF4-FFF2-40B4-BE49-F238E27FC236}">
              <a16:creationId xmlns:a16="http://schemas.microsoft.com/office/drawing/2014/main" id="{A98A2416-95CE-491F-A0C4-32A6838AFFFF}"/>
            </a:ext>
          </a:extLst>
        </xdr:cNvPr>
        <xdr:cNvPicPr>
          <a:picLocks noChangeAspect="1"/>
        </xdr:cNvPicPr>
      </xdr:nvPicPr>
      <xdr:blipFill>
        <a:blip xmlns:r="http://schemas.openxmlformats.org/officeDocument/2006/relationships" r:embed="rId11"/>
        <a:stretch>
          <a:fillRect/>
        </a:stretch>
      </xdr:blipFill>
      <xdr:spPr>
        <a:xfrm>
          <a:off x="23641050" y="771525"/>
          <a:ext cx="7171428" cy="4276190"/>
        </a:xfrm>
        <a:prstGeom prst="rect">
          <a:avLst/>
        </a:prstGeom>
      </xdr:spPr>
    </xdr:pic>
    <xdr:clientData/>
  </xdr:twoCellAnchor>
  <xdr:twoCellAnchor editAs="oneCell">
    <xdr:from>
      <xdr:col>12</xdr:col>
      <xdr:colOff>0</xdr:colOff>
      <xdr:row>2</xdr:row>
      <xdr:rowOff>0</xdr:rowOff>
    </xdr:from>
    <xdr:to>
      <xdr:col>21</xdr:col>
      <xdr:colOff>599196</xdr:colOff>
      <xdr:row>16</xdr:row>
      <xdr:rowOff>9034</xdr:rowOff>
    </xdr:to>
    <xdr:pic>
      <xdr:nvPicPr>
        <xdr:cNvPr id="13" name="Picture 12">
          <a:extLst>
            <a:ext uri="{FF2B5EF4-FFF2-40B4-BE49-F238E27FC236}">
              <a16:creationId xmlns:a16="http://schemas.microsoft.com/office/drawing/2014/main" id="{EC76434D-EEFD-42AF-AF8E-27C79444334C}"/>
            </a:ext>
          </a:extLst>
        </xdr:cNvPr>
        <xdr:cNvPicPr>
          <a:picLocks noChangeAspect="1"/>
        </xdr:cNvPicPr>
      </xdr:nvPicPr>
      <xdr:blipFill>
        <a:blip xmlns:r="http://schemas.openxmlformats.org/officeDocument/2006/relationships" r:embed="rId12"/>
        <a:stretch>
          <a:fillRect/>
        </a:stretch>
      </xdr:blipFill>
      <xdr:spPr>
        <a:xfrm>
          <a:off x="8143875" y="733425"/>
          <a:ext cx="7028571" cy="3923809"/>
        </a:xfrm>
        <a:prstGeom prst="rect">
          <a:avLst/>
        </a:prstGeom>
      </xdr:spPr>
    </xdr:pic>
    <xdr:clientData/>
  </xdr:twoCellAnchor>
  <xdr:twoCellAnchor editAs="oneCell">
    <xdr:from>
      <xdr:col>45</xdr:col>
      <xdr:colOff>171450</xdr:colOff>
      <xdr:row>2</xdr:row>
      <xdr:rowOff>57150</xdr:rowOff>
    </xdr:from>
    <xdr:to>
      <xdr:col>53</xdr:col>
      <xdr:colOff>475498</xdr:colOff>
      <xdr:row>16</xdr:row>
      <xdr:rowOff>28089</xdr:rowOff>
    </xdr:to>
    <xdr:pic>
      <xdr:nvPicPr>
        <xdr:cNvPr id="14" name="Picture 13">
          <a:extLst>
            <a:ext uri="{FF2B5EF4-FFF2-40B4-BE49-F238E27FC236}">
              <a16:creationId xmlns:a16="http://schemas.microsoft.com/office/drawing/2014/main" id="{0119DA52-3322-4835-8C3C-9A350C24323A}"/>
            </a:ext>
          </a:extLst>
        </xdr:cNvPr>
        <xdr:cNvPicPr>
          <a:picLocks noChangeAspect="1"/>
        </xdr:cNvPicPr>
      </xdr:nvPicPr>
      <xdr:blipFill>
        <a:blip xmlns:r="http://schemas.openxmlformats.org/officeDocument/2006/relationships" r:embed="rId13"/>
        <a:stretch>
          <a:fillRect/>
        </a:stretch>
      </xdr:blipFill>
      <xdr:spPr>
        <a:xfrm>
          <a:off x="31565850" y="790575"/>
          <a:ext cx="6019048" cy="3885714"/>
        </a:xfrm>
        <a:prstGeom prst="rect">
          <a:avLst/>
        </a:prstGeom>
      </xdr:spPr>
    </xdr:pic>
    <xdr:clientData/>
  </xdr:twoCellAnchor>
  <xdr:twoCellAnchor editAs="oneCell">
    <xdr:from>
      <xdr:col>53</xdr:col>
      <xdr:colOff>581025</xdr:colOff>
      <xdr:row>2</xdr:row>
      <xdr:rowOff>123825</xdr:rowOff>
    </xdr:from>
    <xdr:to>
      <xdr:col>64</xdr:col>
      <xdr:colOff>218138</xdr:colOff>
      <xdr:row>16</xdr:row>
      <xdr:rowOff>161431</xdr:rowOff>
    </xdr:to>
    <xdr:pic>
      <xdr:nvPicPr>
        <xdr:cNvPr id="15" name="Picture 14">
          <a:extLst>
            <a:ext uri="{FF2B5EF4-FFF2-40B4-BE49-F238E27FC236}">
              <a16:creationId xmlns:a16="http://schemas.microsoft.com/office/drawing/2014/main" id="{5F43DF02-B260-4D53-934A-BD0D3D9A6700}"/>
            </a:ext>
          </a:extLst>
        </xdr:cNvPr>
        <xdr:cNvPicPr>
          <a:picLocks noChangeAspect="1"/>
        </xdr:cNvPicPr>
      </xdr:nvPicPr>
      <xdr:blipFill>
        <a:blip xmlns:r="http://schemas.openxmlformats.org/officeDocument/2006/relationships" r:embed="rId14"/>
        <a:stretch>
          <a:fillRect/>
        </a:stretch>
      </xdr:blipFill>
      <xdr:spPr>
        <a:xfrm>
          <a:off x="37690425" y="857250"/>
          <a:ext cx="7495238" cy="3952381"/>
        </a:xfrm>
        <a:prstGeom prst="rect">
          <a:avLst/>
        </a:prstGeom>
      </xdr:spPr>
    </xdr:pic>
    <xdr:clientData/>
  </xdr:twoCellAnchor>
  <xdr:twoCellAnchor editAs="oneCell">
    <xdr:from>
      <xdr:col>1</xdr:col>
      <xdr:colOff>495300</xdr:colOff>
      <xdr:row>1</xdr:row>
      <xdr:rowOff>428625</xdr:rowOff>
    </xdr:from>
    <xdr:to>
      <xdr:col>11</xdr:col>
      <xdr:colOff>275359</xdr:colOff>
      <xdr:row>17</xdr:row>
      <xdr:rowOff>266139</xdr:rowOff>
    </xdr:to>
    <xdr:pic>
      <xdr:nvPicPr>
        <xdr:cNvPr id="16" name="Picture 15">
          <a:extLst>
            <a:ext uri="{FF2B5EF4-FFF2-40B4-BE49-F238E27FC236}">
              <a16:creationId xmlns:a16="http://schemas.microsoft.com/office/drawing/2014/main" id="{48C7A66F-B770-494A-B48E-9422EEE2C4EE}"/>
            </a:ext>
          </a:extLst>
        </xdr:cNvPr>
        <xdr:cNvPicPr>
          <a:picLocks noChangeAspect="1"/>
        </xdr:cNvPicPr>
      </xdr:nvPicPr>
      <xdr:blipFill>
        <a:blip xmlns:r="http://schemas.openxmlformats.org/officeDocument/2006/relationships" r:embed="rId15"/>
        <a:stretch>
          <a:fillRect/>
        </a:stretch>
      </xdr:blipFill>
      <xdr:spPr>
        <a:xfrm>
          <a:off x="781050" y="704850"/>
          <a:ext cx="6923809" cy="4485714"/>
        </a:xfrm>
        <a:prstGeom prst="rect">
          <a:avLst/>
        </a:prstGeom>
      </xdr:spPr>
    </xdr:pic>
    <xdr:clientData/>
  </xdr:twoCellAnchor>
  <xdr:twoCellAnchor editAs="oneCell">
    <xdr:from>
      <xdr:col>1</xdr:col>
      <xdr:colOff>114300</xdr:colOff>
      <xdr:row>1</xdr:row>
      <xdr:rowOff>180975</xdr:rowOff>
    </xdr:from>
    <xdr:to>
      <xdr:col>3</xdr:col>
      <xdr:colOff>114121</xdr:colOff>
      <xdr:row>3</xdr:row>
      <xdr:rowOff>161830</xdr:rowOff>
    </xdr:to>
    <xdr:pic>
      <xdr:nvPicPr>
        <xdr:cNvPr id="17" name="Picture 16">
          <a:extLst>
            <a:ext uri="{FF2B5EF4-FFF2-40B4-BE49-F238E27FC236}">
              <a16:creationId xmlns:a16="http://schemas.microsoft.com/office/drawing/2014/main" id="{F4784185-5CB6-429F-A4A2-EC81646BF4C5}"/>
            </a:ext>
          </a:extLst>
        </xdr:cNvPr>
        <xdr:cNvPicPr>
          <a:picLocks noChangeAspect="1"/>
        </xdr:cNvPicPr>
      </xdr:nvPicPr>
      <xdr:blipFill>
        <a:blip xmlns:r="http://schemas.openxmlformats.org/officeDocument/2006/relationships" r:embed="rId16"/>
        <a:stretch>
          <a:fillRect/>
        </a:stretch>
      </xdr:blipFill>
      <xdr:spPr>
        <a:xfrm>
          <a:off x="400050" y="457200"/>
          <a:ext cx="1428571" cy="761905"/>
        </a:xfrm>
        <a:prstGeom prst="rect">
          <a:avLst/>
        </a:prstGeom>
      </xdr:spPr>
    </xdr:pic>
    <xdr:clientData/>
  </xdr:twoCellAnchor>
  <xdr:twoCellAnchor editAs="oneCell">
    <xdr:from>
      <xdr:col>2</xdr:col>
      <xdr:colOff>514350</xdr:colOff>
      <xdr:row>1</xdr:row>
      <xdr:rowOff>171450</xdr:rowOff>
    </xdr:from>
    <xdr:to>
      <xdr:col>10</xdr:col>
      <xdr:colOff>206492</xdr:colOff>
      <xdr:row>3</xdr:row>
      <xdr:rowOff>200025</xdr:rowOff>
    </xdr:to>
    <xdr:pic>
      <xdr:nvPicPr>
        <xdr:cNvPr id="18" name="Picture 17">
          <a:extLst>
            <a:ext uri="{FF2B5EF4-FFF2-40B4-BE49-F238E27FC236}">
              <a16:creationId xmlns:a16="http://schemas.microsoft.com/office/drawing/2014/main" id="{10C95EA4-09D0-4AF5-8F92-49EA2769F72F}"/>
            </a:ext>
          </a:extLst>
        </xdr:cNvPr>
        <xdr:cNvPicPr>
          <a:picLocks noChangeAspect="1"/>
        </xdr:cNvPicPr>
      </xdr:nvPicPr>
      <xdr:blipFill>
        <a:blip xmlns:r="http://schemas.openxmlformats.org/officeDocument/2006/relationships" r:embed="rId17"/>
        <a:stretch>
          <a:fillRect/>
        </a:stretch>
      </xdr:blipFill>
      <xdr:spPr>
        <a:xfrm>
          <a:off x="1514475" y="447675"/>
          <a:ext cx="5407142" cy="809625"/>
        </a:xfrm>
        <a:prstGeom prst="rect">
          <a:avLst/>
        </a:prstGeom>
      </xdr:spPr>
    </xdr:pic>
    <xdr:clientData/>
  </xdr:twoCellAnchor>
  <xdr:twoCellAnchor>
    <xdr:from>
      <xdr:col>61</xdr:col>
      <xdr:colOff>47625</xdr:colOff>
      <xdr:row>9</xdr:row>
      <xdr:rowOff>91019</xdr:rowOff>
    </xdr:from>
    <xdr:to>
      <xdr:col>61</xdr:col>
      <xdr:colOff>514350</xdr:colOff>
      <xdr:row>14</xdr:row>
      <xdr:rowOff>238125</xdr:rowOff>
    </xdr:to>
    <xdr:cxnSp macro="">
      <xdr:nvCxnSpPr>
        <xdr:cNvPr id="19" name="Straight Arrow Connector 18">
          <a:extLst>
            <a:ext uri="{FF2B5EF4-FFF2-40B4-BE49-F238E27FC236}">
              <a16:creationId xmlns:a16="http://schemas.microsoft.com/office/drawing/2014/main" id="{8A99961C-5CE4-4F98-864A-BF7A5DACFD51}"/>
            </a:ext>
          </a:extLst>
        </xdr:cNvPr>
        <xdr:cNvCxnSpPr/>
      </xdr:nvCxnSpPr>
      <xdr:spPr>
        <a:xfrm flipH="1">
          <a:off x="42872025" y="2805644"/>
          <a:ext cx="466725" cy="1528231"/>
        </a:xfrm>
        <a:prstGeom prst="straightConnector1">
          <a:avLst/>
        </a:prstGeom>
        <a:ln w="66675">
          <a:solidFill>
            <a:srgbClr val="0070C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59</xdr:col>
      <xdr:colOff>473868</xdr:colOff>
      <xdr:row>12</xdr:row>
      <xdr:rowOff>123825</xdr:rowOff>
    </xdr:from>
    <xdr:to>
      <xdr:col>62</xdr:col>
      <xdr:colOff>123825</xdr:colOff>
      <xdr:row>14</xdr:row>
      <xdr:rowOff>238126</xdr:rowOff>
    </xdr:to>
    <xdr:cxnSp macro="">
      <xdr:nvCxnSpPr>
        <xdr:cNvPr id="20" name="Straight Arrow Connector 19">
          <a:extLst>
            <a:ext uri="{FF2B5EF4-FFF2-40B4-BE49-F238E27FC236}">
              <a16:creationId xmlns:a16="http://schemas.microsoft.com/office/drawing/2014/main" id="{0846C2B5-2B47-4E58-A618-C013F65D3E22}"/>
            </a:ext>
          </a:extLst>
        </xdr:cNvPr>
        <xdr:cNvCxnSpPr/>
      </xdr:nvCxnSpPr>
      <xdr:spPr>
        <a:xfrm flipH="1">
          <a:off x="41869518" y="3667125"/>
          <a:ext cx="1793082" cy="666751"/>
        </a:xfrm>
        <a:prstGeom prst="straightConnector1">
          <a:avLst/>
        </a:prstGeom>
        <a:ln w="66675">
          <a:solidFill>
            <a:schemeClr val="accent2">
              <a:lumMod val="75000"/>
            </a:schemeClr>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638175</xdr:colOff>
      <xdr:row>3</xdr:row>
      <xdr:rowOff>47625</xdr:rowOff>
    </xdr:from>
    <xdr:to>
      <xdr:col>138</xdr:col>
      <xdr:colOff>466725</xdr:colOff>
      <xdr:row>5</xdr:row>
      <xdr:rowOff>114300</xdr:rowOff>
    </xdr:to>
    <xdr:sp macro="" textlink="">
      <xdr:nvSpPr>
        <xdr:cNvPr id="21" name="Explosion: 8 Points 20">
          <a:extLst>
            <a:ext uri="{FF2B5EF4-FFF2-40B4-BE49-F238E27FC236}">
              <a16:creationId xmlns:a16="http://schemas.microsoft.com/office/drawing/2014/main" id="{841B5F82-4699-4A05-99EF-DC344A2CBDC0}"/>
            </a:ext>
          </a:extLst>
        </xdr:cNvPr>
        <xdr:cNvSpPr/>
      </xdr:nvSpPr>
      <xdr:spPr>
        <a:xfrm>
          <a:off x="101212650" y="1104900"/>
          <a:ext cx="542925" cy="619125"/>
        </a:xfrm>
        <a:prstGeom prst="irregularSeal1">
          <a:avLst/>
        </a:prstGeom>
        <a:solidFill>
          <a:srgbClr val="92D050"/>
        </a:solidFill>
        <a:ln w="34925">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131</xdr:col>
      <xdr:colOff>381001</xdr:colOff>
      <xdr:row>8</xdr:row>
      <xdr:rowOff>180975</xdr:rowOff>
    </xdr:from>
    <xdr:to>
      <xdr:col>132</xdr:col>
      <xdr:colOff>219076</xdr:colOff>
      <xdr:row>10</xdr:row>
      <xdr:rowOff>247650</xdr:rowOff>
    </xdr:to>
    <xdr:sp macro="" textlink="">
      <xdr:nvSpPr>
        <xdr:cNvPr id="22" name="Explosion: 8 Points 21">
          <a:extLst>
            <a:ext uri="{FF2B5EF4-FFF2-40B4-BE49-F238E27FC236}">
              <a16:creationId xmlns:a16="http://schemas.microsoft.com/office/drawing/2014/main" id="{23F70E15-5D1C-48D4-BEAF-35DA5985B196}"/>
            </a:ext>
          </a:extLst>
        </xdr:cNvPr>
        <xdr:cNvSpPr/>
      </xdr:nvSpPr>
      <xdr:spPr>
        <a:xfrm>
          <a:off x="96669226" y="2619375"/>
          <a:ext cx="552450" cy="619125"/>
        </a:xfrm>
        <a:prstGeom prst="irregularSeal1">
          <a:avLst/>
        </a:prstGeom>
        <a:solidFill>
          <a:srgbClr val="92D050"/>
        </a:solidFill>
        <a:ln w="34925">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132</xdr:col>
      <xdr:colOff>171451</xdr:colOff>
      <xdr:row>14</xdr:row>
      <xdr:rowOff>209551</xdr:rowOff>
    </xdr:from>
    <xdr:to>
      <xdr:col>136</xdr:col>
      <xdr:colOff>104775</xdr:colOff>
      <xdr:row>21</xdr:row>
      <xdr:rowOff>66675</xdr:rowOff>
    </xdr:to>
    <xdr:cxnSp macro="">
      <xdr:nvCxnSpPr>
        <xdr:cNvPr id="23" name="Straight Arrow Connector 22">
          <a:extLst>
            <a:ext uri="{FF2B5EF4-FFF2-40B4-BE49-F238E27FC236}">
              <a16:creationId xmlns:a16="http://schemas.microsoft.com/office/drawing/2014/main" id="{B8C5D293-8B70-4196-85D5-47DDA3DFDF2B}"/>
            </a:ext>
          </a:extLst>
        </xdr:cNvPr>
        <xdr:cNvCxnSpPr/>
      </xdr:nvCxnSpPr>
      <xdr:spPr>
        <a:xfrm flipH="1" flipV="1">
          <a:off x="97174051" y="4305301"/>
          <a:ext cx="2790824" cy="1790699"/>
        </a:xfrm>
        <a:prstGeom prst="straightConnector1">
          <a:avLst/>
        </a:prstGeom>
        <a:ln w="66675">
          <a:solidFill>
            <a:srgbClr val="0070C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A68D2-CF61-40EC-8AE2-22275DBA35F3}">
  <sheetPr>
    <tabColor rgb="FFFFFF00"/>
  </sheetPr>
  <dimension ref="B2:B14"/>
  <sheetViews>
    <sheetView showGridLines="0" zoomScale="90" zoomScaleNormal="90" workbookViewId="0">
      <selection activeCell="B4" sqref="B4"/>
    </sheetView>
  </sheetViews>
  <sheetFormatPr defaultColWidth="9.109375" defaultRowHeight="20.399999999999999" x14ac:dyDescent="0.35"/>
  <cols>
    <col min="1" max="1" width="11.6640625" style="66" customWidth="1"/>
    <col min="2" max="16384" width="9.109375" style="66"/>
  </cols>
  <sheetData>
    <row r="2" spans="2:2" ht="49.5" customHeight="1" x14ac:dyDescent="0.5">
      <c r="B2" s="102" t="s">
        <v>88</v>
      </c>
    </row>
    <row r="3" spans="2:2" ht="36" customHeight="1" x14ac:dyDescent="0.4">
      <c r="B3" s="96"/>
    </row>
    <row r="4" spans="2:2" ht="13.5" customHeight="1" x14ac:dyDescent="0.35"/>
    <row r="5" spans="2:2" x14ac:dyDescent="0.35">
      <c r="B5" s="66" t="s">
        <v>68</v>
      </c>
    </row>
    <row r="6" spans="2:2" x14ac:dyDescent="0.35">
      <c r="B6" s="66" t="s">
        <v>69</v>
      </c>
    </row>
    <row r="7" spans="2:2" s="118" customFormat="1" x14ac:dyDescent="0.35">
      <c r="B7" s="118" t="s">
        <v>104</v>
      </c>
    </row>
    <row r="8" spans="2:2" ht="13.5" customHeight="1" x14ac:dyDescent="0.35"/>
    <row r="9" spans="2:2" x14ac:dyDescent="0.35">
      <c r="B9" s="66" t="s">
        <v>105</v>
      </c>
    </row>
    <row r="10" spans="2:2" x14ac:dyDescent="0.35">
      <c r="B10" s="66" t="s">
        <v>70</v>
      </c>
    </row>
    <row r="11" spans="2:2" ht="13.5" customHeight="1" x14ac:dyDescent="0.35"/>
    <row r="12" spans="2:2" x14ac:dyDescent="0.35">
      <c r="B12" s="66" t="s">
        <v>96</v>
      </c>
    </row>
    <row r="14" spans="2:2" x14ac:dyDescent="0.35">
      <c r="B14" s="66" t="s">
        <v>71</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K47"/>
  <sheetViews>
    <sheetView showGridLines="0" zoomScale="110" zoomScaleNormal="110" workbookViewId="0">
      <selection activeCell="E8" sqref="E8"/>
    </sheetView>
  </sheetViews>
  <sheetFormatPr defaultColWidth="9.109375" defaultRowHeight="17.399999999999999" x14ac:dyDescent="0.3"/>
  <cols>
    <col min="1" max="1" width="9.109375" style="13"/>
    <col min="2" max="2" width="9.109375" style="21"/>
    <col min="3" max="3" width="3" style="21" customWidth="1"/>
    <col min="4" max="4" width="28.6640625" style="13" customWidth="1"/>
    <col min="5" max="5" width="29" style="13" customWidth="1"/>
    <col min="6" max="6" width="22.6640625" style="13" customWidth="1"/>
    <col min="7" max="7" width="27" style="13" customWidth="1"/>
    <col min="8" max="8" width="26.109375" style="13" customWidth="1"/>
    <col min="9" max="9" width="22.6640625" style="13" customWidth="1"/>
    <col min="10" max="16384" width="9.109375" style="13"/>
  </cols>
  <sheetData>
    <row r="1" spans="1:11" ht="46.5" customHeight="1" x14ac:dyDescent="0.4">
      <c r="A1" s="19"/>
      <c r="B1" s="95" t="s">
        <v>45</v>
      </c>
      <c r="C1" s="20"/>
    </row>
    <row r="3" spans="1:11" x14ac:dyDescent="0.3">
      <c r="A3" s="67" t="s">
        <v>48</v>
      </c>
      <c r="B3" s="21" t="s">
        <v>72</v>
      </c>
      <c r="D3" s="68"/>
      <c r="E3" s="68"/>
      <c r="F3" s="68"/>
      <c r="G3" s="68"/>
      <c r="H3" s="68"/>
      <c r="I3" s="68"/>
      <c r="J3" s="67"/>
      <c r="K3" s="67"/>
    </row>
    <row r="4" spans="1:11" x14ac:dyDescent="0.3">
      <c r="A4" s="67"/>
      <c r="B4" s="21" t="s">
        <v>73</v>
      </c>
      <c r="D4" s="68"/>
      <c r="E4" s="68"/>
      <c r="F4" s="68"/>
      <c r="G4" s="68"/>
      <c r="H4" s="68"/>
      <c r="I4" s="68"/>
      <c r="J4" s="67"/>
      <c r="K4" s="67"/>
    </row>
    <row r="5" spans="1:11" ht="18" thickBot="1" x14ac:dyDescent="0.35">
      <c r="A5" s="67"/>
      <c r="B5" s="21" t="s">
        <v>48</v>
      </c>
      <c r="D5" s="68"/>
      <c r="E5" s="68"/>
      <c r="F5" s="68"/>
      <c r="G5" s="68"/>
      <c r="H5" s="68"/>
      <c r="I5" s="68"/>
      <c r="J5" s="67"/>
      <c r="K5" s="67"/>
    </row>
    <row r="6" spans="1:11" s="75" customFormat="1" ht="22.5" customHeight="1" thickBot="1" x14ac:dyDescent="0.35">
      <c r="A6" s="73"/>
      <c r="B6" s="74"/>
      <c r="C6" s="191" t="s">
        <v>83</v>
      </c>
      <c r="D6" s="192"/>
      <c r="E6" s="97" t="s">
        <v>76</v>
      </c>
      <c r="F6" s="77" t="s">
        <v>35</v>
      </c>
      <c r="G6" s="76" t="s">
        <v>77</v>
      </c>
      <c r="H6" s="76" t="s">
        <v>78</v>
      </c>
      <c r="I6" s="74"/>
      <c r="J6" s="73"/>
      <c r="K6" s="73"/>
    </row>
    <row r="7" spans="1:11" ht="31.5" customHeight="1" x14ac:dyDescent="0.3">
      <c r="A7" s="67"/>
      <c r="B7" s="68"/>
      <c r="C7" s="70"/>
      <c r="D7" s="80" t="s">
        <v>186</v>
      </c>
      <c r="E7" s="78">
        <v>0.08</v>
      </c>
      <c r="F7" s="124" t="s">
        <v>48</v>
      </c>
      <c r="G7" s="119" t="s">
        <v>48</v>
      </c>
      <c r="H7" s="119" t="s">
        <v>48</v>
      </c>
      <c r="I7" s="68"/>
      <c r="J7" s="67"/>
      <c r="K7" s="67"/>
    </row>
    <row r="8" spans="1:11" ht="26.25" customHeight="1" x14ac:dyDescent="0.3">
      <c r="A8" s="67"/>
      <c r="B8" s="68"/>
      <c r="C8" s="70"/>
      <c r="D8" s="80" t="s">
        <v>74</v>
      </c>
      <c r="E8" s="78">
        <v>0.05</v>
      </c>
      <c r="F8" s="124">
        <f>'(5) AnalysisModel-AverageGrowth'!B141</f>
        <v>16913898.964200657</v>
      </c>
      <c r="G8" s="119">
        <f>'(5) AnalysisModel-AverageGrowth'!B139</f>
        <v>323496857258.12573</v>
      </c>
      <c r="H8" s="119">
        <f>G8/F8</f>
        <v>19126.096114374777</v>
      </c>
      <c r="I8" s="68"/>
      <c r="J8" s="67"/>
      <c r="K8" s="67"/>
    </row>
    <row r="9" spans="1:11" ht="26.25" customHeight="1" x14ac:dyDescent="0.3">
      <c r="A9" s="67"/>
      <c r="B9" s="68"/>
      <c r="C9" s="70"/>
      <c r="D9" s="80" t="s">
        <v>75</v>
      </c>
      <c r="E9" s="78">
        <v>0.03</v>
      </c>
      <c r="F9" s="124" t="s">
        <v>48</v>
      </c>
      <c r="G9" s="119" t="s">
        <v>48</v>
      </c>
      <c r="H9" s="119" t="s">
        <v>48</v>
      </c>
      <c r="I9" s="68"/>
      <c r="J9" s="67"/>
      <c r="K9" s="67"/>
    </row>
    <row r="10" spans="1:11" ht="12" customHeight="1" thickBot="1" x14ac:dyDescent="0.35">
      <c r="A10" s="67"/>
      <c r="B10" s="68"/>
      <c r="C10" s="71"/>
      <c r="D10" s="72"/>
      <c r="E10" s="79"/>
      <c r="F10" s="120"/>
      <c r="G10" s="121"/>
      <c r="H10" s="122"/>
      <c r="I10" s="68"/>
      <c r="J10" s="67"/>
      <c r="K10" s="67"/>
    </row>
    <row r="11" spans="1:11" ht="22.5" customHeight="1" x14ac:dyDescent="0.3">
      <c r="A11" s="67"/>
      <c r="B11" s="68"/>
      <c r="C11" s="68"/>
      <c r="D11" s="69"/>
      <c r="E11" s="69"/>
      <c r="F11" s="69"/>
      <c r="G11" s="69"/>
      <c r="H11" s="68"/>
      <c r="I11" s="68"/>
      <c r="J11" s="67"/>
      <c r="K11" s="67"/>
    </row>
    <row r="12" spans="1:11" ht="22.5" customHeight="1" x14ac:dyDescent="0.3">
      <c r="A12" s="67"/>
      <c r="B12" s="103"/>
      <c r="C12" s="103"/>
      <c r="D12" s="104"/>
      <c r="E12" s="104"/>
      <c r="F12" s="104"/>
      <c r="G12" s="104"/>
      <c r="H12" s="103"/>
      <c r="I12" s="68"/>
      <c r="J12" s="67"/>
      <c r="K12" s="67"/>
    </row>
    <row r="13" spans="1:11" ht="22.5" customHeight="1" x14ac:dyDescent="0.3">
      <c r="A13" s="67"/>
      <c r="B13" s="103"/>
      <c r="C13" s="103"/>
      <c r="D13" s="104"/>
      <c r="E13" s="104"/>
      <c r="F13" s="104"/>
      <c r="G13" s="104"/>
      <c r="H13" s="103"/>
      <c r="I13" s="68"/>
      <c r="J13" s="67"/>
      <c r="K13" s="67"/>
    </row>
    <row r="14" spans="1:11" ht="22.5" customHeight="1" x14ac:dyDescent="0.3">
      <c r="A14" s="67"/>
      <c r="B14" s="103"/>
      <c r="C14" s="103"/>
      <c r="D14" s="104"/>
      <c r="E14" s="104"/>
      <c r="F14" s="104"/>
      <c r="G14" s="104"/>
      <c r="H14" s="103"/>
      <c r="I14" s="68"/>
      <c r="J14" s="67"/>
      <c r="K14" s="67"/>
    </row>
    <row r="15" spans="1:11" ht="22.5" customHeight="1" x14ac:dyDescent="0.25">
      <c r="A15" s="67"/>
      <c r="B15" s="103"/>
      <c r="C15" s="103"/>
      <c r="D15" s="103"/>
      <c r="E15" s="103"/>
      <c r="F15" s="103"/>
      <c r="G15" s="103"/>
      <c r="H15" s="103"/>
      <c r="I15" s="68"/>
      <c r="J15" s="67"/>
      <c r="K15" s="67"/>
    </row>
    <row r="16" spans="1:11" x14ac:dyDescent="0.25">
      <c r="A16" s="67"/>
      <c r="B16" s="103"/>
      <c r="C16" s="103"/>
      <c r="D16" s="103"/>
      <c r="E16" s="103"/>
      <c r="F16" s="103"/>
      <c r="G16" s="103"/>
      <c r="H16" s="103"/>
      <c r="I16" s="68"/>
      <c r="J16" s="67"/>
      <c r="K16" s="67"/>
    </row>
    <row r="17" spans="1:11" x14ac:dyDescent="0.25">
      <c r="A17" s="67"/>
      <c r="B17" s="103"/>
      <c r="C17" s="103"/>
      <c r="D17" s="103"/>
      <c r="E17" s="103"/>
      <c r="F17" s="103"/>
      <c r="G17" s="103"/>
      <c r="H17" s="103"/>
      <c r="I17" s="68"/>
      <c r="J17" s="67"/>
      <c r="K17" s="67"/>
    </row>
    <row r="18" spans="1:11" x14ac:dyDescent="0.25">
      <c r="A18" s="67"/>
      <c r="B18" s="103"/>
      <c r="C18" s="103"/>
      <c r="D18" s="103"/>
      <c r="E18" s="103"/>
      <c r="F18" s="103"/>
      <c r="G18" s="103"/>
      <c r="H18" s="103"/>
      <c r="I18" s="68"/>
      <c r="J18" s="67"/>
      <c r="K18" s="67"/>
    </row>
    <row r="19" spans="1:11" ht="13.8" x14ac:dyDescent="0.25">
      <c r="A19" s="67"/>
      <c r="B19" s="105"/>
      <c r="C19" s="105"/>
      <c r="D19" s="105"/>
      <c r="E19" s="105"/>
      <c r="F19" s="105"/>
      <c r="G19" s="105"/>
      <c r="H19" s="105"/>
      <c r="I19" s="67"/>
      <c r="J19" s="67"/>
      <c r="K19" s="67"/>
    </row>
    <row r="20" spans="1:11" ht="13.8" x14ac:dyDescent="0.25">
      <c r="A20" s="67"/>
      <c r="B20" s="67"/>
      <c r="C20" s="67"/>
      <c r="D20" s="67"/>
      <c r="E20" s="67"/>
      <c r="F20" s="67"/>
      <c r="G20" s="67"/>
      <c r="H20" s="67"/>
      <c r="I20" s="67"/>
      <c r="J20" s="67"/>
      <c r="K20" s="67"/>
    </row>
    <row r="21" spans="1:11" ht="13.8" x14ac:dyDescent="0.25">
      <c r="A21" s="67"/>
      <c r="B21" s="67"/>
      <c r="C21" s="67"/>
      <c r="D21" s="67"/>
      <c r="E21" s="67"/>
      <c r="F21" s="67"/>
      <c r="G21" s="67"/>
      <c r="H21" s="67"/>
      <c r="I21" s="67"/>
      <c r="J21" s="67"/>
      <c r="K21" s="67"/>
    </row>
    <row r="22" spans="1:11" ht="13.8" x14ac:dyDescent="0.25">
      <c r="A22" s="67"/>
      <c r="B22" s="67"/>
      <c r="C22" s="67"/>
      <c r="D22" s="67"/>
      <c r="E22" s="67"/>
      <c r="F22" s="67"/>
      <c r="G22" s="67"/>
      <c r="H22" s="67"/>
      <c r="I22" s="67"/>
      <c r="J22" s="67"/>
      <c r="K22" s="67"/>
    </row>
    <row r="23" spans="1:11" ht="13.8" x14ac:dyDescent="0.25">
      <c r="A23" s="67"/>
      <c r="B23" s="67"/>
      <c r="C23" s="67"/>
      <c r="D23" s="67"/>
      <c r="E23" s="67"/>
      <c r="F23" s="67"/>
      <c r="G23" s="67"/>
      <c r="H23" s="67"/>
      <c r="I23" s="67"/>
      <c r="J23" s="67"/>
      <c r="K23" s="67"/>
    </row>
    <row r="24" spans="1:11" ht="13.8" x14ac:dyDescent="0.25">
      <c r="A24" s="67"/>
      <c r="B24" s="67"/>
      <c r="C24" s="67"/>
      <c r="D24" s="67"/>
      <c r="E24" s="67"/>
      <c r="F24" s="67"/>
      <c r="G24" s="67"/>
      <c r="H24" s="67"/>
      <c r="I24" s="67"/>
      <c r="J24" s="67"/>
      <c r="K24" s="67"/>
    </row>
    <row r="25" spans="1:11" ht="13.8" x14ac:dyDescent="0.25">
      <c r="A25" s="67"/>
      <c r="B25" s="67"/>
      <c r="C25" s="67"/>
      <c r="D25" s="67"/>
      <c r="E25" s="67"/>
      <c r="F25" s="67"/>
      <c r="G25" s="67"/>
      <c r="H25" s="67"/>
      <c r="I25" s="67"/>
      <c r="J25" s="67"/>
      <c r="K25" s="67"/>
    </row>
    <row r="26" spans="1:11" ht="13.8" x14ac:dyDescent="0.25">
      <c r="A26" s="67"/>
      <c r="B26" s="67"/>
      <c r="C26" s="67"/>
      <c r="D26" s="67"/>
      <c r="E26" s="67"/>
      <c r="F26" s="67"/>
      <c r="G26" s="67"/>
      <c r="H26" s="67"/>
      <c r="I26" s="67"/>
      <c r="J26" s="67"/>
      <c r="K26" s="67"/>
    </row>
    <row r="27" spans="1:11" ht="13.8" x14ac:dyDescent="0.25">
      <c r="A27" s="67"/>
      <c r="B27" s="67"/>
      <c r="C27" s="67"/>
      <c r="D27" s="67"/>
      <c r="E27" s="67"/>
      <c r="F27" s="67"/>
      <c r="G27" s="67"/>
      <c r="H27" s="67"/>
      <c r="I27" s="67"/>
      <c r="J27" s="67"/>
      <c r="K27" s="67"/>
    </row>
    <row r="28" spans="1:11" ht="13.8" x14ac:dyDescent="0.25">
      <c r="A28" s="67"/>
      <c r="B28" s="67"/>
      <c r="C28" s="67"/>
      <c r="D28" s="67"/>
      <c r="E28" s="67"/>
      <c r="F28" s="67"/>
      <c r="G28" s="67"/>
      <c r="H28" s="67"/>
      <c r="I28" s="67"/>
      <c r="J28" s="67"/>
      <c r="K28" s="67"/>
    </row>
    <row r="29" spans="1:11" ht="13.8" x14ac:dyDescent="0.25">
      <c r="A29" s="67"/>
      <c r="B29" s="67"/>
      <c r="C29" s="67"/>
      <c r="D29" s="67"/>
      <c r="E29" s="67"/>
      <c r="F29" s="67"/>
      <c r="G29" s="67"/>
      <c r="H29" s="67"/>
      <c r="I29" s="67"/>
      <c r="J29" s="67"/>
      <c r="K29" s="67"/>
    </row>
    <row r="30" spans="1:11" ht="13.8" x14ac:dyDescent="0.25">
      <c r="A30" s="67"/>
      <c r="B30" s="67"/>
      <c r="C30" s="67"/>
      <c r="D30" s="67"/>
      <c r="E30" s="67"/>
      <c r="F30" s="67"/>
      <c r="G30" s="67"/>
      <c r="H30" s="67"/>
      <c r="I30" s="67"/>
      <c r="J30" s="67"/>
      <c r="K30" s="67"/>
    </row>
    <row r="31" spans="1:11" ht="13.8" x14ac:dyDescent="0.25">
      <c r="A31" s="67"/>
      <c r="B31" s="67"/>
      <c r="C31" s="67"/>
      <c r="D31" s="67"/>
      <c r="E31" s="67"/>
      <c r="F31" s="67"/>
      <c r="G31" s="67"/>
      <c r="H31" s="67"/>
      <c r="I31" s="67"/>
      <c r="J31" s="67"/>
      <c r="K31" s="67"/>
    </row>
    <row r="32" spans="1:11" ht="13.8" x14ac:dyDescent="0.25">
      <c r="A32" s="67"/>
      <c r="B32" s="67"/>
      <c r="C32" s="67"/>
      <c r="D32" s="67"/>
      <c r="E32" s="67"/>
      <c r="F32" s="67"/>
      <c r="G32" s="67"/>
      <c r="H32" s="67"/>
      <c r="I32" s="67"/>
      <c r="J32" s="67"/>
      <c r="K32" s="67"/>
    </row>
    <row r="33" spans="1:11" ht="13.8" x14ac:dyDescent="0.25">
      <c r="A33" s="67"/>
      <c r="B33" s="67"/>
      <c r="C33" s="67"/>
      <c r="D33" s="67"/>
      <c r="E33" s="67"/>
      <c r="F33" s="67"/>
      <c r="G33" s="67"/>
      <c r="H33" s="67"/>
      <c r="I33" s="67"/>
      <c r="J33" s="67"/>
      <c r="K33" s="67"/>
    </row>
    <row r="34" spans="1:11" ht="13.8" x14ac:dyDescent="0.25">
      <c r="A34" s="67"/>
      <c r="B34" s="67"/>
      <c r="C34" s="67"/>
      <c r="D34" s="67"/>
      <c r="E34" s="67"/>
      <c r="F34" s="67"/>
      <c r="G34" s="67"/>
      <c r="H34" s="67"/>
      <c r="I34" s="67"/>
      <c r="J34" s="67"/>
      <c r="K34" s="67"/>
    </row>
    <row r="35" spans="1:11" ht="13.8" x14ac:dyDescent="0.25">
      <c r="A35" s="67"/>
      <c r="B35" s="67"/>
      <c r="C35" s="67"/>
      <c r="D35" s="67"/>
      <c r="E35" s="67"/>
      <c r="F35" s="67"/>
      <c r="G35" s="67"/>
      <c r="H35" s="67"/>
      <c r="I35" s="67"/>
      <c r="J35" s="67"/>
      <c r="K35" s="67"/>
    </row>
    <row r="36" spans="1:11" ht="13.8" x14ac:dyDescent="0.25">
      <c r="A36" s="67"/>
      <c r="B36" s="67"/>
      <c r="C36" s="67"/>
      <c r="D36" s="67"/>
      <c r="E36" s="67"/>
      <c r="F36" s="67"/>
      <c r="G36" s="67"/>
      <c r="H36" s="67"/>
      <c r="I36" s="67"/>
      <c r="J36" s="67"/>
      <c r="K36" s="67"/>
    </row>
    <row r="37" spans="1:11" ht="13.8" x14ac:dyDescent="0.25">
      <c r="A37" s="67"/>
      <c r="B37" s="67"/>
      <c r="C37" s="67"/>
      <c r="D37" s="67"/>
      <c r="E37" s="67"/>
      <c r="F37" s="67"/>
      <c r="G37" s="67"/>
      <c r="H37" s="67"/>
      <c r="I37" s="67"/>
      <c r="J37" s="67"/>
      <c r="K37" s="67"/>
    </row>
    <row r="38" spans="1:11" ht="13.8" x14ac:dyDescent="0.25">
      <c r="A38" s="67"/>
      <c r="B38" s="67"/>
      <c r="C38" s="67"/>
      <c r="D38" s="67"/>
      <c r="E38" s="67"/>
      <c r="F38" s="67"/>
      <c r="G38" s="67"/>
      <c r="H38" s="67"/>
      <c r="I38" s="67"/>
      <c r="J38" s="67"/>
      <c r="K38" s="67"/>
    </row>
    <row r="39" spans="1:11" ht="13.8" x14ac:dyDescent="0.25">
      <c r="A39" s="67"/>
      <c r="B39" s="67"/>
      <c r="C39" s="67"/>
      <c r="D39" s="67"/>
      <c r="E39" s="67"/>
      <c r="F39" s="67"/>
      <c r="G39" s="67"/>
      <c r="H39" s="67"/>
      <c r="I39" s="67"/>
      <c r="J39" s="67"/>
      <c r="K39" s="67"/>
    </row>
    <row r="40" spans="1:11" ht="13.8" x14ac:dyDescent="0.25">
      <c r="A40" s="67"/>
      <c r="B40" s="67"/>
      <c r="C40" s="67"/>
      <c r="D40" s="67"/>
      <c r="E40" s="67"/>
      <c r="F40" s="67"/>
      <c r="G40" s="67"/>
      <c r="H40" s="67"/>
      <c r="I40" s="67"/>
      <c r="J40" s="67"/>
      <c r="K40" s="67"/>
    </row>
    <row r="41" spans="1:11" ht="13.8" x14ac:dyDescent="0.25">
      <c r="A41" s="67"/>
      <c r="B41" s="67"/>
      <c r="C41" s="67"/>
      <c r="D41" s="67"/>
      <c r="E41" s="67"/>
      <c r="F41" s="67"/>
      <c r="G41" s="67"/>
      <c r="H41" s="67"/>
      <c r="I41" s="67"/>
      <c r="J41" s="67"/>
      <c r="K41" s="67"/>
    </row>
    <row r="42" spans="1:11" ht="13.8" x14ac:dyDescent="0.25">
      <c r="A42" s="67"/>
      <c r="B42" s="67"/>
      <c r="C42" s="67"/>
      <c r="D42" s="67"/>
      <c r="E42" s="67"/>
      <c r="F42" s="67"/>
      <c r="G42" s="67"/>
      <c r="H42" s="67"/>
      <c r="I42" s="67"/>
      <c r="J42" s="67"/>
      <c r="K42" s="67"/>
    </row>
    <row r="43" spans="1:11" ht="13.8" x14ac:dyDescent="0.25">
      <c r="A43" s="67"/>
      <c r="B43" s="67"/>
      <c r="C43" s="67"/>
      <c r="D43" s="67"/>
      <c r="E43" s="67"/>
      <c r="F43" s="67"/>
      <c r="G43" s="67"/>
      <c r="H43" s="67"/>
      <c r="I43" s="67"/>
      <c r="J43" s="67"/>
      <c r="K43" s="67"/>
    </row>
    <row r="44" spans="1:11" ht="13.8" x14ac:dyDescent="0.25">
      <c r="A44" s="67"/>
      <c r="B44" s="67"/>
      <c r="C44" s="67"/>
      <c r="D44" s="67"/>
      <c r="E44" s="67"/>
      <c r="F44" s="67"/>
      <c r="G44" s="67"/>
      <c r="H44" s="67"/>
      <c r="I44" s="67"/>
      <c r="J44" s="67"/>
      <c r="K44" s="67"/>
    </row>
    <row r="45" spans="1:11" ht="13.8" x14ac:dyDescent="0.25">
      <c r="A45" s="67"/>
      <c r="B45" s="67"/>
      <c r="C45" s="67"/>
      <c r="D45" s="67"/>
      <c r="E45" s="67"/>
      <c r="F45" s="67"/>
      <c r="G45" s="67"/>
      <c r="H45" s="67"/>
      <c r="I45" s="67"/>
      <c r="J45" s="67"/>
      <c r="K45" s="67"/>
    </row>
    <row r="46" spans="1:11" ht="13.8" x14ac:dyDescent="0.25">
      <c r="A46" s="67"/>
      <c r="B46" s="67"/>
      <c r="C46" s="67"/>
      <c r="D46" s="67"/>
      <c r="E46" s="67"/>
      <c r="F46" s="67"/>
      <c r="G46" s="67"/>
      <c r="H46" s="67"/>
      <c r="I46" s="67"/>
      <c r="J46" s="67"/>
      <c r="K46" s="67"/>
    </row>
    <row r="47" spans="1:11" ht="13.8" x14ac:dyDescent="0.25">
      <c r="A47" s="67"/>
      <c r="B47" s="67"/>
      <c r="C47" s="67"/>
      <c r="D47" s="67"/>
      <c r="E47" s="67"/>
      <c r="F47" s="67"/>
      <c r="G47" s="67"/>
      <c r="H47" s="67"/>
      <c r="I47" s="67"/>
      <c r="J47" s="67"/>
      <c r="K47" s="67"/>
    </row>
  </sheetData>
  <mergeCells count="1">
    <mergeCell ref="C6:D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pageSetUpPr fitToPage="1"/>
  </sheetPr>
  <dimension ref="A2:H36"/>
  <sheetViews>
    <sheetView showGridLines="0" topLeftCell="A7" zoomScale="110" zoomScaleNormal="110" workbookViewId="0">
      <selection activeCell="D16" sqref="D16"/>
    </sheetView>
  </sheetViews>
  <sheetFormatPr defaultColWidth="9.109375" defaultRowHeight="13.8" x14ac:dyDescent="0.25"/>
  <cols>
    <col min="1" max="1" width="36.88671875" style="13" customWidth="1"/>
    <col min="2" max="2" width="14.109375" style="13" customWidth="1"/>
    <col min="3" max="3" width="41.5546875" style="13" customWidth="1"/>
    <col min="4" max="4" width="32.109375" style="13" customWidth="1"/>
    <col min="5" max="5" width="6.6640625" style="13" customWidth="1"/>
    <col min="6" max="6" width="27.44140625" style="13" customWidth="1"/>
    <col min="7" max="7" width="9.109375" style="13"/>
    <col min="8" max="8" width="13.109375" style="13" customWidth="1"/>
    <col min="9" max="16384" width="9.109375" style="13"/>
  </cols>
  <sheetData>
    <row r="2" spans="1:8" ht="17.399999999999999" x14ac:dyDescent="0.3">
      <c r="A2" s="37" t="s">
        <v>56</v>
      </c>
      <c r="C2" s="21" t="s">
        <v>60</v>
      </c>
    </row>
    <row r="3" spans="1:8" ht="21" customHeight="1" x14ac:dyDescent="0.3">
      <c r="C3" s="21" t="s">
        <v>58</v>
      </c>
    </row>
    <row r="4" spans="1:8" ht="21" customHeight="1" x14ac:dyDescent="0.3">
      <c r="C4" s="21" t="s">
        <v>59</v>
      </c>
    </row>
    <row r="5" spans="1:8" ht="21" customHeight="1" x14ac:dyDescent="0.3">
      <c r="C5" s="39" t="s">
        <v>89</v>
      </c>
    </row>
    <row r="6" spans="1:8" ht="21" customHeight="1" x14ac:dyDescent="0.3">
      <c r="A6" s="117" t="s">
        <v>103</v>
      </c>
      <c r="C6" s="39" t="s">
        <v>63</v>
      </c>
    </row>
    <row r="7" spans="1:8" ht="21" customHeight="1" x14ac:dyDescent="0.3">
      <c r="C7" s="41" t="s">
        <v>108</v>
      </c>
    </row>
    <row r="8" spans="1:8" ht="31.5" customHeight="1" x14ac:dyDescent="0.3">
      <c r="A8" s="37" t="s">
        <v>107</v>
      </c>
      <c r="C8" s="21" t="s">
        <v>97</v>
      </c>
    </row>
    <row r="9" spans="1:8" ht="21" customHeight="1" x14ac:dyDescent="0.3">
      <c r="C9" s="21" t="s">
        <v>106</v>
      </c>
    </row>
    <row r="10" spans="1:8" ht="21" customHeight="1" x14ac:dyDescent="0.3">
      <c r="C10" s="21" t="s">
        <v>61</v>
      </c>
    </row>
    <row r="11" spans="1:8" ht="15" customHeight="1" x14ac:dyDescent="0.3">
      <c r="C11" s="21" t="s">
        <v>48</v>
      </c>
    </row>
    <row r="12" spans="1:8" ht="30" customHeight="1" x14ac:dyDescent="0.3">
      <c r="A12" s="37" t="s">
        <v>57</v>
      </c>
      <c r="B12" s="37" t="s">
        <v>185</v>
      </c>
    </row>
    <row r="13" spans="1:8" s="81" customFormat="1" ht="29.25" customHeight="1" x14ac:dyDescent="0.25">
      <c r="B13" s="40" t="s">
        <v>19</v>
      </c>
      <c r="C13" s="40" t="s">
        <v>81</v>
      </c>
      <c r="D13" s="40" t="s">
        <v>82</v>
      </c>
      <c r="E13" s="40"/>
      <c r="F13" s="40" t="s">
        <v>87</v>
      </c>
    </row>
    <row r="14" spans="1:8" x14ac:dyDescent="0.25">
      <c r="A14" s="23" t="s">
        <v>79</v>
      </c>
      <c r="B14" s="38">
        <f>SUM(B16:B22)</f>
        <v>2077362</v>
      </c>
      <c r="D14" s="108">
        <v>0.5</v>
      </c>
      <c r="H14" s="81"/>
    </row>
    <row r="15" spans="1:8" x14ac:dyDescent="0.25">
      <c r="A15" s="17"/>
      <c r="B15" s="2"/>
      <c r="H15" s="81"/>
    </row>
    <row r="16" spans="1:8" x14ac:dyDescent="0.25">
      <c r="A16" s="84" t="s">
        <v>13</v>
      </c>
      <c r="B16" s="29">
        <v>586000</v>
      </c>
      <c r="C16" s="36">
        <v>46000</v>
      </c>
      <c r="D16" s="22">
        <f>-C16*$D$14</f>
        <v>-23000</v>
      </c>
      <c r="E16" s="22"/>
      <c r="F16" s="22">
        <f>C16+D16</f>
        <v>23000</v>
      </c>
      <c r="H16" s="81"/>
    </row>
    <row r="17" spans="1:8" x14ac:dyDescent="0.25">
      <c r="A17" s="84" t="s">
        <v>12</v>
      </c>
      <c r="B17" s="29">
        <v>458400</v>
      </c>
      <c r="C17" s="36">
        <v>49600</v>
      </c>
      <c r="D17" s="22">
        <f>-C17*$D$14</f>
        <v>-24800</v>
      </c>
      <c r="E17" s="22"/>
      <c r="F17" s="22">
        <f t="shared" ref="F17:F22" si="0">C17+D17</f>
        <v>24800</v>
      </c>
      <c r="H17" s="81"/>
    </row>
    <row r="18" spans="1:8" x14ac:dyDescent="0.25">
      <c r="A18" s="84" t="s">
        <v>14</v>
      </c>
      <c r="B18" s="29">
        <v>320000</v>
      </c>
      <c r="C18" s="36">
        <v>52000</v>
      </c>
      <c r="D18" s="22">
        <f>-C18*$D$14</f>
        <v>-26000</v>
      </c>
      <c r="E18" s="22"/>
      <c r="F18" s="22">
        <f t="shared" si="0"/>
        <v>26000</v>
      </c>
      <c r="H18" s="81"/>
    </row>
    <row r="19" spans="1:8" x14ac:dyDescent="0.25">
      <c r="A19" s="84" t="s">
        <v>15</v>
      </c>
      <c r="B19" s="29">
        <v>258000</v>
      </c>
      <c r="C19" s="36">
        <v>56800</v>
      </c>
      <c r="D19" s="22">
        <f>-C19*$D$14</f>
        <v>-28400</v>
      </c>
      <c r="E19" s="22"/>
      <c r="F19" s="22">
        <f t="shared" si="0"/>
        <v>28400</v>
      </c>
      <c r="H19" s="81"/>
    </row>
    <row r="20" spans="1:8" x14ac:dyDescent="0.25">
      <c r="A20" s="84" t="s">
        <v>16</v>
      </c>
      <c r="B20" s="29">
        <v>248000</v>
      </c>
      <c r="C20" s="36">
        <v>62500</v>
      </c>
      <c r="D20" s="22">
        <f t="shared" ref="D20:D22" si="1">-C20*$D$14</f>
        <v>-31250</v>
      </c>
      <c r="E20" s="22"/>
      <c r="F20" s="22">
        <f t="shared" si="0"/>
        <v>31250</v>
      </c>
      <c r="H20" s="81"/>
    </row>
    <row r="21" spans="1:8" x14ac:dyDescent="0.25">
      <c r="A21" s="84" t="s">
        <v>17</v>
      </c>
      <c r="B21" s="29">
        <v>120962</v>
      </c>
      <c r="C21" s="36">
        <v>72000</v>
      </c>
      <c r="D21" s="22">
        <f t="shared" si="1"/>
        <v>-36000</v>
      </c>
      <c r="E21" s="22"/>
      <c r="F21" s="22">
        <f t="shared" si="0"/>
        <v>36000</v>
      </c>
      <c r="H21" s="81"/>
    </row>
    <row r="22" spans="1:8" x14ac:dyDescent="0.25">
      <c r="A22" s="84" t="s">
        <v>18</v>
      </c>
      <c r="B22" s="29">
        <v>86000</v>
      </c>
      <c r="C22" s="36">
        <v>81500</v>
      </c>
      <c r="D22" s="22">
        <f t="shared" si="1"/>
        <v>-40750</v>
      </c>
      <c r="E22" s="22"/>
      <c r="F22" s="22">
        <f t="shared" si="0"/>
        <v>40750</v>
      </c>
      <c r="H22" s="81"/>
    </row>
    <row r="23" spans="1:8" x14ac:dyDescent="0.25">
      <c r="A23" s="4"/>
      <c r="B23" s="28"/>
    </row>
    <row r="24" spans="1:8" x14ac:dyDescent="0.25">
      <c r="A24" s="4" t="s">
        <v>8</v>
      </c>
      <c r="B24" s="30">
        <v>2.6499999999999999E-2</v>
      </c>
    </row>
    <row r="25" spans="1:8" x14ac:dyDescent="0.25">
      <c r="A25" s="4" t="s">
        <v>9</v>
      </c>
      <c r="B25" s="35">
        <v>2.1999999999999999E-2</v>
      </c>
    </row>
    <row r="26" spans="1:8" x14ac:dyDescent="0.25">
      <c r="A26" s="4"/>
      <c r="B26" s="1"/>
    </row>
    <row r="27" spans="1:8" x14ac:dyDescent="0.25">
      <c r="A27" s="4" t="s">
        <v>10</v>
      </c>
      <c r="B27" s="31">
        <v>7000</v>
      </c>
    </row>
    <row r="28" spans="1:8" x14ac:dyDescent="0.25">
      <c r="A28" s="4" t="s">
        <v>11</v>
      </c>
      <c r="B28" s="32">
        <v>7</v>
      </c>
      <c r="C28" s="13" t="s">
        <v>49</v>
      </c>
    </row>
    <row r="29" spans="1:8" x14ac:dyDescent="0.25">
      <c r="A29" s="4"/>
      <c r="B29" s="4"/>
    </row>
    <row r="30" spans="1:8" x14ac:dyDescent="0.25">
      <c r="A30" s="4" t="s">
        <v>54</v>
      </c>
      <c r="B30" s="31">
        <v>-750000</v>
      </c>
      <c r="C30" s="94" t="s">
        <v>84</v>
      </c>
    </row>
    <row r="31" spans="1:8" x14ac:dyDescent="0.25">
      <c r="A31" s="4" t="s">
        <v>55</v>
      </c>
      <c r="B31" s="31">
        <v>-120000</v>
      </c>
      <c r="C31" s="94" t="s">
        <v>84</v>
      </c>
    </row>
    <row r="32" spans="1:8" x14ac:dyDescent="0.25">
      <c r="A32" s="4" t="s">
        <v>53</v>
      </c>
      <c r="B32" s="30">
        <v>-0.13</v>
      </c>
      <c r="C32" s="94" t="s">
        <v>86</v>
      </c>
    </row>
    <row r="33" spans="1:3" x14ac:dyDescent="0.25">
      <c r="A33" s="4" t="s">
        <v>47</v>
      </c>
      <c r="B33" s="30">
        <v>0.06</v>
      </c>
      <c r="C33" s="94" t="s">
        <v>85</v>
      </c>
    </row>
    <row r="34" spans="1:3" x14ac:dyDescent="0.25">
      <c r="A34" s="185" t="str">
        <f>'(3)EXEC. SUMMARY&amp;RECOMMENDATION'!D7</f>
        <v>Strong Economy</v>
      </c>
      <c r="B34" s="34">
        <f>'(3)EXEC. SUMMARY&amp;RECOMMENDATION'!E7</f>
        <v>0.08</v>
      </c>
    </row>
    <row r="35" spans="1:3" x14ac:dyDescent="0.25">
      <c r="A35" s="185" t="str">
        <f>'(3)EXEC. SUMMARY&amp;RECOMMENDATION'!D8</f>
        <v>Average Economy</v>
      </c>
      <c r="B35" s="34">
        <f>'(3)EXEC. SUMMARY&amp;RECOMMENDATION'!E8</f>
        <v>0.05</v>
      </c>
    </row>
    <row r="36" spans="1:3" x14ac:dyDescent="0.25">
      <c r="A36" s="185" t="str">
        <f>'(3)EXEC. SUMMARY&amp;RECOMMENDATION'!D9</f>
        <v>Poor Economy</v>
      </c>
      <c r="B36" s="34">
        <f>'(3)EXEC. SUMMARY&amp;RECOMMENDATION'!E9</f>
        <v>0.03</v>
      </c>
    </row>
  </sheetData>
  <printOptions horizontalCentered="1" verticalCentered="1"/>
  <pageMargins left="0.7" right="0.7" top="0.75" bottom="0.75" header="0.3" footer="0.3"/>
  <pageSetup scale="8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59999389629810485"/>
  </sheetPr>
  <dimension ref="A1:N144"/>
  <sheetViews>
    <sheetView showGridLines="0" topLeftCell="A3" zoomScale="90" zoomScaleNormal="90" workbookViewId="0">
      <selection activeCell="C28" sqref="C28"/>
    </sheetView>
  </sheetViews>
  <sheetFormatPr defaultColWidth="9.109375" defaultRowHeight="13.8" x14ac:dyDescent="0.25"/>
  <cols>
    <col min="1" max="1" width="52.44140625" style="13" customWidth="1"/>
    <col min="2" max="2" width="23.44140625" style="13" bestFit="1" customWidth="1"/>
    <col min="3" max="8" width="22.6640625" style="13" bestFit="1" customWidth="1"/>
    <col min="9" max="9" width="23.44140625" style="13" bestFit="1" customWidth="1"/>
    <col min="10" max="10" width="1.109375" style="13" customWidth="1"/>
    <col min="11" max="16384" width="9.109375" style="13"/>
  </cols>
  <sheetData>
    <row r="1" spans="1:14" ht="27.75" customHeight="1" x14ac:dyDescent="0.4">
      <c r="A1" s="101" t="s">
        <v>90</v>
      </c>
      <c r="B1" s="189">
        <f>'(3)EXEC. SUMMARY&amp;RECOMMENDATION'!E8</f>
        <v>0.05</v>
      </c>
      <c r="C1" s="190" t="s">
        <v>91</v>
      </c>
      <c r="G1" s="117" t="s">
        <v>102</v>
      </c>
    </row>
    <row r="2" spans="1:14" ht="21" customHeight="1" x14ac:dyDescent="0.3">
      <c r="A2" s="98" t="s">
        <v>8</v>
      </c>
      <c r="B2" s="99">
        <f>'(4) ANALYSIS ASSUMPTIONS'!B24</f>
        <v>2.6499999999999999E-2</v>
      </c>
      <c r="C2" s="107"/>
    </row>
    <row r="3" spans="1:14" ht="21" customHeight="1" x14ac:dyDescent="0.3">
      <c r="A3" s="98" t="s">
        <v>9</v>
      </c>
      <c r="B3" s="106">
        <f>'(4) ANALYSIS ASSUMPTIONS'!B25</f>
        <v>2.1999999999999999E-2</v>
      </c>
      <c r="C3" s="107"/>
    </row>
    <row r="4" spans="1:14" ht="21" customHeight="1" x14ac:dyDescent="0.3">
      <c r="A4" s="98"/>
      <c r="B4" s="40"/>
      <c r="C4" s="107"/>
    </row>
    <row r="5" spans="1:14" ht="21" customHeight="1" x14ac:dyDescent="0.3">
      <c r="A5" s="98" t="s">
        <v>92</v>
      </c>
      <c r="B5" s="100">
        <f>'(4) ANALYSIS ASSUMPTIONS'!B27</f>
        <v>7000</v>
      </c>
      <c r="C5" s="107" t="s">
        <v>98</v>
      </c>
    </row>
    <row r="6" spans="1:14" ht="21" customHeight="1" x14ac:dyDescent="0.3">
      <c r="A6" s="98" t="s">
        <v>93</v>
      </c>
      <c r="B6" s="100">
        <f>B5/7</f>
        <v>1000</v>
      </c>
      <c r="C6" s="107"/>
    </row>
    <row r="7" spans="1:14" ht="15.6" x14ac:dyDescent="0.3">
      <c r="A7" s="98"/>
      <c r="B7" s="100"/>
      <c r="C7" s="107"/>
    </row>
    <row r="8" spans="1:14" ht="15.6" x14ac:dyDescent="0.3">
      <c r="A8" s="98" t="s">
        <v>54</v>
      </c>
      <c r="B8" s="100">
        <f>'(4) ANALYSIS ASSUMPTIONS'!B30</f>
        <v>-750000</v>
      </c>
      <c r="C8" s="107" t="s">
        <v>95</v>
      </c>
    </row>
    <row r="9" spans="1:14" ht="15.6" x14ac:dyDescent="0.3">
      <c r="A9" s="98" t="s">
        <v>55</v>
      </c>
      <c r="B9" s="100">
        <f>'(4) ANALYSIS ASSUMPTIONS'!B31</f>
        <v>-120000</v>
      </c>
      <c r="C9" s="107" t="s">
        <v>95</v>
      </c>
    </row>
    <row r="10" spans="1:14" ht="17.25" customHeight="1" x14ac:dyDescent="0.3">
      <c r="A10" s="98" t="s">
        <v>94</v>
      </c>
      <c r="B10" s="99">
        <f>'(4) ANALYSIS ASSUMPTIONS'!B32</f>
        <v>-0.13</v>
      </c>
    </row>
    <row r="11" spans="1:14" ht="17.25" customHeight="1" x14ac:dyDescent="0.3">
      <c r="A11" s="98" t="s">
        <v>47</v>
      </c>
      <c r="B11" s="99">
        <f>'(4) ANALYSIS ASSUMPTIONS'!B33</f>
        <v>0.06</v>
      </c>
    </row>
    <row r="12" spans="1:14" ht="17.25" customHeight="1" thickBot="1" x14ac:dyDescent="0.3"/>
    <row r="13" spans="1:14" ht="14.4" thickBot="1" x14ac:dyDescent="0.3">
      <c r="A13" s="193" t="s">
        <v>34</v>
      </c>
      <c r="B13" s="194"/>
      <c r="C13" s="194"/>
      <c r="D13" s="194"/>
      <c r="E13" s="194"/>
      <c r="F13" s="194"/>
      <c r="G13" s="194"/>
      <c r="H13" s="194"/>
      <c r="I13" s="195"/>
    </row>
    <row r="14" spans="1:14" ht="21.75" customHeight="1" thickBot="1" x14ac:dyDescent="0.35">
      <c r="A14" s="83" t="s">
        <v>80</v>
      </c>
      <c r="B14" s="62" t="s">
        <v>46</v>
      </c>
      <c r="C14" s="62" t="s">
        <v>0</v>
      </c>
      <c r="D14" s="62" t="s">
        <v>1</v>
      </c>
      <c r="E14" s="62" t="s">
        <v>2</v>
      </c>
      <c r="F14" s="62" t="s">
        <v>3</v>
      </c>
      <c r="G14" s="62" t="s">
        <v>4</v>
      </c>
      <c r="H14" s="63" t="s">
        <v>5</v>
      </c>
      <c r="I14" s="64" t="s">
        <v>62</v>
      </c>
    </row>
    <row r="15" spans="1:14" x14ac:dyDescent="0.25">
      <c r="A15" s="5" t="s">
        <v>21</v>
      </c>
      <c r="B15" s="48">
        <f>'(4) ANALYSIS ASSUMPTIONS'!B16</f>
        <v>586000</v>
      </c>
      <c r="C15" s="61">
        <f>B15*(1+$B$1)</f>
        <v>615300</v>
      </c>
      <c r="D15" s="61">
        <f t="shared" ref="D15:G15" si="0">C15*(1+$B$1)</f>
        <v>646065</v>
      </c>
      <c r="E15" s="61">
        <f t="shared" si="0"/>
        <v>678368.25</v>
      </c>
      <c r="F15" s="61">
        <f t="shared" si="0"/>
        <v>712286.66249999998</v>
      </c>
      <c r="G15" s="61">
        <f t="shared" si="0"/>
        <v>747900.99562499998</v>
      </c>
      <c r="H15" s="60">
        <f>G15*(1+$B$1)</f>
        <v>785296.04540625005</v>
      </c>
      <c r="I15" s="111">
        <f>SUM(B15:H15)</f>
        <v>4771216.9535312504</v>
      </c>
      <c r="K15" s="22"/>
      <c r="L15" s="22"/>
      <c r="M15" s="22"/>
      <c r="N15" s="22"/>
    </row>
    <row r="16" spans="1:14" x14ac:dyDescent="0.25">
      <c r="A16" s="5" t="s">
        <v>6</v>
      </c>
      <c r="B16" s="49">
        <f>'(4) ANALYSIS ASSUMPTIONS'!C16</f>
        <v>46000</v>
      </c>
      <c r="C16" s="3">
        <f>B16*(1+$B$2)</f>
        <v>47219</v>
      </c>
      <c r="D16" s="3">
        <f>C16*(1+$B$2)</f>
        <v>48470.303500000002</v>
      </c>
      <c r="E16" s="3">
        <f>D16*(1+$B$2)</f>
        <v>49754.766542750003</v>
      </c>
      <c r="F16" s="3">
        <f t="shared" ref="F16:H16" si="1">E16*(1+$B$2)</f>
        <v>51073.267856132879</v>
      </c>
      <c r="G16" s="3">
        <f t="shared" si="1"/>
        <v>52426.7094543204</v>
      </c>
      <c r="H16" s="110">
        <f t="shared" si="1"/>
        <v>53816.017254859886</v>
      </c>
      <c r="I16" s="52">
        <f>SUM(B16:H16)</f>
        <v>348760.0646080632</v>
      </c>
      <c r="J16" s="22"/>
      <c r="K16" s="22"/>
      <c r="L16" s="22"/>
      <c r="M16" s="22"/>
      <c r="N16" s="22"/>
    </row>
    <row r="17" spans="1:14" x14ac:dyDescent="0.25">
      <c r="A17" s="14" t="s">
        <v>37</v>
      </c>
      <c r="B17" s="24">
        <f>B16*B15</f>
        <v>26956000000</v>
      </c>
      <c r="C17" s="24">
        <f t="shared" ref="C17:E17" si="2">C16*C15</f>
        <v>29053850700</v>
      </c>
      <c r="D17" s="24">
        <f t="shared" si="2"/>
        <v>31314966630.727501</v>
      </c>
      <c r="E17" s="24">
        <f t="shared" si="2"/>
        <v>33752053908.76387</v>
      </c>
      <c r="F17" s="24">
        <f t="shared" ref="F17" si="3">F16*F15</f>
        <v>36378807504.213417</v>
      </c>
      <c r="G17" s="24">
        <f t="shared" ref="G17" si="4">G16*G15</f>
        <v>39209988198.228828</v>
      </c>
      <c r="H17" s="24">
        <f t="shared" ref="H17" si="5">H16*H15</f>
        <v>42261505529.755981</v>
      </c>
      <c r="I17" s="52">
        <f t="shared" ref="I17:I27" si="6">SUM(B17:H17)</f>
        <v>238927172471.68961</v>
      </c>
      <c r="J17" s="22"/>
      <c r="K17" s="22"/>
      <c r="L17" s="22"/>
      <c r="M17" s="22"/>
      <c r="N17" s="22"/>
    </row>
    <row r="18" spans="1:14" x14ac:dyDescent="0.25">
      <c r="A18" s="5" t="s">
        <v>7</v>
      </c>
      <c r="B18" s="49">
        <f>$B$6</f>
        <v>1000</v>
      </c>
      <c r="C18" s="24">
        <f t="shared" ref="C18:H18" si="7">$B$6</f>
        <v>1000</v>
      </c>
      <c r="D18" s="24">
        <f t="shared" si="7"/>
        <v>1000</v>
      </c>
      <c r="E18" s="24">
        <f t="shared" si="7"/>
        <v>1000</v>
      </c>
      <c r="F18" s="24">
        <f t="shared" si="7"/>
        <v>1000</v>
      </c>
      <c r="G18" s="24">
        <f t="shared" si="7"/>
        <v>1000</v>
      </c>
      <c r="H18" s="24">
        <f t="shared" si="7"/>
        <v>1000</v>
      </c>
      <c r="I18" s="52">
        <f t="shared" si="6"/>
        <v>7000</v>
      </c>
      <c r="J18" s="22"/>
      <c r="K18" s="22"/>
      <c r="L18" s="22"/>
      <c r="M18" s="22"/>
      <c r="N18" s="22"/>
    </row>
    <row r="19" spans="1:14" x14ac:dyDescent="0.25">
      <c r="A19" s="14" t="s">
        <v>38</v>
      </c>
      <c r="B19" s="24">
        <f>B18*B15</f>
        <v>586000000</v>
      </c>
      <c r="C19" s="24">
        <f>C18*C15</f>
        <v>615300000</v>
      </c>
      <c r="D19" s="24">
        <f t="shared" ref="D19:E19" si="8">D18*D15</f>
        <v>646065000</v>
      </c>
      <c r="E19" s="24">
        <f t="shared" si="8"/>
        <v>678368250</v>
      </c>
      <c r="F19" s="24">
        <f t="shared" ref="F19" si="9">F18*F15</f>
        <v>712286662.5</v>
      </c>
      <c r="G19" s="24">
        <f t="shared" ref="G19" si="10">G18*G15</f>
        <v>747900995.625</v>
      </c>
      <c r="H19" s="24">
        <f t="shared" ref="H19" si="11">H18*H15</f>
        <v>785296045.40625</v>
      </c>
      <c r="I19" s="52">
        <f t="shared" si="6"/>
        <v>4771216953.53125</v>
      </c>
      <c r="J19" s="22"/>
      <c r="K19" s="22"/>
      <c r="L19" s="22"/>
      <c r="M19" s="22"/>
      <c r="N19" s="22"/>
    </row>
    <row r="20" spans="1:14" x14ac:dyDescent="0.25">
      <c r="A20" s="65" t="s">
        <v>36</v>
      </c>
      <c r="B20" s="113">
        <f>SUM(B19,B17)</f>
        <v>27542000000</v>
      </c>
      <c r="C20" s="113">
        <f>SUM(C19,C17)</f>
        <v>29669150700</v>
      </c>
      <c r="D20" s="112">
        <f t="shared" ref="D20:E20" si="12">SUM(D19,D17)</f>
        <v>31961031630.727501</v>
      </c>
      <c r="E20" s="112">
        <f t="shared" si="12"/>
        <v>34430422158.76387</v>
      </c>
      <c r="F20" s="112">
        <f t="shared" ref="F20" si="13">SUM(F19,F17)</f>
        <v>37091094166.713417</v>
      </c>
      <c r="G20" s="112">
        <f t="shared" ref="G20" si="14">SUM(G19,G17)</f>
        <v>39957889193.853828</v>
      </c>
      <c r="H20" s="22">
        <f t="shared" ref="H20" si="15">SUM(H19,H17)</f>
        <v>43046801575.162231</v>
      </c>
      <c r="I20" s="52">
        <f t="shared" si="6"/>
        <v>243698389425.22086</v>
      </c>
      <c r="J20" s="22"/>
      <c r="K20" s="22"/>
      <c r="L20" s="22"/>
      <c r="M20" s="22"/>
      <c r="N20" s="22"/>
    </row>
    <row r="21" spans="1:14" x14ac:dyDescent="0.25">
      <c r="A21" s="5" t="s">
        <v>51</v>
      </c>
      <c r="B21" s="49">
        <f>'(4) ANALYSIS ASSUMPTIONS'!D16</f>
        <v>-23000</v>
      </c>
      <c r="C21" s="3">
        <f>B21*(1+$B$3)</f>
        <v>-23506</v>
      </c>
      <c r="D21" s="3">
        <f t="shared" ref="D21:E21" si="16">C21*(1+$B$3)</f>
        <v>-24023.132000000001</v>
      </c>
      <c r="E21" s="3">
        <f t="shared" si="16"/>
        <v>-24551.640904000004</v>
      </c>
      <c r="F21" s="3">
        <f t="shared" ref="F21:H21" si="17">E21*(1+$B$3)</f>
        <v>-25091.777003888004</v>
      </c>
      <c r="G21" s="3">
        <f t="shared" si="17"/>
        <v>-25643.79609797354</v>
      </c>
      <c r="H21" s="110">
        <f t="shared" si="17"/>
        <v>-26207.959612128958</v>
      </c>
      <c r="I21" s="52">
        <f t="shared" si="6"/>
        <v>-172024.3056179905</v>
      </c>
      <c r="J21" s="22"/>
      <c r="K21" s="22"/>
      <c r="L21" s="22"/>
      <c r="M21" s="22"/>
      <c r="N21" s="22"/>
    </row>
    <row r="22" spans="1:14" x14ac:dyDescent="0.25">
      <c r="A22" s="14" t="s">
        <v>40</v>
      </c>
      <c r="B22" s="24">
        <f>B21*B15</f>
        <v>-13478000000</v>
      </c>
      <c r="C22" s="24">
        <f t="shared" ref="C22:E22" si="18">C21*C15</f>
        <v>-14463241800</v>
      </c>
      <c r="D22" s="24">
        <f t="shared" si="18"/>
        <v>-15520504775.580002</v>
      </c>
      <c r="E22" s="24">
        <f t="shared" si="18"/>
        <v>-16655053674.6749</v>
      </c>
      <c r="F22" s="24">
        <f t="shared" ref="F22" si="19">F21*F15</f>
        <v>-17872538098.293636</v>
      </c>
      <c r="G22" s="24">
        <f t="shared" ref="G22" si="20">G21*G15</f>
        <v>-19179020633.2789</v>
      </c>
      <c r="H22" s="24">
        <f t="shared" ref="H22" si="21">H21*H15</f>
        <v>-20581007041.57159</v>
      </c>
      <c r="I22" s="52">
        <f t="shared" si="6"/>
        <v>-117749366023.39903</v>
      </c>
      <c r="J22" s="22"/>
      <c r="K22" s="22"/>
      <c r="L22" s="22"/>
      <c r="M22" s="22"/>
      <c r="N22" s="22"/>
    </row>
    <row r="23" spans="1:14" x14ac:dyDescent="0.25">
      <c r="A23" s="16" t="s">
        <v>39</v>
      </c>
      <c r="B23" s="24">
        <f>SUM(B20,B22)</f>
        <v>14064000000</v>
      </c>
      <c r="C23" s="24">
        <f>SUM(C20,C22)</f>
        <v>15205908900</v>
      </c>
      <c r="D23" s="24">
        <f t="shared" ref="C23:E23" si="22">SUM(D20,D22)</f>
        <v>16440526855.147499</v>
      </c>
      <c r="E23" s="24">
        <f t="shared" si="22"/>
        <v>17775368484.08897</v>
      </c>
      <c r="F23" s="24">
        <f t="shared" ref="F23" si="23">SUM(F20,F22)</f>
        <v>19218556068.419781</v>
      </c>
      <c r="G23" s="24">
        <f t="shared" ref="G23" si="24">SUM(G20,G22)</f>
        <v>20778868560.574928</v>
      </c>
      <c r="H23" s="24">
        <f t="shared" ref="H23" si="25">SUM(H20,H22)</f>
        <v>22465794533.590641</v>
      </c>
      <c r="I23" s="52">
        <f t="shared" si="6"/>
        <v>125949023401.82181</v>
      </c>
      <c r="J23" s="22"/>
      <c r="K23" s="22"/>
      <c r="L23" s="22"/>
      <c r="M23" s="22"/>
      <c r="N23" s="22"/>
    </row>
    <row r="24" spans="1:14" x14ac:dyDescent="0.25">
      <c r="A24" s="5" t="s">
        <v>187</v>
      </c>
      <c r="B24" s="24">
        <f>$B$10*B20</f>
        <v>-3580460000</v>
      </c>
      <c r="C24" s="24">
        <f>$B$10*C20</f>
        <v>-3856989591</v>
      </c>
      <c r="D24" s="24">
        <f t="shared" ref="C24:E24" si="26">$B$10*D20</f>
        <v>-4154934111.994575</v>
      </c>
      <c r="E24" s="24">
        <f t="shared" si="26"/>
        <v>-4475954880.6393032</v>
      </c>
      <c r="F24" s="24">
        <f t="shared" ref="F24:H24" si="27">$B$10*F20</f>
        <v>-4821842241.6727448</v>
      </c>
      <c r="G24" s="24">
        <f t="shared" si="27"/>
        <v>-5194525595.2009983</v>
      </c>
      <c r="H24" s="24">
        <f t="shared" si="27"/>
        <v>-5596084204.7710905</v>
      </c>
      <c r="I24" s="52">
        <f t="shared" si="6"/>
        <v>-31680790625.278713</v>
      </c>
      <c r="J24" s="22"/>
      <c r="K24" s="22"/>
      <c r="L24" s="22"/>
      <c r="M24" s="22"/>
      <c r="N24" s="22"/>
    </row>
    <row r="25" spans="1:14" x14ac:dyDescent="0.25">
      <c r="A25" s="5" t="s">
        <v>41</v>
      </c>
      <c r="B25" s="49">
        <f>$B$8</f>
        <v>-750000</v>
      </c>
      <c r="C25" s="24">
        <f t="shared" ref="C25:H25" si="28">$B$8</f>
        <v>-750000</v>
      </c>
      <c r="D25" s="24">
        <f t="shared" si="28"/>
        <v>-750000</v>
      </c>
      <c r="E25" s="24">
        <f t="shared" si="28"/>
        <v>-750000</v>
      </c>
      <c r="F25" s="24">
        <f t="shared" si="28"/>
        <v>-750000</v>
      </c>
      <c r="G25" s="24">
        <f t="shared" si="28"/>
        <v>-750000</v>
      </c>
      <c r="H25" s="24">
        <f t="shared" si="28"/>
        <v>-750000</v>
      </c>
      <c r="I25" s="52">
        <f t="shared" si="6"/>
        <v>-5250000</v>
      </c>
      <c r="J25" s="22"/>
      <c r="K25" s="22"/>
      <c r="L25" s="22"/>
      <c r="M25" s="22"/>
      <c r="N25" s="22"/>
    </row>
    <row r="26" spans="1:14" x14ac:dyDescent="0.25">
      <c r="A26" s="16" t="s">
        <v>42</v>
      </c>
      <c r="B26" s="24">
        <f>B23+B24+B25</f>
        <v>10482790000</v>
      </c>
      <c r="C26" s="24">
        <f t="shared" ref="C26:E26" si="29">C23+C24+C25</f>
        <v>11348169309</v>
      </c>
      <c r="D26" s="24">
        <f t="shared" si="29"/>
        <v>12284842743.152924</v>
      </c>
      <c r="E26" s="24">
        <f t="shared" si="29"/>
        <v>13298663603.449667</v>
      </c>
      <c r="F26" s="24">
        <f t="shared" ref="F26" si="30">F23+F24+F25</f>
        <v>14395963826.747036</v>
      </c>
      <c r="G26" s="24">
        <f t="shared" ref="G26" si="31">G23+G24+G25</f>
        <v>15583592965.37393</v>
      </c>
      <c r="H26" s="24">
        <f t="shared" ref="H26" si="32">H23+H24+H25</f>
        <v>16868960328.81955</v>
      </c>
      <c r="I26" s="52">
        <f t="shared" si="6"/>
        <v>94262982776.543106</v>
      </c>
      <c r="J26" s="22"/>
      <c r="K26" s="22"/>
      <c r="L26" s="22"/>
      <c r="M26" s="22"/>
      <c r="N26" s="22"/>
    </row>
    <row r="27" spans="1:14" x14ac:dyDescent="0.25">
      <c r="A27" s="5" t="s">
        <v>50</v>
      </c>
      <c r="B27" s="49">
        <f>$B$9</f>
        <v>-120000</v>
      </c>
      <c r="C27" s="24">
        <f t="shared" ref="C27:H27" si="33">$B$9</f>
        <v>-120000</v>
      </c>
      <c r="D27" s="24">
        <f t="shared" si="33"/>
        <v>-120000</v>
      </c>
      <c r="E27" s="24">
        <f t="shared" si="33"/>
        <v>-120000</v>
      </c>
      <c r="F27" s="24">
        <f t="shared" si="33"/>
        <v>-120000</v>
      </c>
      <c r="G27" s="24">
        <f t="shared" si="33"/>
        <v>-120000</v>
      </c>
      <c r="H27" s="24">
        <f t="shared" si="33"/>
        <v>-120000</v>
      </c>
      <c r="I27" s="52">
        <f t="shared" si="6"/>
        <v>-840000</v>
      </c>
      <c r="J27" s="22"/>
      <c r="K27" s="22"/>
      <c r="L27" s="22"/>
      <c r="M27" s="22"/>
      <c r="N27" s="22"/>
    </row>
    <row r="28" spans="1:14" x14ac:dyDescent="0.25">
      <c r="A28" s="16" t="s">
        <v>44</v>
      </c>
      <c r="B28" s="109">
        <f>B26+B27</f>
        <v>10482670000</v>
      </c>
      <c r="C28" s="109">
        <f t="shared" ref="C28:E28" si="34">C26+C27</f>
        <v>11348049309</v>
      </c>
      <c r="D28" s="109">
        <f t="shared" si="34"/>
        <v>12284722743.152924</v>
      </c>
      <c r="E28" s="109">
        <f t="shared" si="34"/>
        <v>13298543603.449667</v>
      </c>
      <c r="F28" s="109">
        <f t="shared" ref="F28" si="35">F26+F27</f>
        <v>14395843826.747036</v>
      </c>
      <c r="G28" s="109">
        <f t="shared" ref="G28" si="36">G26+G27</f>
        <v>15583472965.37393</v>
      </c>
      <c r="H28" s="109">
        <f t="shared" ref="H28" si="37">H26+H27</f>
        <v>16868840328.81955</v>
      </c>
      <c r="I28" s="53">
        <f>SUM(B28:H28)</f>
        <v>94262142776.543106</v>
      </c>
      <c r="J28" s="22"/>
      <c r="K28" s="22"/>
      <c r="L28" s="22"/>
      <c r="M28" s="22"/>
      <c r="N28" s="22"/>
    </row>
    <row r="29" spans="1:14" ht="14.4" thickBot="1" x14ac:dyDescent="0.3">
      <c r="A29" s="6" t="s">
        <v>20</v>
      </c>
      <c r="B29" s="50">
        <f>B28</f>
        <v>10482670000</v>
      </c>
      <c r="C29" s="50">
        <f t="shared" ref="C29:E29" si="38">C28</f>
        <v>11348049309</v>
      </c>
      <c r="D29" s="50">
        <f t="shared" si="38"/>
        <v>12284722743.152924</v>
      </c>
      <c r="E29" s="50">
        <f t="shared" si="38"/>
        <v>13298543603.449667</v>
      </c>
      <c r="F29" s="50">
        <f t="shared" ref="F29" si="39">F28</f>
        <v>14395843826.747036</v>
      </c>
      <c r="G29" s="50">
        <f t="shared" ref="G29" si="40">G28</f>
        <v>15583472965.37393</v>
      </c>
      <c r="H29" s="51">
        <f t="shared" ref="H29" si="41">H28</f>
        <v>16868840328.81955</v>
      </c>
      <c r="I29" s="54">
        <f t="shared" ref="I29" si="42">SUM(B29:H29)</f>
        <v>94262142776.543106</v>
      </c>
    </row>
    <row r="30" spans="1:14" ht="15" thickTop="1" thickBot="1" x14ac:dyDescent="0.3">
      <c r="A30" s="55"/>
      <c r="B30" s="56"/>
      <c r="C30" s="56"/>
      <c r="D30" s="56"/>
      <c r="E30" s="56"/>
      <c r="F30" s="56"/>
      <c r="G30" s="56"/>
      <c r="H30" s="56"/>
      <c r="I30" s="57"/>
    </row>
    <row r="31" spans="1:14" ht="16.2" thickBot="1" x14ac:dyDescent="0.35">
      <c r="A31" s="82" t="str">
        <f>A14</f>
        <v>Average Case Scenario (5% Growth)</v>
      </c>
      <c r="B31" s="62" t="s">
        <v>46</v>
      </c>
      <c r="C31" s="62" t="s">
        <v>0</v>
      </c>
      <c r="D31" s="62" t="s">
        <v>1</v>
      </c>
      <c r="E31" s="62" t="s">
        <v>2</v>
      </c>
      <c r="F31" s="62" t="s">
        <v>3</v>
      </c>
      <c r="G31" s="62" t="s">
        <v>4</v>
      </c>
      <c r="H31" s="63" t="s">
        <v>5</v>
      </c>
      <c r="I31" s="64" t="s">
        <v>62</v>
      </c>
    </row>
    <row r="32" spans="1:14" x14ac:dyDescent="0.25">
      <c r="A32" s="5" t="s">
        <v>22</v>
      </c>
      <c r="B32" s="48">
        <f>'(4) ANALYSIS ASSUMPTIONS'!B17</f>
        <v>458400</v>
      </c>
      <c r="C32" s="61">
        <f>B32*(1+$B$1)</f>
        <v>481320</v>
      </c>
      <c r="D32" s="61">
        <f t="shared" ref="D32" si="43">C32*(1+$B$1)</f>
        <v>505386</v>
      </c>
      <c r="E32" s="61">
        <f t="shared" ref="E32" si="44">D32*(1+$B$1)</f>
        <v>530655.30000000005</v>
      </c>
      <c r="F32" s="61">
        <f t="shared" ref="F32" si="45">E32*(1+$B$1)</f>
        <v>557188.06500000006</v>
      </c>
      <c r="G32" s="61">
        <f t="shared" ref="G32" si="46">F32*(1+$B$1)</f>
        <v>585047.46825000003</v>
      </c>
      <c r="H32" s="60">
        <f t="shared" ref="H32" si="47">G32*(1+$B$1)</f>
        <v>614299.84166250005</v>
      </c>
      <c r="I32" s="111">
        <f>SUM(B32:H32)</f>
        <v>3732296.6749125002</v>
      </c>
    </row>
    <row r="33" spans="1:9" x14ac:dyDescent="0.25">
      <c r="A33" s="5" t="s">
        <v>6</v>
      </c>
      <c r="B33" s="49">
        <f>'(4) ANALYSIS ASSUMPTIONS'!C17</f>
        <v>49600</v>
      </c>
      <c r="C33" s="3">
        <f>B33*(1+$B$2)</f>
        <v>50914.400000000001</v>
      </c>
      <c r="D33" s="3">
        <f>C33*(1+$B$2)</f>
        <v>52263.631600000001</v>
      </c>
      <c r="E33" s="3">
        <f>D33*(1+$B$2)</f>
        <v>53648.617837400001</v>
      </c>
      <c r="F33" s="3">
        <f t="shared" ref="F33" si="48">E33*(1+$B$2)</f>
        <v>55070.306210091097</v>
      </c>
      <c r="G33" s="3">
        <f t="shared" ref="G33" si="49">F33*(1+$B$2)</f>
        <v>56529.669324658513</v>
      </c>
      <c r="H33" s="110">
        <f t="shared" ref="H33" si="50">G33*(1+$B$2)</f>
        <v>58027.705561761963</v>
      </c>
      <c r="I33" s="52">
        <f>SUM(B33:H33)</f>
        <v>376054.33053391159</v>
      </c>
    </row>
    <row r="34" spans="1:9" x14ac:dyDescent="0.25">
      <c r="A34" s="14" t="s">
        <v>37</v>
      </c>
      <c r="B34" s="24">
        <f>B33*B32</f>
        <v>22736640000</v>
      </c>
      <c r="C34" s="24">
        <f t="shared" ref="C34:H34" si="51">C33*C32</f>
        <v>24506119008</v>
      </c>
      <c r="D34" s="24">
        <f t="shared" si="51"/>
        <v>26413307719.7976</v>
      </c>
      <c r="E34" s="24">
        <f t="shared" si="51"/>
        <v>28468923393.090851</v>
      </c>
      <c r="F34" s="24">
        <f t="shared" si="51"/>
        <v>30684517356.158146</v>
      </c>
      <c r="G34" s="24">
        <f t="shared" si="51"/>
        <v>33072539919.401154</v>
      </c>
      <c r="H34" s="24">
        <f t="shared" si="51"/>
        <v>35646410338.628548</v>
      </c>
      <c r="I34" s="52">
        <f t="shared" ref="I34:I44" si="52">SUM(B34:H34)</f>
        <v>201528457735.07629</v>
      </c>
    </row>
    <row r="35" spans="1:9" x14ac:dyDescent="0.25">
      <c r="A35" s="5" t="s">
        <v>7</v>
      </c>
      <c r="B35" s="49">
        <f>$B$6</f>
        <v>1000</v>
      </c>
      <c r="C35" s="24">
        <f t="shared" ref="C35:H35" si="53">$B$6</f>
        <v>1000</v>
      </c>
      <c r="D35" s="24">
        <f t="shared" si="53"/>
        <v>1000</v>
      </c>
      <c r="E35" s="24">
        <f t="shared" si="53"/>
        <v>1000</v>
      </c>
      <c r="F35" s="24">
        <f t="shared" si="53"/>
        <v>1000</v>
      </c>
      <c r="G35" s="24">
        <f t="shared" si="53"/>
        <v>1000</v>
      </c>
      <c r="H35" s="24">
        <f t="shared" si="53"/>
        <v>1000</v>
      </c>
      <c r="I35" s="52">
        <f t="shared" si="52"/>
        <v>7000</v>
      </c>
    </row>
    <row r="36" spans="1:9" x14ac:dyDescent="0.25">
      <c r="A36" s="14" t="s">
        <v>38</v>
      </c>
      <c r="B36" s="24">
        <f>B35*B32</f>
        <v>458400000</v>
      </c>
      <c r="C36" s="24">
        <f>C35*C32</f>
        <v>481320000</v>
      </c>
      <c r="D36" s="24">
        <f t="shared" ref="D36:H36" si="54">D35*D32</f>
        <v>505386000</v>
      </c>
      <c r="E36" s="24">
        <f t="shared" si="54"/>
        <v>530655300.00000006</v>
      </c>
      <c r="F36" s="24">
        <f t="shared" si="54"/>
        <v>557188065.00000012</v>
      </c>
      <c r="G36" s="24">
        <f t="shared" si="54"/>
        <v>585047468.25</v>
      </c>
      <c r="H36" s="24">
        <f t="shared" si="54"/>
        <v>614299841.66250002</v>
      </c>
      <c r="I36" s="52">
        <f t="shared" si="52"/>
        <v>3732296674.9124999</v>
      </c>
    </row>
    <row r="37" spans="1:9" x14ac:dyDescent="0.25">
      <c r="A37" s="15" t="s">
        <v>36</v>
      </c>
      <c r="B37" s="113">
        <f>SUM(B36,B34)</f>
        <v>23195040000</v>
      </c>
      <c r="C37" s="113">
        <f>SUM(C36,C34)</f>
        <v>24987439008</v>
      </c>
      <c r="D37" s="112">
        <f t="shared" ref="D37:H37" si="55">SUM(D36,D34)</f>
        <v>26918693719.7976</v>
      </c>
      <c r="E37" s="112">
        <f t="shared" si="55"/>
        <v>28999578693.090851</v>
      </c>
      <c r="F37" s="112">
        <f t="shared" si="55"/>
        <v>31241705421.158146</v>
      </c>
      <c r="G37" s="112">
        <f t="shared" si="55"/>
        <v>33657587387.651154</v>
      </c>
      <c r="H37" s="22">
        <f t="shared" si="55"/>
        <v>36260710180.291046</v>
      </c>
      <c r="I37" s="52">
        <f t="shared" si="52"/>
        <v>205260754409.9888</v>
      </c>
    </row>
    <row r="38" spans="1:9" x14ac:dyDescent="0.25">
      <c r="A38" s="5" t="str">
        <f>A21</f>
        <v>Cost to Build and Sell (50%)</v>
      </c>
      <c r="B38" s="49">
        <f>'(4) ANALYSIS ASSUMPTIONS'!D17</f>
        <v>-24800</v>
      </c>
      <c r="C38" s="3">
        <f>B38*(1+$B$3)</f>
        <v>-25345.600000000002</v>
      </c>
      <c r="D38" s="3">
        <f t="shared" ref="D38" si="56">C38*(1+$B$3)</f>
        <v>-25903.203200000004</v>
      </c>
      <c r="E38" s="3">
        <f t="shared" ref="E38" si="57">D38*(1+$B$3)</f>
        <v>-26473.073670400005</v>
      </c>
      <c r="F38" s="3">
        <f t="shared" ref="F38" si="58">E38*(1+$B$3)</f>
        <v>-27055.481291148804</v>
      </c>
      <c r="G38" s="3">
        <f t="shared" ref="G38" si="59">F38*(1+$B$3)</f>
        <v>-27650.701879554079</v>
      </c>
      <c r="H38" s="110">
        <f t="shared" ref="H38" si="60">G38*(1+$B$3)</f>
        <v>-28259.01732090427</v>
      </c>
      <c r="I38" s="52">
        <f t="shared" si="52"/>
        <v>-185487.07736200717</v>
      </c>
    </row>
    <row r="39" spans="1:9" x14ac:dyDescent="0.25">
      <c r="A39" s="14" t="s">
        <v>40</v>
      </c>
      <c r="B39" s="24">
        <f>B38*B32</f>
        <v>-11368320000</v>
      </c>
      <c r="C39" s="24">
        <f t="shared" ref="C39:H39" si="61">C38*C32</f>
        <v>-12199344192.000002</v>
      </c>
      <c r="D39" s="24">
        <f t="shared" si="61"/>
        <v>-13091116252.435202</v>
      </c>
      <c r="E39" s="24">
        <f t="shared" si="61"/>
        <v>-14048076850.488216</v>
      </c>
      <c r="F39" s="24">
        <f t="shared" si="61"/>
        <v>-15074991268.258905</v>
      </c>
      <c r="G39" s="24">
        <f t="shared" si="61"/>
        <v>-16176973129.968632</v>
      </c>
      <c r="H39" s="24">
        <f t="shared" si="61"/>
        <v>-17359509865.769341</v>
      </c>
      <c r="I39" s="52">
        <f t="shared" si="52"/>
        <v>-99318331558.920288</v>
      </c>
    </row>
    <row r="40" spans="1:9" x14ac:dyDescent="0.25">
      <c r="A40" s="16" t="s">
        <v>39</v>
      </c>
      <c r="B40" s="24">
        <f>SUM(B37,B39)</f>
        <v>11826720000</v>
      </c>
      <c r="C40" s="24">
        <f t="shared" ref="C40:H40" si="62">SUM(C37,C39)</f>
        <v>12788094815.999998</v>
      </c>
      <c r="D40" s="24">
        <f t="shared" si="62"/>
        <v>13827577467.362398</v>
      </c>
      <c r="E40" s="24">
        <f t="shared" si="62"/>
        <v>14951501842.602634</v>
      </c>
      <c r="F40" s="24">
        <f t="shared" si="62"/>
        <v>16166714152.89924</v>
      </c>
      <c r="G40" s="24">
        <f t="shared" si="62"/>
        <v>17480614257.682522</v>
      </c>
      <c r="H40" s="24">
        <f t="shared" si="62"/>
        <v>18901200314.521706</v>
      </c>
      <c r="I40" s="52">
        <f t="shared" si="52"/>
        <v>105942422851.06851</v>
      </c>
    </row>
    <row r="41" spans="1:9" x14ac:dyDescent="0.25">
      <c r="A41" s="5" t="str">
        <f>A24</f>
        <v>G&amp;A Expenses (13% of Revenue)</v>
      </c>
      <c r="B41" s="24">
        <f>$B$10*B37</f>
        <v>-3015355200</v>
      </c>
      <c r="C41" s="24">
        <f t="shared" ref="C41:H41" si="63">$B$10*C37</f>
        <v>-3248367071.04</v>
      </c>
      <c r="D41" s="24">
        <f t="shared" si="63"/>
        <v>-3499430183.573688</v>
      </c>
      <c r="E41" s="24">
        <f t="shared" si="63"/>
        <v>-3769945230.1018109</v>
      </c>
      <c r="F41" s="24">
        <f t="shared" si="63"/>
        <v>-4061421704.7505593</v>
      </c>
      <c r="G41" s="24">
        <f t="shared" si="63"/>
        <v>-4375486360.3946505</v>
      </c>
      <c r="H41" s="24">
        <f t="shared" si="63"/>
        <v>-4713892323.4378357</v>
      </c>
      <c r="I41" s="52">
        <f t="shared" si="52"/>
        <v>-26683898073.298542</v>
      </c>
    </row>
    <row r="42" spans="1:9" x14ac:dyDescent="0.25">
      <c r="A42" s="5" t="s">
        <v>41</v>
      </c>
      <c r="B42" s="49">
        <f>$B$8</f>
        <v>-750000</v>
      </c>
      <c r="C42" s="24">
        <f t="shared" ref="C42:H42" si="64">$B$8</f>
        <v>-750000</v>
      </c>
      <c r="D42" s="24">
        <f t="shared" si="64"/>
        <v>-750000</v>
      </c>
      <c r="E42" s="24">
        <f t="shared" si="64"/>
        <v>-750000</v>
      </c>
      <c r="F42" s="24">
        <f t="shared" si="64"/>
        <v>-750000</v>
      </c>
      <c r="G42" s="24">
        <f t="shared" si="64"/>
        <v>-750000</v>
      </c>
      <c r="H42" s="24">
        <f t="shared" si="64"/>
        <v>-750000</v>
      </c>
      <c r="I42" s="52">
        <f t="shared" si="52"/>
        <v>-5250000</v>
      </c>
    </row>
    <row r="43" spans="1:9" x14ac:dyDescent="0.25">
      <c r="A43" s="16" t="s">
        <v>42</v>
      </c>
      <c r="B43" s="24">
        <f>B40+B41+B42</f>
        <v>8810614800</v>
      </c>
      <c r="C43" s="24">
        <f t="shared" ref="C43:H43" si="65">C40+C41+C42</f>
        <v>9538977744.9599991</v>
      </c>
      <c r="D43" s="24">
        <f t="shared" si="65"/>
        <v>10327397283.78871</v>
      </c>
      <c r="E43" s="24">
        <f t="shared" si="65"/>
        <v>11180806612.500824</v>
      </c>
      <c r="F43" s="24">
        <f t="shared" si="65"/>
        <v>12104542448.148682</v>
      </c>
      <c r="G43" s="24">
        <f t="shared" si="65"/>
        <v>13104377897.287872</v>
      </c>
      <c r="H43" s="24">
        <f t="shared" si="65"/>
        <v>14186557991.08387</v>
      </c>
      <c r="I43" s="52">
        <f t="shared" si="52"/>
        <v>79253274777.769958</v>
      </c>
    </row>
    <row r="44" spans="1:9" x14ac:dyDescent="0.25">
      <c r="A44" s="5" t="s">
        <v>43</v>
      </c>
      <c r="B44" s="49">
        <f>$B$9</f>
        <v>-120000</v>
      </c>
      <c r="C44" s="24">
        <f t="shared" ref="C44:H44" si="66">$B$9</f>
        <v>-120000</v>
      </c>
      <c r="D44" s="24">
        <f t="shared" si="66"/>
        <v>-120000</v>
      </c>
      <c r="E44" s="24">
        <f t="shared" si="66"/>
        <v>-120000</v>
      </c>
      <c r="F44" s="24">
        <f t="shared" si="66"/>
        <v>-120000</v>
      </c>
      <c r="G44" s="24">
        <f t="shared" si="66"/>
        <v>-120000</v>
      </c>
      <c r="H44" s="24">
        <f t="shared" si="66"/>
        <v>-120000</v>
      </c>
      <c r="I44" s="52">
        <f t="shared" si="52"/>
        <v>-840000</v>
      </c>
    </row>
    <row r="45" spans="1:9" x14ac:dyDescent="0.25">
      <c r="A45" s="16" t="s">
        <v>44</v>
      </c>
      <c r="B45" s="109">
        <f>B43+B44</f>
        <v>8810494800</v>
      </c>
      <c r="C45" s="109">
        <f t="shared" ref="C45:H45" si="67">C43+C44</f>
        <v>9538857744.9599991</v>
      </c>
      <c r="D45" s="109">
        <f t="shared" si="67"/>
        <v>10327277283.78871</v>
      </c>
      <c r="E45" s="109">
        <f t="shared" si="67"/>
        <v>11180686612.500824</v>
      </c>
      <c r="F45" s="109">
        <f t="shared" si="67"/>
        <v>12104422448.148682</v>
      </c>
      <c r="G45" s="109">
        <f t="shared" si="67"/>
        <v>13104257897.287872</v>
      </c>
      <c r="H45" s="109">
        <f t="shared" si="67"/>
        <v>14186437991.08387</v>
      </c>
      <c r="I45" s="53">
        <f>SUM(B45:H45)</f>
        <v>79252434777.769958</v>
      </c>
    </row>
    <row r="46" spans="1:9" ht="14.4" thickBot="1" x14ac:dyDescent="0.3">
      <c r="A46" s="6" t="s">
        <v>28</v>
      </c>
      <c r="B46" s="50">
        <f>B45</f>
        <v>8810494800</v>
      </c>
      <c r="C46" s="50">
        <f t="shared" ref="C46:H46" si="68">C45</f>
        <v>9538857744.9599991</v>
      </c>
      <c r="D46" s="50">
        <f t="shared" si="68"/>
        <v>10327277283.78871</v>
      </c>
      <c r="E46" s="50">
        <f t="shared" si="68"/>
        <v>11180686612.500824</v>
      </c>
      <c r="F46" s="50">
        <f t="shared" si="68"/>
        <v>12104422448.148682</v>
      </c>
      <c r="G46" s="50">
        <f t="shared" si="68"/>
        <v>13104257897.287872</v>
      </c>
      <c r="H46" s="51">
        <f t="shared" si="68"/>
        <v>14186437991.08387</v>
      </c>
      <c r="I46" s="54">
        <f t="shared" ref="I46" si="69">SUM(B46:H46)</f>
        <v>79252434777.769958</v>
      </c>
    </row>
    <row r="47" spans="1:9" ht="15" thickTop="1" thickBot="1" x14ac:dyDescent="0.3">
      <c r="A47" s="58"/>
      <c r="B47" s="58"/>
      <c r="C47" s="58"/>
      <c r="D47" s="58"/>
      <c r="E47" s="58"/>
      <c r="F47" s="58"/>
      <c r="G47" s="58"/>
      <c r="H47" s="58"/>
      <c r="I47" s="58"/>
    </row>
    <row r="48" spans="1:9" ht="16.2" thickBot="1" x14ac:dyDescent="0.35">
      <c r="A48" s="82" t="str">
        <f>A31</f>
        <v>Average Case Scenario (5% Growth)</v>
      </c>
      <c r="B48" s="62" t="s">
        <v>46</v>
      </c>
      <c r="C48" s="62" t="s">
        <v>0</v>
      </c>
      <c r="D48" s="62" t="s">
        <v>1</v>
      </c>
      <c r="E48" s="62" t="s">
        <v>2</v>
      </c>
      <c r="F48" s="62" t="s">
        <v>3</v>
      </c>
      <c r="G48" s="62" t="s">
        <v>4</v>
      </c>
      <c r="H48" s="63" t="s">
        <v>5</v>
      </c>
      <c r="I48" s="64" t="s">
        <v>62</v>
      </c>
    </row>
    <row r="49" spans="1:11" x14ac:dyDescent="0.25">
      <c r="A49" s="5" t="s">
        <v>23</v>
      </c>
      <c r="B49" s="48">
        <f>'(4) ANALYSIS ASSUMPTIONS'!B18</f>
        <v>320000</v>
      </c>
      <c r="C49" s="61">
        <f>B49*(1+$B$1)</f>
        <v>336000</v>
      </c>
      <c r="D49" s="61">
        <f t="shared" ref="D49:H49" si="70">C49*(1+$B$1)</f>
        <v>352800</v>
      </c>
      <c r="E49" s="61">
        <f t="shared" si="70"/>
        <v>370440</v>
      </c>
      <c r="F49" s="61">
        <f t="shared" si="70"/>
        <v>388962</v>
      </c>
      <c r="G49" s="61">
        <f t="shared" si="70"/>
        <v>408410.10000000003</v>
      </c>
      <c r="H49" s="60">
        <f t="shared" si="70"/>
        <v>428830.60500000004</v>
      </c>
      <c r="I49" s="111">
        <f>SUM(B49:H49)</f>
        <v>2605442.7050000001</v>
      </c>
    </row>
    <row r="50" spans="1:11" x14ac:dyDescent="0.25">
      <c r="A50" s="5" t="s">
        <v>6</v>
      </c>
      <c r="B50" s="49">
        <f>'(4) ANALYSIS ASSUMPTIONS'!C18</f>
        <v>52000</v>
      </c>
      <c r="C50" s="3">
        <f>B50*(1+$B$2)</f>
        <v>53378</v>
      </c>
      <c r="D50" s="3">
        <f>C50*(1+$B$2)</f>
        <v>54792.517</v>
      </c>
      <c r="E50" s="3">
        <f>D50*(1+$B$2)</f>
        <v>56244.518700499997</v>
      </c>
      <c r="F50" s="3">
        <f t="shared" ref="F50:H50" si="71">E50*(1+$B$2)</f>
        <v>57734.998446063248</v>
      </c>
      <c r="G50" s="3">
        <f t="shared" si="71"/>
        <v>59264.975904883919</v>
      </c>
      <c r="H50" s="110">
        <f t="shared" si="71"/>
        <v>60835.49776636334</v>
      </c>
      <c r="I50" s="52">
        <f>SUM(B50:H50)</f>
        <v>394250.50781781046</v>
      </c>
      <c r="J50" s="22"/>
      <c r="K50" s="22"/>
    </row>
    <row r="51" spans="1:11" x14ac:dyDescent="0.25">
      <c r="A51" s="14" t="s">
        <v>37</v>
      </c>
      <c r="B51" s="24">
        <f>B50*B49</f>
        <v>16640000000</v>
      </c>
      <c r="C51" s="24">
        <f t="shared" ref="C51" si="72">C50*C49</f>
        <v>17935008000</v>
      </c>
      <c r="D51" s="24">
        <f t="shared" ref="D51" si="73">D50*D49</f>
        <v>19330799997.599998</v>
      </c>
      <c r="E51" s="24">
        <f t="shared" ref="E51" si="74">E50*E49</f>
        <v>20835219507.413219</v>
      </c>
      <c r="F51" s="24">
        <f t="shared" ref="F51" si="75">F50*F49</f>
        <v>22456720465.577652</v>
      </c>
      <c r="G51" s="24">
        <f t="shared" ref="G51" si="76">G50*G49</f>
        <v>24204414735.811234</v>
      </c>
      <c r="H51" s="24">
        <f t="shared" ref="H51" si="77">H50*H49</f>
        <v>26088123312.625744</v>
      </c>
      <c r="I51" s="52">
        <f t="shared" ref="I51:I63" si="78">SUM(B51:H51)</f>
        <v>147490286019.02783</v>
      </c>
      <c r="J51" s="22"/>
      <c r="K51" s="22"/>
    </row>
    <row r="52" spans="1:11" x14ac:dyDescent="0.25">
      <c r="A52" s="5" t="s">
        <v>7</v>
      </c>
      <c r="B52" s="49">
        <f>$B$6</f>
        <v>1000</v>
      </c>
      <c r="C52" s="24">
        <f t="shared" ref="C52:H52" si="79">$B$6</f>
        <v>1000</v>
      </c>
      <c r="D52" s="24">
        <f t="shared" si="79"/>
        <v>1000</v>
      </c>
      <c r="E52" s="24">
        <f t="shared" si="79"/>
        <v>1000</v>
      </c>
      <c r="F52" s="24">
        <f t="shared" si="79"/>
        <v>1000</v>
      </c>
      <c r="G52" s="24">
        <f t="shared" si="79"/>
        <v>1000</v>
      </c>
      <c r="H52" s="24">
        <f t="shared" si="79"/>
        <v>1000</v>
      </c>
      <c r="I52" s="52">
        <f t="shared" si="78"/>
        <v>7000</v>
      </c>
      <c r="J52" s="22"/>
      <c r="K52" s="22"/>
    </row>
    <row r="53" spans="1:11" x14ac:dyDescent="0.25">
      <c r="A53" s="14" t="s">
        <v>38</v>
      </c>
      <c r="B53" s="24">
        <f>B52*B49</f>
        <v>320000000</v>
      </c>
      <c r="C53" s="24">
        <f t="shared" ref="C53" si="80">C52*C49</f>
        <v>336000000</v>
      </c>
      <c r="D53" s="24">
        <f t="shared" ref="D53" si="81">D52*D49</f>
        <v>352800000</v>
      </c>
      <c r="E53" s="24">
        <f t="shared" ref="E53" si="82">E52*E49</f>
        <v>370440000</v>
      </c>
      <c r="F53" s="24">
        <f t="shared" ref="F53" si="83">F52*F49</f>
        <v>388962000</v>
      </c>
      <c r="G53" s="24">
        <f t="shared" ref="G53" si="84">G52*G49</f>
        <v>408410100.00000006</v>
      </c>
      <c r="H53" s="24">
        <f t="shared" ref="H53" si="85">H52*H49</f>
        <v>428830605.00000006</v>
      </c>
      <c r="I53" s="52">
        <f t="shared" si="78"/>
        <v>2605442705</v>
      </c>
      <c r="J53" s="22"/>
      <c r="K53" s="22"/>
    </row>
    <row r="54" spans="1:11" x14ac:dyDescent="0.25">
      <c r="A54" s="15" t="s">
        <v>36</v>
      </c>
      <c r="B54" s="113">
        <f>SUM(B53,B51)</f>
        <v>16960000000</v>
      </c>
      <c r="C54" s="112">
        <f t="shared" ref="C54" si="86">SUM(C53,C51)</f>
        <v>18271008000</v>
      </c>
      <c r="D54" s="112">
        <f t="shared" ref="D54" si="87">SUM(D53,D51)</f>
        <v>19683599997.599998</v>
      </c>
      <c r="E54" s="112">
        <f t="shared" ref="E54" si="88">SUM(E53,E51)</f>
        <v>21205659507.413219</v>
      </c>
      <c r="F54" s="112">
        <f t="shared" ref="F54" si="89">SUM(F53,F51)</f>
        <v>22845682465.577652</v>
      </c>
      <c r="G54" s="112">
        <f t="shared" ref="G54" si="90">SUM(G53,G51)</f>
        <v>24612824835.811234</v>
      </c>
      <c r="H54" s="22">
        <f t="shared" ref="H54" si="91">SUM(H53,H51)</f>
        <v>26516953917.625744</v>
      </c>
      <c r="I54" s="52">
        <f t="shared" si="78"/>
        <v>150095728724.02783</v>
      </c>
      <c r="J54" s="22"/>
      <c r="K54" s="22"/>
    </row>
    <row r="55" spans="1:11" x14ac:dyDescent="0.25">
      <c r="A55" s="5" t="str">
        <f>A38</f>
        <v>Cost to Build and Sell (50%)</v>
      </c>
      <c r="B55" s="49">
        <f>'(4) ANALYSIS ASSUMPTIONS'!D18</f>
        <v>-26000</v>
      </c>
      <c r="C55" s="3">
        <f>B55*(1+$B$3)</f>
        <v>-26572</v>
      </c>
      <c r="D55" s="3">
        <f t="shared" ref="D55:H55" si="92">C55*(1+$B$3)</f>
        <v>-27156.583999999999</v>
      </c>
      <c r="E55" s="3">
        <f t="shared" si="92"/>
        <v>-27754.028847999998</v>
      </c>
      <c r="F55" s="3">
        <f t="shared" si="92"/>
        <v>-28364.617482655998</v>
      </c>
      <c r="G55" s="3">
        <f t="shared" si="92"/>
        <v>-28988.639067274431</v>
      </c>
      <c r="H55" s="110">
        <f t="shared" si="92"/>
        <v>-29626.389126754468</v>
      </c>
      <c r="I55" s="52">
        <f t="shared" si="78"/>
        <v>-194462.25852468488</v>
      </c>
      <c r="J55" s="22"/>
      <c r="K55" s="22"/>
    </row>
    <row r="56" spans="1:11" x14ac:dyDescent="0.25">
      <c r="A56" s="14" t="s">
        <v>40</v>
      </c>
      <c r="B56" s="24">
        <f>B55*B49</f>
        <v>-8320000000</v>
      </c>
      <c r="C56" s="24">
        <f t="shared" ref="C56" si="93">C55*C49</f>
        <v>-8928192000</v>
      </c>
      <c r="D56" s="24">
        <f t="shared" ref="D56" si="94">D55*D49</f>
        <v>-9580842835.1999989</v>
      </c>
      <c r="E56" s="24">
        <f t="shared" ref="E56" si="95">E55*E49</f>
        <v>-10281202446.453119</v>
      </c>
      <c r="F56" s="24">
        <f t="shared" ref="F56" si="96">F55*F49</f>
        <v>-11032758345.288843</v>
      </c>
      <c r="G56" s="24">
        <f t="shared" ref="G56" si="97">G55*G49</f>
        <v>-11839252980.329458</v>
      </c>
      <c r="H56" s="24">
        <f t="shared" ref="H56" si="98">H55*H49</f>
        <v>-12704702373.191542</v>
      </c>
      <c r="I56" s="52">
        <f t="shared" si="78"/>
        <v>-72686950980.462952</v>
      </c>
      <c r="J56" s="22"/>
      <c r="K56" s="22"/>
    </row>
    <row r="57" spans="1:11" x14ac:dyDescent="0.25">
      <c r="A57" s="16" t="s">
        <v>39</v>
      </c>
      <c r="B57" s="24">
        <f>SUM(B54,B56)</f>
        <v>8640000000</v>
      </c>
      <c r="C57" s="24">
        <f t="shared" ref="C57" si="99">SUM(C54,C56)</f>
        <v>9342816000</v>
      </c>
      <c r="D57" s="24">
        <f t="shared" ref="D57" si="100">SUM(D54,D56)</f>
        <v>10102757162.4</v>
      </c>
      <c r="E57" s="24">
        <f t="shared" ref="E57" si="101">SUM(E54,E56)</f>
        <v>10924457060.9601</v>
      </c>
      <c r="F57" s="24">
        <f t="shared" ref="F57" si="102">SUM(F54,F56)</f>
        <v>11812924120.288809</v>
      </c>
      <c r="G57" s="24">
        <f t="shared" ref="G57" si="103">SUM(G54,G56)</f>
        <v>12773571855.481775</v>
      </c>
      <c r="H57" s="24">
        <f t="shared" ref="H57" si="104">SUM(H54,H56)</f>
        <v>13812251544.434202</v>
      </c>
      <c r="I57" s="52">
        <f t="shared" si="78"/>
        <v>77408777743.56488</v>
      </c>
      <c r="J57" s="22"/>
      <c r="K57" s="22"/>
    </row>
    <row r="58" spans="1:11" x14ac:dyDescent="0.25">
      <c r="A58" s="5" t="str">
        <f>A41</f>
        <v>G&amp;A Expenses (13% of Revenue)</v>
      </c>
      <c r="B58" s="24">
        <f>$B$10*B54</f>
        <v>-2204800000</v>
      </c>
      <c r="C58" s="24">
        <f t="shared" ref="C58:H58" si="105">$B$10*C54</f>
        <v>-2375231040</v>
      </c>
      <c r="D58" s="24">
        <f t="shared" si="105"/>
        <v>-2558867999.6879997</v>
      </c>
      <c r="E58" s="24">
        <f t="shared" si="105"/>
        <v>-2756735735.9637184</v>
      </c>
      <c r="F58" s="24">
        <f t="shared" si="105"/>
        <v>-2969938720.525095</v>
      </c>
      <c r="G58" s="24">
        <f t="shared" si="105"/>
        <v>-3199667228.6554604</v>
      </c>
      <c r="H58" s="24">
        <f t="shared" si="105"/>
        <v>-3447204009.291347</v>
      </c>
      <c r="I58" s="52">
        <f t="shared" si="78"/>
        <v>-19512444734.123619</v>
      </c>
      <c r="J58" s="22"/>
      <c r="K58" s="22"/>
    </row>
    <row r="59" spans="1:11" x14ac:dyDescent="0.25">
      <c r="A59" s="5" t="s">
        <v>41</v>
      </c>
      <c r="B59" s="49">
        <f>$B$8</f>
        <v>-750000</v>
      </c>
      <c r="C59" s="24">
        <f t="shared" ref="C59:H59" si="106">$B$8</f>
        <v>-750000</v>
      </c>
      <c r="D59" s="24">
        <f t="shared" si="106"/>
        <v>-750000</v>
      </c>
      <c r="E59" s="24">
        <f t="shared" si="106"/>
        <v>-750000</v>
      </c>
      <c r="F59" s="24">
        <f t="shared" si="106"/>
        <v>-750000</v>
      </c>
      <c r="G59" s="24">
        <f t="shared" si="106"/>
        <v>-750000</v>
      </c>
      <c r="H59" s="24">
        <f t="shared" si="106"/>
        <v>-750000</v>
      </c>
      <c r="I59" s="52">
        <f t="shared" si="78"/>
        <v>-5250000</v>
      </c>
      <c r="J59" s="22"/>
      <c r="K59" s="22"/>
    </row>
    <row r="60" spans="1:11" x14ac:dyDescent="0.25">
      <c r="A60" s="16" t="s">
        <v>42</v>
      </c>
      <c r="B60" s="24">
        <f>B57+B58+B59</f>
        <v>6434450000</v>
      </c>
      <c r="C60" s="24">
        <f t="shared" ref="C60" si="107">C57+C58+C59</f>
        <v>6966834960</v>
      </c>
      <c r="D60" s="24">
        <f t="shared" ref="D60" si="108">D57+D58+D59</f>
        <v>7543139162.7119999</v>
      </c>
      <c r="E60" s="24">
        <f t="shared" ref="E60" si="109">E57+E58+E59</f>
        <v>8166971324.9963818</v>
      </c>
      <c r="F60" s="24">
        <f t="shared" ref="F60" si="110">F57+F58+F59</f>
        <v>8842235399.7637138</v>
      </c>
      <c r="G60" s="24">
        <f t="shared" ref="G60" si="111">G57+G58+G59</f>
        <v>9573154626.8263149</v>
      </c>
      <c r="H60" s="24">
        <f t="shared" ref="H60" si="112">H57+H58+H59</f>
        <v>10364297535.142855</v>
      </c>
      <c r="I60" s="52">
        <f t="shared" si="78"/>
        <v>57891083009.441261</v>
      </c>
      <c r="J60" s="22"/>
      <c r="K60" s="22"/>
    </row>
    <row r="61" spans="1:11" x14ac:dyDescent="0.25">
      <c r="A61" s="5" t="s">
        <v>43</v>
      </c>
      <c r="B61" s="49">
        <f>$B$9</f>
        <v>-120000</v>
      </c>
      <c r="C61" s="24">
        <f t="shared" ref="C61:H61" si="113">$B$9</f>
        <v>-120000</v>
      </c>
      <c r="D61" s="24">
        <f t="shared" si="113"/>
        <v>-120000</v>
      </c>
      <c r="E61" s="24">
        <f t="shared" si="113"/>
        <v>-120000</v>
      </c>
      <c r="F61" s="24">
        <f t="shared" si="113"/>
        <v>-120000</v>
      </c>
      <c r="G61" s="24">
        <f t="shared" si="113"/>
        <v>-120000</v>
      </c>
      <c r="H61" s="24">
        <f t="shared" si="113"/>
        <v>-120000</v>
      </c>
      <c r="I61" s="52">
        <f t="shared" si="78"/>
        <v>-840000</v>
      </c>
      <c r="J61" s="22"/>
      <c r="K61" s="22"/>
    </row>
    <row r="62" spans="1:11" x14ac:dyDescent="0.25">
      <c r="A62" s="16" t="s">
        <v>44</v>
      </c>
      <c r="B62" s="109">
        <f>B60+B61</f>
        <v>6434330000</v>
      </c>
      <c r="C62" s="109">
        <f t="shared" ref="C62" si="114">C60+C61</f>
        <v>6966714960</v>
      </c>
      <c r="D62" s="109">
        <f t="shared" ref="D62" si="115">D60+D61</f>
        <v>7543019162.7119999</v>
      </c>
      <c r="E62" s="109">
        <f t="shared" ref="E62" si="116">E60+E61</f>
        <v>8166851324.9963818</v>
      </c>
      <c r="F62" s="109">
        <f t="shared" ref="F62" si="117">F60+F61</f>
        <v>8842115399.7637138</v>
      </c>
      <c r="G62" s="109">
        <f t="shared" ref="G62" si="118">G60+G61</f>
        <v>9573034626.8263149</v>
      </c>
      <c r="H62" s="109">
        <f t="shared" ref="H62" si="119">H60+H61</f>
        <v>10364177535.142855</v>
      </c>
      <c r="I62" s="53">
        <f t="shared" si="78"/>
        <v>57890243009.441261</v>
      </c>
      <c r="J62" s="22"/>
      <c r="K62" s="22"/>
    </row>
    <row r="63" spans="1:11" ht="14.4" thickBot="1" x14ac:dyDescent="0.3">
      <c r="A63" s="6" t="s">
        <v>29</v>
      </c>
      <c r="B63" s="50">
        <f>B62</f>
        <v>6434330000</v>
      </c>
      <c r="C63" s="50">
        <f t="shared" ref="C63" si="120">C62</f>
        <v>6966714960</v>
      </c>
      <c r="D63" s="50">
        <f t="shared" ref="D63" si="121">D62</f>
        <v>7543019162.7119999</v>
      </c>
      <c r="E63" s="50">
        <f t="shared" ref="E63" si="122">E62</f>
        <v>8166851324.9963818</v>
      </c>
      <c r="F63" s="50">
        <f t="shared" ref="F63" si="123">F62</f>
        <v>8842115399.7637138</v>
      </c>
      <c r="G63" s="50">
        <f t="shared" ref="G63" si="124">G62</f>
        <v>9573034626.8263149</v>
      </c>
      <c r="H63" s="51">
        <f t="shared" ref="H63" si="125">H62</f>
        <v>10364177535.142855</v>
      </c>
      <c r="I63" s="54">
        <f t="shared" si="78"/>
        <v>57890243009.441261</v>
      </c>
    </row>
    <row r="64" spans="1:11" ht="15" thickTop="1" thickBot="1" x14ac:dyDescent="0.3">
      <c r="A64" s="58"/>
      <c r="B64" s="58"/>
      <c r="C64" s="58"/>
      <c r="D64" s="58"/>
      <c r="E64" s="58"/>
      <c r="F64" s="58"/>
      <c r="G64" s="58"/>
      <c r="H64" s="58"/>
      <c r="I64" s="58"/>
    </row>
    <row r="65" spans="1:12" ht="16.2" thickBot="1" x14ac:dyDescent="0.35">
      <c r="A65" s="82" t="str">
        <f>A48</f>
        <v>Average Case Scenario (5% Growth)</v>
      </c>
      <c r="B65" s="62" t="s">
        <v>46</v>
      </c>
      <c r="C65" s="62" t="s">
        <v>0</v>
      </c>
      <c r="D65" s="62" t="s">
        <v>1</v>
      </c>
      <c r="E65" s="62" t="s">
        <v>2</v>
      </c>
      <c r="F65" s="62" t="s">
        <v>3</v>
      </c>
      <c r="G65" s="62" t="s">
        <v>4</v>
      </c>
      <c r="H65" s="63" t="s">
        <v>5</v>
      </c>
      <c r="I65" s="64" t="s">
        <v>62</v>
      </c>
    </row>
    <row r="66" spans="1:12" x14ac:dyDescent="0.25">
      <c r="A66" s="5" t="s">
        <v>24</v>
      </c>
      <c r="B66" s="48">
        <f>'(4) ANALYSIS ASSUMPTIONS'!B19</f>
        <v>258000</v>
      </c>
      <c r="C66" s="61">
        <f>B66*(1+$B$1)</f>
        <v>270900</v>
      </c>
      <c r="D66" s="61">
        <f t="shared" ref="D66:H66" si="126">C66*(1+$B$1)</f>
        <v>284445</v>
      </c>
      <c r="E66" s="61">
        <f t="shared" si="126"/>
        <v>298667.25</v>
      </c>
      <c r="F66" s="61">
        <f t="shared" si="126"/>
        <v>313600.61249999999</v>
      </c>
      <c r="G66" s="61">
        <f t="shared" si="126"/>
        <v>329280.643125</v>
      </c>
      <c r="H66" s="60">
        <f t="shared" si="126"/>
        <v>345744.67528125003</v>
      </c>
      <c r="I66" s="111">
        <f>SUM(B66:H66)</f>
        <v>2100638.1809062501</v>
      </c>
    </row>
    <row r="67" spans="1:12" x14ac:dyDescent="0.25">
      <c r="A67" s="5" t="s">
        <v>6</v>
      </c>
      <c r="B67" s="49">
        <f>'(4) ANALYSIS ASSUMPTIONS'!C19</f>
        <v>56800</v>
      </c>
      <c r="C67" s="3">
        <f>B67*(1+$B$2)</f>
        <v>58305.2</v>
      </c>
      <c r="D67" s="3">
        <f>C67*(1+$B$2)</f>
        <v>59850.287799999998</v>
      </c>
      <c r="E67" s="3">
        <f>D67*(1+$B$2)</f>
        <v>61436.320426699996</v>
      </c>
      <c r="F67" s="3">
        <f t="shared" ref="F67:H67" si="127">E67*(1+$B$2)</f>
        <v>63064.382918007541</v>
      </c>
      <c r="G67" s="3">
        <f t="shared" si="127"/>
        <v>64735.589065334738</v>
      </c>
      <c r="H67" s="110">
        <f t="shared" si="127"/>
        <v>66451.082175566102</v>
      </c>
      <c r="I67" s="52">
        <f>SUM(B67:H67)</f>
        <v>430642.86238560843</v>
      </c>
      <c r="J67" s="22"/>
      <c r="K67" s="22"/>
      <c r="L67" s="22"/>
    </row>
    <row r="68" spans="1:12" x14ac:dyDescent="0.25">
      <c r="A68" s="14" t="s">
        <v>37</v>
      </c>
      <c r="B68" s="24">
        <f>B67*B66</f>
        <v>14654400000</v>
      </c>
      <c r="C68" s="24">
        <f t="shared" ref="C68" si="128">C67*C66</f>
        <v>15794878680</v>
      </c>
      <c r="D68" s="24">
        <f t="shared" ref="D68" si="129">D67*D66</f>
        <v>17024115113.271</v>
      </c>
      <c r="E68" s="24">
        <f t="shared" ref="E68" si="130">E67*E66</f>
        <v>18349016871.961315</v>
      </c>
      <c r="F68" s="24">
        <f t="shared" ref="F68" si="131">F67*F66</f>
        <v>19777029110.021702</v>
      </c>
      <c r="G68" s="24">
        <f t="shared" ref="G68" si="132">G67*G66</f>
        <v>21316176400.50914</v>
      </c>
      <c r="H68" s="24">
        <f t="shared" ref="H68" si="133">H67*H66</f>
        <v>22975107828.878765</v>
      </c>
      <c r="I68" s="52">
        <f t="shared" ref="I68:I80" si="134">SUM(B68:H68)</f>
        <v>129890724004.64192</v>
      </c>
      <c r="J68" s="22"/>
      <c r="K68" s="22"/>
      <c r="L68" s="22"/>
    </row>
    <row r="69" spans="1:12" x14ac:dyDescent="0.25">
      <c r="A69" s="5" t="s">
        <v>7</v>
      </c>
      <c r="B69" s="49">
        <f>$B$6</f>
        <v>1000</v>
      </c>
      <c r="C69" s="24">
        <f t="shared" ref="C69:H69" si="135">$B$6</f>
        <v>1000</v>
      </c>
      <c r="D69" s="24">
        <f t="shared" si="135"/>
        <v>1000</v>
      </c>
      <c r="E69" s="24">
        <f t="shared" si="135"/>
        <v>1000</v>
      </c>
      <c r="F69" s="24">
        <f t="shared" si="135"/>
        <v>1000</v>
      </c>
      <c r="G69" s="24">
        <f t="shared" si="135"/>
        <v>1000</v>
      </c>
      <c r="H69" s="24">
        <f t="shared" si="135"/>
        <v>1000</v>
      </c>
      <c r="I69" s="52">
        <f t="shared" si="134"/>
        <v>7000</v>
      </c>
      <c r="J69" s="22"/>
      <c r="K69" s="22"/>
      <c r="L69" s="22"/>
    </row>
    <row r="70" spans="1:12" x14ac:dyDescent="0.25">
      <c r="A70" s="14" t="s">
        <v>38</v>
      </c>
      <c r="B70" s="24">
        <f>B69*B66</f>
        <v>258000000</v>
      </c>
      <c r="C70" s="24">
        <f t="shared" ref="C70" si="136">C69*C66</f>
        <v>270900000</v>
      </c>
      <c r="D70" s="24">
        <f t="shared" ref="D70" si="137">D69*D66</f>
        <v>284445000</v>
      </c>
      <c r="E70" s="24">
        <f t="shared" ref="E70" si="138">E69*E66</f>
        <v>298667250</v>
      </c>
      <c r="F70" s="24">
        <f t="shared" ref="F70" si="139">F69*F66</f>
        <v>313600612.5</v>
      </c>
      <c r="G70" s="24">
        <f t="shared" ref="G70" si="140">G69*G66</f>
        <v>329280643.125</v>
      </c>
      <c r="H70" s="24">
        <f t="shared" ref="H70" si="141">H69*H66</f>
        <v>345744675.28125006</v>
      </c>
      <c r="I70" s="52">
        <f t="shared" si="134"/>
        <v>2100638180.90625</v>
      </c>
      <c r="J70" s="22"/>
      <c r="K70" s="22"/>
      <c r="L70" s="22"/>
    </row>
    <row r="71" spans="1:12" x14ac:dyDescent="0.25">
      <c r="A71" s="15" t="s">
        <v>36</v>
      </c>
      <c r="B71" s="113">
        <f>SUM(B70,B68)</f>
        <v>14912400000</v>
      </c>
      <c r="C71" s="112">
        <f t="shared" ref="C71" si="142">SUM(C70,C68)</f>
        <v>16065778680</v>
      </c>
      <c r="D71" s="112">
        <f t="shared" ref="D71" si="143">SUM(D70,D68)</f>
        <v>17308560113.271</v>
      </c>
      <c r="E71" s="112">
        <f t="shared" ref="E71" si="144">SUM(E70,E68)</f>
        <v>18647684121.961315</v>
      </c>
      <c r="F71" s="112">
        <f t="shared" ref="F71" si="145">SUM(F70,F68)</f>
        <v>20090629722.521702</v>
      </c>
      <c r="G71" s="112">
        <f t="shared" ref="G71" si="146">SUM(G70,G68)</f>
        <v>21645457043.63414</v>
      </c>
      <c r="H71" s="22">
        <f t="shared" ref="H71" si="147">SUM(H70,H68)</f>
        <v>23320852504.160015</v>
      </c>
      <c r="I71" s="52">
        <f t="shared" si="134"/>
        <v>131991362185.54817</v>
      </c>
      <c r="J71" s="22"/>
      <c r="K71" s="22"/>
      <c r="L71" s="22"/>
    </row>
    <row r="72" spans="1:12" x14ac:dyDescent="0.25">
      <c r="A72" s="5" t="str">
        <f>A55</f>
        <v>Cost to Build and Sell (50%)</v>
      </c>
      <c r="B72" s="49">
        <f>'(4) ANALYSIS ASSUMPTIONS'!D19</f>
        <v>-28400</v>
      </c>
      <c r="C72" s="3">
        <f>B72*(1+$B$3)</f>
        <v>-29024.799999999999</v>
      </c>
      <c r="D72" s="3">
        <f t="shared" ref="D72:H72" si="148">C72*(1+$B$3)</f>
        <v>-29663.345600000001</v>
      </c>
      <c r="E72" s="3">
        <f t="shared" si="148"/>
        <v>-30315.9392032</v>
      </c>
      <c r="F72" s="3">
        <f t="shared" si="148"/>
        <v>-30982.8898656704</v>
      </c>
      <c r="G72" s="3">
        <f t="shared" si="148"/>
        <v>-31664.51344271515</v>
      </c>
      <c r="H72" s="110">
        <f t="shared" si="148"/>
        <v>-32361.132738454882</v>
      </c>
      <c r="I72" s="52">
        <f t="shared" si="134"/>
        <v>-212412.62085004043</v>
      </c>
      <c r="J72" s="22"/>
      <c r="K72" s="22"/>
      <c r="L72" s="22"/>
    </row>
    <row r="73" spans="1:12" x14ac:dyDescent="0.25">
      <c r="A73" s="14" t="s">
        <v>40</v>
      </c>
      <c r="B73" s="24">
        <f>B72*B66</f>
        <v>-7327200000</v>
      </c>
      <c r="C73" s="24">
        <f t="shared" ref="C73" si="149">C72*C66</f>
        <v>-7862818320</v>
      </c>
      <c r="D73" s="24">
        <f t="shared" ref="D73" si="150">D72*D66</f>
        <v>-8437590339.1920004</v>
      </c>
      <c r="E73" s="24">
        <f t="shared" ref="E73" si="151">E72*E66</f>
        <v>-9054378192.9869347</v>
      </c>
      <c r="F73" s="24">
        <f t="shared" ref="F73" si="152">F72*F66</f>
        <v>-9716253238.8942795</v>
      </c>
      <c r="G73" s="24">
        <f t="shared" ref="G73" si="153">G72*G66</f>
        <v>-10426511350.657452</v>
      </c>
      <c r="H73" s="24">
        <f t="shared" ref="H73" si="154">H72*H66</f>
        <v>-11188689330.390512</v>
      </c>
      <c r="I73" s="52">
        <f t="shared" si="134"/>
        <v>-64013440772.121178</v>
      </c>
      <c r="J73" s="22"/>
      <c r="K73" s="22"/>
      <c r="L73" s="22"/>
    </row>
    <row r="74" spans="1:12" x14ac:dyDescent="0.25">
      <c r="A74" s="16" t="s">
        <v>39</v>
      </c>
      <c r="B74" s="24">
        <f>SUM(B71,B73)</f>
        <v>7585200000</v>
      </c>
      <c r="C74" s="24">
        <f t="shared" ref="C74" si="155">SUM(C71,C73)</f>
        <v>8202960360</v>
      </c>
      <c r="D74" s="24">
        <f t="shared" ref="D74" si="156">SUM(D71,D73)</f>
        <v>8870969774.0789986</v>
      </c>
      <c r="E74" s="24">
        <f t="shared" ref="E74" si="157">SUM(E71,E73)</f>
        <v>9593305928.9743805</v>
      </c>
      <c r="F74" s="24">
        <f t="shared" ref="F74" si="158">SUM(F71,F73)</f>
        <v>10374376483.627422</v>
      </c>
      <c r="G74" s="24">
        <f t="shared" ref="G74" si="159">SUM(G71,G73)</f>
        <v>11218945692.976688</v>
      </c>
      <c r="H74" s="24">
        <f t="shared" ref="H74" si="160">SUM(H71,H73)</f>
        <v>12132163173.769503</v>
      </c>
      <c r="I74" s="52">
        <f t="shared" si="134"/>
        <v>67977921413.426987</v>
      </c>
      <c r="J74" s="22"/>
      <c r="K74" s="22"/>
      <c r="L74" s="22"/>
    </row>
    <row r="75" spans="1:12" x14ac:dyDescent="0.25">
      <c r="A75" s="5" t="str">
        <f>A58</f>
        <v>G&amp;A Expenses (13% of Revenue)</v>
      </c>
      <c r="B75" s="24">
        <f>$B$10*B71</f>
        <v>-1938612000</v>
      </c>
      <c r="C75" s="24">
        <f t="shared" ref="C75:H75" si="161">$B$10*C71</f>
        <v>-2088551228.4000001</v>
      </c>
      <c r="D75" s="24">
        <f t="shared" si="161"/>
        <v>-2250112814.7252302</v>
      </c>
      <c r="E75" s="24">
        <f t="shared" si="161"/>
        <v>-2424198935.8549709</v>
      </c>
      <c r="F75" s="24">
        <f t="shared" si="161"/>
        <v>-2611781863.9278212</v>
      </c>
      <c r="G75" s="24">
        <f t="shared" si="161"/>
        <v>-2813909415.6724381</v>
      </c>
      <c r="H75" s="24">
        <f t="shared" si="161"/>
        <v>-3031710825.540802</v>
      </c>
      <c r="I75" s="52">
        <f t="shared" si="134"/>
        <v>-17158877084.121264</v>
      </c>
      <c r="J75" s="22"/>
      <c r="K75" s="22"/>
      <c r="L75" s="22"/>
    </row>
    <row r="76" spans="1:12" x14ac:dyDescent="0.25">
      <c r="A76" s="5" t="s">
        <v>41</v>
      </c>
      <c r="B76" s="49">
        <f>$B$8</f>
        <v>-750000</v>
      </c>
      <c r="C76" s="24">
        <f t="shared" ref="C76:H76" si="162">$B$8</f>
        <v>-750000</v>
      </c>
      <c r="D76" s="24">
        <f t="shared" si="162"/>
        <v>-750000</v>
      </c>
      <c r="E76" s="24">
        <f t="shared" si="162"/>
        <v>-750000</v>
      </c>
      <c r="F76" s="24">
        <f t="shared" si="162"/>
        <v>-750000</v>
      </c>
      <c r="G76" s="24">
        <f t="shared" si="162"/>
        <v>-750000</v>
      </c>
      <c r="H76" s="24">
        <f t="shared" si="162"/>
        <v>-750000</v>
      </c>
      <c r="I76" s="52">
        <f t="shared" si="134"/>
        <v>-5250000</v>
      </c>
      <c r="J76" s="22"/>
      <c r="K76" s="22"/>
      <c r="L76" s="22"/>
    </row>
    <row r="77" spans="1:12" x14ac:dyDescent="0.25">
      <c r="A77" s="16" t="s">
        <v>42</v>
      </c>
      <c r="B77" s="24">
        <f>B74+B75+B76</f>
        <v>5645838000</v>
      </c>
      <c r="C77" s="24">
        <f t="shared" ref="C77" si="163">C74+C75+C76</f>
        <v>6113659131.6000004</v>
      </c>
      <c r="D77" s="24">
        <f t="shared" ref="D77" si="164">D74+D75+D76</f>
        <v>6620106959.3537683</v>
      </c>
      <c r="E77" s="24">
        <f t="shared" ref="E77" si="165">E74+E75+E76</f>
        <v>7168356993.1194096</v>
      </c>
      <c r="F77" s="24">
        <f t="shared" ref="F77" si="166">F74+F75+F76</f>
        <v>7761844619.6996012</v>
      </c>
      <c r="G77" s="24">
        <f t="shared" ref="G77" si="167">G74+G75+G76</f>
        <v>8404286277.3042507</v>
      </c>
      <c r="H77" s="24">
        <f t="shared" ref="H77" si="168">H74+H75+H76</f>
        <v>9099702348.2287006</v>
      </c>
      <c r="I77" s="52">
        <f t="shared" si="134"/>
        <v>50813794329.305733</v>
      </c>
      <c r="J77" s="22"/>
      <c r="K77" s="22"/>
      <c r="L77" s="22"/>
    </row>
    <row r="78" spans="1:12" x14ac:dyDescent="0.25">
      <c r="A78" s="5" t="s">
        <v>43</v>
      </c>
      <c r="B78" s="49">
        <f>$B$9</f>
        <v>-120000</v>
      </c>
      <c r="C78" s="24">
        <f t="shared" ref="C78:H78" si="169">$B$9</f>
        <v>-120000</v>
      </c>
      <c r="D78" s="24">
        <f t="shared" si="169"/>
        <v>-120000</v>
      </c>
      <c r="E78" s="24">
        <f t="shared" si="169"/>
        <v>-120000</v>
      </c>
      <c r="F78" s="24">
        <f t="shared" si="169"/>
        <v>-120000</v>
      </c>
      <c r="G78" s="24">
        <f t="shared" si="169"/>
        <v>-120000</v>
      </c>
      <c r="H78" s="24">
        <f t="shared" si="169"/>
        <v>-120000</v>
      </c>
      <c r="I78" s="52">
        <f t="shared" si="134"/>
        <v>-840000</v>
      </c>
      <c r="J78" s="22"/>
      <c r="K78" s="22"/>
      <c r="L78" s="22"/>
    </row>
    <row r="79" spans="1:12" x14ac:dyDescent="0.25">
      <c r="A79" s="16" t="s">
        <v>44</v>
      </c>
      <c r="B79" s="109">
        <f>B77+B78</f>
        <v>5645718000</v>
      </c>
      <c r="C79" s="109">
        <f t="shared" ref="C79" si="170">C77+C78</f>
        <v>6113539131.6000004</v>
      </c>
      <c r="D79" s="109">
        <f t="shared" ref="D79" si="171">D77+D78</f>
        <v>6619986959.3537683</v>
      </c>
      <c r="E79" s="109">
        <f t="shared" ref="E79" si="172">E77+E78</f>
        <v>7168236993.1194096</v>
      </c>
      <c r="F79" s="109">
        <f t="shared" ref="F79" si="173">F77+F78</f>
        <v>7761724619.6996012</v>
      </c>
      <c r="G79" s="109">
        <f t="shared" ref="G79" si="174">G77+G78</f>
        <v>8404166277.3042507</v>
      </c>
      <c r="H79" s="109">
        <f t="shared" ref="H79" si="175">H77+H78</f>
        <v>9099582348.2287006</v>
      </c>
      <c r="I79" s="53">
        <f t="shared" si="134"/>
        <v>50812954329.305733</v>
      </c>
      <c r="J79" s="22"/>
      <c r="K79" s="22"/>
      <c r="L79" s="22"/>
    </row>
    <row r="80" spans="1:12" ht="14.4" thickBot="1" x14ac:dyDescent="0.3">
      <c r="A80" s="6" t="s">
        <v>30</v>
      </c>
      <c r="B80" s="50">
        <f>B79</f>
        <v>5645718000</v>
      </c>
      <c r="C80" s="50">
        <f t="shared" ref="C80" si="176">C79</f>
        <v>6113539131.6000004</v>
      </c>
      <c r="D80" s="50">
        <f t="shared" ref="D80" si="177">D79</f>
        <v>6619986959.3537683</v>
      </c>
      <c r="E80" s="50">
        <f t="shared" ref="E80" si="178">E79</f>
        <v>7168236993.1194096</v>
      </c>
      <c r="F80" s="50">
        <f t="shared" ref="F80" si="179">F79</f>
        <v>7761724619.6996012</v>
      </c>
      <c r="G80" s="50">
        <f t="shared" ref="G80" si="180">G79</f>
        <v>8404166277.3042507</v>
      </c>
      <c r="H80" s="51">
        <f t="shared" ref="H80" si="181">H79</f>
        <v>9099582348.2287006</v>
      </c>
      <c r="I80" s="54">
        <f t="shared" si="134"/>
        <v>50812954329.305733</v>
      </c>
    </row>
    <row r="81" spans="1:9" ht="15" thickTop="1" thickBot="1" x14ac:dyDescent="0.3">
      <c r="A81" s="59"/>
      <c r="B81" s="58"/>
      <c r="C81" s="58"/>
      <c r="D81" s="58"/>
      <c r="E81" s="58"/>
      <c r="F81" s="58"/>
      <c r="G81" s="58"/>
      <c r="H81" s="58"/>
      <c r="I81" s="58"/>
    </row>
    <row r="82" spans="1:9" ht="16.2" thickBot="1" x14ac:dyDescent="0.35">
      <c r="A82" s="82" t="str">
        <f>A65</f>
        <v>Average Case Scenario (5% Growth)</v>
      </c>
      <c r="B82" s="62" t="s">
        <v>46</v>
      </c>
      <c r="C82" s="62" t="s">
        <v>0</v>
      </c>
      <c r="D82" s="62" t="s">
        <v>1</v>
      </c>
      <c r="E82" s="62" t="s">
        <v>2</v>
      </c>
      <c r="F82" s="62" t="s">
        <v>3</v>
      </c>
      <c r="G82" s="62" t="s">
        <v>4</v>
      </c>
      <c r="H82" s="63" t="s">
        <v>5</v>
      </c>
      <c r="I82" s="64" t="s">
        <v>62</v>
      </c>
    </row>
    <row r="83" spans="1:9" x14ac:dyDescent="0.25">
      <c r="A83" s="5" t="s">
        <v>25</v>
      </c>
      <c r="B83" s="48">
        <f>'(4) ANALYSIS ASSUMPTIONS'!B20</f>
        <v>248000</v>
      </c>
      <c r="C83" s="61">
        <f>B83*(1+$B$1)</f>
        <v>260400</v>
      </c>
      <c r="D83" s="61">
        <f t="shared" ref="D83:H83" si="182">C83*(1+$B$1)</f>
        <v>273420</v>
      </c>
      <c r="E83" s="61">
        <f t="shared" si="182"/>
        <v>287091</v>
      </c>
      <c r="F83" s="61">
        <f t="shared" si="182"/>
        <v>301445.55</v>
      </c>
      <c r="G83" s="61">
        <f t="shared" si="182"/>
        <v>316517.82750000001</v>
      </c>
      <c r="H83" s="60">
        <f t="shared" si="182"/>
        <v>332343.71887500002</v>
      </c>
      <c r="I83" s="111">
        <f>SUM(B83:H83)</f>
        <v>2019218.096375</v>
      </c>
    </row>
    <row r="84" spans="1:9" x14ac:dyDescent="0.25">
      <c r="A84" s="5" t="s">
        <v>6</v>
      </c>
      <c r="B84" s="49">
        <f>'(4) ANALYSIS ASSUMPTIONS'!C20</f>
        <v>62500</v>
      </c>
      <c r="C84" s="3">
        <f>B84*(1+$B$2)</f>
        <v>64156.25</v>
      </c>
      <c r="D84" s="3">
        <f>C84*(1+$B$2)</f>
        <v>65856.390625</v>
      </c>
      <c r="E84" s="3">
        <f>D84*(1+$B$2)</f>
        <v>67601.584976562503</v>
      </c>
      <c r="F84" s="3">
        <f t="shared" ref="F84:H84" si="183">E84*(1+$B$2)</f>
        <v>69393.026978441412</v>
      </c>
      <c r="G84" s="3">
        <f t="shared" si="183"/>
        <v>71231.942193370109</v>
      </c>
      <c r="H84" s="110">
        <f t="shared" si="183"/>
        <v>73119.588661494417</v>
      </c>
      <c r="I84" s="52">
        <f>SUM(B84:H84)</f>
        <v>473858.78343486844</v>
      </c>
    </row>
    <row r="85" spans="1:9" x14ac:dyDescent="0.25">
      <c r="A85" s="14" t="s">
        <v>37</v>
      </c>
      <c r="B85" s="24">
        <f>B84*B83</f>
        <v>15500000000</v>
      </c>
      <c r="C85" s="24">
        <f t="shared" ref="C85" si="184">C84*C83</f>
        <v>16706287500</v>
      </c>
      <c r="D85" s="24">
        <f t="shared" ref="D85" si="185">D84*D83</f>
        <v>18006454324.6875</v>
      </c>
      <c r="E85" s="24">
        <f t="shared" ref="E85" si="186">E84*E83</f>
        <v>19407806632.506306</v>
      </c>
      <c r="F85" s="24">
        <f t="shared" ref="F85" si="187">F84*F83</f>
        <v>20918219183.68111</v>
      </c>
      <c r="G85" s="24">
        <f t="shared" ref="G85" si="188">G84*G83</f>
        <v>22546179591.651093</v>
      </c>
      <c r="H85" s="24">
        <f t="shared" ref="H85" si="189">H84*H83</f>
        <v>24300836018.371338</v>
      </c>
      <c r="I85" s="52">
        <f t="shared" ref="I85:I97" si="190">SUM(B85:H85)</f>
        <v>137385783250.89734</v>
      </c>
    </row>
    <row r="86" spans="1:9" x14ac:dyDescent="0.25">
      <c r="A86" s="5" t="s">
        <v>7</v>
      </c>
      <c r="B86" s="49">
        <f>$B$6</f>
        <v>1000</v>
      </c>
      <c r="C86" s="24">
        <f t="shared" ref="C86:H86" si="191">$B$6</f>
        <v>1000</v>
      </c>
      <c r="D86" s="24">
        <f t="shared" si="191"/>
        <v>1000</v>
      </c>
      <c r="E86" s="24">
        <f t="shared" si="191"/>
        <v>1000</v>
      </c>
      <c r="F86" s="24">
        <f t="shared" si="191"/>
        <v>1000</v>
      </c>
      <c r="G86" s="24">
        <f t="shared" si="191"/>
        <v>1000</v>
      </c>
      <c r="H86" s="24">
        <f t="shared" si="191"/>
        <v>1000</v>
      </c>
      <c r="I86" s="52">
        <f t="shared" si="190"/>
        <v>7000</v>
      </c>
    </row>
    <row r="87" spans="1:9" x14ac:dyDescent="0.25">
      <c r="A87" s="14" t="s">
        <v>38</v>
      </c>
      <c r="B87" s="24">
        <f>B86*B83</f>
        <v>248000000</v>
      </c>
      <c r="C87" s="24">
        <f t="shared" ref="C87" si="192">C86*C83</f>
        <v>260400000</v>
      </c>
      <c r="D87" s="24">
        <f t="shared" ref="D87" si="193">D86*D83</f>
        <v>273420000</v>
      </c>
      <c r="E87" s="24">
        <f t="shared" ref="E87" si="194">E86*E83</f>
        <v>287091000</v>
      </c>
      <c r="F87" s="24">
        <f t="shared" ref="F87" si="195">F86*F83</f>
        <v>301445550</v>
      </c>
      <c r="G87" s="24">
        <f t="shared" ref="G87" si="196">G86*G83</f>
        <v>316517827.5</v>
      </c>
      <c r="H87" s="24">
        <f t="shared" ref="H87" si="197">H86*H83</f>
        <v>332343718.875</v>
      </c>
      <c r="I87" s="52">
        <f t="shared" si="190"/>
        <v>2019218096.375</v>
      </c>
    </row>
    <row r="88" spans="1:9" x14ac:dyDescent="0.25">
      <c r="A88" s="15" t="s">
        <v>36</v>
      </c>
      <c r="B88" s="113">
        <f>SUM(B87,B85)</f>
        <v>15748000000</v>
      </c>
      <c r="C88" s="112">
        <f t="shared" ref="C88" si="198">SUM(C87,C85)</f>
        <v>16966687500</v>
      </c>
      <c r="D88" s="112">
        <f t="shared" ref="D88" si="199">SUM(D87,D85)</f>
        <v>18279874324.6875</v>
      </c>
      <c r="E88" s="112">
        <f t="shared" ref="E88" si="200">SUM(E87,E85)</f>
        <v>19694897632.506306</v>
      </c>
      <c r="F88" s="112">
        <f t="shared" ref="F88" si="201">SUM(F87,F85)</f>
        <v>21219664733.68111</v>
      </c>
      <c r="G88" s="112">
        <f t="shared" ref="G88" si="202">SUM(G87,G85)</f>
        <v>22862697419.151093</v>
      </c>
      <c r="H88" s="22">
        <f t="shared" ref="H88" si="203">SUM(H87,H85)</f>
        <v>24633179737.246338</v>
      </c>
      <c r="I88" s="52">
        <f t="shared" si="190"/>
        <v>139405001347.27234</v>
      </c>
    </row>
    <row r="89" spans="1:9" x14ac:dyDescent="0.25">
      <c r="A89" s="5" t="str">
        <f>A72</f>
        <v>Cost to Build and Sell (50%)</v>
      </c>
      <c r="B89" s="49">
        <f>'(4) ANALYSIS ASSUMPTIONS'!D20</f>
        <v>-31250</v>
      </c>
      <c r="C89" s="3">
        <f>B89*(1+$B$3)</f>
        <v>-31937.5</v>
      </c>
      <c r="D89" s="3">
        <f t="shared" ref="D89:H89" si="204">C89*(1+$B$3)</f>
        <v>-32640.125</v>
      </c>
      <c r="E89" s="3">
        <f t="shared" si="204"/>
        <v>-33358.207750000001</v>
      </c>
      <c r="F89" s="3">
        <f t="shared" si="204"/>
        <v>-34092.088320499999</v>
      </c>
      <c r="G89" s="3">
        <f t="shared" si="204"/>
        <v>-34842.114263550997</v>
      </c>
      <c r="H89" s="110">
        <f t="shared" si="204"/>
        <v>-35608.640777349123</v>
      </c>
      <c r="I89" s="52">
        <f t="shared" si="190"/>
        <v>-233728.6761114001</v>
      </c>
    </row>
    <row r="90" spans="1:9" x14ac:dyDescent="0.25">
      <c r="A90" s="14" t="s">
        <v>40</v>
      </c>
      <c r="B90" s="24">
        <f>B89*B83</f>
        <v>-7750000000</v>
      </c>
      <c r="C90" s="24">
        <f t="shared" ref="C90" si="205">C89*C83</f>
        <v>-8316525000</v>
      </c>
      <c r="D90" s="24">
        <f t="shared" ref="D90" si="206">D89*D83</f>
        <v>-8924462977.5</v>
      </c>
      <c r="E90" s="24">
        <f t="shared" ref="E90" si="207">E89*E83</f>
        <v>-9576841221.1552505</v>
      </c>
      <c r="F90" s="24">
        <f t="shared" ref="F90" si="208">F89*F83</f>
        <v>-10276908314.421698</v>
      </c>
      <c r="G90" s="24">
        <f t="shared" ref="G90" si="209">G89*G83</f>
        <v>-11028150312.205925</v>
      </c>
      <c r="H90" s="24">
        <f t="shared" ref="H90" si="210">H89*H83</f>
        <v>-11834308100.028179</v>
      </c>
      <c r="I90" s="52">
        <f t="shared" si="190"/>
        <v>-67707195925.31105</v>
      </c>
    </row>
    <row r="91" spans="1:9" x14ac:dyDescent="0.25">
      <c r="A91" s="16" t="s">
        <v>39</v>
      </c>
      <c r="B91" s="24">
        <f>SUM(B88,B90)</f>
        <v>7998000000</v>
      </c>
      <c r="C91" s="24">
        <f t="shared" ref="C91" si="211">SUM(C88,C90)</f>
        <v>8650162500</v>
      </c>
      <c r="D91" s="24">
        <f t="shared" ref="D91" si="212">SUM(D88,D90)</f>
        <v>9355411347.1875</v>
      </c>
      <c r="E91" s="24">
        <f t="shared" ref="E91" si="213">SUM(E88,E90)</f>
        <v>10118056411.351055</v>
      </c>
      <c r="F91" s="24">
        <f t="shared" ref="F91" si="214">SUM(F88,F90)</f>
        <v>10942756419.259413</v>
      </c>
      <c r="G91" s="24">
        <f t="shared" ref="G91" si="215">SUM(G88,G90)</f>
        <v>11834547106.945168</v>
      </c>
      <c r="H91" s="24">
        <f t="shared" ref="H91" si="216">SUM(H88,H90)</f>
        <v>12798871637.218159</v>
      </c>
      <c r="I91" s="52">
        <f t="shared" si="190"/>
        <v>71697805421.961304</v>
      </c>
    </row>
    <row r="92" spans="1:9" x14ac:dyDescent="0.25">
      <c r="A92" s="5" t="str">
        <f>A75</f>
        <v>G&amp;A Expenses (13% of Revenue)</v>
      </c>
      <c r="B92" s="24">
        <f>$B$10*B88</f>
        <v>-2047240000</v>
      </c>
      <c r="C92" s="24">
        <f t="shared" ref="C92:H92" si="217">$B$10*C88</f>
        <v>-2205669375</v>
      </c>
      <c r="D92" s="24">
        <f t="shared" si="217"/>
        <v>-2376383662.2093749</v>
      </c>
      <c r="E92" s="24">
        <f t="shared" si="217"/>
        <v>-2560336692.2258201</v>
      </c>
      <c r="F92" s="24">
        <f t="shared" si="217"/>
        <v>-2758556415.3785443</v>
      </c>
      <c r="G92" s="24">
        <f t="shared" si="217"/>
        <v>-2972150664.4896421</v>
      </c>
      <c r="H92" s="24">
        <f t="shared" si="217"/>
        <v>-3202313365.8420238</v>
      </c>
      <c r="I92" s="52">
        <f t="shared" si="190"/>
        <v>-18122650175.145409</v>
      </c>
    </row>
    <row r="93" spans="1:9" x14ac:dyDescent="0.25">
      <c r="A93" s="5" t="s">
        <v>41</v>
      </c>
      <c r="B93" s="49">
        <f>$B$8</f>
        <v>-750000</v>
      </c>
      <c r="C93" s="24">
        <f t="shared" ref="C93:H93" si="218">$B$8</f>
        <v>-750000</v>
      </c>
      <c r="D93" s="24">
        <f t="shared" si="218"/>
        <v>-750000</v>
      </c>
      <c r="E93" s="24">
        <f t="shared" si="218"/>
        <v>-750000</v>
      </c>
      <c r="F93" s="24">
        <f t="shared" si="218"/>
        <v>-750000</v>
      </c>
      <c r="G93" s="24">
        <f t="shared" si="218"/>
        <v>-750000</v>
      </c>
      <c r="H93" s="24">
        <f t="shared" si="218"/>
        <v>-750000</v>
      </c>
      <c r="I93" s="52">
        <f t="shared" si="190"/>
        <v>-5250000</v>
      </c>
    </row>
    <row r="94" spans="1:9" x14ac:dyDescent="0.25">
      <c r="A94" s="16" t="s">
        <v>42</v>
      </c>
      <c r="B94" s="24">
        <f>B91+B92+B93</f>
        <v>5950010000</v>
      </c>
      <c r="C94" s="24">
        <f t="shared" ref="C94" si="219">C91+C92+C93</f>
        <v>6443743125</v>
      </c>
      <c r="D94" s="24">
        <f t="shared" ref="D94" si="220">D91+D92+D93</f>
        <v>6978277684.9781246</v>
      </c>
      <c r="E94" s="24">
        <f t="shared" ref="E94" si="221">E91+E92+E93</f>
        <v>7556969719.1252346</v>
      </c>
      <c r="F94" s="24">
        <f t="shared" ref="F94" si="222">F91+F92+F93</f>
        <v>8183450003.8808689</v>
      </c>
      <c r="G94" s="24">
        <f t="shared" ref="G94" si="223">G91+G92+G93</f>
        <v>8861646442.4555244</v>
      </c>
      <c r="H94" s="24">
        <f t="shared" ref="H94" si="224">H91+H92+H93</f>
        <v>9595808271.3761349</v>
      </c>
      <c r="I94" s="52">
        <f t="shared" si="190"/>
        <v>53569905246.815895</v>
      </c>
    </row>
    <row r="95" spans="1:9" x14ac:dyDescent="0.25">
      <c r="A95" s="5" t="s">
        <v>43</v>
      </c>
      <c r="B95" s="49">
        <f>$B$9</f>
        <v>-120000</v>
      </c>
      <c r="C95" s="24">
        <f t="shared" ref="C95:H95" si="225">$B$9</f>
        <v>-120000</v>
      </c>
      <c r="D95" s="24">
        <f t="shared" si="225"/>
        <v>-120000</v>
      </c>
      <c r="E95" s="24">
        <f t="shared" si="225"/>
        <v>-120000</v>
      </c>
      <c r="F95" s="24">
        <f t="shared" si="225"/>
        <v>-120000</v>
      </c>
      <c r="G95" s="24">
        <f t="shared" si="225"/>
        <v>-120000</v>
      </c>
      <c r="H95" s="24">
        <f t="shared" si="225"/>
        <v>-120000</v>
      </c>
      <c r="I95" s="52">
        <f t="shared" si="190"/>
        <v>-840000</v>
      </c>
    </row>
    <row r="96" spans="1:9" x14ac:dyDescent="0.25">
      <c r="A96" s="16" t="s">
        <v>44</v>
      </c>
      <c r="B96" s="109">
        <f>B94+B95</f>
        <v>5949890000</v>
      </c>
      <c r="C96" s="109">
        <f t="shared" ref="C96" si="226">C94+C95</f>
        <v>6443623125</v>
      </c>
      <c r="D96" s="109">
        <f t="shared" ref="D96" si="227">D94+D95</f>
        <v>6978157684.9781246</v>
      </c>
      <c r="E96" s="109">
        <f t="shared" ref="E96" si="228">E94+E95</f>
        <v>7556849719.1252346</v>
      </c>
      <c r="F96" s="109">
        <f t="shared" ref="F96" si="229">F94+F95</f>
        <v>8183330003.8808689</v>
      </c>
      <c r="G96" s="109">
        <f t="shared" ref="G96" si="230">G94+G95</f>
        <v>8861526442.4555244</v>
      </c>
      <c r="H96" s="109">
        <f t="shared" ref="H96" si="231">H94+H95</f>
        <v>9595688271.3761349</v>
      </c>
      <c r="I96" s="53">
        <f t="shared" si="190"/>
        <v>53569065246.815895</v>
      </c>
    </row>
    <row r="97" spans="1:9" ht="14.4" thickBot="1" x14ac:dyDescent="0.3">
      <c r="A97" s="6" t="s">
        <v>31</v>
      </c>
      <c r="B97" s="50">
        <f>B96</f>
        <v>5949890000</v>
      </c>
      <c r="C97" s="50">
        <f t="shared" ref="C97" si="232">C96</f>
        <v>6443623125</v>
      </c>
      <c r="D97" s="50">
        <f t="shared" ref="D97" si="233">D96</f>
        <v>6978157684.9781246</v>
      </c>
      <c r="E97" s="50">
        <f t="shared" ref="E97" si="234">E96</f>
        <v>7556849719.1252346</v>
      </c>
      <c r="F97" s="50">
        <f t="shared" ref="F97" si="235">F96</f>
        <v>8183330003.8808689</v>
      </c>
      <c r="G97" s="50">
        <f t="shared" ref="G97" si="236">G96</f>
        <v>8861526442.4555244</v>
      </c>
      <c r="H97" s="51">
        <f t="shared" ref="H97" si="237">H96</f>
        <v>9595688271.3761349</v>
      </c>
      <c r="I97" s="54">
        <f t="shared" si="190"/>
        <v>53569065246.815895</v>
      </c>
    </row>
    <row r="98" spans="1:9" ht="15" thickTop="1" thickBot="1" x14ac:dyDescent="0.3">
      <c r="A98" s="58"/>
      <c r="B98" s="58"/>
      <c r="C98" s="58"/>
      <c r="D98" s="58"/>
      <c r="E98" s="58"/>
      <c r="F98" s="58"/>
      <c r="G98" s="58"/>
      <c r="H98" s="58"/>
      <c r="I98" s="58"/>
    </row>
    <row r="99" spans="1:9" ht="16.2" thickBot="1" x14ac:dyDescent="0.35">
      <c r="A99" s="82" t="str">
        <f>A82</f>
        <v>Average Case Scenario (5% Growth)</v>
      </c>
      <c r="B99" s="62" t="s">
        <v>46</v>
      </c>
      <c r="C99" s="62" t="s">
        <v>0</v>
      </c>
      <c r="D99" s="62" t="s">
        <v>1</v>
      </c>
      <c r="E99" s="62" t="s">
        <v>2</v>
      </c>
      <c r="F99" s="62" t="s">
        <v>3</v>
      </c>
      <c r="G99" s="62" t="s">
        <v>4</v>
      </c>
      <c r="H99" s="63" t="s">
        <v>5</v>
      </c>
      <c r="I99" s="64" t="s">
        <v>62</v>
      </c>
    </row>
    <row r="100" spans="1:9" x14ac:dyDescent="0.25">
      <c r="A100" s="5" t="s">
        <v>26</v>
      </c>
      <c r="B100" s="48">
        <f>'(4) ANALYSIS ASSUMPTIONS'!B21</f>
        <v>120962</v>
      </c>
      <c r="C100" s="61">
        <f>B100*(1+$B$1)</f>
        <v>127010.1</v>
      </c>
      <c r="D100" s="61">
        <f t="shared" ref="D100:H100" si="238">C100*(1+$B$1)</f>
        <v>133360.60500000001</v>
      </c>
      <c r="E100" s="61">
        <f t="shared" si="238"/>
        <v>140028.63525000002</v>
      </c>
      <c r="F100" s="61">
        <f t="shared" si="238"/>
        <v>147030.06701250002</v>
      </c>
      <c r="G100" s="61">
        <f t="shared" si="238"/>
        <v>154381.57036312504</v>
      </c>
      <c r="H100" s="60">
        <f t="shared" si="238"/>
        <v>162100.64888128129</v>
      </c>
      <c r="I100" s="111">
        <f>SUM(B100:H100)</f>
        <v>984873.62650690635</v>
      </c>
    </row>
    <row r="101" spans="1:9" x14ac:dyDescent="0.25">
      <c r="A101" s="5" t="s">
        <v>6</v>
      </c>
      <c r="B101" s="49">
        <f>'(4) ANALYSIS ASSUMPTIONS'!C21</f>
        <v>72000</v>
      </c>
      <c r="C101" s="3">
        <f>B101*(1+$B$2)</f>
        <v>73908</v>
      </c>
      <c r="D101" s="3">
        <f>C101*(1+$B$2)</f>
        <v>75866.561999999991</v>
      </c>
      <c r="E101" s="3">
        <f>D101*(1+$B$2)</f>
        <v>77877.025892999984</v>
      </c>
      <c r="F101" s="3">
        <f t="shared" ref="F101:H101" si="239">E101*(1+$B$2)</f>
        <v>79940.767079164478</v>
      </c>
      <c r="G101" s="3">
        <f t="shared" si="239"/>
        <v>82059.197406762338</v>
      </c>
      <c r="H101" s="110">
        <f t="shared" si="239"/>
        <v>84233.766138041537</v>
      </c>
      <c r="I101" s="52">
        <f>SUM(B101:H101)</f>
        <v>545885.3185169684</v>
      </c>
    </row>
    <row r="102" spans="1:9" x14ac:dyDescent="0.25">
      <c r="A102" s="14" t="s">
        <v>37</v>
      </c>
      <c r="B102" s="24">
        <f>B101*B100</f>
        <v>8709264000</v>
      </c>
      <c r="C102" s="24">
        <f t="shared" ref="C102" si="240">C101*C100</f>
        <v>9387062470.8000011</v>
      </c>
      <c r="D102" s="24">
        <f t="shared" ref="D102" si="241">D101*D100</f>
        <v>10117610607.59001</v>
      </c>
      <c r="E102" s="24">
        <f t="shared" ref="E102" si="242">E101*E100</f>
        <v>10905013653.125702</v>
      </c>
      <c r="F102" s="24">
        <f t="shared" ref="F102" si="243">F101*F100</f>
        <v>11753696340.680208</v>
      </c>
      <c r="G102" s="24">
        <f t="shared" ref="G102" si="244">G101*G100</f>
        <v>12668427758.393648</v>
      </c>
      <c r="H102" s="24">
        <f t="shared" ref="H102" si="245">H101*H100</f>
        <v>13654348148.690632</v>
      </c>
      <c r="I102" s="52">
        <f t="shared" ref="I102:I114" si="246">SUM(B102:H102)</f>
        <v>77195422979.280197</v>
      </c>
    </row>
    <row r="103" spans="1:9" x14ac:dyDescent="0.25">
      <c r="A103" s="5" t="s">
        <v>7</v>
      </c>
      <c r="B103" s="49">
        <f>$B$6</f>
        <v>1000</v>
      </c>
      <c r="C103" s="24">
        <f t="shared" ref="C103:H103" si="247">$B$6</f>
        <v>1000</v>
      </c>
      <c r="D103" s="24">
        <f t="shared" si="247"/>
        <v>1000</v>
      </c>
      <c r="E103" s="24">
        <f t="shared" si="247"/>
        <v>1000</v>
      </c>
      <c r="F103" s="24">
        <f t="shared" si="247"/>
        <v>1000</v>
      </c>
      <c r="G103" s="24">
        <f t="shared" si="247"/>
        <v>1000</v>
      </c>
      <c r="H103" s="24">
        <f t="shared" si="247"/>
        <v>1000</v>
      </c>
      <c r="I103" s="52">
        <f t="shared" si="246"/>
        <v>7000</v>
      </c>
    </row>
    <row r="104" spans="1:9" x14ac:dyDescent="0.25">
      <c r="A104" s="14" t="s">
        <v>38</v>
      </c>
      <c r="B104" s="24">
        <f>B103*B100</f>
        <v>120962000</v>
      </c>
      <c r="C104" s="24">
        <f t="shared" ref="C104" si="248">C103*C100</f>
        <v>127010100</v>
      </c>
      <c r="D104" s="24">
        <f t="shared" ref="D104" si="249">D103*D100</f>
        <v>133360605.00000001</v>
      </c>
      <c r="E104" s="24">
        <f t="shared" ref="E104" si="250">E103*E100</f>
        <v>140028635.25000003</v>
      </c>
      <c r="F104" s="24">
        <f t="shared" ref="F104" si="251">F103*F100</f>
        <v>147030067.01250002</v>
      </c>
      <c r="G104" s="24">
        <f t="shared" ref="G104" si="252">G103*G100</f>
        <v>154381570.36312503</v>
      </c>
      <c r="H104" s="24">
        <f t="shared" ref="H104" si="253">H103*H100</f>
        <v>162100648.88128129</v>
      </c>
      <c r="I104" s="52">
        <f t="shared" si="246"/>
        <v>984873626.50690639</v>
      </c>
    </row>
    <row r="105" spans="1:9" x14ac:dyDescent="0.25">
      <c r="A105" s="15" t="s">
        <v>36</v>
      </c>
      <c r="B105" s="113">
        <f>SUM(B104,B102)</f>
        <v>8830226000</v>
      </c>
      <c r="C105" s="112">
        <f t="shared" ref="C105" si="254">SUM(C104,C102)</f>
        <v>9514072570.8000011</v>
      </c>
      <c r="D105" s="112">
        <f t="shared" ref="D105" si="255">SUM(D104,D102)</f>
        <v>10250971212.59001</v>
      </c>
      <c r="E105" s="112">
        <f t="shared" ref="E105" si="256">SUM(E104,E102)</f>
        <v>11045042288.375702</v>
      </c>
      <c r="F105" s="112">
        <f t="shared" ref="F105" si="257">SUM(F104,F102)</f>
        <v>11900726407.692709</v>
      </c>
      <c r="G105" s="112">
        <f t="shared" ref="G105" si="258">SUM(G104,G102)</f>
        <v>12822809328.756773</v>
      </c>
      <c r="H105" s="22">
        <f t="shared" ref="H105" si="259">SUM(H104,H102)</f>
        <v>13816448797.571913</v>
      </c>
      <c r="I105" s="52">
        <f t="shared" si="246"/>
        <v>78180296605.787109</v>
      </c>
    </row>
    <row r="106" spans="1:9" x14ac:dyDescent="0.25">
      <c r="A106" s="5" t="str">
        <f>A89</f>
        <v>Cost to Build and Sell (50%)</v>
      </c>
      <c r="B106" s="49">
        <f>'(4) ANALYSIS ASSUMPTIONS'!D21</f>
        <v>-36000</v>
      </c>
      <c r="C106" s="3">
        <f>B106*(1+$B$3)</f>
        <v>-36792</v>
      </c>
      <c r="D106" s="3">
        <f t="shared" ref="D106:H106" si="260">C106*(1+$B$3)</f>
        <v>-37601.423999999999</v>
      </c>
      <c r="E106" s="3">
        <f t="shared" si="260"/>
        <v>-38428.655328000001</v>
      </c>
      <c r="F106" s="3">
        <f t="shared" si="260"/>
        <v>-39274.085745215998</v>
      </c>
      <c r="G106" s="3">
        <f t="shared" si="260"/>
        <v>-40138.115631610752</v>
      </c>
      <c r="H106" s="110">
        <f t="shared" si="260"/>
        <v>-41021.154175506192</v>
      </c>
      <c r="I106" s="52">
        <f t="shared" si="246"/>
        <v>-269255.43488033296</v>
      </c>
    </row>
    <row r="107" spans="1:9" x14ac:dyDescent="0.25">
      <c r="A107" s="14" t="s">
        <v>40</v>
      </c>
      <c r="B107" s="24">
        <f>B106*B100</f>
        <v>-4354632000</v>
      </c>
      <c r="C107" s="24">
        <f t="shared" ref="C107" si="261">C106*C100</f>
        <v>-4672955599.1999998</v>
      </c>
      <c r="D107" s="24">
        <f t="shared" ref="D107" si="262">D106*D100</f>
        <v>-5014548653.5015202</v>
      </c>
      <c r="E107" s="24">
        <f t="shared" ref="E107" si="263">E106*E100</f>
        <v>-5381112160.0724821</v>
      </c>
      <c r="F107" s="24">
        <f t="shared" ref="F107" si="264">F106*F100</f>
        <v>-5774471458.9737797</v>
      </c>
      <c r="G107" s="24">
        <f t="shared" ref="G107" si="265">G106*G100</f>
        <v>-6196585322.6247644</v>
      </c>
      <c r="H107" s="24">
        <f t="shared" ref="H107" si="266">H106*H100</f>
        <v>-6649555709.7086353</v>
      </c>
      <c r="I107" s="52">
        <f t="shared" si="246"/>
        <v>-38043860904.081177</v>
      </c>
    </row>
    <row r="108" spans="1:9" x14ac:dyDescent="0.25">
      <c r="A108" s="16" t="s">
        <v>39</v>
      </c>
      <c r="B108" s="24">
        <f>SUM(B105,B107)</f>
        <v>4475594000</v>
      </c>
      <c r="C108" s="24">
        <f t="shared" ref="C108" si="267">SUM(C105,C107)</f>
        <v>4841116971.6000013</v>
      </c>
      <c r="D108" s="24">
        <f t="shared" ref="D108" si="268">SUM(D105,D107)</f>
        <v>5236422559.0884895</v>
      </c>
      <c r="E108" s="24">
        <f t="shared" ref="E108" si="269">SUM(E105,E107)</f>
        <v>5663930128.3032198</v>
      </c>
      <c r="F108" s="24">
        <f t="shared" ref="F108" si="270">SUM(F105,F107)</f>
        <v>6126254948.7189293</v>
      </c>
      <c r="G108" s="24">
        <f t="shared" ref="G108" si="271">SUM(G105,G107)</f>
        <v>6626224006.1320086</v>
      </c>
      <c r="H108" s="24">
        <f t="shared" ref="H108" si="272">SUM(H105,H107)</f>
        <v>7166893087.8632774</v>
      </c>
      <c r="I108" s="52">
        <f t="shared" si="246"/>
        <v>40136435701.705925</v>
      </c>
    </row>
    <row r="109" spans="1:9" x14ac:dyDescent="0.25">
      <c r="A109" s="5" t="str">
        <f>A92</f>
        <v>G&amp;A Expenses (13% of Revenue)</v>
      </c>
      <c r="B109" s="24">
        <f>$B$10*B105</f>
        <v>-1147929380</v>
      </c>
      <c r="C109" s="24">
        <f t="shared" ref="C109:H109" si="273">$B$10*C105</f>
        <v>-1236829434.2040002</v>
      </c>
      <c r="D109" s="24">
        <f t="shared" si="273"/>
        <v>-1332626257.6367013</v>
      </c>
      <c r="E109" s="24">
        <f t="shared" si="273"/>
        <v>-1435855497.4888413</v>
      </c>
      <c r="F109" s="24">
        <f t="shared" si="273"/>
        <v>-1547094433.0000522</v>
      </c>
      <c r="G109" s="24">
        <f t="shared" si="273"/>
        <v>-1666965212.7383804</v>
      </c>
      <c r="H109" s="24">
        <f t="shared" si="273"/>
        <v>-1796138343.6843488</v>
      </c>
      <c r="I109" s="52">
        <f t="shared" si="246"/>
        <v>-10163438558.752325</v>
      </c>
    </row>
    <row r="110" spans="1:9" x14ac:dyDescent="0.25">
      <c r="A110" s="5" t="s">
        <v>41</v>
      </c>
      <c r="B110" s="49">
        <f>$B$8</f>
        <v>-750000</v>
      </c>
      <c r="C110" s="24">
        <f t="shared" ref="C110:H110" si="274">$B$8</f>
        <v>-750000</v>
      </c>
      <c r="D110" s="24">
        <f t="shared" si="274"/>
        <v>-750000</v>
      </c>
      <c r="E110" s="24">
        <f t="shared" si="274"/>
        <v>-750000</v>
      </c>
      <c r="F110" s="24">
        <f t="shared" si="274"/>
        <v>-750000</v>
      </c>
      <c r="G110" s="24">
        <f t="shared" si="274"/>
        <v>-750000</v>
      </c>
      <c r="H110" s="24">
        <f t="shared" si="274"/>
        <v>-750000</v>
      </c>
      <c r="I110" s="52">
        <f t="shared" si="246"/>
        <v>-5250000</v>
      </c>
    </row>
    <row r="111" spans="1:9" x14ac:dyDescent="0.25">
      <c r="A111" s="16" t="s">
        <v>42</v>
      </c>
      <c r="B111" s="24">
        <f>B108+B109+B110</f>
        <v>3326914620</v>
      </c>
      <c r="C111" s="24">
        <f t="shared" ref="C111" si="275">C108+C109+C110</f>
        <v>3603537537.3960009</v>
      </c>
      <c r="D111" s="24">
        <f t="shared" ref="D111" si="276">D108+D109+D110</f>
        <v>3903046301.4517879</v>
      </c>
      <c r="E111" s="24">
        <f t="shared" ref="E111" si="277">E108+E109+E110</f>
        <v>4227324630.8143787</v>
      </c>
      <c r="F111" s="24">
        <f t="shared" ref="F111" si="278">F108+F109+F110</f>
        <v>4578410515.7188768</v>
      </c>
      <c r="G111" s="24">
        <f t="shared" ref="G111" si="279">G108+G109+G110</f>
        <v>4958508793.3936281</v>
      </c>
      <c r="H111" s="24">
        <f t="shared" ref="H111" si="280">H108+H109+H110</f>
        <v>5370004744.1789284</v>
      </c>
      <c r="I111" s="52">
        <f t="shared" si="246"/>
        <v>29967747142.953602</v>
      </c>
    </row>
    <row r="112" spans="1:9" x14ac:dyDescent="0.25">
      <c r="A112" s="5" t="s">
        <v>43</v>
      </c>
      <c r="B112" s="49">
        <f>$B$9</f>
        <v>-120000</v>
      </c>
      <c r="C112" s="24">
        <f t="shared" ref="C112:H112" si="281">$B$9</f>
        <v>-120000</v>
      </c>
      <c r="D112" s="24">
        <f t="shared" si="281"/>
        <v>-120000</v>
      </c>
      <c r="E112" s="24">
        <f t="shared" si="281"/>
        <v>-120000</v>
      </c>
      <c r="F112" s="24">
        <f t="shared" si="281"/>
        <v>-120000</v>
      </c>
      <c r="G112" s="24">
        <f t="shared" si="281"/>
        <v>-120000</v>
      </c>
      <c r="H112" s="24">
        <f t="shared" si="281"/>
        <v>-120000</v>
      </c>
      <c r="I112" s="52">
        <f t="shared" si="246"/>
        <v>-840000</v>
      </c>
    </row>
    <row r="113" spans="1:9" x14ac:dyDescent="0.25">
      <c r="A113" s="16" t="s">
        <v>44</v>
      </c>
      <c r="B113" s="109">
        <f>B111+B112</f>
        <v>3326794620</v>
      </c>
      <c r="C113" s="109">
        <f t="shared" ref="C113" si="282">C111+C112</f>
        <v>3603417537.3960009</v>
      </c>
      <c r="D113" s="109">
        <f t="shared" ref="D113" si="283">D111+D112</f>
        <v>3902926301.4517879</v>
      </c>
      <c r="E113" s="109">
        <f t="shared" ref="E113" si="284">E111+E112</f>
        <v>4227204630.8143787</v>
      </c>
      <c r="F113" s="109">
        <f t="shared" ref="F113" si="285">F111+F112</f>
        <v>4578290515.7188768</v>
      </c>
      <c r="G113" s="109">
        <f t="shared" ref="G113" si="286">G111+G112</f>
        <v>4958388793.3936281</v>
      </c>
      <c r="H113" s="109">
        <f t="shared" ref="H113" si="287">H111+H112</f>
        <v>5369884744.1789284</v>
      </c>
      <c r="I113" s="53">
        <f t="shared" si="246"/>
        <v>29966907142.953602</v>
      </c>
    </row>
    <row r="114" spans="1:9" ht="14.4" thickBot="1" x14ac:dyDescent="0.3">
      <c r="A114" s="6" t="s">
        <v>32</v>
      </c>
      <c r="B114" s="50">
        <f>B113</f>
        <v>3326794620</v>
      </c>
      <c r="C114" s="50">
        <f t="shared" ref="C114" si="288">C113</f>
        <v>3603417537.3960009</v>
      </c>
      <c r="D114" s="50">
        <f t="shared" ref="D114" si="289">D113</f>
        <v>3902926301.4517879</v>
      </c>
      <c r="E114" s="50">
        <f t="shared" ref="E114" si="290">E113</f>
        <v>4227204630.8143787</v>
      </c>
      <c r="F114" s="50">
        <f t="shared" ref="F114" si="291">F113</f>
        <v>4578290515.7188768</v>
      </c>
      <c r="G114" s="50">
        <f t="shared" ref="G114" si="292">G113</f>
        <v>4958388793.3936281</v>
      </c>
      <c r="H114" s="51">
        <f t="shared" ref="H114" si="293">H113</f>
        <v>5369884744.1789284</v>
      </c>
      <c r="I114" s="54">
        <f t="shared" si="246"/>
        <v>29966907142.953602</v>
      </c>
    </row>
    <row r="115" spans="1:9" ht="15" thickTop="1" thickBot="1" x14ac:dyDescent="0.3">
      <c r="A115" s="58"/>
      <c r="B115" s="58"/>
      <c r="C115" s="58"/>
      <c r="D115" s="58"/>
      <c r="E115" s="58"/>
      <c r="F115" s="58"/>
      <c r="G115" s="58"/>
      <c r="H115" s="58"/>
      <c r="I115" s="58"/>
    </row>
    <row r="116" spans="1:9" ht="16.2" thickBot="1" x14ac:dyDescent="0.35">
      <c r="A116" s="82" t="str">
        <f>A99</f>
        <v>Average Case Scenario (5% Growth)</v>
      </c>
      <c r="B116" s="62" t="s">
        <v>46</v>
      </c>
      <c r="C116" s="62" t="s">
        <v>0</v>
      </c>
      <c r="D116" s="62" t="s">
        <v>1</v>
      </c>
      <c r="E116" s="62" t="s">
        <v>2</v>
      </c>
      <c r="F116" s="62" t="s">
        <v>3</v>
      </c>
      <c r="G116" s="62" t="s">
        <v>4</v>
      </c>
      <c r="H116" s="63" t="s">
        <v>5</v>
      </c>
      <c r="I116" s="64" t="s">
        <v>62</v>
      </c>
    </row>
    <row r="117" spans="1:9" x14ac:dyDescent="0.25">
      <c r="A117" s="25" t="s">
        <v>27</v>
      </c>
      <c r="B117" s="48">
        <f>'(4) ANALYSIS ASSUMPTIONS'!B22</f>
        <v>86000</v>
      </c>
      <c r="C117" s="61">
        <f>B117*(1+$B$1)</f>
        <v>90300</v>
      </c>
      <c r="D117" s="61">
        <f t="shared" ref="D117:H117" si="294">C117*(1+$B$1)</f>
        <v>94815</v>
      </c>
      <c r="E117" s="61">
        <f t="shared" si="294"/>
        <v>99555.75</v>
      </c>
      <c r="F117" s="61">
        <f t="shared" si="294"/>
        <v>104533.53750000001</v>
      </c>
      <c r="G117" s="61">
        <f t="shared" si="294"/>
        <v>109760.21437500001</v>
      </c>
      <c r="H117" s="60">
        <f t="shared" si="294"/>
        <v>115248.22509375002</v>
      </c>
      <c r="I117" s="111">
        <f>SUM(B117:H117)</f>
        <v>700212.72696875001</v>
      </c>
    </row>
    <row r="118" spans="1:9" x14ac:dyDescent="0.25">
      <c r="A118" s="25" t="s">
        <v>6</v>
      </c>
      <c r="B118" s="49">
        <f>'(4) ANALYSIS ASSUMPTIONS'!C22</f>
        <v>81500</v>
      </c>
      <c r="C118" s="3">
        <f>B118*(1+$B$2)</f>
        <v>83659.75</v>
      </c>
      <c r="D118" s="3">
        <f>C118*(1+$B$2)</f>
        <v>85876.733374999996</v>
      </c>
      <c r="E118" s="3">
        <f>D118*(1+$B$2)</f>
        <v>88152.466809437494</v>
      </c>
      <c r="F118" s="3">
        <f t="shared" ref="F118:H118" si="295">E118*(1+$B$2)</f>
        <v>90488.507179887587</v>
      </c>
      <c r="G118" s="3">
        <f t="shared" si="295"/>
        <v>92886.45262015461</v>
      </c>
      <c r="H118" s="110">
        <f t="shared" si="295"/>
        <v>95347.943614588701</v>
      </c>
      <c r="I118" s="52">
        <f>SUM(B118:H118)</f>
        <v>617911.85359906836</v>
      </c>
    </row>
    <row r="119" spans="1:9" x14ac:dyDescent="0.25">
      <c r="A119" s="26" t="s">
        <v>37</v>
      </c>
      <c r="B119" s="24">
        <f>B118*B117</f>
        <v>7009000000</v>
      </c>
      <c r="C119" s="24">
        <f t="shared" ref="C119" si="296">C118*C117</f>
        <v>7554475425</v>
      </c>
      <c r="D119" s="24">
        <f t="shared" ref="D119" si="297">D118*D117</f>
        <v>8142402474.9506245</v>
      </c>
      <c r="E119" s="24">
        <f t="shared" ref="E119" si="298">E118*E117</f>
        <v>8776084947.5636559</v>
      </c>
      <c r="F119" s="24">
        <f t="shared" ref="F119" si="299">F118*F117</f>
        <v>9459083758.6077995</v>
      </c>
      <c r="G119" s="24">
        <f t="shared" ref="G119" si="300">G118*G117</f>
        <v>10195236952.121452</v>
      </c>
      <c r="H119" s="24">
        <f t="shared" ref="H119" si="301">H118*H117</f>
        <v>10988681267.920303</v>
      </c>
      <c r="I119" s="52">
        <f t="shared" ref="I119:I131" si="302">SUM(B119:H119)</f>
        <v>62124964826.163834</v>
      </c>
    </row>
    <row r="120" spans="1:9" x14ac:dyDescent="0.25">
      <c r="A120" s="25" t="s">
        <v>7</v>
      </c>
      <c r="B120" s="49">
        <f>$B$6</f>
        <v>1000</v>
      </c>
      <c r="C120" s="24">
        <f t="shared" ref="C120:H120" si="303">$B$6</f>
        <v>1000</v>
      </c>
      <c r="D120" s="24">
        <f t="shared" si="303"/>
        <v>1000</v>
      </c>
      <c r="E120" s="24">
        <f t="shared" si="303"/>
        <v>1000</v>
      </c>
      <c r="F120" s="24">
        <f t="shared" si="303"/>
        <v>1000</v>
      </c>
      <c r="G120" s="24">
        <f t="shared" si="303"/>
        <v>1000</v>
      </c>
      <c r="H120" s="24">
        <f t="shared" si="303"/>
        <v>1000</v>
      </c>
      <c r="I120" s="52">
        <f t="shared" si="302"/>
        <v>7000</v>
      </c>
    </row>
    <row r="121" spans="1:9" x14ac:dyDescent="0.25">
      <c r="A121" s="26" t="s">
        <v>38</v>
      </c>
      <c r="B121" s="24">
        <f>B120*B117</f>
        <v>86000000</v>
      </c>
      <c r="C121" s="24">
        <f t="shared" ref="C121" si="304">C120*C117</f>
        <v>90300000</v>
      </c>
      <c r="D121" s="24">
        <f t="shared" ref="D121" si="305">D120*D117</f>
        <v>94815000</v>
      </c>
      <c r="E121" s="24">
        <f t="shared" ref="E121" si="306">E120*E117</f>
        <v>99555750</v>
      </c>
      <c r="F121" s="24">
        <f t="shared" ref="F121" si="307">F120*F117</f>
        <v>104533537.5</v>
      </c>
      <c r="G121" s="24">
        <f t="shared" ref="G121" si="308">G120*G117</f>
        <v>109760214.37500001</v>
      </c>
      <c r="H121" s="24">
        <f t="shared" ref="H121" si="309">H120*H117</f>
        <v>115248225.09375001</v>
      </c>
      <c r="I121" s="52">
        <f t="shared" si="302"/>
        <v>700212726.96875</v>
      </c>
    </row>
    <row r="122" spans="1:9" x14ac:dyDescent="0.25">
      <c r="A122" s="15" t="s">
        <v>36</v>
      </c>
      <c r="B122" s="113">
        <f>SUM(B121,B119)</f>
        <v>7095000000</v>
      </c>
      <c r="C122" s="112">
        <f t="shared" ref="C122" si="310">SUM(C121,C119)</f>
        <v>7644775425</v>
      </c>
      <c r="D122" s="112">
        <f t="shared" ref="D122" si="311">SUM(D121,D119)</f>
        <v>8237217474.9506245</v>
      </c>
      <c r="E122" s="112">
        <f t="shared" ref="E122" si="312">SUM(E121,E119)</f>
        <v>8875640697.5636559</v>
      </c>
      <c r="F122" s="112">
        <f t="shared" ref="F122" si="313">SUM(F121,F119)</f>
        <v>9563617296.1077995</v>
      </c>
      <c r="G122" s="112">
        <f t="shared" ref="G122" si="314">SUM(G121,G119)</f>
        <v>10304997166.496452</v>
      </c>
      <c r="H122" s="22">
        <f t="shared" ref="H122" si="315">SUM(H121,H119)</f>
        <v>11103929493.014053</v>
      </c>
      <c r="I122" s="52">
        <f t="shared" si="302"/>
        <v>62825177553.132584</v>
      </c>
    </row>
    <row r="123" spans="1:9" x14ac:dyDescent="0.25">
      <c r="A123" s="5" t="str">
        <f>A106</f>
        <v>Cost to Build and Sell (50%)</v>
      </c>
      <c r="B123" s="49">
        <f>'(4) ANALYSIS ASSUMPTIONS'!D22</f>
        <v>-40750</v>
      </c>
      <c r="C123" s="3">
        <f>B123*(1+$B$3)</f>
        <v>-41646.5</v>
      </c>
      <c r="D123" s="3">
        <f t="shared" ref="D123:H123" si="316">C123*(1+$B$3)</f>
        <v>-42562.722999999998</v>
      </c>
      <c r="E123" s="3">
        <f t="shared" si="316"/>
        <v>-43499.102906</v>
      </c>
      <c r="F123" s="3">
        <f t="shared" si="316"/>
        <v>-44456.083169932004</v>
      </c>
      <c r="G123" s="3">
        <f t="shared" si="316"/>
        <v>-45434.116999670507</v>
      </c>
      <c r="H123" s="110">
        <f t="shared" si="316"/>
        <v>-46433.667573663261</v>
      </c>
      <c r="I123" s="52">
        <f t="shared" si="302"/>
        <v>-304782.1936492658</v>
      </c>
    </row>
    <row r="124" spans="1:9" x14ac:dyDescent="0.25">
      <c r="A124" s="14" t="s">
        <v>40</v>
      </c>
      <c r="B124" s="24">
        <f>B123*B117</f>
        <v>-3504500000</v>
      </c>
      <c r="C124" s="24">
        <f t="shared" ref="C124" si="317">C123*C117</f>
        <v>-3760678950</v>
      </c>
      <c r="D124" s="24">
        <f t="shared" ref="D124" si="318">D123*D117</f>
        <v>-4035584581.2449999</v>
      </c>
      <c r="E124" s="24">
        <f t="shared" ref="E124" si="319">E123*E117</f>
        <v>-4330585814.1340094</v>
      </c>
      <c r="F124" s="24">
        <f t="shared" ref="F124" si="320">F123*F117</f>
        <v>-4647151637.1472063</v>
      </c>
      <c r="G124" s="24">
        <f t="shared" ref="G124" si="321">G123*G117</f>
        <v>-4986858421.8226671</v>
      </c>
      <c r="H124" s="24">
        <f t="shared" ref="H124" si="322">H123*H117</f>
        <v>-5351397772.4579048</v>
      </c>
      <c r="I124" s="52">
        <f t="shared" si="302"/>
        <v>-30616757176.806786</v>
      </c>
    </row>
    <row r="125" spans="1:9" x14ac:dyDescent="0.25">
      <c r="A125" s="16" t="s">
        <v>39</v>
      </c>
      <c r="B125" s="24">
        <f>SUM(B122,B124)</f>
        <v>3590500000</v>
      </c>
      <c r="C125" s="24">
        <f t="shared" ref="C125" si="323">SUM(C122,C124)</f>
        <v>3884096475</v>
      </c>
      <c r="D125" s="24">
        <f t="shared" ref="D125" si="324">SUM(D122,D124)</f>
        <v>4201632893.7056246</v>
      </c>
      <c r="E125" s="24">
        <f t="shared" ref="E125" si="325">SUM(E122,E124)</f>
        <v>4545054883.4296465</v>
      </c>
      <c r="F125" s="24">
        <f t="shared" ref="F125" si="326">SUM(F122,F124)</f>
        <v>4916465658.9605932</v>
      </c>
      <c r="G125" s="24">
        <f t="shared" ref="G125" si="327">SUM(G122,G124)</f>
        <v>5318138744.6737852</v>
      </c>
      <c r="H125" s="24">
        <f t="shared" ref="H125" si="328">SUM(H122,H124)</f>
        <v>5752531720.5561485</v>
      </c>
      <c r="I125" s="52">
        <f t="shared" si="302"/>
        <v>32208420376.325798</v>
      </c>
    </row>
    <row r="126" spans="1:9" x14ac:dyDescent="0.25">
      <c r="A126" s="5" t="str">
        <f>A109</f>
        <v>G&amp;A Expenses (13% of Revenue)</v>
      </c>
      <c r="B126" s="24">
        <f>$B$10*B122</f>
        <v>-922350000</v>
      </c>
      <c r="C126" s="24">
        <f t="shared" ref="C126:H126" si="329">$B$10*C122</f>
        <v>-993820805.25</v>
      </c>
      <c r="D126" s="24">
        <f t="shared" si="329"/>
        <v>-1070838271.7435812</v>
      </c>
      <c r="E126" s="24">
        <f t="shared" si="329"/>
        <v>-1153833290.6832752</v>
      </c>
      <c r="F126" s="24">
        <f t="shared" si="329"/>
        <v>-1243270248.494014</v>
      </c>
      <c r="G126" s="24">
        <f t="shared" si="329"/>
        <v>-1339649631.6445389</v>
      </c>
      <c r="H126" s="24">
        <f t="shared" si="329"/>
        <v>-1443510834.0918269</v>
      </c>
      <c r="I126" s="52">
        <f t="shared" si="302"/>
        <v>-8167273081.9072361</v>
      </c>
    </row>
    <row r="127" spans="1:9" x14ac:dyDescent="0.25">
      <c r="A127" s="25" t="s">
        <v>41</v>
      </c>
      <c r="B127" s="49">
        <f>$B$8</f>
        <v>-750000</v>
      </c>
      <c r="C127" s="24">
        <f t="shared" ref="C127:H127" si="330">$B$8</f>
        <v>-750000</v>
      </c>
      <c r="D127" s="24">
        <f t="shared" si="330"/>
        <v>-750000</v>
      </c>
      <c r="E127" s="24">
        <f t="shared" si="330"/>
        <v>-750000</v>
      </c>
      <c r="F127" s="24">
        <f t="shared" si="330"/>
        <v>-750000</v>
      </c>
      <c r="G127" s="24">
        <f t="shared" si="330"/>
        <v>-750000</v>
      </c>
      <c r="H127" s="24">
        <f t="shared" si="330"/>
        <v>-750000</v>
      </c>
      <c r="I127" s="52">
        <f t="shared" si="302"/>
        <v>-5250000</v>
      </c>
    </row>
    <row r="128" spans="1:9" x14ac:dyDescent="0.25">
      <c r="A128" s="27" t="s">
        <v>42</v>
      </c>
      <c r="B128" s="24">
        <f>B125+B126+B127</f>
        <v>2667400000</v>
      </c>
      <c r="C128" s="24">
        <f t="shared" ref="C128" si="331">C125+C126+C127</f>
        <v>2889525669.75</v>
      </c>
      <c r="D128" s="24">
        <f t="shared" ref="D128" si="332">D125+D126+D127</f>
        <v>3130044621.9620433</v>
      </c>
      <c r="E128" s="24">
        <f t="shared" ref="E128" si="333">E125+E126+E127</f>
        <v>3390471592.7463713</v>
      </c>
      <c r="F128" s="24">
        <f t="shared" ref="F128" si="334">F125+F126+F127</f>
        <v>3672445410.4665794</v>
      </c>
      <c r="G128" s="24">
        <f t="shared" ref="G128" si="335">G125+G126+G127</f>
        <v>3977739113.0292463</v>
      </c>
      <c r="H128" s="24">
        <f t="shared" ref="H128" si="336">H125+H126+H127</f>
        <v>4308270886.4643211</v>
      </c>
      <c r="I128" s="52">
        <f t="shared" si="302"/>
        <v>24035897294.418564</v>
      </c>
    </row>
    <row r="129" spans="1:13" x14ac:dyDescent="0.25">
      <c r="A129" s="25" t="s">
        <v>43</v>
      </c>
      <c r="B129" s="49">
        <f>$B$9</f>
        <v>-120000</v>
      </c>
      <c r="C129" s="24">
        <f t="shared" ref="C129:H129" si="337">$B$9</f>
        <v>-120000</v>
      </c>
      <c r="D129" s="24">
        <f t="shared" si="337"/>
        <v>-120000</v>
      </c>
      <c r="E129" s="24">
        <f t="shared" si="337"/>
        <v>-120000</v>
      </c>
      <c r="F129" s="24">
        <f t="shared" si="337"/>
        <v>-120000</v>
      </c>
      <c r="G129" s="24">
        <f t="shared" si="337"/>
        <v>-120000</v>
      </c>
      <c r="H129" s="24">
        <f t="shared" si="337"/>
        <v>-120000</v>
      </c>
      <c r="I129" s="52">
        <f t="shared" si="302"/>
        <v>-840000</v>
      </c>
    </row>
    <row r="130" spans="1:13" x14ac:dyDescent="0.25">
      <c r="A130" s="27" t="s">
        <v>44</v>
      </c>
      <c r="B130" s="109">
        <f>B128+B129</f>
        <v>2667280000</v>
      </c>
      <c r="C130" s="109">
        <f t="shared" ref="C130" si="338">C128+C129</f>
        <v>2889405669.75</v>
      </c>
      <c r="D130" s="109">
        <f t="shared" ref="D130" si="339">D128+D129</f>
        <v>3129924621.9620433</v>
      </c>
      <c r="E130" s="109">
        <f t="shared" ref="E130" si="340">E128+E129</f>
        <v>3390351592.7463713</v>
      </c>
      <c r="F130" s="109">
        <f t="shared" ref="F130" si="341">F128+F129</f>
        <v>3672325410.4665794</v>
      </c>
      <c r="G130" s="109">
        <f t="shared" ref="G130" si="342">G128+G129</f>
        <v>3977619113.0292463</v>
      </c>
      <c r="H130" s="109">
        <f t="shared" ref="H130" si="343">H128+H129</f>
        <v>4308150886.4643211</v>
      </c>
      <c r="I130" s="53">
        <f t="shared" si="302"/>
        <v>24035057294.418564</v>
      </c>
    </row>
    <row r="131" spans="1:13" ht="14.4" thickBot="1" x14ac:dyDescent="0.3">
      <c r="A131" s="6" t="s">
        <v>33</v>
      </c>
      <c r="B131" s="50">
        <f>B130</f>
        <v>2667280000</v>
      </c>
      <c r="C131" s="50">
        <f t="shared" ref="C131" si="344">C130</f>
        <v>2889405669.75</v>
      </c>
      <c r="D131" s="50">
        <f t="shared" ref="D131" si="345">D130</f>
        <v>3129924621.9620433</v>
      </c>
      <c r="E131" s="50">
        <f t="shared" ref="E131" si="346">E130</f>
        <v>3390351592.7463713</v>
      </c>
      <c r="F131" s="50">
        <f t="shared" ref="F131" si="347">F130</f>
        <v>3672325410.4665794</v>
      </c>
      <c r="G131" s="50">
        <f t="shared" ref="G131" si="348">G130</f>
        <v>3977619113.0292463</v>
      </c>
      <c r="H131" s="51">
        <f t="shared" ref="H131" si="349">H130</f>
        <v>4308150886.4643211</v>
      </c>
      <c r="I131" s="54">
        <f t="shared" si="302"/>
        <v>24035057294.418564</v>
      </c>
    </row>
    <row r="132" spans="1:13" ht="15" thickTop="1" thickBot="1" x14ac:dyDescent="0.3">
      <c r="A132" s="123"/>
      <c r="B132" s="12"/>
      <c r="C132" s="12"/>
      <c r="D132" s="12"/>
      <c r="E132" s="12"/>
      <c r="F132" s="12"/>
      <c r="G132" s="12"/>
      <c r="H132" s="12"/>
      <c r="I132" s="2"/>
    </row>
    <row r="133" spans="1:13" x14ac:dyDescent="0.25">
      <c r="A133" s="85" t="s">
        <v>64</v>
      </c>
      <c r="B133" s="88">
        <f>B23+B40+B57+B74+B91+B108+B125</f>
        <v>58180014000</v>
      </c>
      <c r="C133" s="88">
        <f t="shared" ref="C133:H133" si="350">C23+C40+C57+C74+C91+C108+C125</f>
        <v>62915156022.599998</v>
      </c>
      <c r="D133" s="88">
        <f t="shared" si="350"/>
        <v>68035298058.970505</v>
      </c>
      <c r="E133" s="88">
        <f t="shared" si="350"/>
        <v>73571674739.710007</v>
      </c>
      <c r="F133" s="88">
        <f t="shared" si="350"/>
        <v>79558047852.174194</v>
      </c>
      <c r="G133" s="88">
        <f t="shared" si="350"/>
        <v>86030910224.466858</v>
      </c>
      <c r="H133" s="88">
        <f t="shared" si="350"/>
        <v>93029706011.953644</v>
      </c>
      <c r="I133" s="89">
        <f>SUM(B133:H133)</f>
        <v>521320806909.87524</v>
      </c>
      <c r="J133" s="22"/>
      <c r="K133" s="22"/>
      <c r="L133" s="22"/>
      <c r="M133" s="22"/>
    </row>
    <row r="134" spans="1:13" ht="14.4" thickBot="1" x14ac:dyDescent="0.3">
      <c r="A134" s="86" t="s">
        <v>65</v>
      </c>
      <c r="B134" s="90">
        <f>B25+B42+B59+B76+B93+B110+B127</f>
        <v>-5250000</v>
      </c>
      <c r="C134" s="90">
        <f t="shared" ref="C134:H134" si="351">C25+C42+C59+C76+C93+C110+C127</f>
        <v>-5250000</v>
      </c>
      <c r="D134" s="90">
        <f t="shared" si="351"/>
        <v>-5250000</v>
      </c>
      <c r="E134" s="90">
        <f t="shared" si="351"/>
        <v>-5250000</v>
      </c>
      <c r="F134" s="90">
        <f t="shared" si="351"/>
        <v>-5250000</v>
      </c>
      <c r="G134" s="90">
        <f t="shared" si="351"/>
        <v>-5250000</v>
      </c>
      <c r="H134" s="90">
        <f t="shared" si="351"/>
        <v>-5250000</v>
      </c>
      <c r="I134" s="91">
        <f>SUM(B134:H134)</f>
        <v>-36750000</v>
      </c>
      <c r="J134" s="22"/>
      <c r="K134" s="22"/>
      <c r="L134" s="22"/>
      <c r="M134" s="22"/>
    </row>
    <row r="135" spans="1:13" ht="14.4" thickBot="1" x14ac:dyDescent="0.3">
      <c r="A135" s="86" t="s">
        <v>101</v>
      </c>
      <c r="B135" s="90">
        <f>B28+B45+B62+B79+B96+B113+B130</f>
        <v>43317177420</v>
      </c>
      <c r="C135" s="90">
        <f t="shared" ref="C135:H135" si="352">C28+C45+C62+C79+C96+C113+C130</f>
        <v>46903607477.706001</v>
      </c>
      <c r="D135" s="90">
        <f t="shared" si="352"/>
        <v>50786014757.399361</v>
      </c>
      <c r="E135" s="90">
        <f t="shared" si="352"/>
        <v>54988724476.752266</v>
      </c>
      <c r="F135" s="90">
        <f t="shared" si="352"/>
        <v>59538052224.425354</v>
      </c>
      <c r="G135" s="90">
        <f t="shared" si="352"/>
        <v>64462466115.670769</v>
      </c>
      <c r="H135" s="90">
        <f t="shared" si="352"/>
        <v>69792762105.294357</v>
      </c>
      <c r="I135" s="91">
        <f>SUM(B135:H135)</f>
        <v>389788804577.24811</v>
      </c>
      <c r="J135" s="22"/>
      <c r="K135" s="22"/>
      <c r="L135" s="22"/>
      <c r="M135" s="22"/>
    </row>
    <row r="136" spans="1:13" ht="14.4" thickBot="1" x14ac:dyDescent="0.3">
      <c r="A136" s="87" t="s">
        <v>66</v>
      </c>
      <c r="B136" s="92">
        <f>B135-B134</f>
        <v>43322427420</v>
      </c>
      <c r="C136" s="92">
        <f t="shared" ref="C136:H136" si="353">C135-C134</f>
        <v>46908857477.706001</v>
      </c>
      <c r="D136" s="92">
        <f t="shared" si="353"/>
        <v>50791264757.399361</v>
      </c>
      <c r="E136" s="92">
        <f t="shared" si="353"/>
        <v>54993974476.752266</v>
      </c>
      <c r="F136" s="92">
        <f t="shared" si="353"/>
        <v>59543302224.425354</v>
      </c>
      <c r="G136" s="92">
        <f t="shared" si="353"/>
        <v>64467716115.670769</v>
      </c>
      <c r="H136" s="92">
        <f t="shared" si="353"/>
        <v>69798012105.294357</v>
      </c>
      <c r="I136" s="93">
        <f>SUM(B136:H136)</f>
        <v>389825554577.24811</v>
      </c>
    </row>
    <row r="137" spans="1:13" s="43" customFormat="1" ht="14.4" thickBot="1" x14ac:dyDescent="0.3">
      <c r="A137" s="44" t="s">
        <v>48</v>
      </c>
      <c r="B137" s="42" t="s">
        <v>48</v>
      </c>
      <c r="C137" s="42" t="s">
        <v>48</v>
      </c>
      <c r="D137" s="42" t="s">
        <v>48</v>
      </c>
      <c r="E137" s="42" t="s">
        <v>48</v>
      </c>
      <c r="F137" s="42" t="s">
        <v>48</v>
      </c>
      <c r="G137" s="42" t="s">
        <v>48</v>
      </c>
      <c r="H137" s="42" t="s">
        <v>48</v>
      </c>
      <c r="I137" s="42" t="s">
        <v>48</v>
      </c>
    </row>
    <row r="138" spans="1:13" ht="14.4" thickBot="1" x14ac:dyDescent="0.3">
      <c r="A138" s="23" t="s">
        <v>110</v>
      </c>
      <c r="B138" s="33">
        <f>B136</f>
        <v>43322427420</v>
      </c>
      <c r="C138" s="33">
        <f>C136/((1+$B$11)^1)</f>
        <v>44253639129.911324</v>
      </c>
      <c r="D138" s="33">
        <f>D136/((1+$B$11)^2)</f>
        <v>45204044817.906151</v>
      </c>
      <c r="E138" s="33">
        <f>E136/((1+$B$11)^3)</f>
        <v>46174001421.267433</v>
      </c>
      <c r="F138" s="33">
        <f>F136/((1+$B$11)^4)</f>
        <v>47163872380.23365</v>
      </c>
      <c r="G138" s="33">
        <f>G136/((1+$B$11)^5)</f>
        <v>48174027753.443787</v>
      </c>
      <c r="H138" s="33">
        <f>H136/((1+$B$11)^6)</f>
        <v>49204844335.36338</v>
      </c>
      <c r="I138" s="33">
        <f>SUM(B138:H138)</f>
        <v>323496857258.12573</v>
      </c>
      <c r="J138" s="22"/>
      <c r="K138" s="22"/>
      <c r="L138" s="22"/>
    </row>
    <row r="139" spans="1:13" ht="14.4" thickBot="1" x14ac:dyDescent="0.3">
      <c r="A139" s="7" t="s">
        <v>52</v>
      </c>
      <c r="B139" s="8">
        <f>SUM(B138:H138)</f>
        <v>323496857258.12573</v>
      </c>
      <c r="C139" s="42">
        <f>B139-I138</f>
        <v>0</v>
      </c>
      <c r="D139" s="116" t="s">
        <v>100</v>
      </c>
    </row>
    <row r="140" spans="1:13" ht="14.4" thickBot="1" x14ac:dyDescent="0.3">
      <c r="A140" s="114" t="s">
        <v>99</v>
      </c>
      <c r="B140" s="115">
        <f>SUM(B135:H135)</f>
        <v>389788804577.24811</v>
      </c>
      <c r="C140" s="42">
        <f>B140-I135</f>
        <v>0</v>
      </c>
      <c r="D140" s="116" t="s">
        <v>100</v>
      </c>
    </row>
    <row r="141" spans="1:13" ht="14.4" thickBot="1" x14ac:dyDescent="0.3">
      <c r="A141" s="9" t="s">
        <v>35</v>
      </c>
      <c r="B141" s="10">
        <f>I15+I32+I49+I66+I83+I100+I117</f>
        <v>16913898.964200657</v>
      </c>
    </row>
    <row r="142" spans="1:13" ht="14.4" thickBot="1" x14ac:dyDescent="0.3">
      <c r="A142" s="11" t="s">
        <v>109</v>
      </c>
      <c r="B142" s="47">
        <f>B139/B141</f>
        <v>19126.096114374777</v>
      </c>
    </row>
    <row r="144" spans="1:13" ht="14.4" thickBot="1" x14ac:dyDescent="0.3">
      <c r="A144" s="45" t="s">
        <v>67</v>
      </c>
      <c r="B144" s="46">
        <f>B140/B141</f>
        <v>23045.473158037712</v>
      </c>
    </row>
  </sheetData>
  <mergeCells count="1">
    <mergeCell ref="A13:I1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1A3EC-2FF8-41D1-9350-74C64C464198}">
  <sheetPr>
    <tabColor theme="9" tint="0.59999389629810485"/>
  </sheetPr>
  <dimension ref="B1:AU107"/>
  <sheetViews>
    <sheetView showGridLines="0" tabSelected="1" topLeftCell="U2" zoomScale="52" zoomScaleNormal="52" workbookViewId="0">
      <selection activeCell="AQ15" sqref="AQ15"/>
    </sheetView>
  </sheetViews>
  <sheetFormatPr defaultColWidth="15.44140625" defaultRowHeight="21.75" customHeight="1" x14ac:dyDescent="0.35"/>
  <cols>
    <col min="1" max="1" width="6" style="18" customWidth="1"/>
    <col min="2" max="2" width="8.44140625" style="18" customWidth="1"/>
    <col min="3" max="3" width="35.109375" style="18" customWidth="1"/>
    <col min="4" max="4" width="31.109375" style="18" customWidth="1"/>
    <col min="5" max="5" width="36" style="18" customWidth="1"/>
    <col min="6" max="6" width="15.44140625" style="18"/>
    <col min="7" max="8" width="25" style="18" customWidth="1"/>
    <col min="9" max="9" width="23.44140625" style="18" customWidth="1"/>
    <col min="10" max="10" width="7.109375" style="18" customWidth="1"/>
    <col min="11" max="11" width="36" style="125" customWidth="1"/>
    <col min="12" max="12" width="44.44140625" style="125" customWidth="1"/>
    <col min="13" max="13" width="7.44140625" style="18" customWidth="1"/>
    <col min="14" max="14" width="5" style="18" customWidth="1"/>
    <col min="15" max="15" width="13.33203125" style="18" customWidth="1"/>
    <col min="16" max="16" width="18.109375" style="18" customWidth="1"/>
    <col min="17" max="18" width="15.44140625" style="18"/>
    <col min="19" max="19" width="17" style="18" bestFit="1" customWidth="1"/>
    <col min="20" max="24" width="15.44140625" style="18"/>
    <col min="25" max="25" width="8.5546875" style="18" customWidth="1"/>
    <col min="26" max="26" width="3.109375" style="18" customWidth="1"/>
    <col min="27" max="27" width="3.5546875" style="18" customWidth="1"/>
    <col min="28" max="32" width="15.44140625" style="18"/>
    <col min="33" max="33" width="10.6640625" style="18" customWidth="1"/>
    <col min="34" max="34" width="2" style="18" customWidth="1"/>
    <col min="35" max="35" width="5" style="18" customWidth="1"/>
    <col min="36" max="36" width="2" customWidth="1"/>
    <col min="38" max="38" width="13" style="126" customWidth="1"/>
    <col min="39" max="42" width="21.88671875" style="126" customWidth="1"/>
    <col min="43" max="43" width="21" style="126" customWidth="1"/>
    <col min="44" max="47" width="15.44140625" style="126"/>
    <col min="48" max="16384" width="15.44140625" style="18"/>
  </cols>
  <sheetData>
    <row r="1" spans="2:43" ht="21.75" customHeight="1" x14ac:dyDescent="0.35">
      <c r="AJ1" s="126"/>
      <c r="AK1" s="126"/>
    </row>
    <row r="2" spans="2:43" ht="26.25" customHeight="1" x14ac:dyDescent="0.4">
      <c r="B2" s="127" t="s">
        <v>156</v>
      </c>
      <c r="F2" s="128"/>
      <c r="K2" s="129"/>
      <c r="L2" s="129"/>
      <c r="M2" s="130"/>
      <c r="P2" s="131" t="s">
        <v>164</v>
      </c>
      <c r="AL2" s="131" t="s">
        <v>180</v>
      </c>
    </row>
    <row r="3" spans="2:43" ht="21.75" customHeight="1" x14ac:dyDescent="0.35">
      <c r="B3" s="132" t="s">
        <v>111</v>
      </c>
      <c r="K3" s="129"/>
      <c r="L3" s="129"/>
      <c r="M3" s="130"/>
      <c r="P3" s="131" t="s">
        <v>165</v>
      </c>
      <c r="AL3" s="133" t="s">
        <v>113</v>
      </c>
      <c r="AM3" s="134"/>
      <c r="AN3" s="135"/>
      <c r="AO3" s="135"/>
      <c r="AP3" s="135"/>
      <c r="AQ3" s="135"/>
    </row>
    <row r="4" spans="2:43" ht="25.5" customHeight="1" x14ac:dyDescent="0.35">
      <c r="K4" s="129"/>
      <c r="L4" s="129"/>
      <c r="M4" s="130"/>
      <c r="P4" s="131" t="s">
        <v>166</v>
      </c>
      <c r="S4" s="161">
        <v>75000</v>
      </c>
      <c r="AL4" s="133"/>
      <c r="AM4" s="137" t="s">
        <v>115</v>
      </c>
      <c r="AN4" s="138">
        <f>CORREL(AO15:AO21,AM15:AM21)</f>
        <v>-0.91615683417452687</v>
      </c>
      <c r="AO4" s="139" t="s">
        <v>116</v>
      </c>
      <c r="AP4" s="135"/>
      <c r="AQ4" s="135"/>
    </row>
    <row r="5" spans="2:43" ht="22.5" customHeight="1" x14ac:dyDescent="0.35">
      <c r="B5" s="140">
        <v>-1</v>
      </c>
      <c r="C5" s="21" t="s">
        <v>163</v>
      </c>
      <c r="K5" s="129"/>
      <c r="L5" s="129"/>
      <c r="M5" s="130"/>
      <c r="P5" s="131"/>
      <c r="S5" s="161"/>
      <c r="U5"/>
      <c r="V5"/>
      <c r="W5"/>
      <c r="X5"/>
      <c r="AL5" s="133"/>
      <c r="AM5" s="137" t="s">
        <v>115</v>
      </c>
      <c r="AN5" s="138">
        <f>-Q11</f>
        <v>-0.91615683417452676</v>
      </c>
      <c r="AO5" s="141" t="s">
        <v>117</v>
      </c>
      <c r="AP5" s="135"/>
      <c r="AQ5" s="135"/>
    </row>
    <row r="6" spans="2:43" ht="22.5" customHeight="1" x14ac:dyDescent="0.35">
      <c r="B6" s="140">
        <f>B5-1</f>
        <v>-2</v>
      </c>
      <c r="C6" s="21" t="s">
        <v>157</v>
      </c>
      <c r="K6" s="129"/>
      <c r="L6" s="129"/>
      <c r="M6" s="130"/>
      <c r="P6" s="162" t="s">
        <v>112</v>
      </c>
      <c r="T6"/>
      <c r="U6"/>
      <c r="V6"/>
      <c r="W6"/>
      <c r="X6"/>
      <c r="AM6" s="137" t="s">
        <v>118</v>
      </c>
      <c r="AN6" s="138">
        <f>Q25</f>
        <v>-12.670715527656595</v>
      </c>
    </row>
    <row r="7" spans="2:43" ht="22.5" customHeight="1" x14ac:dyDescent="0.45">
      <c r="B7" s="140">
        <f t="shared" ref="B7:B11" si="0">B6-1</f>
        <v>-3</v>
      </c>
      <c r="C7" s="21" t="s">
        <v>158</v>
      </c>
      <c r="K7" s="129"/>
      <c r="L7" s="129"/>
      <c r="M7" s="130"/>
      <c r="P7" s="136" t="s">
        <v>114</v>
      </c>
      <c r="Q7"/>
      <c r="R7"/>
      <c r="S7"/>
      <c r="T7"/>
      <c r="U7"/>
      <c r="V7"/>
      <c r="W7"/>
      <c r="X7"/>
      <c r="AM7" s="137" t="s">
        <v>120</v>
      </c>
      <c r="AN7" s="142">
        <f>Q24</f>
        <v>1057732.9725466904</v>
      </c>
      <c r="AO7" s="143"/>
      <c r="AP7" s="143"/>
      <c r="AQ7" s="143"/>
    </row>
    <row r="8" spans="2:43" ht="22.5" customHeight="1" x14ac:dyDescent="0.45">
      <c r="B8" s="140">
        <f t="shared" si="0"/>
        <v>-4</v>
      </c>
      <c r="C8" s="21" t="s">
        <v>125</v>
      </c>
      <c r="K8" s="129"/>
      <c r="L8" s="129"/>
      <c r="M8" s="130"/>
      <c r="P8" s="186" t="s">
        <v>114</v>
      </c>
      <c r="Q8"/>
      <c r="R8"/>
      <c r="S8"/>
      <c r="T8"/>
      <c r="U8"/>
      <c r="V8"/>
      <c r="W8"/>
      <c r="X8"/>
      <c r="AM8" s="137"/>
      <c r="AN8" s="144"/>
      <c r="AO8" s="143"/>
      <c r="AP8" s="143"/>
      <c r="AQ8" s="143"/>
    </row>
    <row r="9" spans="2:43" ht="22.5" customHeight="1" thickBot="1" x14ac:dyDescent="0.4">
      <c r="B9" s="140">
        <f t="shared" si="0"/>
        <v>-5</v>
      </c>
      <c r="C9" s="21" t="s">
        <v>182</v>
      </c>
      <c r="K9" s="129"/>
      <c r="L9" s="129"/>
      <c r="M9" s="130"/>
      <c r="P9"/>
      <c r="Q9"/>
      <c r="R9"/>
      <c r="S9"/>
      <c r="T9"/>
      <c r="U9"/>
      <c r="V9"/>
      <c r="W9"/>
      <c r="X9"/>
      <c r="AL9" s="133" t="s">
        <v>123</v>
      </c>
      <c r="AM9" s="137"/>
      <c r="AN9" s="144"/>
      <c r="AO9" s="143"/>
      <c r="AP9" s="143"/>
      <c r="AQ9" s="143"/>
    </row>
    <row r="10" spans="2:43" ht="22.5" customHeight="1" x14ac:dyDescent="0.35">
      <c r="B10" s="140">
        <f t="shared" si="0"/>
        <v>-6</v>
      </c>
      <c r="C10" s="21" t="s">
        <v>159</v>
      </c>
      <c r="K10" s="129"/>
      <c r="L10" s="129"/>
      <c r="M10" s="130"/>
      <c r="P10" s="165" t="s">
        <v>119</v>
      </c>
      <c r="Q10" s="165"/>
      <c r="R10"/>
      <c r="S10"/>
      <c r="T10"/>
      <c r="U10"/>
      <c r="V10"/>
      <c r="W10"/>
      <c r="X10"/>
      <c r="AM10" s="137" t="s">
        <v>183</v>
      </c>
      <c r="AN10" s="145">
        <f>S4</f>
        <v>75000</v>
      </c>
      <c r="AO10" s="143"/>
      <c r="AP10" s="143"/>
      <c r="AQ10" s="143"/>
    </row>
    <row r="11" spans="2:43" ht="22.5" customHeight="1" x14ac:dyDescent="0.35">
      <c r="B11" s="140">
        <f t="shared" si="0"/>
        <v>-7</v>
      </c>
      <c r="C11" s="21" t="s">
        <v>181</v>
      </c>
      <c r="K11" s="129"/>
      <c r="L11" s="129"/>
      <c r="M11" s="130"/>
      <c r="P11" t="s">
        <v>121</v>
      </c>
      <c r="Q11" s="187">
        <v>0.91615683417452676</v>
      </c>
      <c r="R11"/>
      <c r="S11"/>
      <c r="T11"/>
      <c r="U11"/>
      <c r="V11"/>
      <c r="W11"/>
      <c r="X11"/>
      <c r="AM11" s="137" t="s">
        <v>184</v>
      </c>
      <c r="AN11" s="166">
        <f>AN6*AN10+AN7</f>
        <v>107429.30797244573</v>
      </c>
      <c r="AO11" s="143"/>
      <c r="AP11" s="143"/>
      <c r="AQ11" s="143"/>
    </row>
    <row r="12" spans="2:43" ht="21.75" customHeight="1" x14ac:dyDescent="0.35">
      <c r="K12" s="129"/>
      <c r="L12" s="129"/>
      <c r="M12" s="130"/>
      <c r="P12" t="s">
        <v>122</v>
      </c>
      <c r="Q12">
        <v>0.8393433448046913</v>
      </c>
      <c r="R12"/>
      <c r="S12"/>
      <c r="T12"/>
      <c r="U12"/>
      <c r="V12"/>
      <c r="W12"/>
      <c r="X12"/>
      <c r="AM12" s="143"/>
      <c r="AN12" s="143"/>
      <c r="AO12" s="143"/>
      <c r="AP12" s="143"/>
      <c r="AQ12" s="143"/>
    </row>
    <row r="13" spans="2:43" ht="21.75" customHeight="1" thickBot="1" x14ac:dyDescent="0.4">
      <c r="K13" s="129"/>
      <c r="L13" s="129"/>
      <c r="M13" s="130"/>
      <c r="P13" t="s">
        <v>124</v>
      </c>
      <c r="Q13">
        <v>0.80721201376562957</v>
      </c>
      <c r="R13"/>
      <c r="S13"/>
      <c r="T13"/>
      <c r="U13"/>
      <c r="V13"/>
      <c r="W13"/>
      <c r="X13"/>
      <c r="AM13" s="143"/>
      <c r="AN13" s="143"/>
      <c r="AO13" s="143"/>
      <c r="AP13" s="143"/>
      <c r="AQ13" s="143"/>
    </row>
    <row r="14" spans="2:43" ht="21.75" customHeight="1" thickBot="1" x14ac:dyDescent="0.4">
      <c r="K14" s="129"/>
      <c r="L14" s="129"/>
      <c r="M14" s="130"/>
      <c r="P14" t="s">
        <v>126</v>
      </c>
      <c r="Q14">
        <v>78037.900800432733</v>
      </c>
      <c r="R14"/>
      <c r="S14"/>
      <c r="T14"/>
      <c r="U14"/>
      <c r="V14"/>
      <c r="W14"/>
      <c r="X14"/>
      <c r="AM14" s="149" t="s">
        <v>128</v>
      </c>
      <c r="AN14" s="150" t="s">
        <v>129</v>
      </c>
      <c r="AO14" s="150" t="s">
        <v>130</v>
      </c>
      <c r="AP14" s="150" t="s">
        <v>131</v>
      </c>
      <c r="AQ14" s="151" t="s">
        <v>132</v>
      </c>
    </row>
    <row r="15" spans="2:43" ht="21.75" customHeight="1" thickBot="1" x14ac:dyDescent="0.4">
      <c r="K15" s="146" t="s">
        <v>160</v>
      </c>
      <c r="M15" s="130"/>
      <c r="P15" s="163" t="s">
        <v>127</v>
      </c>
      <c r="Q15" s="188">
        <v>7</v>
      </c>
      <c r="R15"/>
      <c r="S15"/>
      <c r="T15"/>
      <c r="U15"/>
      <c r="V15"/>
      <c r="W15"/>
      <c r="X15"/>
      <c r="AM15" s="153">
        <f t="shared" ref="AM15:AM21" si="1">K17</f>
        <v>46000</v>
      </c>
      <c r="AN15" s="154">
        <f>$AN$6*AM15+$AN$7</f>
        <v>474880.05827448703</v>
      </c>
      <c r="AO15" s="154">
        <f t="shared" ref="AO15:AO21" si="2">L17</f>
        <v>586000</v>
      </c>
      <c r="AP15" s="154">
        <f>AN15-AO15</f>
        <v>-111119.94172551297</v>
      </c>
      <c r="AQ15" s="155">
        <f>AP15/AO15</f>
        <v>-0.18962447393432247</v>
      </c>
    </row>
    <row r="16" spans="2:43" ht="21.75" customHeight="1" thickBot="1" x14ac:dyDescent="0.4">
      <c r="K16" s="147" t="s">
        <v>162</v>
      </c>
      <c r="L16" s="148" t="s">
        <v>161</v>
      </c>
      <c r="M16" s="130"/>
      <c r="P16"/>
      <c r="Q16"/>
      <c r="R16"/>
      <c r="S16"/>
      <c r="T16"/>
      <c r="U16"/>
      <c r="V16"/>
      <c r="W16"/>
      <c r="X16"/>
      <c r="AM16" s="153">
        <f t="shared" si="1"/>
        <v>49600</v>
      </c>
      <c r="AN16" s="154">
        <f t="shared" ref="AN16:AN21" si="3">$AN$6*AM16+$AN$7</f>
        <v>429265.4823749233</v>
      </c>
      <c r="AO16" s="154">
        <f t="shared" si="2"/>
        <v>458400</v>
      </c>
      <c r="AP16" s="154">
        <f t="shared" ref="AP16:AP21" si="4">AN16-AO16</f>
        <v>-29134.517625076696</v>
      </c>
      <c r="AQ16" s="155">
        <f t="shared" ref="AQ16:AQ21" si="5">AP16/AO16</f>
        <v>-6.3556975621895065E-2</v>
      </c>
    </row>
    <row r="17" spans="11:47" ht="24" customHeight="1" thickBot="1" x14ac:dyDescent="0.4">
      <c r="K17" s="152">
        <f>'(4) ANALYSIS ASSUMPTIONS'!C16</f>
        <v>46000</v>
      </c>
      <c r="L17" s="152">
        <f>'(4) ANALYSIS ASSUMPTIONS'!B16</f>
        <v>586000</v>
      </c>
      <c r="M17" s="130"/>
      <c r="P17" t="s">
        <v>133</v>
      </c>
      <c r="Q17"/>
      <c r="R17"/>
      <c r="S17"/>
      <c r="T17"/>
      <c r="U17"/>
      <c r="V17"/>
      <c r="W17"/>
      <c r="X17"/>
      <c r="AM17" s="153">
        <f t="shared" si="1"/>
        <v>52000</v>
      </c>
      <c r="AN17" s="154">
        <f t="shared" si="3"/>
        <v>398855.76510854741</v>
      </c>
      <c r="AO17" s="154">
        <f t="shared" si="2"/>
        <v>320000</v>
      </c>
      <c r="AP17" s="154">
        <f t="shared" si="4"/>
        <v>78855.765108547406</v>
      </c>
      <c r="AQ17" s="155">
        <f t="shared" si="5"/>
        <v>0.24642426596421063</v>
      </c>
    </row>
    <row r="18" spans="11:47" ht="21.75" customHeight="1" x14ac:dyDescent="0.35">
      <c r="K18" s="152">
        <f>'(4) ANALYSIS ASSUMPTIONS'!C17</f>
        <v>49600</v>
      </c>
      <c r="L18" s="152">
        <f>'(4) ANALYSIS ASSUMPTIONS'!B17</f>
        <v>458400</v>
      </c>
      <c r="M18" s="130"/>
      <c r="P18" s="164"/>
      <c r="Q18" s="164" t="s">
        <v>134</v>
      </c>
      <c r="R18" s="164" t="s">
        <v>135</v>
      </c>
      <c r="S18" s="164" t="s">
        <v>136</v>
      </c>
      <c r="T18" s="164" t="s">
        <v>137</v>
      </c>
      <c r="U18" s="164" t="s">
        <v>138</v>
      </c>
      <c r="V18"/>
      <c r="W18"/>
      <c r="X18"/>
      <c r="AM18" s="153">
        <f t="shared" si="1"/>
        <v>56800</v>
      </c>
      <c r="AN18" s="154">
        <f t="shared" si="3"/>
        <v>338036.33057579573</v>
      </c>
      <c r="AO18" s="154">
        <f t="shared" si="2"/>
        <v>258000</v>
      </c>
      <c r="AP18" s="154">
        <f t="shared" si="4"/>
        <v>80036.330575795728</v>
      </c>
      <c r="AQ18" s="155">
        <f t="shared" si="5"/>
        <v>0.3102183355650997</v>
      </c>
    </row>
    <row r="19" spans="11:47" ht="21.75" customHeight="1" x14ac:dyDescent="0.35">
      <c r="K19" s="152">
        <f>'(4) ANALYSIS ASSUMPTIONS'!C18</f>
        <v>52000</v>
      </c>
      <c r="L19" s="152">
        <f>'(4) ANALYSIS ASSUMPTIONS'!B18</f>
        <v>320000</v>
      </c>
      <c r="M19" s="130"/>
      <c r="P19" t="s">
        <v>139</v>
      </c>
      <c r="Q19">
        <v>1</v>
      </c>
      <c r="R19">
        <v>159082384345.30908</v>
      </c>
      <c r="S19">
        <v>159082384345.30908</v>
      </c>
      <c r="T19">
        <v>26.12227124311503</v>
      </c>
      <c r="U19">
        <v>3.7353560716228561E-3</v>
      </c>
      <c r="V19"/>
      <c r="W19"/>
      <c r="X19"/>
      <c r="AM19" s="153">
        <f t="shared" si="1"/>
        <v>62500</v>
      </c>
      <c r="AN19" s="154">
        <f t="shared" si="3"/>
        <v>265813.25206815312</v>
      </c>
      <c r="AO19" s="154">
        <f t="shared" si="2"/>
        <v>248000</v>
      </c>
      <c r="AP19" s="154">
        <f t="shared" si="4"/>
        <v>17813.252068153117</v>
      </c>
      <c r="AQ19" s="155">
        <f t="shared" si="5"/>
        <v>7.1827629307069013E-2</v>
      </c>
    </row>
    <row r="20" spans="11:47" ht="21.75" customHeight="1" x14ac:dyDescent="0.35">
      <c r="K20" s="152">
        <f>'(4) ANALYSIS ASSUMPTIONS'!C19</f>
        <v>56800</v>
      </c>
      <c r="L20" s="152">
        <f>'(4) ANALYSIS ASSUMPTIONS'!B19</f>
        <v>258000</v>
      </c>
      <c r="M20" s="130"/>
      <c r="P20" t="s">
        <v>140</v>
      </c>
      <c r="Q20">
        <v>5</v>
      </c>
      <c r="R20">
        <v>30449569806.690903</v>
      </c>
      <c r="S20">
        <v>6089913961.3381805</v>
      </c>
      <c r="T20"/>
      <c r="U20"/>
      <c r="V20"/>
      <c r="W20"/>
      <c r="X20"/>
      <c r="AM20" s="153">
        <f t="shared" si="1"/>
        <v>72000</v>
      </c>
      <c r="AN20" s="154">
        <f t="shared" si="3"/>
        <v>145441.45455541555</v>
      </c>
      <c r="AO20" s="154">
        <f t="shared" si="2"/>
        <v>120962</v>
      </c>
      <c r="AP20" s="154">
        <f t="shared" si="4"/>
        <v>24479.454555415548</v>
      </c>
      <c r="AQ20" s="155">
        <f t="shared" si="5"/>
        <v>0.20237309696777128</v>
      </c>
    </row>
    <row r="21" spans="11:47" ht="21.75" customHeight="1" thickBot="1" x14ac:dyDescent="0.4">
      <c r="K21" s="152">
        <f>'(4) ANALYSIS ASSUMPTIONS'!C20</f>
        <v>62500</v>
      </c>
      <c r="L21" s="152">
        <f>'(4) ANALYSIS ASSUMPTIONS'!B20</f>
        <v>248000</v>
      </c>
      <c r="M21" s="130"/>
      <c r="P21" s="163" t="s">
        <v>141</v>
      </c>
      <c r="Q21" s="163">
        <v>6</v>
      </c>
      <c r="R21" s="163">
        <v>189531954152</v>
      </c>
      <c r="S21" s="163"/>
      <c r="T21" s="163"/>
      <c r="U21" s="163"/>
      <c r="V21"/>
      <c r="W21"/>
      <c r="X21"/>
      <c r="AM21" s="153">
        <f t="shared" si="1"/>
        <v>81500</v>
      </c>
      <c r="AN21" s="154">
        <f t="shared" si="3"/>
        <v>25069.657042677864</v>
      </c>
      <c r="AO21" s="154">
        <f t="shared" si="2"/>
        <v>86000</v>
      </c>
      <c r="AP21" s="154">
        <f t="shared" si="4"/>
        <v>-60930.342957322136</v>
      </c>
      <c r="AQ21" s="155">
        <f t="shared" si="5"/>
        <v>-0.70849235996886206</v>
      </c>
    </row>
    <row r="22" spans="11:47" ht="21.75" customHeight="1" thickBot="1" x14ac:dyDescent="0.4">
      <c r="K22" s="152">
        <f>'(4) ANALYSIS ASSUMPTIONS'!C21</f>
        <v>72000</v>
      </c>
      <c r="L22" s="152">
        <f>'(4) ANALYSIS ASSUMPTIONS'!B21</f>
        <v>120962</v>
      </c>
      <c r="M22" s="130"/>
      <c r="P22"/>
      <c r="Q22"/>
      <c r="R22"/>
      <c r="S22"/>
      <c r="T22"/>
      <c r="U22"/>
      <c r="V22"/>
      <c r="W22"/>
      <c r="X22"/>
      <c r="AL22" s="156" t="s">
        <v>155</v>
      </c>
      <c r="AM22" s="157">
        <f>AVERAGE(AM15:AM21)</f>
        <v>60057.142857142855</v>
      </c>
      <c r="AN22" s="157">
        <f>AVERAGE(AN15:AN21)</f>
        <v>296766</v>
      </c>
      <c r="AO22" s="157">
        <f>AVERAGE(AO15:AO21)</f>
        <v>296766</v>
      </c>
      <c r="AP22" s="157">
        <f>AVERAGE(AP15:AP21)</f>
        <v>0</v>
      </c>
      <c r="AQ22" s="158">
        <f>AP22/AO22</f>
        <v>0</v>
      </c>
      <c r="AR22"/>
    </row>
    <row r="23" spans="11:47" ht="21.75" customHeight="1" thickTop="1" x14ac:dyDescent="0.35">
      <c r="K23" s="152">
        <f>'(4) ANALYSIS ASSUMPTIONS'!C22</f>
        <v>81500</v>
      </c>
      <c r="L23" s="152">
        <f>'(4) ANALYSIS ASSUMPTIONS'!B22</f>
        <v>86000</v>
      </c>
      <c r="M23" s="130"/>
      <c r="P23" s="164"/>
      <c r="Q23" s="164" t="s">
        <v>142</v>
      </c>
      <c r="R23" s="164" t="s">
        <v>126</v>
      </c>
      <c r="S23" s="164" t="s">
        <v>143</v>
      </c>
      <c r="T23" s="164" t="s">
        <v>144</v>
      </c>
      <c r="U23" s="164" t="s">
        <v>145</v>
      </c>
      <c r="V23" s="164" t="s">
        <v>146</v>
      </c>
      <c r="W23" s="164" t="s">
        <v>147</v>
      </c>
      <c r="X23" s="164" t="s">
        <v>148</v>
      </c>
      <c r="AL23"/>
      <c r="AM23" s="159"/>
      <c r="AN23" s="160"/>
      <c r="AO23" s="160"/>
      <c r="AP23" s="160"/>
      <c r="AQ23"/>
      <c r="AR23"/>
    </row>
    <row r="24" spans="11:47" ht="21.75" customHeight="1" x14ac:dyDescent="0.35">
      <c r="K24" s="18"/>
      <c r="L24" s="18"/>
      <c r="M24" s="130"/>
      <c r="P24" t="s">
        <v>149</v>
      </c>
      <c r="Q24" s="187">
        <v>1057732.9725466904</v>
      </c>
      <c r="R24">
        <v>151781.71842039443</v>
      </c>
      <c r="S24">
        <v>6.9687771594274306</v>
      </c>
      <c r="T24">
        <v>9.3579577851973567E-4</v>
      </c>
      <c r="U24">
        <v>667565.64419355849</v>
      </c>
      <c r="V24">
        <v>1447900.3008998223</v>
      </c>
      <c r="W24">
        <v>667565.64419355849</v>
      </c>
      <c r="X24">
        <v>1447900.3008998223</v>
      </c>
      <c r="AL24"/>
      <c r="AM24" s="159"/>
      <c r="AN24" s="160"/>
      <c r="AO24" s="160"/>
      <c r="AP24" s="160"/>
      <c r="AQ24"/>
      <c r="AR24"/>
      <c r="AU24"/>
    </row>
    <row r="25" spans="11:47" ht="21.75" customHeight="1" thickBot="1" x14ac:dyDescent="0.4">
      <c r="K25" s="18"/>
      <c r="L25" s="18"/>
      <c r="M25" s="130"/>
      <c r="P25" s="163" t="s">
        <v>162</v>
      </c>
      <c r="Q25" s="188">
        <v>-12.670715527656595</v>
      </c>
      <c r="R25" s="163">
        <v>2.4791092927102518</v>
      </c>
      <c r="S25" s="163">
        <v>-5.1109951323705101</v>
      </c>
      <c r="T25" s="163">
        <v>3.7353560716228496E-3</v>
      </c>
      <c r="U25" s="163">
        <v>-19.043468844054761</v>
      </c>
      <c r="V25" s="163">
        <v>-6.2979622112584295</v>
      </c>
      <c r="W25" s="163">
        <v>-19.043468844054761</v>
      </c>
      <c r="X25" s="163">
        <v>-6.2979622112584295</v>
      </c>
      <c r="AL25"/>
      <c r="AM25" s="159"/>
      <c r="AN25"/>
      <c r="AO25"/>
      <c r="AP25"/>
      <c r="AQ25"/>
      <c r="AR25"/>
      <c r="AU25"/>
    </row>
    <row r="26" spans="11:47" ht="21.75" customHeight="1" x14ac:dyDescent="0.35">
      <c r="K26" s="18"/>
      <c r="L26" s="18"/>
      <c r="M26" s="130"/>
      <c r="P26"/>
      <c r="Q26"/>
      <c r="R26"/>
      <c r="S26"/>
      <c r="T26"/>
      <c r="U26"/>
      <c r="V26"/>
      <c r="W26"/>
      <c r="X26"/>
      <c r="AL26"/>
      <c r="AM26"/>
      <c r="AN26"/>
      <c r="AO26"/>
      <c r="AP26"/>
      <c r="AQ26"/>
      <c r="AR26"/>
      <c r="AU26"/>
    </row>
    <row r="27" spans="11:47" ht="21.75" customHeight="1" x14ac:dyDescent="0.35">
      <c r="K27" s="18"/>
      <c r="L27" s="18"/>
      <c r="M27" s="130"/>
      <c r="P27"/>
      <c r="Q27"/>
      <c r="R27"/>
      <c r="S27"/>
      <c r="T27"/>
      <c r="U27"/>
      <c r="V27"/>
      <c r="W27"/>
      <c r="X27"/>
      <c r="AL27"/>
      <c r="AM27"/>
      <c r="AN27"/>
      <c r="AO27"/>
      <c r="AP27"/>
      <c r="AQ27"/>
      <c r="AR27"/>
      <c r="AU27"/>
    </row>
    <row r="28" spans="11:47" ht="21.75" customHeight="1" x14ac:dyDescent="0.35">
      <c r="K28" s="18"/>
      <c r="L28" s="18"/>
      <c r="M28" s="130"/>
      <c r="P28"/>
      <c r="Q28"/>
      <c r="R28"/>
      <c r="S28"/>
      <c r="T28"/>
      <c r="U28"/>
      <c r="V28"/>
      <c r="W28"/>
      <c r="X28"/>
      <c r="AL28"/>
      <c r="AM28"/>
      <c r="AN28"/>
      <c r="AO28"/>
      <c r="AP28"/>
      <c r="AQ28"/>
      <c r="AR28"/>
      <c r="AU28"/>
    </row>
    <row r="29" spans="11:47" ht="21.75" customHeight="1" x14ac:dyDescent="0.35">
      <c r="K29" s="18"/>
      <c r="L29" s="18"/>
      <c r="M29" s="130"/>
      <c r="P29" t="s">
        <v>150</v>
      </c>
      <c r="Q29"/>
      <c r="R29"/>
      <c r="S29"/>
      <c r="T29" t="s">
        <v>151</v>
      </c>
      <c r="U29"/>
      <c r="V29"/>
      <c r="W29"/>
      <c r="X29"/>
      <c r="AL29"/>
      <c r="AM29"/>
      <c r="AN29"/>
      <c r="AO29"/>
      <c r="AP29"/>
      <c r="AQ29"/>
      <c r="AR29"/>
      <c r="AU29"/>
    </row>
    <row r="30" spans="11:47" ht="21.75" customHeight="1" thickBot="1" x14ac:dyDescent="0.4">
      <c r="K30" s="18"/>
      <c r="L30" s="18"/>
      <c r="M30" s="130"/>
      <c r="P30"/>
      <c r="Q30"/>
      <c r="R30"/>
      <c r="S30"/>
      <c r="T30"/>
      <c r="U30"/>
      <c r="V30"/>
      <c r="W30"/>
      <c r="X30"/>
      <c r="AL30"/>
      <c r="AM30"/>
      <c r="AN30"/>
      <c r="AO30"/>
      <c r="AP30"/>
      <c r="AQ30"/>
      <c r="AR30"/>
      <c r="AU30"/>
    </row>
    <row r="31" spans="11:47" ht="27" customHeight="1" x14ac:dyDescent="0.35">
      <c r="K31" s="18"/>
      <c r="L31" s="18"/>
      <c r="M31" s="130"/>
      <c r="P31" s="164" t="s">
        <v>152</v>
      </c>
      <c r="Q31" s="164" t="s">
        <v>167</v>
      </c>
      <c r="R31" s="164" t="s">
        <v>153</v>
      </c>
      <c r="S31"/>
      <c r="T31" s="164" t="s">
        <v>154</v>
      </c>
      <c r="U31" s="164" t="s">
        <v>161</v>
      </c>
      <c r="V31"/>
      <c r="W31"/>
      <c r="X31"/>
      <c r="AL31"/>
      <c r="AM31"/>
      <c r="AN31"/>
      <c r="AO31"/>
      <c r="AP31"/>
      <c r="AQ31"/>
      <c r="AR31"/>
      <c r="AU31"/>
    </row>
    <row r="32" spans="11:47" ht="21.75" customHeight="1" x14ac:dyDescent="0.35">
      <c r="K32" s="18"/>
      <c r="L32" s="18"/>
      <c r="M32" s="130"/>
      <c r="P32">
        <v>1</v>
      </c>
      <c r="Q32">
        <v>474880.05827448703</v>
      </c>
      <c r="R32">
        <v>111119.94172551297</v>
      </c>
      <c r="S32"/>
      <c r="T32">
        <v>7.1428571428571432</v>
      </c>
      <c r="U32">
        <v>86000</v>
      </c>
      <c r="V32"/>
      <c r="W32"/>
      <c r="X32"/>
      <c r="AL32"/>
      <c r="AM32"/>
      <c r="AN32"/>
      <c r="AO32"/>
      <c r="AP32"/>
      <c r="AQ32"/>
      <c r="AR32"/>
      <c r="AU32"/>
    </row>
    <row r="33" spans="11:47" ht="21.75" customHeight="1" x14ac:dyDescent="0.35">
      <c r="K33" s="18"/>
      <c r="L33" s="18"/>
      <c r="M33" s="130"/>
      <c r="P33">
        <v>2</v>
      </c>
      <c r="Q33">
        <v>429265.4823749233</v>
      </c>
      <c r="R33">
        <v>29134.517625076696</v>
      </c>
      <c r="S33"/>
      <c r="T33">
        <v>21.428571428571431</v>
      </c>
      <c r="U33">
        <v>120962</v>
      </c>
      <c r="V33"/>
      <c r="W33"/>
      <c r="X33"/>
      <c r="AL33"/>
      <c r="AM33"/>
      <c r="AN33"/>
      <c r="AO33"/>
      <c r="AP33"/>
      <c r="AQ33"/>
      <c r="AR33"/>
      <c r="AU33"/>
    </row>
    <row r="34" spans="11:47" ht="21.75" customHeight="1" x14ac:dyDescent="0.35">
      <c r="K34" s="18"/>
      <c r="L34" s="18"/>
      <c r="M34" s="130"/>
      <c r="P34">
        <v>3</v>
      </c>
      <c r="Q34">
        <v>398855.76510854741</v>
      </c>
      <c r="R34">
        <v>-78855.765108547406</v>
      </c>
      <c r="S34"/>
      <c r="T34">
        <v>35.714285714285715</v>
      </c>
      <c r="U34">
        <v>248000</v>
      </c>
      <c r="V34"/>
      <c r="W34"/>
      <c r="X34"/>
      <c r="AL34"/>
      <c r="AM34"/>
      <c r="AN34"/>
      <c r="AO34"/>
      <c r="AP34"/>
      <c r="AQ34"/>
      <c r="AR34"/>
      <c r="AU34"/>
    </row>
    <row r="35" spans="11:47" ht="21.75" customHeight="1" x14ac:dyDescent="0.35">
      <c r="K35" s="18"/>
      <c r="L35" s="18"/>
      <c r="M35" s="130"/>
      <c r="P35">
        <v>4</v>
      </c>
      <c r="Q35">
        <v>338036.33057579573</v>
      </c>
      <c r="R35">
        <v>-80036.330575795728</v>
      </c>
      <c r="S35"/>
      <c r="T35">
        <v>50.000000000000007</v>
      </c>
      <c r="U35">
        <v>258000</v>
      </c>
      <c r="V35"/>
      <c r="W35"/>
      <c r="X35"/>
      <c r="AL35"/>
      <c r="AM35"/>
      <c r="AN35"/>
      <c r="AO35"/>
      <c r="AP35"/>
      <c r="AQ35"/>
      <c r="AR35"/>
      <c r="AU35"/>
    </row>
    <row r="36" spans="11:47" ht="21.75" customHeight="1" x14ac:dyDescent="0.35">
      <c r="K36" s="18"/>
      <c r="L36" s="18"/>
      <c r="M36" s="130"/>
      <c r="P36">
        <v>5</v>
      </c>
      <c r="Q36">
        <v>265813.25206815312</v>
      </c>
      <c r="R36">
        <v>-17813.252068153117</v>
      </c>
      <c r="S36"/>
      <c r="T36">
        <v>64.285714285714292</v>
      </c>
      <c r="U36">
        <v>320000</v>
      </c>
      <c r="V36"/>
      <c r="W36"/>
      <c r="X36"/>
      <c r="AL36"/>
      <c r="AM36"/>
      <c r="AN36"/>
      <c r="AO36"/>
      <c r="AP36"/>
      <c r="AQ36"/>
      <c r="AR36"/>
      <c r="AU36"/>
    </row>
    <row r="37" spans="11:47" ht="21.75" customHeight="1" x14ac:dyDescent="0.35">
      <c r="K37" s="18"/>
      <c r="L37" s="18"/>
      <c r="M37" s="130"/>
      <c r="P37">
        <v>6</v>
      </c>
      <c r="Q37">
        <v>145441.45455541555</v>
      </c>
      <c r="R37">
        <v>-24479.454555415548</v>
      </c>
      <c r="S37"/>
      <c r="T37">
        <v>78.571428571428569</v>
      </c>
      <c r="U37">
        <v>458400</v>
      </c>
      <c r="V37"/>
      <c r="W37"/>
      <c r="X37"/>
      <c r="AL37"/>
      <c r="AM37"/>
      <c r="AN37"/>
      <c r="AO37"/>
      <c r="AP37"/>
      <c r="AQ37"/>
      <c r="AR37"/>
      <c r="AU37"/>
    </row>
    <row r="38" spans="11:47" ht="21.75" customHeight="1" thickBot="1" x14ac:dyDescent="0.4">
      <c r="K38" s="18"/>
      <c r="L38" s="18"/>
      <c r="M38" s="130"/>
      <c r="P38" s="163">
        <v>7</v>
      </c>
      <c r="Q38" s="163">
        <v>25069.657042677864</v>
      </c>
      <c r="R38" s="163">
        <v>60930.342957322136</v>
      </c>
      <c r="S38"/>
      <c r="T38" s="163">
        <v>92.857142857142861</v>
      </c>
      <c r="U38" s="163">
        <v>586000</v>
      </c>
      <c r="V38"/>
      <c r="W38"/>
      <c r="X38"/>
      <c r="AL38"/>
      <c r="AM38"/>
      <c r="AN38"/>
      <c r="AO38"/>
      <c r="AP38"/>
      <c r="AQ38"/>
      <c r="AR38"/>
      <c r="AU38"/>
    </row>
    <row r="39" spans="11:47" ht="21.75" customHeight="1" x14ac:dyDescent="0.35">
      <c r="K39" s="18"/>
      <c r="L39" s="18"/>
      <c r="M39" s="130"/>
      <c r="P39"/>
      <c r="Q39"/>
      <c r="R39"/>
      <c r="S39"/>
      <c r="T39"/>
      <c r="U39"/>
      <c r="V39"/>
      <c r="W39"/>
      <c r="X39"/>
      <c r="AL39"/>
      <c r="AM39"/>
      <c r="AN39"/>
      <c r="AO39"/>
      <c r="AP39"/>
      <c r="AQ39"/>
      <c r="AR39"/>
      <c r="AU39"/>
    </row>
    <row r="40" spans="11:47" ht="21.75" customHeight="1" x14ac:dyDescent="0.35">
      <c r="K40" s="18"/>
      <c r="L40" s="18"/>
      <c r="M40" s="130"/>
      <c r="P40"/>
      <c r="Q40"/>
      <c r="R40"/>
      <c r="S40"/>
      <c r="T40"/>
      <c r="U40"/>
      <c r="V40"/>
      <c r="W40"/>
      <c r="X40"/>
      <c r="AL40"/>
      <c r="AM40"/>
      <c r="AN40"/>
      <c r="AO40"/>
      <c r="AP40"/>
      <c r="AQ40"/>
      <c r="AR40"/>
      <c r="AU40"/>
    </row>
    <row r="41" spans="11:47" ht="21.75" customHeight="1" x14ac:dyDescent="0.35">
      <c r="K41" s="18"/>
      <c r="L41" s="18"/>
      <c r="M41" s="130"/>
      <c r="P41"/>
      <c r="Q41"/>
      <c r="R41"/>
      <c r="S41"/>
      <c r="T41"/>
      <c r="U41"/>
      <c r="V41"/>
      <c r="W41"/>
      <c r="X41"/>
      <c r="AL41"/>
      <c r="AM41"/>
      <c r="AN41"/>
      <c r="AO41"/>
      <c r="AP41"/>
      <c r="AQ41"/>
      <c r="AR41"/>
      <c r="AU41"/>
    </row>
    <row r="42" spans="11:47" ht="21.75" customHeight="1" x14ac:dyDescent="0.35">
      <c r="K42" s="18"/>
      <c r="L42" s="18"/>
      <c r="M42" s="130"/>
      <c r="P42"/>
      <c r="Q42"/>
      <c r="R42"/>
      <c r="S42"/>
      <c r="T42"/>
      <c r="U42"/>
      <c r="V42"/>
      <c r="W42"/>
      <c r="X42"/>
      <c r="AL42"/>
      <c r="AM42"/>
      <c r="AN42"/>
      <c r="AO42"/>
      <c r="AP42"/>
      <c r="AQ42"/>
      <c r="AR42"/>
      <c r="AU42"/>
    </row>
    <row r="43" spans="11:47" ht="21.75" customHeight="1" x14ac:dyDescent="0.35">
      <c r="K43" s="18"/>
      <c r="L43" s="18"/>
      <c r="M43" s="130"/>
      <c r="P43"/>
      <c r="Q43"/>
      <c r="R43"/>
      <c r="S43"/>
      <c r="T43"/>
      <c r="U43"/>
      <c r="V43"/>
      <c r="W43"/>
      <c r="X43"/>
      <c r="AL43"/>
      <c r="AM43"/>
      <c r="AN43"/>
      <c r="AO43"/>
      <c r="AP43"/>
      <c r="AQ43"/>
      <c r="AR43"/>
      <c r="AU43"/>
    </row>
    <row r="44" spans="11:47" ht="21.75" customHeight="1" x14ac:dyDescent="0.35">
      <c r="K44" s="18"/>
      <c r="L44" s="18"/>
      <c r="M44" s="130"/>
      <c r="P44"/>
      <c r="Q44"/>
      <c r="R44"/>
      <c r="S44"/>
      <c r="T44"/>
      <c r="U44"/>
      <c r="V44"/>
      <c r="W44"/>
      <c r="X44"/>
      <c r="AL44"/>
      <c r="AM44"/>
      <c r="AN44"/>
      <c r="AO44"/>
      <c r="AP44"/>
      <c r="AQ44"/>
      <c r="AR44"/>
      <c r="AU44"/>
    </row>
    <row r="45" spans="11:47" ht="21.75" customHeight="1" x14ac:dyDescent="0.35">
      <c r="K45" s="18"/>
      <c r="L45" s="18"/>
      <c r="M45" s="130"/>
      <c r="P45"/>
      <c r="Q45"/>
      <c r="R45"/>
      <c r="S45"/>
      <c r="T45"/>
      <c r="U45"/>
      <c r="V45"/>
      <c r="W45"/>
      <c r="X45"/>
      <c r="AL45"/>
      <c r="AM45"/>
      <c r="AN45"/>
      <c r="AO45"/>
      <c r="AP45"/>
      <c r="AQ45"/>
      <c r="AR45"/>
      <c r="AU45"/>
    </row>
    <row r="46" spans="11:47" ht="21.75" customHeight="1" x14ac:dyDescent="0.35">
      <c r="K46" s="18"/>
      <c r="L46" s="18"/>
      <c r="M46" s="130"/>
      <c r="P46"/>
      <c r="Q46"/>
      <c r="R46"/>
      <c r="S46"/>
      <c r="T46"/>
      <c r="U46"/>
      <c r="V46"/>
      <c r="W46"/>
      <c r="X46"/>
      <c r="AL46"/>
      <c r="AM46"/>
      <c r="AN46"/>
      <c r="AO46"/>
      <c r="AP46"/>
      <c r="AQ46"/>
      <c r="AR46"/>
      <c r="AU46"/>
    </row>
    <row r="47" spans="11:47" ht="21.75" customHeight="1" x14ac:dyDescent="0.35">
      <c r="K47" s="18"/>
      <c r="L47" s="18"/>
      <c r="M47" s="130"/>
      <c r="P47"/>
      <c r="Q47"/>
      <c r="R47"/>
      <c r="S47"/>
      <c r="T47"/>
      <c r="U47"/>
      <c r="V47"/>
      <c r="W47"/>
      <c r="X47"/>
      <c r="AL47"/>
      <c r="AM47"/>
      <c r="AN47"/>
      <c r="AO47"/>
      <c r="AP47"/>
      <c r="AQ47"/>
      <c r="AR47"/>
      <c r="AU47"/>
    </row>
    <row r="48" spans="11:47" ht="21.75" customHeight="1" x14ac:dyDescent="0.35">
      <c r="K48" s="18"/>
      <c r="L48" s="18"/>
      <c r="M48" s="130"/>
      <c r="P48"/>
      <c r="Q48"/>
      <c r="R48"/>
      <c r="S48"/>
      <c r="T48"/>
      <c r="U48"/>
      <c r="V48"/>
      <c r="W48"/>
      <c r="X48"/>
      <c r="AL48"/>
      <c r="AM48"/>
      <c r="AN48"/>
      <c r="AO48"/>
      <c r="AP48"/>
      <c r="AQ48"/>
      <c r="AR48"/>
      <c r="AU48"/>
    </row>
    <row r="49" spans="11:47" ht="21.75" customHeight="1" x14ac:dyDescent="0.35">
      <c r="K49" s="18"/>
      <c r="L49" s="18"/>
      <c r="M49" s="130"/>
      <c r="P49" t="s">
        <v>48</v>
      </c>
      <c r="Q49"/>
      <c r="R49"/>
      <c r="S49"/>
      <c r="T49"/>
      <c r="U49"/>
      <c r="V49"/>
      <c r="W49"/>
      <c r="X49"/>
      <c r="AL49"/>
      <c r="AM49"/>
      <c r="AN49"/>
      <c r="AO49"/>
      <c r="AP49"/>
      <c r="AQ49"/>
      <c r="AR49"/>
      <c r="AU49"/>
    </row>
    <row r="50" spans="11:47" ht="21.75" customHeight="1" x14ac:dyDescent="0.35">
      <c r="K50" s="18"/>
      <c r="L50" s="18"/>
      <c r="M50" s="130"/>
      <c r="P50" t="s">
        <v>48</v>
      </c>
      <c r="Q50"/>
      <c r="R50"/>
      <c r="S50"/>
      <c r="T50"/>
      <c r="U50"/>
      <c r="V50"/>
      <c r="W50"/>
      <c r="X50"/>
      <c r="AM50"/>
      <c r="AN50"/>
      <c r="AO50"/>
      <c r="AP50"/>
      <c r="AQ50"/>
      <c r="AR50"/>
      <c r="AU50"/>
    </row>
    <row r="51" spans="11:47" ht="21.75" customHeight="1" x14ac:dyDescent="0.35">
      <c r="K51" s="18"/>
      <c r="L51" s="18"/>
      <c r="M51" s="130"/>
      <c r="P51" t="s">
        <v>48</v>
      </c>
      <c r="Q51"/>
      <c r="R51"/>
      <c r="S51"/>
      <c r="T51"/>
      <c r="U51"/>
      <c r="V51"/>
      <c r="W51"/>
      <c r="X51"/>
      <c r="AM51"/>
      <c r="AN51"/>
      <c r="AO51"/>
      <c r="AP51"/>
      <c r="AQ51"/>
      <c r="AR51"/>
      <c r="AU51"/>
    </row>
    <row r="52" spans="11:47" ht="21.75" customHeight="1" x14ac:dyDescent="0.35">
      <c r="K52" s="18"/>
      <c r="L52" s="18"/>
      <c r="M52" s="130"/>
      <c r="P52" t="s">
        <v>48</v>
      </c>
      <c r="Q52"/>
      <c r="R52"/>
      <c r="S52"/>
      <c r="T52"/>
      <c r="U52"/>
      <c r="V52"/>
      <c r="W52"/>
      <c r="X52"/>
      <c r="AM52"/>
      <c r="AN52"/>
      <c r="AO52"/>
      <c r="AP52"/>
      <c r="AQ52"/>
      <c r="AR52"/>
      <c r="AU52"/>
    </row>
    <row r="53" spans="11:47" ht="21.75" customHeight="1" x14ac:dyDescent="0.35">
      <c r="K53" s="18"/>
      <c r="L53" s="18"/>
      <c r="M53" s="130"/>
      <c r="P53" t="s">
        <v>48</v>
      </c>
      <c r="Q53"/>
      <c r="R53"/>
      <c r="S53"/>
      <c r="T53"/>
      <c r="U53"/>
      <c r="V53"/>
      <c r="W53"/>
      <c r="X53"/>
      <c r="AM53"/>
      <c r="AN53"/>
      <c r="AO53"/>
      <c r="AP53"/>
      <c r="AQ53"/>
      <c r="AR53"/>
      <c r="AU53"/>
    </row>
    <row r="54" spans="11:47" ht="21.75" customHeight="1" x14ac:dyDescent="0.35">
      <c r="K54" s="18"/>
      <c r="L54" s="18"/>
      <c r="M54" s="130"/>
      <c r="P54" t="s">
        <v>48</v>
      </c>
      <c r="Q54"/>
      <c r="R54"/>
      <c r="S54"/>
      <c r="T54"/>
      <c r="U54"/>
      <c r="V54"/>
      <c r="W54"/>
      <c r="X54"/>
      <c r="AM54"/>
      <c r="AN54"/>
      <c r="AO54"/>
      <c r="AP54"/>
      <c r="AQ54"/>
      <c r="AR54"/>
      <c r="AU54"/>
    </row>
    <row r="55" spans="11:47" ht="21.75" customHeight="1" x14ac:dyDescent="0.35">
      <c r="K55" s="18"/>
      <c r="L55" s="18"/>
      <c r="M55" s="130"/>
      <c r="P55" t="s">
        <v>48</v>
      </c>
      <c r="Q55"/>
      <c r="R55"/>
      <c r="S55"/>
      <c r="T55"/>
      <c r="U55"/>
      <c r="V55"/>
      <c r="W55"/>
      <c r="X55"/>
      <c r="AM55"/>
      <c r="AN55"/>
      <c r="AO55"/>
      <c r="AP55"/>
      <c r="AQ55"/>
      <c r="AR55"/>
      <c r="AU55"/>
    </row>
    <row r="56" spans="11:47" ht="21.75" customHeight="1" x14ac:dyDescent="0.35">
      <c r="K56" s="18"/>
      <c r="L56" s="18"/>
      <c r="M56" s="130"/>
      <c r="P56" t="s">
        <v>48</v>
      </c>
      <c r="Q56"/>
      <c r="R56"/>
      <c r="S56"/>
      <c r="T56"/>
      <c r="U56"/>
      <c r="V56"/>
      <c r="W56"/>
      <c r="X56"/>
      <c r="AM56"/>
      <c r="AN56"/>
      <c r="AO56"/>
      <c r="AP56"/>
      <c r="AQ56"/>
      <c r="AR56"/>
      <c r="AU56"/>
    </row>
    <row r="57" spans="11:47" ht="21.75" customHeight="1" x14ac:dyDescent="0.35">
      <c r="K57" s="18"/>
      <c r="L57" s="18"/>
      <c r="M57" s="130"/>
      <c r="P57" t="s">
        <v>48</v>
      </c>
      <c r="Q57"/>
      <c r="R57"/>
      <c r="S57"/>
      <c r="T57"/>
      <c r="U57"/>
      <c r="V57"/>
      <c r="W57"/>
      <c r="X57"/>
      <c r="AM57"/>
      <c r="AN57"/>
      <c r="AO57"/>
      <c r="AP57"/>
      <c r="AQ57"/>
      <c r="AR57"/>
      <c r="AU57"/>
    </row>
    <row r="58" spans="11:47" ht="21.75" customHeight="1" x14ac:dyDescent="0.35">
      <c r="K58" s="18"/>
      <c r="L58" s="18"/>
      <c r="M58" s="130"/>
      <c r="P58" t="s">
        <v>48</v>
      </c>
      <c r="Q58"/>
      <c r="R58"/>
      <c r="S58"/>
      <c r="T58"/>
      <c r="U58"/>
      <c r="V58"/>
      <c r="W58"/>
      <c r="X58"/>
      <c r="AM58"/>
      <c r="AN58"/>
      <c r="AO58"/>
      <c r="AP58"/>
      <c r="AQ58"/>
      <c r="AR58"/>
      <c r="AU58"/>
    </row>
    <row r="59" spans="11:47" ht="21.75" customHeight="1" x14ac:dyDescent="0.35">
      <c r="K59" s="18"/>
      <c r="L59" s="18"/>
      <c r="M59" s="130"/>
      <c r="P59" t="s">
        <v>48</v>
      </c>
      <c r="Q59"/>
      <c r="R59"/>
      <c r="S59"/>
      <c r="T59"/>
      <c r="U59"/>
      <c r="V59"/>
      <c r="W59"/>
      <c r="X59"/>
      <c r="AM59"/>
      <c r="AN59"/>
      <c r="AO59"/>
      <c r="AP59"/>
      <c r="AQ59"/>
      <c r="AU59"/>
    </row>
    <row r="60" spans="11:47" ht="21.75" customHeight="1" x14ac:dyDescent="0.35">
      <c r="K60" s="18"/>
      <c r="L60" s="18"/>
      <c r="M60" s="130"/>
      <c r="P60" t="s">
        <v>48</v>
      </c>
      <c r="Q60"/>
      <c r="R60"/>
      <c r="S60"/>
      <c r="T60"/>
      <c r="U60"/>
      <c r="V60"/>
      <c r="W60"/>
      <c r="X60"/>
      <c r="AM60"/>
      <c r="AN60"/>
      <c r="AO60"/>
      <c r="AP60"/>
      <c r="AQ60"/>
      <c r="AS60"/>
      <c r="AT60"/>
      <c r="AU60"/>
    </row>
    <row r="61" spans="11:47" ht="21.75" customHeight="1" x14ac:dyDescent="0.35">
      <c r="K61" s="18"/>
      <c r="L61" s="18"/>
      <c r="M61" s="130"/>
      <c r="P61" t="s">
        <v>48</v>
      </c>
      <c r="Q61"/>
      <c r="R61"/>
      <c r="S61"/>
      <c r="T61"/>
      <c r="U61"/>
      <c r="V61"/>
      <c r="W61"/>
      <c r="X61"/>
      <c r="AM61"/>
      <c r="AN61"/>
      <c r="AO61"/>
      <c r="AP61"/>
      <c r="AQ61"/>
      <c r="AS61"/>
      <c r="AT61"/>
      <c r="AU61"/>
    </row>
    <row r="62" spans="11:47" ht="21.75" customHeight="1" x14ac:dyDescent="0.35">
      <c r="K62" s="18"/>
      <c r="L62" s="18"/>
      <c r="M62" s="130"/>
      <c r="P62" t="s">
        <v>48</v>
      </c>
      <c r="Q62"/>
      <c r="R62"/>
      <c r="S62"/>
      <c r="T62"/>
      <c r="U62"/>
      <c r="V62"/>
      <c r="W62"/>
      <c r="X62"/>
      <c r="AM62"/>
      <c r="AN62"/>
      <c r="AO62"/>
      <c r="AP62"/>
      <c r="AQ62"/>
      <c r="AS62"/>
      <c r="AT62"/>
      <c r="AU62"/>
    </row>
    <row r="63" spans="11:47" ht="21.75" customHeight="1" x14ac:dyDescent="0.35">
      <c r="K63" s="18"/>
      <c r="L63" s="18"/>
      <c r="M63" s="130"/>
      <c r="P63" t="s">
        <v>48</v>
      </c>
      <c r="Q63"/>
      <c r="R63"/>
      <c r="S63"/>
      <c r="T63"/>
      <c r="U63"/>
      <c r="V63"/>
      <c r="W63"/>
      <c r="X63"/>
      <c r="AM63"/>
      <c r="AN63"/>
      <c r="AO63"/>
      <c r="AP63"/>
      <c r="AQ63"/>
      <c r="AS63"/>
      <c r="AT63"/>
      <c r="AU63"/>
    </row>
    <row r="64" spans="11:47" ht="21.75" customHeight="1" x14ac:dyDescent="0.35">
      <c r="K64" s="18"/>
      <c r="L64" s="18"/>
      <c r="M64" s="130"/>
      <c r="P64" t="s">
        <v>48</v>
      </c>
      <c r="Q64"/>
      <c r="R64"/>
      <c r="S64"/>
      <c r="T64"/>
      <c r="U64"/>
      <c r="V64"/>
      <c r="W64"/>
      <c r="X64"/>
      <c r="AM64"/>
      <c r="AN64"/>
      <c r="AO64"/>
      <c r="AP64"/>
      <c r="AQ64"/>
      <c r="AS64"/>
      <c r="AT64"/>
      <c r="AU64"/>
    </row>
    <row r="65" spans="11:47" ht="21.75" customHeight="1" x14ac:dyDescent="0.35">
      <c r="K65" s="18"/>
      <c r="L65" s="18"/>
      <c r="M65" s="130"/>
      <c r="P65" t="s">
        <v>48</v>
      </c>
      <c r="Q65"/>
      <c r="R65"/>
      <c r="S65"/>
      <c r="T65"/>
      <c r="U65"/>
      <c r="V65"/>
      <c r="W65"/>
      <c r="X65"/>
      <c r="AS65"/>
      <c r="AT65"/>
      <c r="AU65"/>
    </row>
    <row r="66" spans="11:47" ht="21.75" customHeight="1" x14ac:dyDescent="0.35">
      <c r="K66" s="18"/>
      <c r="L66" s="18"/>
      <c r="M66" s="130"/>
      <c r="P66" t="s">
        <v>48</v>
      </c>
      <c r="Q66"/>
      <c r="R66"/>
      <c r="S66"/>
      <c r="T66"/>
      <c r="U66"/>
      <c r="V66"/>
      <c r="W66"/>
      <c r="X66"/>
      <c r="AS66"/>
      <c r="AT66"/>
      <c r="AU66"/>
    </row>
    <row r="67" spans="11:47" ht="21.75" customHeight="1" x14ac:dyDescent="0.35">
      <c r="K67" s="18"/>
      <c r="L67" s="18"/>
      <c r="M67" s="130"/>
      <c r="P67" t="s">
        <v>48</v>
      </c>
      <c r="Q67"/>
      <c r="R67"/>
      <c r="S67"/>
      <c r="T67"/>
      <c r="U67"/>
      <c r="V67"/>
      <c r="W67"/>
      <c r="X67"/>
      <c r="AS67"/>
      <c r="AT67"/>
    </row>
    <row r="68" spans="11:47" ht="21.75" customHeight="1" x14ac:dyDescent="0.35">
      <c r="K68" s="18"/>
      <c r="L68" s="18"/>
      <c r="M68" s="130"/>
      <c r="P68" t="s">
        <v>48</v>
      </c>
      <c r="Q68"/>
      <c r="R68"/>
      <c r="S68"/>
      <c r="T68"/>
      <c r="U68"/>
      <c r="V68"/>
      <c r="W68"/>
      <c r="X68"/>
      <c r="AS68"/>
      <c r="AT68"/>
    </row>
    <row r="69" spans="11:47" ht="21.75" customHeight="1" x14ac:dyDescent="0.35">
      <c r="K69" s="18"/>
      <c r="L69" s="18"/>
      <c r="M69" s="130"/>
      <c r="P69" t="s">
        <v>48</v>
      </c>
      <c r="Q69"/>
      <c r="R69"/>
      <c r="S69"/>
      <c r="T69"/>
      <c r="U69"/>
      <c r="V69"/>
      <c r="W69"/>
      <c r="X69"/>
      <c r="AS69"/>
      <c r="AT69"/>
    </row>
    <row r="70" spans="11:47" ht="21.75" customHeight="1" x14ac:dyDescent="0.35">
      <c r="M70" s="130"/>
      <c r="P70" t="s">
        <v>48</v>
      </c>
      <c r="Q70"/>
      <c r="R70"/>
      <c r="S70"/>
      <c r="T70"/>
      <c r="U70"/>
      <c r="V70"/>
      <c r="W70"/>
      <c r="X70"/>
      <c r="AS70"/>
      <c r="AT70"/>
    </row>
    <row r="71" spans="11:47" ht="21.75" customHeight="1" x14ac:dyDescent="0.35">
      <c r="M71" s="130"/>
      <c r="P71" t="s">
        <v>48</v>
      </c>
      <c r="Q71"/>
      <c r="R71"/>
      <c r="S71"/>
      <c r="T71"/>
      <c r="U71"/>
      <c r="V71"/>
      <c r="W71"/>
      <c r="X71"/>
      <c r="AS71"/>
      <c r="AT71"/>
    </row>
    <row r="72" spans="11:47" ht="21.75" customHeight="1" x14ac:dyDescent="0.35">
      <c r="M72" s="130"/>
      <c r="P72" t="s">
        <v>48</v>
      </c>
      <c r="Q72"/>
      <c r="R72"/>
      <c r="S72"/>
      <c r="T72"/>
      <c r="U72"/>
      <c r="V72"/>
      <c r="W72"/>
      <c r="X72"/>
      <c r="AS72"/>
      <c r="AT72"/>
    </row>
    <row r="73" spans="11:47" ht="21.75" customHeight="1" x14ac:dyDescent="0.35">
      <c r="M73" s="130"/>
      <c r="P73" t="s">
        <v>48</v>
      </c>
      <c r="Q73"/>
      <c r="R73"/>
      <c r="S73"/>
      <c r="T73"/>
      <c r="U73"/>
      <c r="V73"/>
      <c r="W73"/>
      <c r="X73"/>
      <c r="AS73"/>
      <c r="AT73"/>
    </row>
    <row r="74" spans="11:47" ht="21.75" customHeight="1" x14ac:dyDescent="0.35">
      <c r="M74" s="130"/>
      <c r="P74" t="s">
        <v>48</v>
      </c>
      <c r="Q74"/>
      <c r="R74"/>
      <c r="S74"/>
      <c r="T74"/>
      <c r="U74"/>
      <c r="V74"/>
      <c r="W74"/>
      <c r="X74"/>
      <c r="AS74"/>
      <c r="AT74"/>
    </row>
    <row r="75" spans="11:47" ht="21.75" customHeight="1" x14ac:dyDescent="0.35">
      <c r="M75" s="130"/>
      <c r="P75" t="s">
        <v>48</v>
      </c>
      <c r="Q75"/>
      <c r="R75"/>
      <c r="S75"/>
      <c r="T75"/>
      <c r="U75"/>
      <c r="V75"/>
      <c r="W75"/>
      <c r="X75"/>
      <c r="AS75"/>
      <c r="AT75"/>
    </row>
    <row r="76" spans="11:47" ht="21.75" customHeight="1" x14ac:dyDescent="0.35">
      <c r="M76" s="130"/>
      <c r="P76" t="s">
        <v>48</v>
      </c>
      <c r="Q76"/>
      <c r="R76"/>
      <c r="S76"/>
      <c r="T76"/>
      <c r="U76"/>
      <c r="V76"/>
      <c r="W76"/>
      <c r="X76"/>
      <c r="AS76"/>
      <c r="AT76"/>
    </row>
    <row r="77" spans="11:47" ht="21.75" customHeight="1" x14ac:dyDescent="0.35">
      <c r="M77" s="130"/>
      <c r="P77" t="s">
        <v>48</v>
      </c>
      <c r="Q77"/>
      <c r="R77"/>
      <c r="S77"/>
      <c r="T77"/>
      <c r="U77"/>
      <c r="V77"/>
      <c r="W77"/>
      <c r="X77"/>
      <c r="AS77"/>
      <c r="AT77"/>
    </row>
    <row r="78" spans="11:47" ht="21.75" customHeight="1" x14ac:dyDescent="0.35">
      <c r="M78" s="130"/>
      <c r="P78" t="s">
        <v>48</v>
      </c>
      <c r="Q78"/>
      <c r="R78"/>
      <c r="S78"/>
      <c r="T78"/>
      <c r="U78"/>
      <c r="V78"/>
      <c r="W78"/>
      <c r="X78"/>
      <c r="AS78"/>
      <c r="AT78"/>
    </row>
    <row r="79" spans="11:47" ht="21.75" customHeight="1" x14ac:dyDescent="0.35">
      <c r="M79" s="130"/>
      <c r="P79" t="s">
        <v>48</v>
      </c>
      <c r="Q79"/>
      <c r="R79"/>
      <c r="S79"/>
      <c r="T79"/>
      <c r="U79"/>
      <c r="V79"/>
      <c r="W79"/>
      <c r="X79"/>
      <c r="AS79"/>
      <c r="AT79"/>
    </row>
    <row r="80" spans="11:47" ht="21.75" customHeight="1" x14ac:dyDescent="0.35">
      <c r="M80" s="130"/>
      <c r="P80" t="s">
        <v>48</v>
      </c>
      <c r="Q80"/>
      <c r="R80"/>
      <c r="S80"/>
      <c r="T80"/>
      <c r="U80"/>
      <c r="V80"/>
      <c r="W80"/>
      <c r="X80"/>
      <c r="AS80"/>
      <c r="AT80"/>
    </row>
    <row r="81" spans="13:46" ht="21.75" customHeight="1" x14ac:dyDescent="0.35">
      <c r="M81" s="130"/>
      <c r="P81" t="s">
        <v>48</v>
      </c>
      <c r="Q81"/>
      <c r="R81"/>
      <c r="S81"/>
      <c r="T81"/>
      <c r="U81"/>
      <c r="V81"/>
      <c r="W81"/>
      <c r="X81"/>
      <c r="AS81"/>
      <c r="AT81"/>
    </row>
    <row r="82" spans="13:46" ht="21.75" customHeight="1" x14ac:dyDescent="0.35">
      <c r="M82" s="130"/>
      <c r="P82" t="s">
        <v>48</v>
      </c>
      <c r="Q82"/>
      <c r="R82"/>
      <c r="S82"/>
      <c r="T82"/>
      <c r="U82"/>
      <c r="V82"/>
      <c r="W82"/>
      <c r="X82"/>
      <c r="AS82"/>
      <c r="AT82"/>
    </row>
    <row r="83" spans="13:46" ht="21.75" customHeight="1" x14ac:dyDescent="0.35">
      <c r="M83" s="130"/>
      <c r="P83" t="s">
        <v>48</v>
      </c>
      <c r="Q83"/>
      <c r="R83"/>
      <c r="S83"/>
      <c r="T83"/>
      <c r="U83"/>
      <c r="V83"/>
      <c r="W83"/>
      <c r="X83"/>
      <c r="AS83"/>
      <c r="AT83"/>
    </row>
    <row r="84" spans="13:46" ht="21.75" customHeight="1" x14ac:dyDescent="0.35">
      <c r="M84" s="130"/>
      <c r="P84" t="s">
        <v>48</v>
      </c>
      <c r="Q84"/>
      <c r="R84"/>
      <c r="S84"/>
      <c r="T84"/>
      <c r="U84"/>
      <c r="V84"/>
      <c r="W84"/>
      <c r="X84"/>
      <c r="AS84"/>
      <c r="AT84"/>
    </row>
    <row r="85" spans="13:46" ht="21.75" customHeight="1" x14ac:dyDescent="0.35">
      <c r="M85" s="130"/>
      <c r="P85" t="s">
        <v>48</v>
      </c>
      <c r="Q85"/>
      <c r="R85"/>
      <c r="S85"/>
      <c r="T85"/>
      <c r="U85"/>
      <c r="AS85"/>
      <c r="AT85"/>
    </row>
    <row r="86" spans="13:46" ht="21.75" customHeight="1" x14ac:dyDescent="0.35">
      <c r="M86" s="130"/>
      <c r="P86" t="s">
        <v>48</v>
      </c>
      <c r="Q86"/>
      <c r="R86"/>
      <c r="S86"/>
      <c r="T86"/>
      <c r="U86"/>
      <c r="AS86"/>
      <c r="AT86"/>
    </row>
    <row r="87" spans="13:46" ht="21.75" customHeight="1" x14ac:dyDescent="0.35">
      <c r="M87" s="130"/>
      <c r="P87" t="s">
        <v>48</v>
      </c>
      <c r="Q87"/>
      <c r="R87"/>
      <c r="S87"/>
      <c r="T87"/>
      <c r="U87"/>
      <c r="AS87"/>
      <c r="AT87"/>
    </row>
    <row r="88" spans="13:46" ht="21.75" customHeight="1" x14ac:dyDescent="0.35">
      <c r="M88" s="130"/>
      <c r="P88" t="s">
        <v>48</v>
      </c>
      <c r="Q88"/>
      <c r="R88"/>
      <c r="S88"/>
      <c r="T88"/>
      <c r="U88"/>
      <c r="AS88"/>
      <c r="AT88"/>
    </row>
    <row r="89" spans="13:46" ht="21.75" customHeight="1" x14ac:dyDescent="0.35">
      <c r="M89" s="130"/>
      <c r="P89" t="s">
        <v>48</v>
      </c>
      <c r="Q89"/>
      <c r="R89"/>
      <c r="S89"/>
      <c r="T89"/>
      <c r="U89"/>
      <c r="AS89"/>
      <c r="AT89"/>
    </row>
    <row r="90" spans="13:46" ht="21.75" customHeight="1" x14ac:dyDescent="0.35">
      <c r="M90" s="130"/>
      <c r="P90" t="s">
        <v>48</v>
      </c>
      <c r="Q90"/>
      <c r="R90"/>
      <c r="S90"/>
      <c r="T90"/>
      <c r="U90"/>
      <c r="AS90"/>
      <c r="AT90"/>
    </row>
    <row r="91" spans="13:46" ht="21.75" customHeight="1" x14ac:dyDescent="0.35">
      <c r="M91" s="130"/>
      <c r="P91" t="s">
        <v>48</v>
      </c>
      <c r="Q91"/>
      <c r="R91"/>
      <c r="S91"/>
      <c r="T91"/>
      <c r="U91"/>
      <c r="AS91"/>
      <c r="AT91"/>
    </row>
    <row r="92" spans="13:46" ht="21.75" customHeight="1" x14ac:dyDescent="0.35">
      <c r="M92" s="130"/>
      <c r="P92" t="s">
        <v>48</v>
      </c>
      <c r="Q92"/>
      <c r="R92"/>
      <c r="S92"/>
      <c r="T92"/>
      <c r="U92"/>
      <c r="AS92"/>
      <c r="AT92"/>
    </row>
    <row r="93" spans="13:46" ht="21.75" customHeight="1" x14ac:dyDescent="0.35">
      <c r="M93" s="130"/>
      <c r="P93" t="s">
        <v>48</v>
      </c>
      <c r="Q93"/>
      <c r="R93"/>
      <c r="S93"/>
      <c r="T93"/>
      <c r="U93"/>
      <c r="AS93"/>
      <c r="AT93"/>
    </row>
    <row r="94" spans="13:46" ht="21.75" customHeight="1" x14ac:dyDescent="0.35">
      <c r="M94" s="130"/>
      <c r="P94" t="s">
        <v>48</v>
      </c>
      <c r="Q94"/>
      <c r="R94"/>
      <c r="S94"/>
      <c r="T94"/>
      <c r="U94"/>
      <c r="AS94"/>
      <c r="AT94"/>
    </row>
    <row r="95" spans="13:46" ht="21.75" customHeight="1" x14ac:dyDescent="0.35">
      <c r="M95" s="130"/>
      <c r="P95" t="s">
        <v>48</v>
      </c>
      <c r="Q95"/>
      <c r="R95"/>
      <c r="S95"/>
      <c r="T95"/>
      <c r="U95"/>
      <c r="AS95"/>
      <c r="AT95"/>
    </row>
    <row r="96" spans="13:46" ht="21.75" customHeight="1" x14ac:dyDescent="0.35">
      <c r="M96" s="130"/>
      <c r="P96" t="s">
        <v>48</v>
      </c>
      <c r="Q96"/>
      <c r="R96"/>
      <c r="S96"/>
      <c r="T96"/>
      <c r="U96"/>
      <c r="AS96"/>
      <c r="AT96"/>
    </row>
    <row r="97" spans="13:46" ht="21.75" customHeight="1" x14ac:dyDescent="0.35">
      <c r="M97" s="130"/>
      <c r="P97" t="s">
        <v>48</v>
      </c>
      <c r="Q97"/>
      <c r="R97"/>
      <c r="S97"/>
      <c r="T97"/>
      <c r="U97"/>
      <c r="AS97"/>
      <c r="AT97"/>
    </row>
    <row r="98" spans="13:46" ht="21.75" customHeight="1" x14ac:dyDescent="0.35">
      <c r="M98" s="130"/>
      <c r="P98" t="s">
        <v>48</v>
      </c>
      <c r="Q98"/>
      <c r="R98"/>
      <c r="S98"/>
      <c r="T98"/>
      <c r="U98"/>
      <c r="AS98"/>
      <c r="AT98"/>
    </row>
    <row r="99" spans="13:46" ht="21.75" customHeight="1" x14ac:dyDescent="0.35">
      <c r="M99" s="130"/>
      <c r="P99" t="s">
        <v>48</v>
      </c>
      <c r="Q99"/>
      <c r="R99"/>
      <c r="S99"/>
      <c r="T99"/>
      <c r="U99"/>
      <c r="AS99"/>
      <c r="AT99"/>
    </row>
    <row r="100" spans="13:46" ht="21.75" customHeight="1" x14ac:dyDescent="0.35">
      <c r="P100" t="s">
        <v>48</v>
      </c>
      <c r="Q100"/>
      <c r="R100"/>
      <c r="S100"/>
      <c r="T100"/>
      <c r="U100"/>
      <c r="AS100"/>
      <c r="AT100"/>
    </row>
    <row r="101" spans="13:46" ht="21.75" customHeight="1" x14ac:dyDescent="0.35">
      <c r="P101" t="s">
        <v>48</v>
      </c>
      <c r="Q101"/>
      <c r="R101"/>
      <c r="S101"/>
      <c r="T101"/>
      <c r="U101"/>
      <c r="AS101"/>
      <c r="AT101"/>
    </row>
    <row r="102" spans="13:46" ht="21.75" customHeight="1" x14ac:dyDescent="0.35">
      <c r="P102" t="s">
        <v>48</v>
      </c>
      <c r="Q102"/>
      <c r="R102"/>
      <c r="S102"/>
      <c r="T102"/>
      <c r="U102"/>
      <c r="AS102"/>
      <c r="AT102"/>
    </row>
    <row r="103" spans="13:46" ht="21.75" customHeight="1" x14ac:dyDescent="0.35">
      <c r="P103" t="s">
        <v>48</v>
      </c>
      <c r="Q103"/>
      <c r="R103"/>
      <c r="S103"/>
      <c r="T103"/>
      <c r="U103"/>
    </row>
    <row r="104" spans="13:46" ht="21.75" customHeight="1" x14ac:dyDescent="0.35">
      <c r="P104" t="s">
        <v>48</v>
      </c>
      <c r="Q104"/>
      <c r="R104"/>
      <c r="S104"/>
      <c r="T104"/>
      <c r="U104"/>
    </row>
    <row r="105" spans="13:46" ht="21.75" customHeight="1" x14ac:dyDescent="0.35">
      <c r="P105" t="s">
        <v>48</v>
      </c>
      <c r="Q105"/>
      <c r="R105"/>
      <c r="S105"/>
      <c r="T105"/>
      <c r="U105"/>
    </row>
    <row r="106" spans="13:46" ht="21.75" customHeight="1" x14ac:dyDescent="0.35">
      <c r="P106" t="s">
        <v>48</v>
      </c>
      <c r="Q106"/>
      <c r="R106"/>
      <c r="S106"/>
      <c r="T106"/>
    </row>
    <row r="107" spans="13:46" ht="21.75" customHeight="1" x14ac:dyDescent="0.35">
      <c r="P107" t="s">
        <v>48</v>
      </c>
      <c r="Q107"/>
      <c r="R107"/>
      <c r="S107"/>
    </row>
  </sheetData>
  <sortState xmlns:xlrd2="http://schemas.microsoft.com/office/spreadsheetml/2017/richdata2" ref="U32:U38">
    <sortCondition ref="U32"/>
  </sortState>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AB391-B86D-450B-8CD8-26D1C7ABC3E5}">
  <sheetPr>
    <tabColor rgb="FFFFFF00"/>
  </sheetPr>
  <dimension ref="C1:F21"/>
  <sheetViews>
    <sheetView showGridLines="0" zoomScale="66" zoomScaleNormal="66" workbookViewId="0"/>
  </sheetViews>
  <sheetFormatPr defaultColWidth="10.6640625" defaultRowHeight="21.75" customHeight="1" x14ac:dyDescent="0.3"/>
  <cols>
    <col min="1" max="1" width="10.88671875" style="167" customWidth="1"/>
    <col min="2" max="2" width="3.6640625" style="167" customWidth="1"/>
    <col min="3" max="3" width="44.109375" style="167" customWidth="1"/>
    <col min="4" max="4" width="42.88671875" style="167" customWidth="1"/>
    <col min="5" max="5" width="36.88671875" style="167" customWidth="1"/>
    <col min="6" max="6" width="12.109375" style="167" customWidth="1"/>
    <col min="7" max="16384" width="10.6640625" style="167"/>
  </cols>
  <sheetData>
    <row r="1" spans="3:6" ht="29.25" customHeight="1" thickBot="1" x14ac:dyDescent="0.35"/>
    <row r="2" spans="3:6" s="172" customFormat="1" ht="27.75" customHeight="1" thickBot="1" x14ac:dyDescent="0.35">
      <c r="C2" s="168" t="s">
        <v>168</v>
      </c>
      <c r="D2" s="169" t="s">
        <v>169</v>
      </c>
      <c r="E2" s="170" t="s">
        <v>170</v>
      </c>
      <c r="F2" s="171"/>
    </row>
    <row r="3" spans="3:6" ht="27" customHeight="1" x14ac:dyDescent="0.4">
      <c r="C3" s="173">
        <v>3</v>
      </c>
      <c r="D3" s="173">
        <v>13</v>
      </c>
      <c r="E3" s="174">
        <f>CORREL(C3:C8,D3:D8)</f>
        <v>0.83638514598058522</v>
      </c>
      <c r="F3" s="175" t="s">
        <v>171</v>
      </c>
    </row>
    <row r="4" spans="3:6" ht="23.25" customHeight="1" x14ac:dyDescent="0.4">
      <c r="C4" s="173">
        <v>6</v>
      </c>
      <c r="D4" s="173">
        <v>31</v>
      </c>
      <c r="E4" s="173"/>
    </row>
    <row r="5" spans="3:6" ht="23.25" customHeight="1" x14ac:dyDescent="0.4">
      <c r="C5" s="173">
        <v>4</v>
      </c>
      <c r="D5" s="173">
        <v>19</v>
      </c>
      <c r="E5" s="173"/>
    </row>
    <row r="6" spans="3:6" ht="23.25" customHeight="1" x14ac:dyDescent="0.4">
      <c r="C6" s="173">
        <v>5</v>
      </c>
      <c r="D6" s="173">
        <v>27</v>
      </c>
      <c r="E6" s="173"/>
    </row>
    <row r="7" spans="3:6" ht="23.25" customHeight="1" x14ac:dyDescent="0.4">
      <c r="C7" s="173">
        <v>6</v>
      </c>
      <c r="D7" s="173">
        <v>23</v>
      </c>
      <c r="E7" s="173"/>
    </row>
    <row r="8" spans="3:6" ht="23.25" customHeight="1" x14ac:dyDescent="0.4">
      <c r="C8" s="173">
        <v>3</v>
      </c>
      <c r="D8" s="173">
        <v>19</v>
      </c>
      <c r="E8" s="173"/>
    </row>
    <row r="9" spans="3:6" ht="21.75" customHeight="1" x14ac:dyDescent="0.4">
      <c r="C9" s="173"/>
      <c r="D9" s="173"/>
      <c r="E9" s="173"/>
    </row>
    <row r="21" ht="29.25" customHeight="1"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EBBE8-8874-41A4-953C-D0E06838EDD0}">
  <sheetPr>
    <tabColor rgb="FFFFFF00"/>
  </sheetPr>
  <dimension ref="BN2:DZ25"/>
  <sheetViews>
    <sheetView showGridLines="0" topLeftCell="AU7" zoomScale="66" zoomScaleNormal="66" workbookViewId="0">
      <selection activeCell="N22" sqref="N22"/>
    </sheetView>
  </sheetViews>
  <sheetFormatPr defaultColWidth="10.6640625" defaultRowHeight="21.75" customHeight="1" x14ac:dyDescent="0.3"/>
  <cols>
    <col min="1" max="1" width="4.33203125" style="167" customWidth="1"/>
    <col min="2" max="44" width="10.6640625" style="167"/>
    <col min="45" max="45" width="5.88671875" style="167" customWidth="1"/>
    <col min="46" max="64" width="10.6640625" style="167"/>
    <col min="65" max="65" width="13.33203125" style="167" customWidth="1"/>
    <col min="66" max="66" width="1.33203125" style="167" customWidth="1"/>
    <col min="67" max="67" width="9.5546875" style="167" customWidth="1"/>
    <col min="68" max="69" width="33.44140625" style="167" customWidth="1"/>
    <col min="70" max="70" width="41.5546875" style="167" customWidth="1"/>
    <col min="71" max="71" width="17.33203125" style="167" customWidth="1"/>
    <col min="72" max="72" width="1.33203125" style="167" customWidth="1"/>
    <col min="73" max="73" width="4.88671875" style="167" customWidth="1"/>
    <col min="74" max="78" width="13.6640625" style="167" customWidth="1"/>
    <col min="79" max="113" width="10.6640625" style="167"/>
    <col min="114" max="114" width="1.33203125" style="167" customWidth="1"/>
    <col min="115" max="126" width="10.6640625" style="167"/>
    <col min="127" max="127" width="1.33203125" style="167" customWidth="1"/>
    <col min="128" max="128" width="6.88671875" style="167" customWidth="1"/>
    <col min="129" max="16384" width="10.6640625" style="167"/>
  </cols>
  <sheetData>
    <row r="2" spans="66:129" ht="36" customHeight="1" x14ac:dyDescent="0.4">
      <c r="BN2" s="176"/>
      <c r="BP2" s="177" t="s">
        <v>172</v>
      </c>
      <c r="BT2" s="176"/>
      <c r="BV2" s="178" t="s">
        <v>173</v>
      </c>
      <c r="DJ2" s="176"/>
      <c r="DL2" s="179" t="s">
        <v>174</v>
      </c>
      <c r="DW2" s="176"/>
      <c r="DY2" s="180" t="s">
        <v>175</v>
      </c>
    </row>
    <row r="3" spans="66:129" ht="25.5" customHeight="1" x14ac:dyDescent="0.4">
      <c r="BN3" s="181"/>
      <c r="BO3" s="182"/>
      <c r="BP3" s="182"/>
      <c r="BQ3" s="182"/>
      <c r="BR3" s="182"/>
      <c r="BS3" s="182"/>
      <c r="BT3" s="181"/>
      <c r="DJ3" s="181"/>
      <c r="DL3" s="180" t="s">
        <v>176</v>
      </c>
      <c r="DW3" s="181"/>
      <c r="DY3" s="180" t="s">
        <v>177</v>
      </c>
    </row>
    <row r="4" spans="66:129" ht="21.75" customHeight="1" x14ac:dyDescent="0.3">
      <c r="BN4" s="183"/>
      <c r="BO4" s="184"/>
      <c r="BP4" s="184"/>
      <c r="BQ4" s="184"/>
      <c r="BR4" s="184"/>
      <c r="BS4" s="184"/>
      <c r="BT4" s="183"/>
      <c r="DJ4" s="183"/>
      <c r="DW4" s="183"/>
    </row>
    <row r="5" spans="66:129" ht="21.75" customHeight="1" x14ac:dyDescent="0.3">
      <c r="BN5" s="176"/>
      <c r="BT5" s="176"/>
      <c r="DJ5" s="176"/>
      <c r="DW5" s="176"/>
    </row>
    <row r="6" spans="66:129" ht="21.75" customHeight="1" x14ac:dyDescent="0.3">
      <c r="BN6" s="176"/>
      <c r="BT6" s="176"/>
      <c r="DJ6" s="176"/>
      <c r="DW6" s="176"/>
    </row>
    <row r="7" spans="66:129" ht="21.75" customHeight="1" x14ac:dyDescent="0.3">
      <c r="BN7" s="176"/>
      <c r="BT7" s="176"/>
      <c r="DJ7" s="176"/>
      <c r="DW7" s="176"/>
    </row>
    <row r="8" spans="66:129" ht="21.75" customHeight="1" x14ac:dyDescent="0.3">
      <c r="BN8" s="176"/>
      <c r="BT8" s="176"/>
      <c r="DJ8" s="176"/>
      <c r="DW8" s="176"/>
    </row>
    <row r="9" spans="66:129" ht="21.75" customHeight="1" x14ac:dyDescent="0.3">
      <c r="BN9" s="176"/>
      <c r="BT9" s="176"/>
      <c r="DJ9" s="176"/>
      <c r="DW9" s="176"/>
    </row>
    <row r="10" spans="66:129" ht="21.75" customHeight="1" x14ac:dyDescent="0.3">
      <c r="BN10" s="176"/>
      <c r="BT10" s="176"/>
      <c r="DJ10" s="176"/>
      <c r="DW10" s="176"/>
    </row>
    <row r="11" spans="66:129" ht="21.75" customHeight="1" x14ac:dyDescent="0.3">
      <c r="BN11" s="176"/>
      <c r="BT11" s="176"/>
      <c r="DJ11" s="176"/>
      <c r="DW11" s="176"/>
    </row>
    <row r="12" spans="66:129" ht="21.75" customHeight="1" x14ac:dyDescent="0.3">
      <c r="BN12" s="176"/>
      <c r="BT12" s="176"/>
      <c r="DJ12" s="176"/>
      <c r="DW12" s="176"/>
    </row>
    <row r="13" spans="66:129" ht="21.75" customHeight="1" x14ac:dyDescent="0.3">
      <c r="BN13" s="176"/>
      <c r="BT13" s="176"/>
      <c r="DJ13" s="176"/>
      <c r="DW13" s="176"/>
    </row>
    <row r="14" spans="66:129" ht="21.75" customHeight="1" x14ac:dyDescent="0.3">
      <c r="BN14" s="176"/>
      <c r="BT14" s="176"/>
      <c r="DJ14" s="176"/>
      <c r="DW14" s="176"/>
    </row>
    <row r="15" spans="66:129" ht="21.75" customHeight="1" x14ac:dyDescent="0.3">
      <c r="BN15" s="176"/>
      <c r="BT15" s="176"/>
      <c r="DJ15" s="176"/>
      <c r="DW15" s="176"/>
    </row>
    <row r="16" spans="66:129" ht="21.75" customHeight="1" x14ac:dyDescent="0.3">
      <c r="BN16" s="176"/>
      <c r="BT16" s="176"/>
      <c r="DJ16" s="176"/>
      <c r="DW16" s="176"/>
    </row>
    <row r="17" spans="66:130" ht="21.75" customHeight="1" x14ac:dyDescent="0.3">
      <c r="BN17" s="176"/>
      <c r="BT17" s="176"/>
      <c r="DJ17" s="176"/>
      <c r="DW17" s="176"/>
    </row>
    <row r="18" spans="66:130" ht="21.75" customHeight="1" x14ac:dyDescent="0.3">
      <c r="BN18" s="176"/>
      <c r="BT18" s="176"/>
      <c r="DJ18" s="176"/>
      <c r="DW18" s="176"/>
    </row>
    <row r="19" spans="66:130" ht="21.75" customHeight="1" x14ac:dyDescent="0.3">
      <c r="BN19" s="176"/>
      <c r="BT19" s="176"/>
      <c r="DJ19" s="176"/>
      <c r="DW19" s="176"/>
    </row>
    <row r="20" spans="66:130" ht="21.75" customHeight="1" x14ac:dyDescent="0.3">
      <c r="BN20" s="176"/>
      <c r="BT20" s="176"/>
      <c r="DJ20" s="176"/>
      <c r="DW20" s="176"/>
    </row>
    <row r="21" spans="66:130" ht="21.75" customHeight="1" x14ac:dyDescent="0.4">
      <c r="BN21" s="176"/>
      <c r="BT21" s="176"/>
      <c r="DJ21" s="176"/>
      <c r="DW21" s="176"/>
      <c r="DY21" s="180" t="s">
        <v>178</v>
      </c>
    </row>
    <row r="22" spans="66:130" ht="29.25" customHeight="1" x14ac:dyDescent="0.4">
      <c r="BN22" s="176"/>
      <c r="BT22" s="176"/>
      <c r="DJ22" s="176"/>
      <c r="DW22" s="176"/>
      <c r="DZ22" s="180" t="s">
        <v>179</v>
      </c>
    </row>
    <row r="23" spans="66:130" ht="21.75" customHeight="1" x14ac:dyDescent="0.3">
      <c r="BN23" s="176"/>
      <c r="BT23" s="176"/>
      <c r="DJ23" s="176"/>
      <c r="DW23" s="176"/>
    </row>
    <row r="24" spans="66:130" ht="21.75" customHeight="1" x14ac:dyDescent="0.3">
      <c r="BN24" s="176"/>
      <c r="BT24" s="176"/>
      <c r="DJ24" s="176"/>
      <c r="DW24" s="176"/>
    </row>
    <row r="25" spans="66:130" ht="21.75" customHeight="1" x14ac:dyDescent="0.3">
      <c r="BN25" s="176"/>
      <c r="BT25" s="176"/>
      <c r="DJ25" s="176"/>
      <c r="DW25" s="176"/>
    </row>
  </sheetData>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(1) PROJECT STATEMENT</vt:lpstr>
      <vt:lpstr>(3)EXEC. SUMMARY&amp;RECOMMENDATION</vt:lpstr>
      <vt:lpstr>(4) ANALYSIS ASSUMPTIONS</vt:lpstr>
      <vt:lpstr>(5) AnalysisModel-AverageGrowth</vt:lpstr>
      <vt:lpstr>(5a) REGRESSION Forecasting</vt:lpstr>
      <vt:lpstr>(9) CORREL. COEFFICIENT CALC.</vt:lpstr>
      <vt:lpstr>(10) CALC. REGRES. ANALYSIS</vt:lpstr>
      <vt:lpstr>'(4) ANALYSIS ASSUMPTIONS'!Print_Area</vt:lpstr>
    </vt:vector>
  </TitlesOfParts>
  <Company>MCA SPR 2019</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Schonberger</dc:creator>
  <cp:lastModifiedBy>A Schonb</cp:lastModifiedBy>
  <cp:lastPrinted>2018-09-09T11:40:35Z</cp:lastPrinted>
  <dcterms:created xsi:type="dcterms:W3CDTF">2016-10-24T21:42:45Z</dcterms:created>
  <dcterms:modified xsi:type="dcterms:W3CDTF">2025-07-03T23:04:53Z</dcterms:modified>
</cp:coreProperties>
</file>