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ju\Dropbox\H2paper\calcs\"/>
    </mc:Choice>
  </mc:AlternateContent>
  <xr:revisionPtr revIDLastSave="0" documentId="10_ncr:100000_{4A4384B2-B2A1-4867-8365-3E47DD83B655}" xr6:coauthVersionLast="31" xr6:coauthVersionMax="31" xr10:uidLastSave="{00000000-0000-0000-0000-000000000000}"/>
  <bookViews>
    <workbookView xWindow="0" yWindow="0" windowWidth="16380" windowHeight="8190" tabRatio="500" activeTab="8" xr2:uid="{00000000-000D-0000-FFFF-FFFF00000000}"/>
  </bookViews>
  <sheets>
    <sheet name="sourcedat" sheetId="1" r:id="rId1"/>
    <sheet name="paths" sheetId="2" r:id="rId2"/>
    <sheet name="transp" sheetId="3" r:id="rId3"/>
    <sheet name="prod" sheetId="4" r:id="rId4"/>
    <sheet name="compress" sheetId="5" r:id="rId5"/>
    <sheet name="display" sheetId="6" r:id="rId6"/>
    <sheet name="proj" sheetId="7" r:id="rId7"/>
    <sheet name="drivetrain" sheetId="9" r:id="rId8"/>
    <sheet name="Misc" sheetId="8" r:id="rId9"/>
  </sheets>
  <definedNames>
    <definedName name="__Fieldmark__769_1656100292" localSheetId="5">display!$K$24</definedName>
    <definedName name="distance">display!$P$22:$AC$29</definedName>
    <definedName name="elec_type">display!$J$15:$N$18</definedName>
    <definedName name="elec_types">display!$J$15:$N$18</definedName>
    <definedName name="electrolysers">display!$J$15:$N$18</definedName>
    <definedName name="ElectroPlants">display!$A$2:$D$5</definedName>
    <definedName name="fuel_econ">drivetrain!$A$3:$K$10</definedName>
    <definedName name="gas_decr">transp!$K$17:$O$22</definedName>
    <definedName name="gas_incr">transp!$K$26:$O$31</definedName>
    <definedName name="gas_transp" localSheetId="2">transp!$K$2:$O$7</definedName>
    <definedName name="gas_transp">paths!$W$22:$AC$27</definedName>
    <definedName name="gwp_by_source">prod!$G$17:$M$25</definedName>
    <definedName name="liq_decr">transp!$A$17:$I$22</definedName>
    <definedName name="liq_incr">transp!$A$26:$I$31</definedName>
    <definedName name="liq_transport" localSheetId="2">transp!$A$2:$I$7</definedName>
    <definedName name="liq_transport">paths!$N$14:$V$19</definedName>
    <definedName name="pants">display!$E$7:$I$13</definedName>
    <definedName name="path_decr">paths!$A$32:$L$41</definedName>
    <definedName name="path_incr">paths!$A$45:$L$54</definedName>
    <definedName name="pathway_labels">paths!$N$2:$S$11</definedName>
    <definedName name="pathways">paths!$A$2:$L$11</definedName>
    <definedName name="plants">display!$E$7:$I$13</definedName>
    <definedName name="proj_table">proj!$A$2:$G$6</definedName>
    <definedName name="Thermo">compress!$A$2:$D$93</definedName>
    <definedName name="us_elec_chart">prod!$A$1:$D$10</definedName>
    <definedName name="work">compress!$A$2:$E$93</definedName>
  </definedNames>
  <calcPr calcId="179017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42" i="8" l="1"/>
  <c r="C39" i="8"/>
  <c r="C36" i="8"/>
  <c r="C38" i="8"/>
  <c r="C41" i="8"/>
  <c r="C40" i="8"/>
  <c r="C37" i="8"/>
  <c r="F8" i="1" l="1"/>
  <c r="E8" i="1"/>
  <c r="K12" i="9"/>
  <c r="E4" i="7"/>
  <c r="E5" i="7"/>
  <c r="A17" i="9"/>
  <c r="B17" i="9"/>
  <c r="A18" i="9"/>
  <c r="B18" i="9"/>
  <c r="J4" i="9"/>
  <c r="J5" i="9"/>
  <c r="J6" i="9"/>
  <c r="J9" i="9"/>
  <c r="D5" i="9"/>
  <c r="D6" i="9"/>
  <c r="D7" i="9"/>
  <c r="D8" i="9"/>
  <c r="D9" i="9"/>
  <c r="D4" i="9"/>
  <c r="C5" i="9"/>
  <c r="G5" i="9" s="1"/>
  <c r="H5" i="9" s="1"/>
  <c r="C6" i="9"/>
  <c r="G6" i="9" s="1"/>
  <c r="H6" i="9" s="1"/>
  <c r="C9" i="9"/>
  <c r="G9" i="9" s="1"/>
  <c r="H9" i="9" s="1"/>
  <c r="C4" i="9"/>
  <c r="G4" i="9" s="1"/>
  <c r="H4" i="9" s="1"/>
  <c r="S51" i="2"/>
  <c r="R51" i="2"/>
  <c r="Q51" i="2"/>
  <c r="P51" i="2"/>
  <c r="O51" i="2"/>
  <c r="N51" i="2"/>
  <c r="H51" i="2"/>
  <c r="A51" i="2"/>
  <c r="H38" i="2"/>
  <c r="A38" i="2"/>
  <c r="N38" i="2"/>
  <c r="O38" i="2"/>
  <c r="P38" i="2"/>
  <c r="Q38" i="2"/>
  <c r="R38" i="2"/>
  <c r="S38" i="2"/>
  <c r="I8" i="2"/>
  <c r="I38" i="2" s="1"/>
  <c r="H8" i="2"/>
  <c r="D8" i="1"/>
  <c r="C8" i="1"/>
  <c r="C5" i="1"/>
  <c r="D5" i="1"/>
  <c r="B8" i="2" s="1"/>
  <c r="F7" i="9"/>
  <c r="J7" i="9" s="1"/>
  <c r="B8" i="9"/>
  <c r="B7" i="9"/>
  <c r="A54" i="2"/>
  <c r="A53" i="2"/>
  <c r="A52" i="2"/>
  <c r="A50" i="2"/>
  <c r="A49" i="2"/>
  <c r="A48" i="2"/>
  <c r="A47" i="2"/>
  <c r="A46" i="2"/>
  <c r="A41" i="2"/>
  <c r="A40" i="2"/>
  <c r="A39" i="2"/>
  <c r="A37" i="2"/>
  <c r="A36" i="2"/>
  <c r="A35" i="2"/>
  <c r="A34" i="2"/>
  <c r="C16" i="1"/>
  <c r="D16" i="1" s="1"/>
  <c r="D19" i="1"/>
  <c r="D18" i="1"/>
  <c r="A13" i="8"/>
  <c r="E4" i="8"/>
  <c r="E5" i="8"/>
  <c r="E6" i="8"/>
  <c r="E7" i="8"/>
  <c r="E9" i="8"/>
  <c r="E3" i="8"/>
  <c r="D8" i="8"/>
  <c r="E8" i="8" s="1"/>
  <c r="D10" i="8"/>
  <c r="E10" i="8" s="1"/>
  <c r="D3" i="8"/>
  <c r="A11" i="8"/>
  <c r="F28" i="8"/>
  <c r="G28" i="8" s="1"/>
  <c r="I27" i="8"/>
  <c r="H27" i="8"/>
  <c r="F25" i="8"/>
  <c r="G25" i="8" s="1"/>
  <c r="F21" i="8"/>
  <c r="G21" i="8" s="1"/>
  <c r="I20" i="8"/>
  <c r="H20" i="8"/>
  <c r="I19" i="8"/>
  <c r="H19" i="8"/>
  <c r="K20" i="8" s="1"/>
  <c r="L20" i="8" s="1"/>
  <c r="C27" i="7"/>
  <c r="D27" i="7" s="1"/>
  <c r="B27" i="7"/>
  <c r="E27" i="7" s="1"/>
  <c r="F27" i="7" s="1"/>
  <c r="G27" i="7" s="1"/>
  <c r="G28" i="7" s="1"/>
  <c r="P5" i="7"/>
  <c r="M4" i="7"/>
  <c r="K4" i="7"/>
  <c r="P4" i="7" s="1"/>
  <c r="R4" i="7" s="1"/>
  <c r="B3" i="7"/>
  <c r="AC28" i="6"/>
  <c r="AB27" i="6"/>
  <c r="Y26" i="6"/>
  <c r="AB26" i="6" s="1"/>
  <c r="AB25" i="6"/>
  <c r="W24" i="6"/>
  <c r="AB24" i="6" s="1"/>
  <c r="AB28" i="6" s="1"/>
  <c r="I12" i="6"/>
  <c r="I13" i="6" s="1"/>
  <c r="H11" i="6"/>
  <c r="G11" i="6"/>
  <c r="H10" i="6"/>
  <c r="G10" i="6"/>
  <c r="H9" i="6"/>
  <c r="B5" i="7" s="1"/>
  <c r="G9" i="6"/>
  <c r="H8" i="6"/>
  <c r="H12" i="6" s="1"/>
  <c r="H13" i="6" s="1"/>
  <c r="H15" i="6" s="1"/>
  <c r="G8" i="6"/>
  <c r="B4" i="7" s="1"/>
  <c r="G5" i="6"/>
  <c r="E93" i="5"/>
  <c r="E92" i="5"/>
  <c r="E91" i="5"/>
  <c r="E90" i="5"/>
  <c r="E89" i="5"/>
  <c r="E88" i="5"/>
  <c r="E87" i="5"/>
  <c r="E86" i="5"/>
  <c r="E85" i="5"/>
  <c r="E84" i="5"/>
  <c r="E83" i="5"/>
  <c r="E82" i="5"/>
  <c r="E81" i="5"/>
  <c r="E80" i="5"/>
  <c r="E79" i="5"/>
  <c r="E78" i="5"/>
  <c r="E77" i="5"/>
  <c r="E76" i="5"/>
  <c r="E75" i="5"/>
  <c r="E74" i="5"/>
  <c r="E73" i="5"/>
  <c r="E72" i="5"/>
  <c r="E71" i="5"/>
  <c r="E70" i="5"/>
  <c r="E69" i="5"/>
  <c r="E68" i="5"/>
  <c r="E67" i="5"/>
  <c r="E66" i="5"/>
  <c r="E65" i="5"/>
  <c r="J64" i="5"/>
  <c r="J65" i="5" s="1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P24" i="5"/>
  <c r="R24" i="5" s="1"/>
  <c r="E24" i="5"/>
  <c r="E23" i="5"/>
  <c r="E22" i="5"/>
  <c r="E21" i="5"/>
  <c r="E20" i="5"/>
  <c r="R19" i="5"/>
  <c r="P19" i="5"/>
  <c r="E19" i="5"/>
  <c r="E18" i="5"/>
  <c r="E17" i="5"/>
  <c r="E16" i="5"/>
  <c r="E15" i="5"/>
  <c r="E14" i="5"/>
  <c r="V13" i="5"/>
  <c r="U13" i="5"/>
  <c r="E13" i="5"/>
  <c r="U12" i="5"/>
  <c r="V12" i="5" s="1"/>
  <c r="W12" i="5" s="1"/>
  <c r="X12" i="5" s="1"/>
  <c r="E12" i="5"/>
  <c r="U11" i="5"/>
  <c r="V11" i="5" s="1"/>
  <c r="W11" i="5" s="1"/>
  <c r="E11" i="5"/>
  <c r="U10" i="5"/>
  <c r="V10" i="5" s="1"/>
  <c r="W10" i="5" s="1"/>
  <c r="E10" i="5"/>
  <c r="V9" i="5"/>
  <c r="W9" i="5" s="1"/>
  <c r="X9" i="5" s="1"/>
  <c r="U9" i="5"/>
  <c r="E9" i="5"/>
  <c r="U8" i="5"/>
  <c r="V8" i="5" s="1"/>
  <c r="W8" i="5" s="1"/>
  <c r="X8" i="5" s="1"/>
  <c r="E8" i="5"/>
  <c r="E7" i="5"/>
  <c r="V6" i="5"/>
  <c r="W6" i="5" s="1"/>
  <c r="U6" i="5"/>
  <c r="E6" i="5"/>
  <c r="U5" i="5"/>
  <c r="V5" i="5" s="1"/>
  <c r="E5" i="5"/>
  <c r="E4" i="5"/>
  <c r="E3" i="5"/>
  <c r="L25" i="4"/>
  <c r="K25" i="4"/>
  <c r="J25" i="4"/>
  <c r="L24" i="4"/>
  <c r="K24" i="4"/>
  <c r="J24" i="4"/>
  <c r="L23" i="4"/>
  <c r="K23" i="4"/>
  <c r="J23" i="4"/>
  <c r="L22" i="4"/>
  <c r="K22" i="4"/>
  <c r="J22" i="4"/>
  <c r="L21" i="4"/>
  <c r="K21" i="4"/>
  <c r="J21" i="4"/>
  <c r="H7" i="4"/>
  <c r="H8" i="4" s="1"/>
  <c r="P2" i="4"/>
  <c r="P4" i="4" s="1"/>
  <c r="K31" i="3"/>
  <c r="C31" i="3"/>
  <c r="B31" i="3"/>
  <c r="K30" i="3"/>
  <c r="C30" i="3"/>
  <c r="B30" i="3"/>
  <c r="K29" i="3"/>
  <c r="C29" i="3"/>
  <c r="B29" i="3"/>
  <c r="K28" i="3"/>
  <c r="C28" i="3"/>
  <c r="B28" i="3"/>
  <c r="K27" i="3"/>
  <c r="C27" i="3"/>
  <c r="B27" i="3"/>
  <c r="L22" i="3"/>
  <c r="C22" i="3"/>
  <c r="B22" i="3"/>
  <c r="C21" i="3"/>
  <c r="C20" i="3"/>
  <c r="C19" i="3"/>
  <c r="K10" i="3"/>
  <c r="A10" i="3"/>
  <c r="A9" i="3"/>
  <c r="C7" i="3"/>
  <c r="B7" i="3"/>
  <c r="L7" i="3" s="1"/>
  <c r="C6" i="3"/>
  <c r="G6" i="3" s="1"/>
  <c r="B6" i="3"/>
  <c r="B21" i="3" s="1"/>
  <c r="C5" i="3"/>
  <c r="G5" i="3" s="1"/>
  <c r="B5" i="3"/>
  <c r="B20" i="3" s="1"/>
  <c r="C4" i="3"/>
  <c r="G4" i="3" s="1"/>
  <c r="B4" i="3"/>
  <c r="B19" i="3" s="1"/>
  <c r="C3" i="3"/>
  <c r="G3" i="3" s="1"/>
  <c r="B3" i="3"/>
  <c r="B18" i="3" s="1"/>
  <c r="S54" i="2"/>
  <c r="R54" i="2"/>
  <c r="Q54" i="2"/>
  <c r="P54" i="2"/>
  <c r="O54" i="2"/>
  <c r="N54" i="2"/>
  <c r="S53" i="2"/>
  <c r="R53" i="2"/>
  <c r="Q53" i="2"/>
  <c r="P53" i="2"/>
  <c r="O53" i="2"/>
  <c r="N53" i="2"/>
  <c r="S52" i="2"/>
  <c r="R52" i="2"/>
  <c r="Q52" i="2"/>
  <c r="P52" i="2"/>
  <c r="O52" i="2"/>
  <c r="N52" i="2"/>
  <c r="S50" i="2"/>
  <c r="R50" i="2"/>
  <c r="Q50" i="2"/>
  <c r="P50" i="2"/>
  <c r="O50" i="2"/>
  <c r="N50" i="2"/>
  <c r="S49" i="2"/>
  <c r="R49" i="2"/>
  <c r="Q49" i="2"/>
  <c r="P49" i="2"/>
  <c r="O49" i="2"/>
  <c r="N49" i="2"/>
  <c r="S48" i="2"/>
  <c r="R48" i="2"/>
  <c r="Q48" i="2"/>
  <c r="P48" i="2"/>
  <c r="O48" i="2"/>
  <c r="N48" i="2"/>
  <c r="S47" i="2"/>
  <c r="R47" i="2"/>
  <c r="Q47" i="2"/>
  <c r="P47" i="2"/>
  <c r="O47" i="2"/>
  <c r="N47" i="2"/>
  <c r="S46" i="2"/>
  <c r="R46" i="2"/>
  <c r="Q46" i="2"/>
  <c r="P46" i="2"/>
  <c r="O46" i="2"/>
  <c r="N46" i="2"/>
  <c r="S41" i="2"/>
  <c r="R41" i="2"/>
  <c r="Q41" i="2"/>
  <c r="P41" i="2"/>
  <c r="O41" i="2"/>
  <c r="N41" i="2"/>
  <c r="S40" i="2"/>
  <c r="R40" i="2"/>
  <c r="Q40" i="2"/>
  <c r="P40" i="2"/>
  <c r="O40" i="2"/>
  <c r="N40" i="2"/>
  <c r="S39" i="2"/>
  <c r="R39" i="2"/>
  <c r="Q39" i="2"/>
  <c r="P39" i="2"/>
  <c r="O39" i="2"/>
  <c r="N39" i="2"/>
  <c r="S37" i="2"/>
  <c r="R37" i="2"/>
  <c r="Q37" i="2"/>
  <c r="P37" i="2"/>
  <c r="O37" i="2"/>
  <c r="N37" i="2"/>
  <c r="S36" i="2"/>
  <c r="R36" i="2"/>
  <c r="Q36" i="2"/>
  <c r="P36" i="2"/>
  <c r="O36" i="2"/>
  <c r="N36" i="2"/>
  <c r="S35" i="2"/>
  <c r="R35" i="2"/>
  <c r="Q35" i="2"/>
  <c r="P35" i="2"/>
  <c r="O35" i="2"/>
  <c r="N35" i="2"/>
  <c r="S34" i="2"/>
  <c r="R34" i="2"/>
  <c r="Q34" i="2"/>
  <c r="P34" i="2"/>
  <c r="O34" i="2"/>
  <c r="N34" i="2"/>
  <c r="S33" i="2"/>
  <c r="R33" i="2"/>
  <c r="Q33" i="2"/>
  <c r="P33" i="2"/>
  <c r="O33" i="2"/>
  <c r="N33" i="2"/>
  <c r="A33" i="2"/>
  <c r="W30" i="2"/>
  <c r="N22" i="2"/>
  <c r="N21" i="2"/>
  <c r="P19" i="2"/>
  <c r="O19" i="2"/>
  <c r="X27" i="2" s="1"/>
  <c r="P18" i="2"/>
  <c r="O18" i="2"/>
  <c r="X26" i="2" s="1"/>
  <c r="P17" i="2"/>
  <c r="T17" i="2" s="1"/>
  <c r="O17" i="2"/>
  <c r="X25" i="2" s="1"/>
  <c r="P16" i="2"/>
  <c r="T16" i="2" s="1"/>
  <c r="O16" i="2"/>
  <c r="X24" i="2" s="1"/>
  <c r="P15" i="2"/>
  <c r="T15" i="2" s="1"/>
  <c r="O15" i="2"/>
  <c r="X23" i="2" s="1"/>
  <c r="H11" i="2"/>
  <c r="H54" i="2" s="1"/>
  <c r="H10" i="2"/>
  <c r="H53" i="2" s="1"/>
  <c r="H9" i="2"/>
  <c r="H52" i="2" s="1"/>
  <c r="H7" i="2"/>
  <c r="H50" i="2" s="1"/>
  <c r="H5" i="2"/>
  <c r="H48" i="2" s="1"/>
  <c r="I44" i="1"/>
  <c r="C44" i="1" s="1"/>
  <c r="D44" i="1" s="1"/>
  <c r="H6" i="2" s="1"/>
  <c r="H49" i="2" s="1"/>
  <c r="D39" i="1"/>
  <c r="I6" i="2" s="1"/>
  <c r="I49" i="2" s="1"/>
  <c r="C38" i="1"/>
  <c r="D38" i="1" s="1"/>
  <c r="C34" i="1"/>
  <c r="I26" i="1"/>
  <c r="C17" i="1"/>
  <c r="D17" i="1" s="1"/>
  <c r="C8" i="2" s="1"/>
  <c r="C15" i="1"/>
  <c r="D15" i="1" s="1"/>
  <c r="D10" i="1"/>
  <c r="B4" i="2" s="1"/>
  <c r="C10" i="1"/>
  <c r="D9" i="1"/>
  <c r="B7" i="2" s="1"/>
  <c r="B50" i="2" s="1"/>
  <c r="C9" i="1"/>
  <c r="D11" i="1"/>
  <c r="B3" i="2" s="1"/>
  <c r="B46" i="2" s="1"/>
  <c r="D7" i="1"/>
  <c r="B11" i="2" s="1"/>
  <c r="B41" i="2" s="1"/>
  <c r="C7" i="1"/>
  <c r="T6" i="1"/>
  <c r="D6" i="1"/>
  <c r="B9" i="2" s="1"/>
  <c r="B39" i="2" s="1"/>
  <c r="C6" i="1"/>
  <c r="B10" i="2"/>
  <c r="B53" i="2" s="1"/>
  <c r="C38" i="2" l="1"/>
  <c r="C51" i="2"/>
  <c r="B38" i="2"/>
  <c r="B51" i="2"/>
  <c r="I51" i="2"/>
  <c r="F4" i="7"/>
  <c r="E3" i="7"/>
  <c r="F5" i="7"/>
  <c r="F8" i="9"/>
  <c r="C7" i="9"/>
  <c r="B10" i="9"/>
  <c r="C8" i="9"/>
  <c r="G8" i="9" s="1"/>
  <c r="H8" i="9" s="1"/>
  <c r="D8" i="2"/>
  <c r="J8" i="2"/>
  <c r="C5" i="2"/>
  <c r="C48" i="2" s="1"/>
  <c r="C10" i="2"/>
  <c r="C53" i="2" s="1"/>
  <c r="H36" i="2"/>
  <c r="H39" i="2"/>
  <c r="H41" i="2"/>
  <c r="H35" i="2"/>
  <c r="I36" i="2"/>
  <c r="H37" i="2"/>
  <c r="H40" i="2"/>
  <c r="B54" i="2"/>
  <c r="B34" i="2"/>
  <c r="B47" i="2"/>
  <c r="B37" i="2"/>
  <c r="B40" i="2"/>
  <c r="B52" i="2"/>
  <c r="B5" i="2"/>
  <c r="AA23" i="2"/>
  <c r="AA24" i="2"/>
  <c r="AA25" i="2"/>
  <c r="AA26" i="2"/>
  <c r="S17" i="2"/>
  <c r="B33" i="2"/>
  <c r="D11" i="8"/>
  <c r="E11" i="8" s="1"/>
  <c r="D10" i="2"/>
  <c r="D53" i="2" s="1"/>
  <c r="M6" i="3"/>
  <c r="M5" i="3"/>
  <c r="M4" i="3"/>
  <c r="M3" i="3"/>
  <c r="Y26" i="2"/>
  <c r="Y25" i="2"/>
  <c r="Y24" i="2"/>
  <c r="Y23" i="2"/>
  <c r="C11" i="2"/>
  <c r="C9" i="2"/>
  <c r="C7" i="2"/>
  <c r="I11" i="2"/>
  <c r="I10" i="2"/>
  <c r="I9" i="2"/>
  <c r="I7" i="2"/>
  <c r="I4" i="2"/>
  <c r="I5" i="2"/>
  <c r="D29" i="1"/>
  <c r="H3" i="2"/>
  <c r="H46" i="2" s="1"/>
  <c r="D6" i="3"/>
  <c r="D5" i="3"/>
  <c r="D4" i="3"/>
  <c r="D3" i="3"/>
  <c r="D28" i="1"/>
  <c r="E8" i="2" s="1"/>
  <c r="E38" i="2" s="1"/>
  <c r="C3" i="2"/>
  <c r="I3" i="2"/>
  <c r="I46" i="2" s="1"/>
  <c r="C4" i="2"/>
  <c r="C6" i="2"/>
  <c r="Q15" i="2"/>
  <c r="S16" i="2"/>
  <c r="Q17" i="2"/>
  <c r="T18" i="2"/>
  <c r="T19" i="2" s="1"/>
  <c r="S18" i="2"/>
  <c r="G27" i="3"/>
  <c r="G7" i="3"/>
  <c r="G18" i="3"/>
  <c r="G28" i="3"/>
  <c r="G19" i="3"/>
  <c r="G29" i="3"/>
  <c r="G20" i="3"/>
  <c r="G21" i="3"/>
  <c r="G30" i="3"/>
  <c r="H4" i="2"/>
  <c r="B6" i="2"/>
  <c r="S15" i="2"/>
  <c r="Q16" i="2"/>
  <c r="Q18" i="2"/>
  <c r="L31" i="3"/>
  <c r="L21" i="3"/>
  <c r="F3" i="3"/>
  <c r="L3" i="3"/>
  <c r="F4" i="3"/>
  <c r="L4" i="3"/>
  <c r="F5" i="3"/>
  <c r="L5" i="3"/>
  <c r="F6" i="3"/>
  <c r="L6" i="3"/>
  <c r="C18" i="3"/>
  <c r="R5" i="7"/>
  <c r="I25" i="8"/>
  <c r="K25" i="8" s="1"/>
  <c r="L25" i="8" s="1"/>
  <c r="H25" i="8"/>
  <c r="B6" i="7"/>
  <c r="I21" i="8"/>
  <c r="H21" i="8"/>
  <c r="I28" i="8"/>
  <c r="H28" i="8"/>
  <c r="G12" i="6"/>
  <c r="G13" i="6" s="1"/>
  <c r="G15" i="6" s="1"/>
  <c r="F8" i="2" l="1"/>
  <c r="E51" i="2"/>
  <c r="J38" i="2"/>
  <c r="J51" i="2"/>
  <c r="D38" i="2"/>
  <c r="D51" i="2"/>
  <c r="C10" i="9"/>
  <c r="G7" i="9"/>
  <c r="H7" i="9" s="1"/>
  <c r="H10" i="9" s="1"/>
  <c r="J8" i="9"/>
  <c r="G10" i="9"/>
  <c r="C40" i="2"/>
  <c r="C35" i="2"/>
  <c r="J3" i="2"/>
  <c r="J46" i="2" s="1"/>
  <c r="D4" i="2"/>
  <c r="C47" i="2"/>
  <c r="C34" i="2"/>
  <c r="D34" i="2" s="1"/>
  <c r="D3" i="2"/>
  <c r="C46" i="2"/>
  <c r="J5" i="2"/>
  <c r="J48" i="2" s="1"/>
  <c r="I48" i="2"/>
  <c r="I35" i="2"/>
  <c r="J7" i="2"/>
  <c r="J50" i="2" s="1"/>
  <c r="I50" i="2"/>
  <c r="I37" i="2"/>
  <c r="J10" i="2"/>
  <c r="J53" i="2" s="1"/>
  <c r="I53" i="2"/>
  <c r="I40" i="2"/>
  <c r="C50" i="2"/>
  <c r="C37" i="2"/>
  <c r="D11" i="2"/>
  <c r="C54" i="2"/>
  <c r="C41" i="2"/>
  <c r="D41" i="2" s="1"/>
  <c r="H47" i="2"/>
  <c r="H34" i="2"/>
  <c r="C49" i="2"/>
  <c r="C36" i="2"/>
  <c r="J4" i="2"/>
  <c r="J34" i="2" s="1"/>
  <c r="I47" i="2"/>
  <c r="I34" i="2"/>
  <c r="J9" i="2"/>
  <c r="J39" i="2" s="1"/>
  <c r="I52" i="2"/>
  <c r="I39" i="2"/>
  <c r="J11" i="2"/>
  <c r="J41" i="2" s="1"/>
  <c r="I54" i="2"/>
  <c r="I41" i="2"/>
  <c r="C52" i="2"/>
  <c r="C39" i="2"/>
  <c r="D40" i="2"/>
  <c r="J35" i="2"/>
  <c r="J37" i="2"/>
  <c r="J40" i="2"/>
  <c r="B48" i="2"/>
  <c r="B35" i="2"/>
  <c r="B36" i="2"/>
  <c r="B49" i="2"/>
  <c r="D5" i="2"/>
  <c r="J47" i="2"/>
  <c r="J52" i="2"/>
  <c r="J54" i="2"/>
  <c r="AA27" i="2"/>
  <c r="I33" i="2"/>
  <c r="K28" i="8"/>
  <c r="L28" i="8" s="1"/>
  <c r="F30" i="3"/>
  <c r="F21" i="3"/>
  <c r="F29" i="3"/>
  <c r="F20" i="3"/>
  <c r="F28" i="3"/>
  <c r="F19" i="3"/>
  <c r="R16" i="2"/>
  <c r="U16" i="2"/>
  <c r="J33" i="2"/>
  <c r="F3" i="7"/>
  <c r="E6" i="7"/>
  <c r="L30" i="3"/>
  <c r="L20" i="3"/>
  <c r="N6" i="3"/>
  <c r="O6" i="3" s="1"/>
  <c r="L29" i="3"/>
  <c r="L19" i="3"/>
  <c r="N5" i="3"/>
  <c r="O5" i="3" s="1"/>
  <c r="L28" i="3"/>
  <c r="L18" i="3"/>
  <c r="N4" i="3"/>
  <c r="L27" i="3"/>
  <c r="N3" i="3"/>
  <c r="R18" i="2"/>
  <c r="U18" i="2"/>
  <c r="S19" i="2"/>
  <c r="J6" i="2"/>
  <c r="D6" i="2"/>
  <c r="G22" i="3"/>
  <c r="G31" i="3"/>
  <c r="E11" i="2"/>
  <c r="E10" i="2"/>
  <c r="E9" i="2"/>
  <c r="E7" i="2"/>
  <c r="E5" i="2"/>
  <c r="D28" i="3"/>
  <c r="D19" i="3"/>
  <c r="E4" i="3"/>
  <c r="H4" i="3"/>
  <c r="D30" i="3"/>
  <c r="D21" i="3"/>
  <c r="E6" i="3"/>
  <c r="H6" i="3"/>
  <c r="Y27" i="2"/>
  <c r="AB23" i="2"/>
  <c r="Z23" i="2"/>
  <c r="AB25" i="2"/>
  <c r="Z25" i="2"/>
  <c r="M27" i="3"/>
  <c r="M7" i="3"/>
  <c r="O3" i="3"/>
  <c r="M18" i="3"/>
  <c r="M20" i="3"/>
  <c r="M29" i="3"/>
  <c r="D7" i="2"/>
  <c r="D50" i="2" s="1"/>
  <c r="D9" i="2"/>
  <c r="F27" i="3"/>
  <c r="F18" i="3"/>
  <c r="F7" i="3"/>
  <c r="R17" i="2"/>
  <c r="U17" i="2"/>
  <c r="R15" i="2"/>
  <c r="Q19" i="2"/>
  <c r="U15" i="2"/>
  <c r="C33" i="2"/>
  <c r="D27" i="3"/>
  <c r="D18" i="3"/>
  <c r="E3" i="3"/>
  <c r="D7" i="3"/>
  <c r="H3" i="3"/>
  <c r="D29" i="3"/>
  <c r="D20" i="3"/>
  <c r="E5" i="3"/>
  <c r="H5" i="3"/>
  <c r="H33" i="2"/>
  <c r="E6" i="2"/>
  <c r="E4" i="2"/>
  <c r="E3" i="2"/>
  <c r="E46" i="2" s="1"/>
  <c r="Z24" i="2"/>
  <c r="AB24" i="2"/>
  <c r="Z26" i="2"/>
  <c r="AB26" i="2"/>
  <c r="M28" i="3"/>
  <c r="M19" i="3"/>
  <c r="O4" i="3"/>
  <c r="M30" i="3"/>
  <c r="M21" i="3"/>
  <c r="F38" i="2" l="1"/>
  <c r="F51" i="2"/>
  <c r="G8" i="2"/>
  <c r="L8" i="2"/>
  <c r="D10" i="9"/>
  <c r="F10" i="9"/>
  <c r="J10" i="9"/>
  <c r="D46" i="2"/>
  <c r="E49" i="2"/>
  <c r="E36" i="2"/>
  <c r="E50" i="2"/>
  <c r="E37" i="2"/>
  <c r="E53" i="2"/>
  <c r="E40" i="2"/>
  <c r="E47" i="2"/>
  <c r="E34" i="2"/>
  <c r="F31" i="3"/>
  <c r="E48" i="2"/>
  <c r="E35" i="2"/>
  <c r="E52" i="2"/>
  <c r="E39" i="2"/>
  <c r="E54" i="2"/>
  <c r="E41" i="2"/>
  <c r="D54" i="2"/>
  <c r="D47" i="2"/>
  <c r="D36" i="2"/>
  <c r="J49" i="2"/>
  <c r="J36" i="2"/>
  <c r="D48" i="2"/>
  <c r="D52" i="2"/>
  <c r="D39" i="2"/>
  <c r="D37" i="2"/>
  <c r="D49" i="2"/>
  <c r="D35" i="2"/>
  <c r="U19" i="2"/>
  <c r="AC25" i="2"/>
  <c r="I6" i="3"/>
  <c r="V18" i="2"/>
  <c r="V15" i="2"/>
  <c r="AC24" i="2"/>
  <c r="I3" i="3"/>
  <c r="AC26" i="2"/>
  <c r="V17" i="2"/>
  <c r="F22" i="3"/>
  <c r="V16" i="2"/>
  <c r="H29" i="3"/>
  <c r="H20" i="3"/>
  <c r="F4" i="2"/>
  <c r="E29" i="3"/>
  <c r="E20" i="3"/>
  <c r="H27" i="3"/>
  <c r="H18" i="3"/>
  <c r="H7" i="3"/>
  <c r="E27" i="3"/>
  <c r="E7" i="3"/>
  <c r="E18" i="3"/>
  <c r="D22" i="3"/>
  <c r="I18" i="3"/>
  <c r="R19" i="2"/>
  <c r="O7" i="3"/>
  <c r="M31" i="3"/>
  <c r="Z27" i="2"/>
  <c r="AC23" i="2"/>
  <c r="F6" i="2"/>
  <c r="H30" i="3"/>
  <c r="H21" i="3"/>
  <c r="E28" i="3"/>
  <c r="E19" i="3"/>
  <c r="F5" i="2"/>
  <c r="F9" i="2"/>
  <c r="F11" i="2"/>
  <c r="N29" i="3"/>
  <c r="O29" i="3" s="1"/>
  <c r="N20" i="3"/>
  <c r="O20" i="3" s="1"/>
  <c r="D33" i="2"/>
  <c r="F3" i="2"/>
  <c r="F46" i="2" s="1"/>
  <c r="E33" i="2"/>
  <c r="I5" i="3"/>
  <c r="D31" i="3"/>
  <c r="M22" i="3"/>
  <c r="AB27" i="2"/>
  <c r="E21" i="3"/>
  <c r="E30" i="3"/>
  <c r="H28" i="3"/>
  <c r="I28" i="3" s="1"/>
  <c r="H19" i="3"/>
  <c r="I4" i="3"/>
  <c r="F7" i="2"/>
  <c r="F10" i="2"/>
  <c r="N27" i="3"/>
  <c r="N18" i="3"/>
  <c r="N7" i="3"/>
  <c r="N28" i="3"/>
  <c r="O28" i="3" s="1"/>
  <c r="N19" i="3"/>
  <c r="O19" i="3" s="1"/>
  <c r="N30" i="3"/>
  <c r="O30" i="3" s="1"/>
  <c r="N21" i="3"/>
  <c r="O21" i="3" s="1"/>
  <c r="F6" i="7"/>
  <c r="G38" i="2" l="1"/>
  <c r="L38" i="2" s="1"/>
  <c r="G51" i="2"/>
  <c r="L51" i="2" s="1"/>
  <c r="N22" i="3"/>
  <c r="F37" i="2"/>
  <c r="F50" i="2"/>
  <c r="F52" i="2"/>
  <c r="F39" i="2"/>
  <c r="F49" i="2"/>
  <c r="F36" i="2"/>
  <c r="F47" i="2"/>
  <c r="F34" i="2"/>
  <c r="F40" i="2"/>
  <c r="F53" i="2"/>
  <c r="F54" i="2"/>
  <c r="F41" i="2"/>
  <c r="F35" i="2"/>
  <c r="F48" i="2"/>
  <c r="V19" i="2"/>
  <c r="I30" i="3"/>
  <c r="I7" i="3"/>
  <c r="I27" i="3"/>
  <c r="I20" i="3"/>
  <c r="I29" i="3"/>
  <c r="I19" i="3"/>
  <c r="I21" i="3"/>
  <c r="AC27" i="2"/>
  <c r="O18" i="3"/>
  <c r="O22" i="3" s="1"/>
  <c r="N31" i="3"/>
  <c r="G7" i="2"/>
  <c r="F33" i="2"/>
  <c r="G3" i="2"/>
  <c r="G46" i="2" s="1"/>
  <c r="L46" i="2" s="1"/>
  <c r="G11" i="2"/>
  <c r="G5" i="2"/>
  <c r="O27" i="3"/>
  <c r="O31" i="3" s="1"/>
  <c r="E22" i="3"/>
  <c r="E31" i="3"/>
  <c r="H22" i="3"/>
  <c r="G10" i="2"/>
  <c r="G9" i="2"/>
  <c r="G6" i="2"/>
  <c r="H31" i="3"/>
  <c r="G4" i="2"/>
  <c r="G39" i="2" l="1"/>
  <c r="L39" i="2" s="1"/>
  <c r="G52" i="2"/>
  <c r="L52" i="2" s="1"/>
  <c r="G48" i="2"/>
  <c r="G35" i="2"/>
  <c r="L35" i="2" s="1"/>
  <c r="G50" i="2"/>
  <c r="G37" i="2"/>
  <c r="L37" i="2" s="1"/>
  <c r="G34" i="2"/>
  <c r="L34" i="2" s="1"/>
  <c r="G47" i="2"/>
  <c r="L47" i="2" s="1"/>
  <c r="L6" i="2"/>
  <c r="G36" i="2"/>
  <c r="G49" i="2"/>
  <c r="L49" i="2" s="1"/>
  <c r="G53" i="2"/>
  <c r="L53" i="2" s="1"/>
  <c r="G40" i="2"/>
  <c r="L40" i="2" s="1"/>
  <c r="L11" i="2"/>
  <c r="C5" i="7" s="1"/>
  <c r="G5" i="7" s="1"/>
  <c r="G41" i="2"/>
  <c r="L41" i="2" s="1"/>
  <c r="G54" i="2"/>
  <c r="L54" i="2" s="1"/>
  <c r="L48" i="2"/>
  <c r="L36" i="2"/>
  <c r="L50" i="2"/>
  <c r="I31" i="3"/>
  <c r="I22" i="3"/>
  <c r="L4" i="2"/>
  <c r="L9" i="2"/>
  <c r="C4" i="7" s="1"/>
  <c r="L10" i="2"/>
  <c r="G33" i="2"/>
  <c r="L33" i="2" s="1"/>
  <c r="L3" i="2"/>
  <c r="L5" i="2"/>
  <c r="D5" i="7"/>
  <c r="L7" i="2"/>
  <c r="C3" i="7" l="1"/>
  <c r="C20" i="9"/>
  <c r="A18" i="7"/>
  <c r="D3" i="7"/>
  <c r="G3" i="7"/>
  <c r="D4" i="7"/>
  <c r="G4" i="7"/>
  <c r="K6" i="9" l="1"/>
  <c r="K7" i="9"/>
  <c r="K5" i="9"/>
  <c r="K9" i="9"/>
  <c r="K4" i="9"/>
  <c r="K8" i="9"/>
  <c r="D6" i="7"/>
  <c r="G6" i="7"/>
  <c r="A23" i="7" s="1"/>
  <c r="G29" i="7" s="1"/>
  <c r="G30" i="7" s="1"/>
  <c r="K10" i="9" l="1"/>
  <c r="A31" i="7"/>
  <c r="A32" i="7" s="1"/>
  <c r="A34" i="7" s="1"/>
  <c r="A37" i="7" s="1"/>
  <c r="G31" i="7"/>
  <c r="I10" i="9" l="1"/>
  <c r="K11" i="9"/>
</calcChain>
</file>

<file path=xl/sharedStrings.xml><?xml version="1.0" encoding="utf-8"?>
<sst xmlns="http://schemas.openxmlformats.org/spreadsheetml/2006/main" count="689" uniqueCount="401">
  <si>
    <t>Source Data -- This worksheet is source data for the pathways</t>
  </si>
  <si>
    <t>Max % GWP error</t>
  </si>
  <si>
    <t>Type</t>
  </si>
  <si>
    <t>kWh</t>
  </si>
  <si>
    <t>CO2</t>
  </si>
  <si>
    <t>Less co2</t>
  </si>
  <si>
    <t>More co2</t>
  </si>
  <si>
    <t>Production - per kg</t>
  </si>
  <si>
    <t>Ref</t>
  </si>
  <si>
    <t>Notes / Values</t>
  </si>
  <si>
    <t>Notes on error vars</t>
  </si>
  <si>
    <t>BE</t>
  </si>
  <si>
    <t>Schmidt</t>
  </si>
  <si>
    <t>DIS</t>
  </si>
  <si>
    <t>Real boiler efficency is .65-.96 depending on process</t>
  </si>
  <si>
    <t>DIV</t>
  </si>
  <si>
    <t>Might take electricity to capture</t>
  </si>
  <si>
    <t>1 decimal in source</t>
  </si>
  <si>
    <t>WE</t>
  </si>
  <si>
    <t>htec</t>
  </si>
  <si>
    <t>Alberta elec mix</t>
  </si>
  <si>
    <t>LE</t>
  </si>
  <si>
    <t>SM</t>
  </si>
  <si>
    <t>bonaquist</t>
  </si>
  <si>
    <t>Compression - per kg</t>
  </si>
  <si>
    <t>BC renewable elec equiv</t>
  </si>
  <si>
    <t>C20_312</t>
  </si>
  <si>
    <t>DOE</t>
  </si>
  <si>
    <t>efficiency of .52 (recip) - .9 (diaphragm)</t>
  </si>
  <si>
    <t>C312</t>
  </si>
  <si>
    <t>L</t>
  </si>
  <si>
    <t>1 sig dec in efficiency ref, med plant at 12kWh</t>
  </si>
  <si>
    <t>Connection Loss</t>
  </si>
  <si>
    <t>GWP of vented H2</t>
  </si>
  <si>
    <t>fraction</t>
  </si>
  <si>
    <t>G</t>
  </si>
  <si>
    <t>Forecourt dispensing loss</t>
  </si>
  <si>
    <t>“decanting loss as high as 5%” - assumed typ 3% min 1%</t>
  </si>
  <si>
    <t>Transport</t>
  </si>
  <si>
    <t>kg co2/km for heavy diesel truck</t>
  </si>
  <si>
    <t>kg/trip</t>
  </si>
  <si>
    <t>kg co2/kg h2-km</t>
  </si>
  <si>
    <t>Trucks getting more efficient</t>
  </si>
  <si>
    <t>Boiloff Loss per hr</t>
  </si>
  <si>
    <t>No ref, but leakage through seals?</t>
  </si>
  <si>
    <t>.3%-.6% / day</t>
  </si>
  <si>
    <t>daily boiloff (stor/trans)</t>
  </si>
  <si>
    <t>Stepup compression</t>
  </si>
  <si>
    <t>C880</t>
  </si>
  <si>
    <t>efficiency of .49 (recip) - .9 (diaphragm)</t>
  </si>
  <si>
    <t>Storage</t>
  </si>
  <si>
    <t>Daily kWh</t>
  </si>
  <si>
    <t>Daily CO2</t>
  </si>
  <si>
    <t>kWh reliquif cost (for storage)</t>
  </si>
  <si>
    <t>kg station capacity (for storage)</t>
  </si>
  <si>
    <t>kg daily total prod</t>
  </si>
  <si>
    <t>tank insulation better, but small cryo plant maybe less efficient</t>
  </si>
  <si>
    <t>Dispensing</t>
  </si>
  <si>
    <t xml:space="preserve">2 sig figs </t>
  </si>
  <si>
    <t>Pathway display table (kg/kg)</t>
  </si>
  <si>
    <t>Lookup-Labels for Pathway table</t>
  </si>
  <si>
    <t>Pathway</t>
  </si>
  <si>
    <t>Produce</t>
  </si>
  <si>
    <t>Compress</t>
  </si>
  <si>
    <t>Loss1</t>
  </si>
  <si>
    <t>Boiloff</t>
  </si>
  <si>
    <t>Loss2</t>
  </si>
  <si>
    <t>Store</t>
  </si>
  <si>
    <t>Stepup</t>
  </si>
  <si>
    <t>Loss3</t>
  </si>
  <si>
    <t>Total</t>
  </si>
  <si>
    <t>Prod</t>
  </si>
  <si>
    <t>Compr</t>
  </si>
  <si>
    <t>State</t>
  </si>
  <si>
    <t>Trans</t>
  </si>
  <si>
    <t>Recompress</t>
  </si>
  <si>
    <t>Disp</t>
  </si>
  <si>
    <t>WE-L</t>
  </si>
  <si>
    <t>SM-G</t>
  </si>
  <si>
    <t>SM-L</t>
  </si>
  <si>
    <t>LE-L</t>
  </si>
  <si>
    <t>LE-G</t>
  </si>
  <si>
    <t>DIS-G</t>
  </si>
  <si>
    <t>BE-G</t>
  </si>
  <si>
    <t>DIV-G</t>
  </si>
  <si>
    <t>Liquid Transport GWP</t>
  </si>
  <si>
    <t>Destination</t>
  </si>
  <si>
    <t>Dist (km)</t>
  </si>
  <si>
    <t xml:space="preserve">Time (h) </t>
  </si>
  <si>
    <t>Prep</t>
  </si>
  <si>
    <t>Surrey</t>
  </si>
  <si>
    <t>Vancouver</t>
  </si>
  <si>
    <t>UBC</t>
  </si>
  <si>
    <t>CRD</t>
  </si>
  <si>
    <t>Average</t>
  </si>
  <si>
    <t>boiloff / hr</t>
  </si>
  <si>
    <t>Gas Transport GWP</t>
  </si>
  <si>
    <t>payload mass</t>
  </si>
  <si>
    <t>payload state</t>
  </si>
  <si>
    <t>distance</t>
  </si>
  <si>
    <t>Pathway possible impact reduction (kg/kg)</t>
  </si>
  <si>
    <t>Compression type</t>
  </si>
  <si>
    <t>Pathway possible impact increase (kg/kg)</t>
  </si>
  <si>
    <t xml:space="preserve">Liquid Transport possible reduction </t>
  </si>
  <si>
    <t xml:space="preserve">Gas Transport possible reduction </t>
  </si>
  <si>
    <t>Liquid Transport possible increase</t>
  </si>
  <si>
    <t>Gas Transport possible Increase</t>
  </si>
  <si>
    <t>kg CO2e /kg H2</t>
  </si>
  <si>
    <t>Modifier</t>
  </si>
  <si>
    <t>Description</t>
  </si>
  <si>
    <t>Praxair SMR paper:</t>
  </si>
  <si>
    <t>E-PEM</t>
  </si>
  <si>
    <t>Electrolysis, PEM, grid</t>
  </si>
  <si>
    <t>theoretical</t>
  </si>
  <si>
    <t>Ton CO2</t>
  </si>
  <si>
    <t>kg</t>
  </si>
  <si>
    <t>MM scf</t>
  </si>
  <si>
    <t>scf H2</t>
  </si>
  <si>
    <t>kg CO2/kg H2</t>
  </si>
  <si>
    <t>CG</t>
  </si>
  <si>
    <t>Coal gasification</t>
  </si>
  <si>
    <t>MMscf H2</t>
  </si>
  <si>
    <t>Ton</t>
  </si>
  <si>
    <t>scf</t>
  </si>
  <si>
    <t>kg H2</t>
  </si>
  <si>
    <t>E-SOEC</t>
  </si>
  <si>
    <t>Electrolysis, SOEC, grid</t>
  </si>
  <si>
    <t>houston</t>
  </si>
  <si>
    <t>BDL-E-W</t>
  </si>
  <si>
    <t>Wheat</t>
  </si>
  <si>
    <t>Biomass Reformation - Wheat</t>
  </si>
  <si>
    <t>SMR</t>
  </si>
  <si>
    <t>Steam methane reforming</t>
  </si>
  <si>
    <t>weight CO2</t>
  </si>
  <si>
    <t>BDL-E-C</t>
  </si>
  <si>
    <t>Corn</t>
  </si>
  <si>
    <t>Biomass Reformation - Corn</t>
  </si>
  <si>
    <t>weight 3H2</t>
  </si>
  <si>
    <t>E-SOEC-R</t>
  </si>
  <si>
    <t>Wind</t>
  </si>
  <si>
    <t>Electrolysis, SOEC, wind</t>
  </si>
  <si>
    <t>Ratio</t>
  </si>
  <si>
    <t>BMG</t>
  </si>
  <si>
    <t>Biomass Gasification</t>
  </si>
  <si>
    <t>E-PEM-R</t>
  </si>
  <si>
    <t>Electrolysis, PEM, wind</t>
  </si>
  <si>
    <t>H2 Production GWP</t>
  </si>
  <si>
    <t>GWP by Electricity Source</t>
  </si>
  <si>
    <t>Method</t>
  </si>
  <si>
    <t>Electrical Intensity</t>
  </si>
  <si>
    <t>Feedstock Intensity</t>
  </si>
  <si>
    <t>Alberta</t>
  </si>
  <si>
    <t>BC Published</t>
  </si>
  <si>
    <t>BC Renewable</t>
  </si>
  <si>
    <t>kWh 
per kg H2</t>
  </si>
  <si>
    <t>kg CO2e
per kg H2</t>
  </si>
  <si>
    <t>kg CO2e per kWh</t>
  </si>
  <si>
    <t>kg CO2e per kg H2</t>
  </si>
  <si>
    <t>Electrolysis-Local</t>
  </si>
  <si>
    <t>Electrolysis-Best</t>
  </si>
  <si>
    <t>Displaced H2</t>
  </si>
  <si>
    <t>Diverted H2</t>
  </si>
  <si>
    <t>From NIST web book of thermophysical properties.</t>
  </si>
  <si>
    <t>Curve Fits</t>
  </si>
  <si>
    <t>Calcs for use in the transport / pathways tables</t>
  </si>
  <si>
    <t>Temperature (K)</t>
  </si>
  <si>
    <t>Pressure (MPa)</t>
  </si>
  <si>
    <t>Enthalpy (kJ/kg)</t>
  </si>
  <si>
    <t>Entropy (J/g*K)</t>
  </si>
  <si>
    <t>Wc</t>
  </si>
  <si>
    <t>Fitted Entropy</t>
  </si>
  <si>
    <t>Fitting with Matlab curve fit toolbox</t>
  </si>
  <si>
    <t>Source: NIST</t>
  </si>
  <si>
    <t>Bar</t>
  </si>
  <si>
    <t>theor</t>
  </si>
  <si>
    <t>real</t>
  </si>
  <si>
    <t>MPA</t>
  </si>
  <si>
    <t>H</t>
  </si>
  <si>
    <t>S</t>
  </si>
  <si>
    <t>From</t>
  </si>
  <si>
    <t>To</t>
  </si>
  <si>
    <t>kJ</t>
  </si>
  <si>
    <t>effic</t>
  </si>
  <si>
    <t>General model Power2:</t>
  </si>
  <si>
    <t>RMSE:</t>
  </si>
  <si>
    <t xml:space="preserve">     f(x) = a*x^b+c</t>
  </si>
  <si>
    <t>Coefficients (with 95% confidence bounds):</t>
  </si>
  <si>
    <t>expected</t>
  </si>
  <si>
    <t>min</t>
  </si>
  <si>
    <t>max</t>
  </si>
  <si>
    <t xml:space="preserve">       a =      -702.9  (-736.1, -669.6)</t>
  </si>
  <si>
    <t>a</t>
  </si>
  <si>
    <t xml:space="preserve">       b =    0.005894  (0.005619, 0.006169)</t>
  </si>
  <si>
    <t>b</t>
  </si>
  <si>
    <t xml:space="preserve">       c =       746.9  (713.7, 780.2)</t>
  </si>
  <si>
    <t>c</t>
  </si>
  <si>
    <t>Fitted Enthalpy</t>
  </si>
  <si>
    <t xml:space="preserve">RMSE: </t>
  </si>
  <si>
    <t>Low-pressure effic</t>
  </si>
  <si>
    <t xml:space="preserve">       a =       2.927  (2.895, 2.96)</t>
  </si>
  <si>
    <t>doe</t>
  </si>
  <si>
    <t xml:space="preserve">       b =       1.185  (1.182, 1.187)</t>
  </si>
  <si>
    <t>PDC diaphram</t>
  </si>
  <si>
    <t xml:space="preserve">       c =        3960  (3959, 3960)</t>
  </si>
  <si>
    <t>avg</t>
  </si>
  <si>
    <t>Owner</t>
  </si>
  <si>
    <t>Active</t>
  </si>
  <si>
    <t>Capacity (kg/day)</t>
  </si>
  <si>
    <t>Technology</t>
  </si>
  <si>
    <t>Nel electrolyzer</t>
  </si>
  <si>
    <t>Powertech</t>
  </si>
  <si>
    <t>Now</t>
  </si>
  <si>
    <t>PEM</t>
  </si>
  <si>
    <t>kWh/Nm3</t>
  </si>
  <si>
    <t>nelhydrogen.com/assets/uploads/2017/01/Nel_Electrolyser_brochure.pdf</t>
  </si>
  <si>
    <t>HTEC</t>
  </si>
  <si>
    <t>Late 2019</t>
  </si>
  <si>
    <t>kg / nm3</t>
  </si>
  <si>
    <t>kWh/kg</t>
  </si>
  <si>
    <t>Plant</t>
  </si>
  <si>
    <t>Location</t>
  </si>
  <si>
    <t>Burned (kg)</t>
  </si>
  <si>
    <t>Vented (kg)</t>
  </si>
  <si>
    <r>
      <rPr>
        <b/>
        <sz val="11"/>
        <color rgb="FFFFFFFF"/>
        <rFont val="Calibri"/>
        <family val="2"/>
        <charset val="1"/>
      </rPr>
      <t>Total H</t>
    </r>
    <r>
      <rPr>
        <b/>
        <vertAlign val="subscript"/>
        <sz val="11"/>
        <color rgb="FFFFFFFF"/>
        <rFont val="Calibri"/>
        <family val="2"/>
        <charset val="1"/>
      </rPr>
      <t>2</t>
    </r>
    <r>
      <rPr>
        <b/>
        <sz val="11"/>
        <color rgb="FFFFFFFF"/>
        <rFont val="Calibri"/>
        <family val="2"/>
        <charset val="1"/>
      </rPr>
      <t xml:space="preserve"> (kg)</t>
    </r>
  </si>
  <si>
    <t>Burn frac</t>
  </si>
  <si>
    <t>Who</t>
  </si>
  <si>
    <t>Sodium Chlorate</t>
  </si>
  <si>
    <t>Northern BC</t>
  </si>
  <si>
    <t>North Van</t>
  </si>
  <si>
    <t>Chemtrade</t>
  </si>
  <si>
    <t>Vancouver Area</t>
  </si>
  <si>
    <t>Erco</t>
  </si>
  <si>
    <t>Chlor-alkali</t>
  </si>
  <si>
    <t>Nanaimo</t>
  </si>
  <si>
    <t>Chemtrade?</t>
  </si>
  <si>
    <t>PG</t>
  </si>
  <si>
    <t>daily (kg)</t>
  </si>
  <si>
    <t>yearly (t)</t>
  </si>
  <si>
    <t>Advantages</t>
  </si>
  <si>
    <t>Disadvantages</t>
  </si>
  <si>
    <t>Voltage Efficiency (%HHV)</t>
  </si>
  <si>
    <t>AWE</t>
  </si>
  <si>
    <t>• Durable / long-life
• Low-cost electrolyte
• Mature/simple systems</t>
  </si>
  <si>
    <t>• Low current density implies large system and high cost
• Poor tolerance of cycling</t>
  </si>
  <si>
    <t>62-90%</t>
  </si>
  <si>
    <t>• High power density / efficiency
• High output purity
• Tolerates cyclic operation</t>
  </si>
  <si>
    <t>• Expensive electrolyte
• Complex
• Moderate durability/life</t>
  </si>
  <si>
    <t>67-82%</t>
  </si>
  <si>
    <t>SOEC</t>
  </si>
  <si>
    <t>• High efficiency
• Low cost
Can utilize waste heat</t>
  </si>
  <si>
    <t>• Immature / poor availability
• High operating temperature
• Short life</t>
  </si>
  <si>
    <t>&lt; 110%</t>
  </si>
  <si>
    <t>&lt;- lab conditions, excess waste heat available at what temperature?</t>
  </si>
  <si>
    <t>Distances</t>
  </si>
  <si>
    <t>Quantity per source</t>
  </si>
  <si>
    <t>Average Distance</t>
  </si>
  <si>
    <t>Station</t>
  </si>
  <si>
    <t>Source</t>
  </si>
  <si>
    <t>ERCO</t>
  </si>
  <si>
    <t>Dist</t>
  </si>
  <si>
    <t>Time</t>
  </si>
  <si>
    <t>Addresses</t>
  </si>
  <si>
    <t>12388 88 Ave, Surrey</t>
  </si>
  <si>
    <t>8686 Granville Street, Vancouver</t>
  </si>
  <si>
    <t>2329 West Mall, Vancouver</t>
  </si>
  <si>
    <t>479 Island Hwy, Victoria</t>
  </si>
  <si>
    <t>Distance (km)</t>
  </si>
  <si>
    <t>Daily (kg) per source</t>
  </si>
  <si>
    <t>(km)</t>
  </si>
  <si>
    <t>(h)</t>
  </si>
  <si>
    <t>315 Mountain Hwy, North Vancouver</t>
  </si>
  <si>
    <t>100 Forester St, North Vancouver</t>
  </si>
  <si>
    <t>Production (t)</t>
  </si>
  <si>
    <t>H2 
equiv (tCO2e/tH2)</t>
  </si>
  <si>
    <t>H2 Impact  (t CO2e)</t>
  </si>
  <si>
    <t>Energy Equivalence</t>
  </si>
  <si>
    <t>Direct eq</t>
  </si>
  <si>
    <t>Effic</t>
  </si>
  <si>
    <t>Delivered E</t>
  </si>
  <si>
    <t>Effic Eq</t>
  </si>
  <si>
    <t>1 l gas</t>
  </si>
  <si>
    <t>l gas/kg h2</t>
  </si>
  <si>
    <t>litres = 1 kg H2</t>
  </si>
  <si>
    <t>1 kg h2</t>
  </si>
  <si>
    <t>kg CO2e</t>
  </si>
  <si>
    <t>Hoda car average</t>
  </si>
  <si>
    <t>Factors</t>
  </si>
  <si>
    <t>kg co2e/l</t>
  </si>
  <si>
    <t>diesel equivalence</t>
  </si>
  <si>
    <t>L/100km</t>
  </si>
  <si>
    <t>heavy truck</t>
  </si>
  <si>
    <t>Gas car</t>
  </si>
  <si>
    <t>km/car</t>
  </si>
  <si>
    <t>BC average</t>
  </si>
  <si>
    <t>kg CO2e/L</t>
  </si>
  <si>
    <t>gas equiv</t>
  </si>
  <si>
    <t>Misc Calcs</t>
  </si>
  <si>
    <t>Fraction of total emissions avoided with all H2 displacing gasoline?</t>
  </si>
  <si>
    <t>(t) Total transport emissions</t>
  </si>
  <si>
    <t>Amount of BE h2 needed to displace enough gasoline to make 40%?</t>
  </si>
  <si>
    <t>H2 equiv (tCO2e/tH2)</t>
  </si>
  <si>
    <t>Gas disp (ML)</t>
  </si>
  <si>
    <t>Gas impact (t CO2e)</t>
  </si>
  <si>
    <t>Total Impact (t CO2e)</t>
  </si>
  <si>
    <t>avoided with 810</t>
  </si>
  <si>
    <t>times more needed</t>
  </si>
  <si>
    <t>tonnes/year</t>
  </si>
  <si>
    <t>kg h2/yr</t>
  </si>
  <si>
    <t>Wh/yr</t>
  </si>
  <si>
    <t>tera</t>
  </si>
  <si>
    <t>Twh</t>
  </si>
  <si>
    <t>TWh</t>
  </si>
  <si>
    <t>site C</t>
  </si>
  <si>
    <t>site c dams</t>
  </si>
  <si>
    <t>Source: Selected properties of hydrogen</t>
  </si>
  <si>
    <t>plus</t>
  </si>
  <si>
    <t>(linear interp)</t>
  </si>
  <si>
    <t>kJ from 1 bar</t>
  </si>
  <si>
    <t>kJ from 250 bar</t>
  </si>
  <si>
    <t>Intro</t>
  </si>
  <si>
    <t>Abstract</t>
  </si>
  <si>
    <t>words</t>
  </si>
  <si>
    <t>what</t>
  </si>
  <si>
    <t>Production</t>
  </si>
  <si>
    <t>Pathways</t>
  </si>
  <si>
    <t>Projection</t>
  </si>
  <si>
    <t>Summary</t>
  </si>
  <si>
    <t>bibliography</t>
  </si>
  <si>
    <t>cut</t>
  </si>
  <si>
    <t>Paper length</t>
  </si>
  <si>
    <t>BC renewable GWP.  Atmospheric output</t>
  </si>
  <si>
    <t>20 bar.</t>
  </si>
  <si>
    <t>Typical Pressure (bar)</t>
  </si>
  <si>
    <t>1</t>
  </si>
  <si>
    <t>&lt; 25</t>
  </si>
  <si>
    <t>15-100</t>
  </si>
  <si>
    <t>Large liquifier, texas elec mix</t>
  </si>
  <si>
    <t>LLT</t>
  </si>
  <si>
    <t>C20_312T</t>
  </si>
  <si>
    <t>Texas electric</t>
  </si>
  <si>
    <t>g</t>
  </si>
  <si>
    <t>d</t>
  </si>
  <si>
    <t>kg/L</t>
  </si>
  <si>
    <t xml:space="preserve">m^3 </t>
  </si>
  <si>
    <t>Gasoline</t>
  </si>
  <si>
    <t>Diesel</t>
  </si>
  <si>
    <t>MB/d</t>
  </si>
  <si>
    <t>https://www.neb-one.gc.ca/nrg/ntgrtd/mrkt/nrgsstmprfls/bc-eng.html?=undefined&amp;wbdisable=true#s3</t>
  </si>
  <si>
    <t>m3/yr</t>
  </si>
  <si>
    <t>MT/yr</t>
  </si>
  <si>
    <t>H2 equiv</t>
  </si>
  <si>
    <t>RBE</t>
  </si>
  <si>
    <t>BC mix.  Atmospheric output</t>
  </si>
  <si>
    <t>RBE-G</t>
  </si>
  <si>
    <t>kg CO2e/kg</t>
  </si>
  <si>
    <t xml:space="preserve">Talebian et al: POTENTIAL FOR HYDROGEN AS A TRANSPORTATION FUEL IN BRITISH COLUMBIA: </t>
  </si>
  <si>
    <t>Data from</t>
  </si>
  <si>
    <t>Average Distance (km/y)</t>
  </si>
  <si>
    <t># of Vehicles</t>
  </si>
  <si>
    <t>Total Distance (Mkm/y)</t>
  </si>
  <si>
    <t>Total H2 (kt)</t>
  </si>
  <si>
    <t>FCEV econ  (km/kg H2)</t>
  </si>
  <si>
    <t>LDPT</t>
  </si>
  <si>
    <t>LDFT</t>
  </si>
  <si>
    <t>MDT</t>
  </si>
  <si>
    <t>MDT-D</t>
  </si>
  <si>
    <t>HDT-D</t>
  </si>
  <si>
    <t>Car</t>
  </si>
  <si>
    <t>ICE econ (km/L)</t>
  </si>
  <si>
    <t>ICE econ (L/100km)</t>
  </si>
  <si>
    <t>gd</t>
  </si>
  <si>
    <t>RPP Fuel Type</t>
  </si>
  <si>
    <t>Total RPP  (ML)</t>
  </si>
  <si>
    <t>H2 CO2e (kt)</t>
  </si>
  <si>
    <t>Fuel facts</t>
  </si>
  <si>
    <t>GJ RPPs consumed per year</t>
  </si>
  <si>
    <t>H2</t>
  </si>
  <si>
    <t>kg CO2e/kg h2 -- LE-G path</t>
  </si>
  <si>
    <t>GWP reduction</t>
  </si>
  <si>
    <t>displace ratio (L RPP/kg H2)</t>
  </si>
  <si>
    <t>Net Impact (t_CO2e)</t>
  </si>
  <si>
    <t>RPP  CO2e (kt)</t>
  </si>
  <si>
    <t>RPP Fuel Displaced (ML)</t>
  </si>
  <si>
    <t>RPP impact  (t CO2e)</t>
  </si>
  <si>
    <t>2 sig figs - 1% error</t>
  </si>
  <si>
    <t>verbal ballpark estimate of max energy</t>
  </si>
  <si>
    <t>20bar-312bar</t>
  </si>
  <si>
    <t>1bar-312</t>
  </si>
  <si>
    <t>tank volume</t>
  </si>
  <si>
    <t>boiloff rate</t>
  </si>
  <si>
    <t>reliq intens</t>
  </si>
  <si>
    <t>kg co2e/kg h2</t>
  </si>
  <si>
    <t>kg co2e/day</t>
  </si>
  <si>
    <t>reliq energy</t>
  </si>
  <si>
    <t>kwh/kg h2</t>
  </si>
  <si>
    <t>kWh/day</t>
  </si>
  <si>
    <t>dispense/day</t>
  </si>
  <si>
    <t>kg tank</t>
  </si>
  <si>
    <t>% tank/day</t>
  </si>
  <si>
    <t>kg co2e/kg dispensed</t>
  </si>
  <si>
    <t>kWh/kg dispensed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</si>
</sst>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000%"/>
    <numFmt numFmtId="165" formatCode="0.0"/>
    <numFmt numFmtId="166" formatCode="0.000"/>
    <numFmt numFmtId="167" formatCode="0.0000"/>
    <numFmt numFmtId="168" formatCode="_-* #,##0.00_-;\-* #,##0.00_-;_-* \-??_-;_-@_-"/>
    <numFmt numFmtId="169" formatCode="0.000%"/>
    <numFmt numFmtId="170" formatCode="0.0%"/>
  </numFmts>
  <fonts count="1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FFFFFF"/>
      <name val="Calibri"/>
      <family val="2"/>
      <charset val="1"/>
    </font>
    <font>
      <sz val="11"/>
      <color rgb="FFFFFFFF"/>
      <name val="Calibri"/>
      <family val="2"/>
      <charset val="1"/>
    </font>
    <font>
      <i/>
      <sz val="11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b/>
      <vertAlign val="subscript"/>
      <sz val="11"/>
      <color rgb="FFFFFFFF"/>
      <name val="Calibri"/>
      <family val="2"/>
      <charset val="1"/>
    </font>
    <font>
      <sz val="12"/>
      <color rgb="FF000000"/>
      <name val="Calibri"/>
      <family val="2"/>
      <charset val="1"/>
    </font>
    <font>
      <b/>
      <i/>
      <sz val="11"/>
      <color rgb="FF000000"/>
      <name val="Calibri"/>
      <family val="2"/>
      <charset val="1"/>
    </font>
    <font>
      <sz val="12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4472C4"/>
        <bgColor rgb="FF666699"/>
      </patternFill>
    </fill>
    <fill>
      <patternFill patternType="solid">
        <fgColor rgb="FFE7E6E6"/>
        <bgColor rgb="FFDAE3F3"/>
      </patternFill>
    </fill>
    <fill>
      <patternFill patternType="solid">
        <fgColor rgb="FFA5A5A5"/>
        <bgColor rgb="FF9999FF"/>
      </patternFill>
    </fill>
    <fill>
      <patternFill patternType="solid">
        <fgColor rgb="FFC5E0B4"/>
        <bgColor rgb="FFDAE3F3"/>
      </patternFill>
    </fill>
    <fill>
      <patternFill patternType="solid">
        <fgColor rgb="FF0066B3"/>
        <bgColor rgb="FF008080"/>
      </patternFill>
    </fill>
    <fill>
      <patternFill patternType="solid">
        <fgColor rgb="FFFFE699"/>
        <bgColor rgb="FFFFCC99"/>
      </patternFill>
    </fill>
    <fill>
      <patternFill patternType="solid">
        <fgColor rgb="FFFFFF00"/>
        <bgColor rgb="FFFFFF00"/>
      </patternFill>
    </fill>
    <fill>
      <patternFill patternType="solid">
        <fgColor theme="4" tint="0.79998168889431442"/>
        <bgColor rgb="FFDAE3F3"/>
      </patternFill>
    </fill>
    <fill>
      <patternFill patternType="solid">
        <fgColor theme="4" tint="0.79998168889431442"/>
        <bgColor indexed="64"/>
      </patternFill>
    </fill>
  </fills>
  <borders count="6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thin">
        <color rgb="FF4472C4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/>
      <top style="thin">
        <color rgb="FF4472C4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4">
    <xf numFmtId="0" fontId="0" fillId="0" borderId="0"/>
    <xf numFmtId="168" fontId="10" fillId="0" borderId="0" applyBorder="0" applyProtection="0"/>
    <xf numFmtId="9" fontId="10" fillId="0" borderId="0" applyBorder="0" applyProtection="0"/>
    <xf numFmtId="0" fontId="9" fillId="0" borderId="0"/>
  </cellStyleXfs>
  <cellXfs count="277">
    <xf numFmtId="0" fontId="0" fillId="0" borderId="0" xfId="0"/>
    <xf numFmtId="0" fontId="1" fillId="2" borderId="0" xfId="0" applyFont="1" applyFill="1"/>
    <xf numFmtId="0" fontId="0" fillId="2" borderId="0" xfId="0" applyFill="1"/>
    <xf numFmtId="0" fontId="1" fillId="0" borderId="0" xfId="0" applyFont="1"/>
    <xf numFmtId="2" fontId="0" fillId="3" borderId="0" xfId="0" applyNumberFormat="1" applyFill="1"/>
    <xf numFmtId="0" fontId="0" fillId="0" borderId="0" xfId="0" applyFont="1"/>
    <xf numFmtId="2" fontId="0" fillId="0" borderId="0" xfId="0" applyNumberFormat="1" applyFont="1"/>
    <xf numFmtId="0" fontId="0" fillId="3" borderId="0" xfId="0" applyFill="1"/>
    <xf numFmtId="2" fontId="0" fillId="0" borderId="0" xfId="0" applyNumberFormat="1"/>
    <xf numFmtId="0" fontId="0" fillId="0" borderId="0" xfId="0" applyFont="1" applyAlignment="1">
      <alignment wrapText="1"/>
    </xf>
    <xf numFmtId="0" fontId="1" fillId="0" borderId="0" xfId="0" applyFont="1" applyAlignment="1">
      <alignment horizontal="center"/>
    </xf>
    <xf numFmtId="0" fontId="0" fillId="0" borderId="0" xfId="0" applyAlignment="1">
      <alignment wrapText="1"/>
    </xf>
    <xf numFmtId="10" fontId="0" fillId="0" borderId="0" xfId="0" applyNumberFormat="1" applyAlignment="1">
      <alignment horizontal="center"/>
    </xf>
    <xf numFmtId="0" fontId="0" fillId="0" borderId="0" xfId="0" applyFont="1" applyAlignment="1">
      <alignment horizontal="left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Font="1" applyAlignment="1"/>
    <xf numFmtId="10" fontId="0" fillId="0" borderId="0" xfId="0" applyNumberFormat="1"/>
    <xf numFmtId="0" fontId="2" fillId="2" borderId="1" xfId="0" applyFont="1" applyFill="1" applyBorder="1"/>
    <xf numFmtId="0" fontId="2" fillId="2" borderId="2" xfId="0" applyFont="1" applyFill="1" applyBorder="1"/>
    <xf numFmtId="0" fontId="3" fillId="2" borderId="2" xfId="0" applyFont="1" applyFill="1" applyBorder="1"/>
    <xf numFmtId="0" fontId="2" fillId="2" borderId="3" xfId="0" applyFont="1" applyFill="1" applyBorder="1"/>
    <xf numFmtId="0" fontId="0" fillId="4" borderId="4" xfId="0" applyFont="1" applyFill="1" applyBorder="1"/>
    <xf numFmtId="165" fontId="0" fillId="0" borderId="5" xfId="0" applyNumberFormat="1" applyBorder="1"/>
    <xf numFmtId="2" fontId="0" fillId="0" borderId="6" xfId="0" applyNumberFormat="1" applyBorder="1"/>
    <xf numFmtId="166" fontId="0" fillId="0" borderId="6" xfId="0" applyNumberFormat="1" applyBorder="1"/>
    <xf numFmtId="167" fontId="0" fillId="0" borderId="6" xfId="0" applyNumberFormat="1" applyBorder="1"/>
    <xf numFmtId="0" fontId="0" fillId="0" borderId="6" xfId="0" applyBorder="1"/>
    <xf numFmtId="165" fontId="1" fillId="0" borderId="7" xfId="0" applyNumberFormat="1" applyFont="1" applyBorder="1"/>
    <xf numFmtId="0" fontId="0" fillId="4" borderId="8" xfId="0" applyFont="1" applyFill="1" applyBorder="1"/>
    <xf numFmtId="165" fontId="0" fillId="0" borderId="9" xfId="0" applyNumberFormat="1" applyBorder="1"/>
    <xf numFmtId="166" fontId="0" fillId="0" borderId="10" xfId="0" applyNumberFormat="1" applyBorder="1"/>
    <xf numFmtId="1" fontId="0" fillId="0" borderId="10" xfId="0" applyNumberFormat="1" applyBorder="1"/>
    <xf numFmtId="0" fontId="0" fillId="0" borderId="10" xfId="0" applyBorder="1"/>
    <xf numFmtId="165" fontId="1" fillId="0" borderId="11" xfId="0" applyNumberFormat="1" applyFont="1" applyBorder="1"/>
    <xf numFmtId="2" fontId="0" fillId="0" borderId="10" xfId="0" applyNumberFormat="1" applyBorder="1"/>
    <xf numFmtId="167" fontId="0" fillId="0" borderId="10" xfId="0" applyNumberFormat="1" applyBorder="1"/>
    <xf numFmtId="2" fontId="1" fillId="0" borderId="11" xfId="0" applyNumberFormat="1" applyFont="1" applyBorder="1"/>
    <xf numFmtId="165" fontId="0" fillId="5" borderId="9" xfId="0" applyNumberFormat="1" applyFill="1" applyBorder="1"/>
    <xf numFmtId="2" fontId="0" fillId="5" borderId="10" xfId="0" applyNumberFormat="1" applyFill="1" applyBorder="1"/>
    <xf numFmtId="166" fontId="0" fillId="5" borderId="10" xfId="0" applyNumberFormat="1" applyFill="1" applyBorder="1"/>
    <xf numFmtId="1" fontId="0" fillId="5" borderId="10" xfId="0" applyNumberFormat="1" applyFill="1" applyBorder="1"/>
    <xf numFmtId="0" fontId="0" fillId="5" borderId="10" xfId="0" applyFill="1" applyBorder="1"/>
    <xf numFmtId="2" fontId="1" fillId="5" borderId="11" xfId="0" applyNumberFormat="1" applyFont="1" applyFill="1" applyBorder="1"/>
    <xf numFmtId="0" fontId="0" fillId="4" borderId="12" xfId="0" applyFont="1" applyFill="1" applyBorder="1"/>
    <xf numFmtId="165" fontId="0" fillId="0" borderId="13" xfId="0" applyNumberFormat="1" applyBorder="1"/>
    <xf numFmtId="2" fontId="0" fillId="0" borderId="14" xfId="0" applyNumberFormat="1" applyBorder="1"/>
    <xf numFmtId="166" fontId="0" fillId="0" borderId="14" xfId="0" applyNumberFormat="1" applyBorder="1"/>
    <xf numFmtId="1" fontId="0" fillId="0" borderId="14" xfId="0" applyNumberFormat="1" applyBorder="1"/>
    <xf numFmtId="0" fontId="0" fillId="0" borderId="14" xfId="0" applyBorder="1"/>
    <xf numFmtId="165" fontId="1" fillId="0" borderId="15" xfId="0" applyNumberFormat="1" applyFont="1" applyBorder="1"/>
    <xf numFmtId="0" fontId="2" fillId="2" borderId="16" xfId="0" applyFont="1" applyFill="1" applyBorder="1"/>
    <xf numFmtId="0" fontId="0" fillId="4" borderId="5" xfId="0" applyFont="1" applyFill="1" applyBorder="1"/>
    <xf numFmtId="165" fontId="0" fillId="4" borderId="17" xfId="0" applyNumberFormat="1" applyFill="1" applyBorder="1"/>
    <xf numFmtId="165" fontId="0" fillId="4" borderId="17" xfId="0" applyNumberFormat="1" applyFill="1" applyBorder="1" applyAlignment="1">
      <alignment horizontal="center"/>
    </xf>
    <xf numFmtId="166" fontId="1" fillId="0" borderId="7" xfId="0" applyNumberFormat="1" applyFont="1" applyBorder="1"/>
    <xf numFmtId="0" fontId="0" fillId="4" borderId="9" xfId="0" applyFont="1" applyFill="1" applyBorder="1"/>
    <xf numFmtId="165" fontId="0" fillId="4" borderId="18" xfId="0" applyNumberFormat="1" applyFill="1" applyBorder="1"/>
    <xf numFmtId="165" fontId="0" fillId="4" borderId="18" xfId="0" applyNumberFormat="1" applyFill="1" applyBorder="1" applyAlignment="1">
      <alignment horizontal="center"/>
    </xf>
    <xf numFmtId="166" fontId="1" fillId="0" borderId="11" xfId="0" applyNumberFormat="1" applyFont="1" applyBorder="1"/>
    <xf numFmtId="0" fontId="0" fillId="4" borderId="13" xfId="0" applyFont="1" applyFill="1" applyBorder="1"/>
    <xf numFmtId="165" fontId="0" fillId="4" borderId="19" xfId="0" applyNumberFormat="1" applyFill="1" applyBorder="1"/>
    <xf numFmtId="165" fontId="0" fillId="4" borderId="19" xfId="0" applyNumberFormat="1" applyFill="1" applyBorder="1" applyAlignment="1">
      <alignment horizontal="center"/>
    </xf>
    <xf numFmtId="167" fontId="0" fillId="0" borderId="14" xfId="0" applyNumberFormat="1" applyBorder="1"/>
    <xf numFmtId="166" fontId="1" fillId="0" borderId="15" xfId="0" applyNumberFormat="1" applyFont="1" applyBorder="1"/>
    <xf numFmtId="0" fontId="0" fillId="4" borderId="20" xfId="0" applyFont="1" applyFill="1" applyBorder="1"/>
    <xf numFmtId="165" fontId="0" fillId="4" borderId="21" xfId="0" applyNumberFormat="1" applyFill="1" applyBorder="1"/>
    <xf numFmtId="165" fontId="0" fillId="4" borderId="21" xfId="0" applyNumberFormat="1" applyFill="1" applyBorder="1" applyAlignment="1">
      <alignment horizontal="center"/>
    </xf>
    <xf numFmtId="2" fontId="0" fillId="0" borderId="22" xfId="0" applyNumberFormat="1" applyBorder="1"/>
    <xf numFmtId="166" fontId="0" fillId="0" borderId="22" xfId="0" applyNumberFormat="1" applyBorder="1"/>
    <xf numFmtId="167" fontId="0" fillId="0" borderId="22" xfId="0" applyNumberFormat="1" applyBorder="1"/>
    <xf numFmtId="166" fontId="1" fillId="0" borderId="23" xfId="0" applyNumberFormat="1" applyFont="1" applyBorder="1"/>
    <xf numFmtId="2" fontId="0" fillId="0" borderId="0" xfId="0" applyNumberFormat="1" applyBorder="1"/>
    <xf numFmtId="0" fontId="0" fillId="0" borderId="0" xfId="0" applyFont="1" applyAlignment="1">
      <alignment horizontal="center"/>
    </xf>
    <xf numFmtId="1" fontId="0" fillId="0" borderId="6" xfId="0" applyNumberFormat="1" applyBorder="1"/>
    <xf numFmtId="2" fontId="1" fillId="0" borderId="7" xfId="0" applyNumberFormat="1" applyFont="1" applyBorder="1"/>
    <xf numFmtId="0" fontId="0" fillId="0" borderId="0" xfId="0" applyAlignment="1">
      <alignment horizontal="right"/>
    </xf>
    <xf numFmtId="2" fontId="1" fillId="0" borderId="15" xfId="0" applyNumberFormat="1" applyFont="1" applyBorder="1"/>
    <xf numFmtId="0" fontId="0" fillId="0" borderId="0" xfId="0" applyFont="1" applyAlignment="1">
      <alignment horizontal="right"/>
    </xf>
    <xf numFmtId="2" fontId="0" fillId="0" borderId="6" xfId="0" applyNumberFormat="1" applyFont="1" applyBorder="1"/>
    <xf numFmtId="166" fontId="0" fillId="0" borderId="6" xfId="0" applyNumberFormat="1" applyFont="1" applyBorder="1"/>
    <xf numFmtId="167" fontId="0" fillId="0" borderId="6" xfId="0" applyNumberFormat="1" applyFont="1" applyBorder="1"/>
    <xf numFmtId="0" fontId="1" fillId="6" borderId="24" xfId="0" applyFont="1" applyFill="1" applyBorder="1" applyAlignment="1">
      <alignment horizontal="center" vertical="center" wrapText="1"/>
    </xf>
    <xf numFmtId="165" fontId="0" fillId="0" borderId="24" xfId="0" applyNumberFormat="1" applyBorder="1" applyAlignment="1">
      <alignment horizontal="center" vertical="center" wrapText="1"/>
    </xf>
    <xf numFmtId="0" fontId="0" fillId="0" borderId="24" xfId="0" applyFont="1" applyBorder="1" applyAlignment="1">
      <alignment horizontal="center" vertical="center" wrapText="1"/>
    </xf>
    <xf numFmtId="0" fontId="0" fillId="0" borderId="24" xfId="0" applyFont="1" applyBorder="1" applyAlignment="1">
      <alignment vertical="center" wrapText="1"/>
    </xf>
    <xf numFmtId="168" fontId="0" fillId="0" borderId="0" xfId="1" applyFont="1" applyBorder="1" applyAlignment="1" applyProtection="1"/>
    <xf numFmtId="11" fontId="0" fillId="0" borderId="0" xfId="0" applyNumberFormat="1"/>
    <xf numFmtId="168" fontId="0" fillId="0" borderId="0" xfId="0" applyNumberFormat="1"/>
    <xf numFmtId="0" fontId="0" fillId="0" borderId="0" xfId="0" applyAlignment="1">
      <alignment horizontal="center" vertical="center"/>
    </xf>
    <xf numFmtId="0" fontId="0" fillId="2" borderId="25" xfId="0" applyFill="1" applyBorder="1"/>
    <xf numFmtId="0" fontId="0" fillId="2" borderId="26" xfId="0" applyFill="1" applyBorder="1"/>
    <xf numFmtId="0" fontId="0" fillId="2" borderId="27" xfId="0" applyFill="1" applyBorder="1"/>
    <xf numFmtId="0" fontId="1" fillId="2" borderId="29" xfId="0" applyFont="1" applyFill="1" applyBorder="1" applyAlignment="1">
      <alignment horizontal="center" vertical="center" wrapText="1"/>
    </xf>
    <xf numFmtId="0" fontId="1" fillId="2" borderId="30" xfId="0" applyFont="1" applyFill="1" applyBorder="1" applyAlignment="1">
      <alignment horizontal="center" vertical="center" wrapText="1"/>
    </xf>
    <xf numFmtId="0" fontId="1" fillId="2" borderId="17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vertical="center" wrapText="1"/>
    </xf>
    <xf numFmtId="0" fontId="0" fillId="3" borderId="31" xfId="0" applyFill="1" applyBorder="1" applyAlignment="1">
      <alignment vertical="center" wrapText="1"/>
    </xf>
    <xf numFmtId="0" fontId="0" fillId="7" borderId="32" xfId="0" applyFont="1" applyFill="1" applyBorder="1" applyAlignment="1">
      <alignment horizontal="center" vertical="center" wrapText="1"/>
    </xf>
    <xf numFmtId="0" fontId="0" fillId="3" borderId="33" xfId="0" applyFill="1" applyBorder="1" applyAlignment="1">
      <alignment vertical="center" wrapText="1"/>
    </xf>
    <xf numFmtId="0" fontId="0" fillId="3" borderId="34" xfId="0" applyFill="1" applyBorder="1" applyAlignment="1">
      <alignment vertical="center" wrapText="1"/>
    </xf>
    <xf numFmtId="0" fontId="0" fillId="3" borderId="35" xfId="0" applyFont="1" applyFill="1" applyBorder="1" applyAlignment="1">
      <alignment horizontal="center" vertical="center" wrapText="1"/>
    </xf>
    <xf numFmtId="0" fontId="0" fillId="3" borderId="36" xfId="0" applyFont="1" applyFill="1" applyBorder="1" applyAlignment="1">
      <alignment horizontal="center" vertical="center" wrapText="1"/>
    </xf>
    <xf numFmtId="0" fontId="0" fillId="7" borderId="36" xfId="0" applyFill="1" applyBorder="1" applyAlignment="1">
      <alignment horizontal="center" vertical="center" wrapText="1"/>
    </xf>
    <xf numFmtId="165" fontId="0" fillId="0" borderId="5" xfId="0" applyNumberFormat="1" applyBorder="1" applyAlignment="1">
      <alignment vertical="center" wrapText="1"/>
    </xf>
    <xf numFmtId="165" fontId="0" fillId="0" borderId="6" xfId="0" applyNumberFormat="1" applyBorder="1" applyAlignment="1">
      <alignment vertical="center" wrapText="1"/>
    </xf>
    <xf numFmtId="165" fontId="0" fillId="0" borderId="38" xfId="0" applyNumberFormat="1" applyBorder="1" applyAlignment="1">
      <alignment vertical="center" wrapText="1"/>
    </xf>
    <xf numFmtId="0" fontId="0" fillId="3" borderId="8" xfId="0" applyFont="1" applyFill="1" applyBorder="1" applyAlignment="1">
      <alignment horizontal="center" vertical="center" wrapText="1"/>
    </xf>
    <xf numFmtId="0" fontId="0" fillId="7" borderId="8" xfId="0" applyFill="1" applyBorder="1" applyAlignment="1">
      <alignment horizontal="center" vertical="center" wrapText="1"/>
    </xf>
    <xf numFmtId="165" fontId="0" fillId="0" borderId="9" xfId="0" applyNumberFormat="1" applyBorder="1" applyAlignment="1">
      <alignment vertical="center" wrapText="1"/>
    </xf>
    <xf numFmtId="0" fontId="0" fillId="3" borderId="12" xfId="0" applyFont="1" applyFill="1" applyBorder="1" applyAlignment="1">
      <alignment horizontal="center" vertical="center" wrapText="1"/>
    </xf>
    <xf numFmtId="0" fontId="0" fillId="7" borderId="12" xfId="0" applyFill="1" applyBorder="1" applyAlignment="1">
      <alignment horizontal="center" vertical="center" wrapText="1"/>
    </xf>
    <xf numFmtId="165" fontId="0" fillId="0" borderId="13" xfId="0" applyNumberFormat="1" applyBorder="1" applyAlignment="1">
      <alignment vertical="center" wrapText="1"/>
    </xf>
    <xf numFmtId="165" fontId="0" fillId="0" borderId="14" xfId="0" applyNumberFormat="1" applyBorder="1" applyAlignment="1">
      <alignment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40" xfId="0" applyFont="1" applyBorder="1" applyAlignment="1">
      <alignment horizontal="center" vertical="center" wrapText="1"/>
    </xf>
    <xf numFmtId="0" fontId="1" fillId="0" borderId="40" xfId="0" applyFont="1" applyBorder="1" applyAlignment="1">
      <alignment horizontal="center" vertical="center"/>
    </xf>
    <xf numFmtId="0" fontId="0" fillId="0" borderId="10" xfId="0" applyBorder="1" applyAlignment="1">
      <alignment horizontal="right" vertical="center" wrapText="1"/>
    </xf>
    <xf numFmtId="167" fontId="0" fillId="0" borderId="0" xfId="0" applyNumberFormat="1" applyBorder="1" applyAlignment="1">
      <alignment horizontal="right" vertical="center" wrapText="1"/>
    </xf>
    <xf numFmtId="0" fontId="1" fillId="8" borderId="0" xfId="0" applyFont="1" applyFill="1"/>
    <xf numFmtId="0" fontId="2" fillId="2" borderId="41" xfId="0" applyFont="1" applyFill="1" applyBorder="1" applyAlignment="1">
      <alignment horizontal="center" vertical="center" wrapText="1"/>
    </xf>
    <xf numFmtId="0" fontId="2" fillId="2" borderId="42" xfId="0" applyFont="1" applyFill="1" applyBorder="1" applyAlignment="1">
      <alignment horizontal="center" vertical="center" wrapText="1"/>
    </xf>
    <xf numFmtId="0" fontId="2" fillId="2" borderId="43" xfId="0" applyFont="1" applyFill="1" applyBorder="1" applyAlignment="1">
      <alignment horizontal="center" vertical="center" wrapText="1"/>
    </xf>
    <xf numFmtId="0" fontId="1" fillId="0" borderId="0" xfId="0" applyFont="1" applyAlignment="1">
      <alignment wrapText="1"/>
    </xf>
    <xf numFmtId="0" fontId="0" fillId="0" borderId="0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4" fillId="0" borderId="0" xfId="0" applyFont="1"/>
    <xf numFmtId="0" fontId="0" fillId="0" borderId="9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5" fillId="0" borderId="0" xfId="0" applyFont="1"/>
    <xf numFmtId="0" fontId="0" fillId="0" borderId="13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15" xfId="0" applyFont="1" applyBorder="1" applyAlignment="1">
      <alignment horizontal="center"/>
    </xf>
    <xf numFmtId="0" fontId="1" fillId="3" borderId="0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7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3" borderId="44" xfId="0" applyFont="1" applyFill="1" applyBorder="1" applyAlignment="1">
      <alignment horizontal="right"/>
    </xf>
    <xf numFmtId="0" fontId="0" fillId="3" borderId="45" xfId="0" applyFill="1" applyBorder="1" applyAlignment="1">
      <alignment horizontal="right"/>
    </xf>
    <xf numFmtId="1" fontId="1" fillId="3" borderId="45" xfId="0" applyNumberFormat="1" applyFont="1" applyFill="1" applyBorder="1" applyAlignment="1">
      <alignment horizontal="center"/>
    </xf>
    <xf numFmtId="1" fontId="1" fillId="3" borderId="46" xfId="0" applyNumberFormat="1" applyFont="1" applyFill="1" applyBorder="1" applyAlignment="1">
      <alignment horizontal="center"/>
    </xf>
    <xf numFmtId="0" fontId="0" fillId="3" borderId="25" xfId="0" applyFont="1" applyFill="1" applyBorder="1" applyAlignment="1">
      <alignment horizontal="right"/>
    </xf>
    <xf numFmtId="0" fontId="0" fillId="3" borderId="26" xfId="0" applyFill="1" applyBorder="1" applyAlignment="1">
      <alignment horizontal="right"/>
    </xf>
    <xf numFmtId="1" fontId="1" fillId="3" borderId="26" xfId="0" applyNumberFormat="1" applyFont="1" applyFill="1" applyBorder="1" applyAlignment="1">
      <alignment horizontal="center"/>
    </xf>
    <xf numFmtId="1" fontId="1" fillId="3" borderId="27" xfId="0" applyNumberFormat="1" applyFont="1" applyFill="1" applyBorder="1" applyAlignment="1">
      <alignment horizontal="center"/>
    </xf>
    <xf numFmtId="165" fontId="0" fillId="0" borderId="0" xfId="0" applyNumberFormat="1"/>
    <xf numFmtId="9" fontId="0" fillId="0" borderId="0" xfId="2" applyFont="1" applyBorder="1" applyAlignment="1" applyProtection="1"/>
    <xf numFmtId="0" fontId="2" fillId="2" borderId="47" xfId="0" applyFont="1" applyFill="1" applyBorder="1" applyAlignment="1">
      <alignment horizontal="center" vertical="center" wrapText="1"/>
    </xf>
    <xf numFmtId="0" fontId="2" fillId="2" borderId="48" xfId="0" applyFont="1" applyFill="1" applyBorder="1" applyAlignment="1">
      <alignment horizontal="center" vertical="center" wrapText="1"/>
    </xf>
    <xf numFmtId="0" fontId="2" fillId="2" borderId="37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0" fillId="3" borderId="49" xfId="0" applyFont="1" applyFill="1" applyBorder="1" applyAlignment="1">
      <alignment horizontal="center" vertical="center"/>
    </xf>
    <xf numFmtId="0" fontId="0" fillId="0" borderId="40" xfId="0" applyFont="1" applyBorder="1" applyAlignment="1">
      <alignment vertical="center" wrapText="1"/>
    </xf>
    <xf numFmtId="0" fontId="0" fillId="0" borderId="50" xfId="0" applyFont="1" applyBorder="1" applyAlignment="1">
      <alignment horizontal="center" vertical="center"/>
    </xf>
    <xf numFmtId="0" fontId="0" fillId="3" borderId="51" xfId="0" applyFont="1" applyFill="1" applyBorder="1" applyAlignment="1">
      <alignment horizontal="center" vertical="center"/>
    </xf>
    <xf numFmtId="0" fontId="0" fillId="0" borderId="52" xfId="0" applyFont="1" applyBorder="1" applyAlignment="1">
      <alignment vertical="center" wrapText="1"/>
    </xf>
    <xf numFmtId="0" fontId="0" fillId="0" borderId="35" xfId="0" applyFont="1" applyBorder="1" applyAlignment="1">
      <alignment horizontal="center" vertical="center"/>
    </xf>
    <xf numFmtId="0" fontId="0" fillId="3" borderId="53" xfId="0" applyFont="1" applyFill="1" applyBorder="1" applyAlignment="1">
      <alignment horizontal="center" vertical="center"/>
    </xf>
    <xf numFmtId="0" fontId="0" fillId="0" borderId="54" xfId="0" applyFont="1" applyBorder="1" applyAlignment="1">
      <alignment vertical="center" wrapText="1"/>
    </xf>
    <xf numFmtId="9" fontId="0" fillId="0" borderId="15" xfId="0" applyNumberFormat="1" applyFont="1" applyBorder="1" applyAlignment="1">
      <alignment horizontal="center" vertical="center"/>
    </xf>
    <xf numFmtId="0" fontId="2" fillId="2" borderId="55" xfId="0" applyFont="1" applyFill="1" applyBorder="1"/>
    <xf numFmtId="0" fontId="2" fillId="2" borderId="56" xfId="0" applyFont="1" applyFill="1" applyBorder="1"/>
    <xf numFmtId="0" fontId="3" fillId="2" borderId="57" xfId="0" applyFont="1" applyFill="1" applyBorder="1"/>
    <xf numFmtId="0" fontId="3" fillId="2" borderId="34" xfId="0" applyFont="1" applyFill="1" applyBorder="1"/>
    <xf numFmtId="0" fontId="3" fillId="2" borderId="35" xfId="0" applyFont="1" applyFill="1" applyBorder="1"/>
    <xf numFmtId="0" fontId="0" fillId="0" borderId="29" xfId="0" applyFont="1" applyBorder="1" applyAlignment="1">
      <alignment horizontal="right"/>
    </xf>
    <xf numFmtId="0" fontId="0" fillId="0" borderId="5" xfId="0" applyBorder="1"/>
    <xf numFmtId="0" fontId="0" fillId="0" borderId="7" xfId="0" applyBorder="1"/>
    <xf numFmtId="165" fontId="0" fillId="0" borderId="29" xfId="0" applyNumberFormat="1" applyBorder="1"/>
    <xf numFmtId="0" fontId="7" fillId="0" borderId="0" xfId="0" applyFont="1"/>
    <xf numFmtId="0" fontId="0" fillId="0" borderId="58" xfId="0" applyFont="1" applyBorder="1" applyAlignment="1">
      <alignment horizontal="right"/>
    </xf>
    <xf numFmtId="0" fontId="0" fillId="0" borderId="9" xfId="0" applyBorder="1"/>
    <xf numFmtId="0" fontId="0" fillId="0" borderId="11" xfId="0" applyBorder="1"/>
    <xf numFmtId="165" fontId="0" fillId="0" borderId="58" xfId="0" applyNumberFormat="1" applyBorder="1"/>
    <xf numFmtId="0" fontId="0" fillId="0" borderId="31" xfId="0" applyFont="1" applyBorder="1" applyAlignment="1">
      <alignment horizontal="right"/>
    </xf>
    <xf numFmtId="0" fontId="0" fillId="0" borderId="13" xfId="0" applyBorder="1"/>
    <xf numFmtId="0" fontId="0" fillId="0" borderId="15" xfId="0" applyBorder="1"/>
    <xf numFmtId="165" fontId="0" fillId="0" borderId="31" xfId="0" applyNumberFormat="1" applyBorder="1"/>
    <xf numFmtId="0" fontId="0" fillId="0" borderId="49" xfId="0" applyBorder="1"/>
    <xf numFmtId="0" fontId="0" fillId="0" borderId="0" xfId="0" applyBorder="1"/>
    <xf numFmtId="0" fontId="0" fillId="0" borderId="59" xfId="0" applyBorder="1"/>
    <xf numFmtId="165" fontId="0" fillId="0" borderId="60" xfId="0" applyNumberFormat="1" applyBorder="1"/>
    <xf numFmtId="0" fontId="0" fillId="0" borderId="61" xfId="0" applyFont="1" applyBorder="1" applyAlignment="1">
      <alignment horizontal="center"/>
    </xf>
    <xf numFmtId="0" fontId="9" fillId="0" borderId="0" xfId="3"/>
    <xf numFmtId="0" fontId="3" fillId="2" borderId="42" xfId="0" applyFont="1" applyFill="1" applyBorder="1" applyAlignment="1">
      <alignment horizontal="center" vertical="center" wrapText="1"/>
    </xf>
    <xf numFmtId="0" fontId="3" fillId="2" borderId="43" xfId="0" applyFont="1" applyFill="1" applyBorder="1" applyAlignment="1">
      <alignment horizontal="center" vertical="center" wrapText="1"/>
    </xf>
    <xf numFmtId="0" fontId="0" fillId="0" borderId="41" xfId="0" applyFont="1" applyBorder="1"/>
    <xf numFmtId="3" fontId="0" fillId="0" borderId="42" xfId="1" applyNumberFormat="1" applyFont="1" applyBorder="1" applyAlignment="1" applyProtection="1"/>
    <xf numFmtId="4" fontId="0" fillId="0" borderId="42" xfId="0" applyNumberFormat="1" applyBorder="1"/>
    <xf numFmtId="3" fontId="0" fillId="0" borderId="43" xfId="1" applyNumberFormat="1" applyFont="1" applyBorder="1" applyAlignment="1" applyProtection="1"/>
    <xf numFmtId="10" fontId="0" fillId="0" borderId="0" xfId="2" applyNumberFormat="1" applyFont="1" applyBorder="1" applyAlignment="1" applyProtection="1"/>
    <xf numFmtId="169" fontId="0" fillId="0" borderId="0" xfId="2" applyNumberFormat="1" applyFont="1" applyBorder="1" applyAlignment="1" applyProtection="1"/>
    <xf numFmtId="0" fontId="11" fillId="0" borderId="0" xfId="0" applyFont="1"/>
    <xf numFmtId="9" fontId="10" fillId="0" borderId="0" xfId="2"/>
    <xf numFmtId="0" fontId="2" fillId="2" borderId="62" xfId="0" applyFont="1" applyFill="1" applyBorder="1" applyAlignment="1">
      <alignment horizontal="center" vertical="center" wrapText="1"/>
    </xf>
    <xf numFmtId="49" fontId="0" fillId="0" borderId="40" xfId="0" applyNumberFormat="1" applyFont="1" applyBorder="1" applyAlignment="1">
      <alignment horizontal="center" vertical="center" wrapText="1"/>
    </xf>
    <xf numFmtId="49" fontId="0" fillId="0" borderId="52" xfId="0" applyNumberFormat="1" applyFont="1" applyBorder="1" applyAlignment="1">
      <alignment horizontal="center" vertical="center" wrapText="1"/>
    </xf>
    <xf numFmtId="49" fontId="0" fillId="0" borderId="54" xfId="0" applyNumberFormat="1" applyFont="1" applyBorder="1" applyAlignment="1">
      <alignment horizontal="center" vertical="center" wrapText="1"/>
    </xf>
    <xf numFmtId="0" fontId="0" fillId="0" borderId="39" xfId="0" applyBorder="1"/>
    <xf numFmtId="0" fontId="11" fillId="0" borderId="0" xfId="0" applyFont="1" applyAlignment="1">
      <alignment wrapText="1"/>
    </xf>
    <xf numFmtId="0" fontId="0" fillId="0" borderId="0" xfId="0" applyNumberFormat="1"/>
    <xf numFmtId="3" fontId="0" fillId="0" borderId="0" xfId="0" applyNumberFormat="1"/>
    <xf numFmtId="165" fontId="0" fillId="9" borderId="9" xfId="0" applyNumberFormat="1" applyFill="1" applyBorder="1"/>
    <xf numFmtId="2" fontId="0" fillId="9" borderId="10" xfId="0" applyNumberFormat="1" applyFill="1" applyBorder="1"/>
    <xf numFmtId="1" fontId="0" fillId="9" borderId="10" xfId="0" applyNumberFormat="1" applyFill="1" applyBorder="1"/>
    <xf numFmtId="166" fontId="0" fillId="9" borderId="10" xfId="0" applyNumberFormat="1" applyFill="1" applyBorder="1"/>
    <xf numFmtId="0" fontId="0" fillId="9" borderId="10" xfId="0" applyFill="1" applyBorder="1"/>
    <xf numFmtId="2" fontId="1" fillId="9" borderId="11" xfId="0" applyNumberFormat="1" applyFont="1" applyFill="1" applyBorder="1"/>
    <xf numFmtId="0" fontId="0" fillId="0" borderId="10" xfId="0" applyBorder="1" applyAlignment="1">
      <alignment horizontal="center"/>
    </xf>
    <xf numFmtId="165" fontId="0" fillId="0" borderId="10" xfId="0" applyNumberFormat="1" applyBorder="1"/>
    <xf numFmtId="1" fontId="0" fillId="0" borderId="64" xfId="0" applyNumberFormat="1" applyBorder="1"/>
    <xf numFmtId="1" fontId="0" fillId="0" borderId="11" xfId="0" applyNumberFormat="1" applyBorder="1"/>
    <xf numFmtId="165" fontId="0" fillId="0" borderId="39" xfId="0" applyNumberFormat="1" applyBorder="1"/>
    <xf numFmtId="0" fontId="0" fillId="0" borderId="39" xfId="0" applyBorder="1" applyAlignment="1">
      <alignment horizontal="center"/>
    </xf>
    <xf numFmtId="1" fontId="0" fillId="0" borderId="39" xfId="0" applyNumberFormat="1" applyBorder="1"/>
    <xf numFmtId="165" fontId="0" fillId="0" borderId="34" xfId="0" applyNumberFormat="1" applyBorder="1"/>
    <xf numFmtId="0" fontId="0" fillId="0" borderId="34" xfId="0" applyBorder="1" applyAlignment="1">
      <alignment horizontal="center"/>
    </xf>
    <xf numFmtId="0" fontId="0" fillId="0" borderId="34" xfId="0" applyBorder="1"/>
    <xf numFmtId="1" fontId="0" fillId="0" borderId="34" xfId="0" applyNumberFormat="1" applyBorder="1"/>
    <xf numFmtId="0" fontId="11" fillId="0" borderId="48" xfId="0" applyFont="1" applyBorder="1"/>
    <xf numFmtId="1" fontId="11" fillId="0" borderId="48" xfId="0" applyNumberFormat="1" applyFont="1" applyBorder="1"/>
    <xf numFmtId="1" fontId="11" fillId="0" borderId="37" xfId="0" applyNumberFormat="1" applyFont="1" applyBorder="1"/>
    <xf numFmtId="165" fontId="11" fillId="0" borderId="37" xfId="0" applyNumberFormat="1" applyFont="1" applyBorder="1"/>
    <xf numFmtId="1" fontId="0" fillId="0" borderId="63" xfId="0" applyNumberFormat="1" applyBorder="1"/>
    <xf numFmtId="1" fontId="0" fillId="0" borderId="35" xfId="0" applyNumberFormat="1" applyBorder="1"/>
    <xf numFmtId="2" fontId="11" fillId="0" borderId="47" xfId="0" applyNumberFormat="1" applyFont="1" applyBorder="1"/>
    <xf numFmtId="2" fontId="0" fillId="0" borderId="38" xfId="0" applyNumberFormat="1" applyBorder="1"/>
    <xf numFmtId="2" fontId="0" fillId="0" borderId="9" xfId="0" applyNumberFormat="1" applyBorder="1"/>
    <xf numFmtId="2" fontId="0" fillId="0" borderId="57" xfId="0" applyNumberFormat="1" applyBorder="1"/>
    <xf numFmtId="0" fontId="11" fillId="0" borderId="48" xfId="0" applyFont="1" applyBorder="1" applyAlignment="1">
      <alignment horizontal="center"/>
    </xf>
    <xf numFmtId="1" fontId="11" fillId="0" borderId="62" xfId="0" applyNumberFormat="1" applyFont="1" applyBorder="1"/>
    <xf numFmtId="0" fontId="11" fillId="10" borderId="47" xfId="0" applyFont="1" applyFill="1" applyBorder="1" applyAlignment="1">
      <alignment horizontal="center" wrapText="1"/>
    </xf>
    <xf numFmtId="0" fontId="11" fillId="10" borderId="48" xfId="0" applyFont="1" applyFill="1" applyBorder="1" applyAlignment="1">
      <alignment horizontal="center" wrapText="1"/>
    </xf>
    <xf numFmtId="0" fontId="11" fillId="10" borderId="37" xfId="0" applyFont="1" applyFill="1" applyBorder="1" applyAlignment="1">
      <alignment horizontal="center" wrapText="1"/>
    </xf>
    <xf numFmtId="0" fontId="11" fillId="0" borderId="47" xfId="0" applyFont="1" applyBorder="1"/>
    <xf numFmtId="165" fontId="11" fillId="0" borderId="48" xfId="0" applyNumberFormat="1" applyFont="1" applyBorder="1"/>
    <xf numFmtId="0" fontId="11" fillId="10" borderId="65" xfId="0" applyFont="1" applyFill="1" applyBorder="1" applyAlignment="1">
      <alignment horizontal="center" wrapText="1"/>
    </xf>
    <xf numFmtId="0" fontId="11" fillId="10" borderId="62" xfId="0" applyFont="1" applyFill="1" applyBorder="1" applyAlignment="1">
      <alignment horizontal="center" wrapText="1"/>
    </xf>
    <xf numFmtId="1" fontId="0" fillId="0" borderId="67" xfId="0" applyNumberFormat="1" applyBorder="1"/>
    <xf numFmtId="1" fontId="0" fillId="0" borderId="52" xfId="0" applyNumberFormat="1" applyBorder="1"/>
    <xf numFmtId="165" fontId="0" fillId="0" borderId="66" xfId="0" applyNumberFormat="1" applyBorder="1"/>
    <xf numFmtId="165" fontId="0" fillId="0" borderId="18" xfId="0" applyNumberFormat="1" applyBorder="1"/>
    <xf numFmtId="165" fontId="0" fillId="0" borderId="33" xfId="0" applyNumberFormat="1" applyBorder="1"/>
    <xf numFmtId="165" fontId="11" fillId="0" borderId="65" xfId="0" applyNumberFormat="1" applyFont="1" applyBorder="1"/>
    <xf numFmtId="170" fontId="10" fillId="0" borderId="40" xfId="2" applyNumberFormat="1" applyBorder="1"/>
    <xf numFmtId="2" fontId="0" fillId="0" borderId="68" xfId="0" applyNumberFormat="1" applyFill="1" applyBorder="1"/>
    <xf numFmtId="3" fontId="0" fillId="0" borderId="10" xfId="1" applyNumberFormat="1" applyFont="1" applyBorder="1" applyAlignment="1" applyProtection="1"/>
    <xf numFmtId="4" fontId="0" fillId="0" borderId="10" xfId="0" applyNumberFormat="1" applyBorder="1"/>
    <xf numFmtId="0" fontId="7" fillId="0" borderId="10" xfId="3" applyFont="1" applyBorder="1"/>
    <xf numFmtId="0" fontId="0" fillId="0" borderId="39" xfId="0" applyFont="1" applyBorder="1"/>
    <xf numFmtId="3" fontId="0" fillId="0" borderId="39" xfId="1" applyNumberFormat="1" applyFont="1" applyBorder="1" applyAlignment="1" applyProtection="1"/>
    <xf numFmtId="4" fontId="0" fillId="0" borderId="39" xfId="0" applyNumberFormat="1" applyBorder="1"/>
    <xf numFmtId="0" fontId="2" fillId="2" borderId="25" xfId="0" applyFont="1" applyFill="1" applyBorder="1" applyAlignment="1">
      <alignment horizontal="center" vertical="center" wrapText="1"/>
    </xf>
    <xf numFmtId="0" fontId="3" fillId="2" borderId="26" xfId="0" applyFont="1" applyFill="1" applyBorder="1" applyAlignment="1">
      <alignment horizontal="center" vertical="center" wrapText="1"/>
    </xf>
    <xf numFmtId="0" fontId="3" fillId="2" borderId="27" xfId="0" applyFont="1" applyFill="1" applyBorder="1" applyAlignment="1">
      <alignment horizontal="center" vertical="center" wrapText="1"/>
    </xf>
    <xf numFmtId="0" fontId="0" fillId="0" borderId="34" xfId="0" applyFont="1" applyBorder="1"/>
    <xf numFmtId="3" fontId="0" fillId="0" borderId="34" xfId="1" applyNumberFormat="1" applyFont="1" applyBorder="1" applyAlignment="1" applyProtection="1"/>
    <xf numFmtId="4" fontId="0" fillId="0" borderId="34" xfId="0" applyNumberFormat="1" applyBorder="1"/>
    <xf numFmtId="0" fontId="0" fillId="0" borderId="25" xfId="0" applyFont="1" applyBorder="1"/>
    <xf numFmtId="3" fontId="0" fillId="0" borderId="26" xfId="1" applyNumberFormat="1" applyFont="1" applyBorder="1" applyAlignment="1" applyProtection="1"/>
    <xf numFmtId="3" fontId="0" fillId="0" borderId="26" xfId="0" applyNumberFormat="1" applyBorder="1"/>
    <xf numFmtId="3" fontId="0" fillId="0" borderId="27" xfId="1" applyNumberFormat="1" applyFont="1" applyBorder="1" applyAlignment="1" applyProtection="1"/>
    <xf numFmtId="0" fontId="1" fillId="2" borderId="28" xfId="0" applyFont="1" applyFill="1" applyBorder="1" applyAlignment="1">
      <alignment horizontal="center"/>
    </xf>
    <xf numFmtId="0" fontId="0" fillId="3" borderId="33" xfId="0" applyFont="1" applyFill="1" applyBorder="1" applyAlignment="1">
      <alignment horizontal="center" vertical="center" wrapText="1"/>
    </xf>
    <xf numFmtId="0" fontId="0" fillId="0" borderId="37" xfId="0" applyFont="1" applyBorder="1" applyAlignment="1">
      <alignment horizontal="center" vertical="center" wrapText="1"/>
    </xf>
    <xf numFmtId="0" fontId="2" fillId="2" borderId="55" xfId="0" applyFont="1" applyFill="1" applyBorder="1" applyAlignment="1">
      <alignment horizontal="center"/>
    </xf>
    <xf numFmtId="0" fontId="2" fillId="2" borderId="29" xfId="0" applyFont="1" applyFill="1" applyBorder="1" applyAlignment="1">
      <alignment horizontal="center"/>
    </xf>
    <xf numFmtId="0" fontId="8" fillId="0" borderId="31" xfId="0" applyFont="1" applyBorder="1" applyAlignment="1">
      <alignment horizontal="center"/>
    </xf>
    <xf numFmtId="0" fontId="1" fillId="0" borderId="61" xfId="0" applyFont="1" applyBorder="1" applyAlignment="1">
      <alignment horizontal="center"/>
    </xf>
    <xf numFmtId="166" fontId="0" fillId="0" borderId="39" xfId="0" applyNumberFormat="1" applyBorder="1" applyAlignment="1">
      <alignment vertical="center" wrapText="1"/>
    </xf>
    <xf numFmtId="166" fontId="0" fillId="0" borderId="10" xfId="0" applyNumberFormat="1" applyBorder="1" applyAlignment="1">
      <alignment vertical="center" wrapText="1"/>
    </xf>
  </cellXfs>
  <cellStyles count="4">
    <cellStyle name="Comma" xfId="1" builtinId="3"/>
    <cellStyle name="Explanatory Text" xfId="3" builtinId="53" customBuiltin="1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E7E6E6"/>
      <rgbColor rgb="FFCCFFFF"/>
      <rgbColor rgb="FF660066"/>
      <rgbColor rgb="FFFF8080"/>
      <rgbColor rgb="FF0066B3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66669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D10" totalsRowShown="0">
  <autoFilter ref="A1:D10" xr:uid="{00000000-0009-0000-0100-000001000000}"/>
  <tableColumns count="4">
    <tableColumn id="1" xr3:uid="{00000000-0010-0000-0000-000001000000}" name="kg CO2e /kg H2"/>
    <tableColumn id="2" xr3:uid="{00000000-0010-0000-0000-000002000000}" name="Pathway"/>
    <tableColumn id="3" xr3:uid="{00000000-0010-0000-0000-000003000000}" name="Modifier"/>
    <tableColumn id="4" xr3:uid="{00000000-0010-0000-0000-000004000000}" name="Description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7"/>
  <sheetViews>
    <sheetView zoomScale="80" zoomScaleNormal="8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D17" sqref="D17"/>
    </sheetView>
  </sheetViews>
  <sheetFormatPr defaultRowHeight="15" x14ac:dyDescent="0.25"/>
  <cols>
    <col min="1" max="2" width="8.5703125" customWidth="1"/>
    <col min="3" max="3" width="8.42578125" customWidth="1"/>
    <col min="4" max="9" width="8.5703125" customWidth="1"/>
    <col min="10" max="10" width="19.85546875" customWidth="1"/>
    <col min="11" max="1025" width="8.5703125" customWidth="1"/>
  </cols>
  <sheetData>
    <row r="1" spans="1:20" x14ac:dyDescent="0.25">
      <c r="B1" s="1" t="s">
        <v>0</v>
      </c>
      <c r="C1" s="2"/>
      <c r="E1" s="3"/>
    </row>
    <row r="2" spans="1:20" x14ac:dyDescent="0.25">
      <c r="E2" s="3" t="s">
        <v>1</v>
      </c>
    </row>
    <row r="3" spans="1:20" x14ac:dyDescent="0.25"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</row>
    <row r="4" spans="1:20" x14ac:dyDescent="0.25">
      <c r="A4" s="3" t="s">
        <v>7</v>
      </c>
      <c r="B4" s="3"/>
      <c r="H4" s="3" t="s">
        <v>8</v>
      </c>
      <c r="I4" s="3" t="s">
        <v>9</v>
      </c>
      <c r="M4" s="3" t="s">
        <v>10</v>
      </c>
    </row>
    <row r="5" spans="1:20" x14ac:dyDescent="0.25">
      <c r="B5" t="s">
        <v>11</v>
      </c>
      <c r="C5">
        <f>prod!H23</f>
        <v>42</v>
      </c>
      <c r="D5" s="4">
        <f>prod!K23</f>
        <v>0.37799999999999995</v>
      </c>
      <c r="E5">
        <v>0.01</v>
      </c>
      <c r="F5">
        <v>0.01</v>
      </c>
      <c r="H5" t="s">
        <v>12</v>
      </c>
      <c r="I5" s="5" t="s">
        <v>330</v>
      </c>
    </row>
    <row r="6" spans="1:20" x14ac:dyDescent="0.25">
      <c r="B6" t="s">
        <v>13</v>
      </c>
      <c r="C6">
        <f>prod!H24</f>
        <v>27</v>
      </c>
      <c r="D6" s="4">
        <f>prod!K24</f>
        <v>0.24299999999999999</v>
      </c>
      <c r="E6">
        <v>0.2</v>
      </c>
      <c r="F6">
        <v>0.18</v>
      </c>
      <c r="M6" t="s">
        <v>14</v>
      </c>
      <c r="T6">
        <f>1-0.65/0.8</f>
        <v>0.1875</v>
      </c>
    </row>
    <row r="7" spans="1:20" x14ac:dyDescent="0.25">
      <c r="B7" t="s">
        <v>15</v>
      </c>
      <c r="C7">
        <f>prod!H25</f>
        <v>0</v>
      </c>
      <c r="D7" s="4">
        <f>prod!I25</f>
        <v>-5.8</v>
      </c>
      <c r="E7">
        <v>0</v>
      </c>
      <c r="F7">
        <v>-0.1</v>
      </c>
      <c r="I7" t="s">
        <v>16</v>
      </c>
      <c r="M7" s="5" t="s">
        <v>17</v>
      </c>
    </row>
    <row r="8" spans="1:20" x14ac:dyDescent="0.25">
      <c r="B8" t="s">
        <v>351</v>
      </c>
      <c r="C8">
        <f>prod!H23</f>
        <v>42</v>
      </c>
      <c r="D8" s="4">
        <f>prod!L23</f>
        <v>0.16800000000000001</v>
      </c>
      <c r="E8">
        <f>E5</f>
        <v>0.01</v>
      </c>
      <c r="F8">
        <f>F5</f>
        <v>0.01</v>
      </c>
      <c r="H8" t="s">
        <v>12</v>
      </c>
      <c r="I8" s="5" t="s">
        <v>352</v>
      </c>
      <c r="M8" s="5" t="s">
        <v>384</v>
      </c>
    </row>
    <row r="9" spans="1:20" x14ac:dyDescent="0.25">
      <c r="B9" t="s">
        <v>21</v>
      </c>
      <c r="C9">
        <f>prod!H22</f>
        <v>60</v>
      </c>
      <c r="D9" s="4">
        <f>prod!K22</f>
        <v>0.53999999999999992</v>
      </c>
      <c r="E9">
        <v>0.1</v>
      </c>
      <c r="F9">
        <v>0.1</v>
      </c>
      <c r="H9" t="s">
        <v>19</v>
      </c>
      <c r="M9" s="5" t="s">
        <v>17</v>
      </c>
    </row>
    <row r="10" spans="1:20" x14ac:dyDescent="0.25">
      <c r="B10" t="s">
        <v>22</v>
      </c>
      <c r="C10">
        <f>prod!H21</f>
        <v>0.56999999999999995</v>
      </c>
      <c r="D10" s="4">
        <f>prod!K21</f>
        <v>12.105129999999999</v>
      </c>
      <c r="E10">
        <v>0.05</v>
      </c>
      <c r="F10">
        <v>0.05</v>
      </c>
      <c r="H10" t="s">
        <v>23</v>
      </c>
      <c r="I10" t="s">
        <v>331</v>
      </c>
      <c r="M10" s="5" t="s">
        <v>17</v>
      </c>
    </row>
    <row r="11" spans="1:20" x14ac:dyDescent="0.25">
      <c r="B11" t="s">
        <v>18</v>
      </c>
      <c r="C11">
        <v>60</v>
      </c>
      <c r="D11" s="4">
        <f>C11*prod!J19</f>
        <v>48.6</v>
      </c>
      <c r="E11">
        <v>0.1</v>
      </c>
      <c r="F11">
        <v>0</v>
      </c>
      <c r="H11" t="s">
        <v>19</v>
      </c>
      <c r="I11" t="s">
        <v>20</v>
      </c>
      <c r="M11" s="5" t="s">
        <v>385</v>
      </c>
    </row>
    <row r="13" spans="1:20" x14ac:dyDescent="0.25">
      <c r="A13" s="3" t="s">
        <v>24</v>
      </c>
      <c r="I13" s="5" t="s">
        <v>25</v>
      </c>
    </row>
    <row r="14" spans="1:20" x14ac:dyDescent="0.25">
      <c r="B14" s="3" t="s">
        <v>2</v>
      </c>
      <c r="C14" s="3" t="s">
        <v>3</v>
      </c>
      <c r="D14" s="3" t="s">
        <v>4</v>
      </c>
    </row>
    <row r="15" spans="1:20" x14ac:dyDescent="0.25">
      <c r="B15" s="5" t="s">
        <v>26</v>
      </c>
      <c r="C15" s="6">
        <f>compress!W9</f>
        <v>0.24783293932230124</v>
      </c>
      <c r="D15" s="7">
        <f>C15*prod!$K$19</f>
        <v>2.2304964539007111E-3</v>
      </c>
      <c r="E15">
        <v>0.27659574468085102</v>
      </c>
      <c r="F15">
        <v>0.27659574468085102</v>
      </c>
      <c r="H15" t="s">
        <v>27</v>
      </c>
      <c r="I15" t="s">
        <v>386</v>
      </c>
      <c r="M15" t="s">
        <v>28</v>
      </c>
    </row>
    <row r="16" spans="1:20" x14ac:dyDescent="0.25">
      <c r="B16" s="5" t="s">
        <v>338</v>
      </c>
      <c r="C16" s="6">
        <f>compress!W10</f>
        <v>3.624980015987211</v>
      </c>
      <c r="D16" s="7">
        <f>C16*$I$19</f>
        <v>1.5913662270183857</v>
      </c>
      <c r="E16">
        <v>0.27659574468085102</v>
      </c>
      <c r="F16">
        <v>0.27659574468085102</v>
      </c>
      <c r="H16" t="s">
        <v>27</v>
      </c>
      <c r="I16" t="s">
        <v>339</v>
      </c>
      <c r="M16" t="s">
        <v>28</v>
      </c>
    </row>
    <row r="17" spans="1:13" x14ac:dyDescent="0.25">
      <c r="B17" t="s">
        <v>29</v>
      </c>
      <c r="C17" s="8">
        <f>compress!W8</f>
        <v>2.8916075650118214</v>
      </c>
      <c r="D17" s="7">
        <f>C17*prod!$K$19</f>
        <v>2.6024468085106389E-2</v>
      </c>
      <c r="E17">
        <v>0.27659574468085102</v>
      </c>
      <c r="F17">
        <v>0.27659574468085102</v>
      </c>
      <c r="H17" t="s">
        <v>27</v>
      </c>
      <c r="I17" t="s">
        <v>387</v>
      </c>
      <c r="M17" t="s">
        <v>28</v>
      </c>
    </row>
    <row r="18" spans="1:13" x14ac:dyDescent="0.25">
      <c r="B18" t="s">
        <v>30</v>
      </c>
      <c r="C18" s="8">
        <v>13.4</v>
      </c>
      <c r="D18" s="7">
        <f>C18*prod!$K$19</f>
        <v>0.1206</v>
      </c>
      <c r="E18">
        <v>0.15</v>
      </c>
      <c r="F18">
        <v>0.05</v>
      </c>
      <c r="H18" t="s">
        <v>27</v>
      </c>
    </row>
    <row r="19" spans="1:13" x14ac:dyDescent="0.25">
      <c r="B19" t="s">
        <v>337</v>
      </c>
      <c r="C19" s="8">
        <v>12</v>
      </c>
      <c r="D19" s="7">
        <f>C19*$I$19</f>
        <v>5.2679999999999998</v>
      </c>
      <c r="E19">
        <v>0.15</v>
      </c>
      <c r="F19">
        <v>0.05</v>
      </c>
      <c r="H19" t="s">
        <v>27</v>
      </c>
      <c r="I19">
        <v>0.439</v>
      </c>
      <c r="J19" t="s">
        <v>336</v>
      </c>
      <c r="M19" t="s">
        <v>31</v>
      </c>
    </row>
    <row r="21" spans="1:13" x14ac:dyDescent="0.25">
      <c r="A21" s="3" t="s">
        <v>32</v>
      </c>
      <c r="I21">
        <v>5.8</v>
      </c>
      <c r="J21" s="9" t="s">
        <v>33</v>
      </c>
    </row>
    <row r="22" spans="1:13" x14ac:dyDescent="0.25">
      <c r="C22" s="10" t="s">
        <v>34</v>
      </c>
      <c r="D22" s="10"/>
      <c r="G22" s="3"/>
      <c r="H22" s="3"/>
      <c r="I22" s="3"/>
      <c r="J22" s="11"/>
    </row>
    <row r="23" spans="1:13" x14ac:dyDescent="0.25">
      <c r="B23" t="s">
        <v>35</v>
      </c>
      <c r="C23" s="12">
        <v>5.0000000000000001E-3</v>
      </c>
      <c r="D23" s="13"/>
      <c r="E23">
        <v>1</v>
      </c>
      <c r="F23">
        <v>0</v>
      </c>
      <c r="J23" s="11"/>
      <c r="M23" t="s">
        <v>36</v>
      </c>
    </row>
    <row r="24" spans="1:13" x14ac:dyDescent="0.25">
      <c r="B24" t="s">
        <v>30</v>
      </c>
      <c r="C24" s="12">
        <v>1.4999999999999999E-2</v>
      </c>
      <c r="D24" s="14"/>
      <c r="E24">
        <v>0.66</v>
      </c>
      <c r="F24">
        <v>0.66</v>
      </c>
      <c r="J24" s="11"/>
      <c r="M24" t="s">
        <v>37</v>
      </c>
    </row>
    <row r="25" spans="1:13" x14ac:dyDescent="0.25">
      <c r="J25" s="11"/>
    </row>
    <row r="26" spans="1:13" ht="30" x14ac:dyDescent="0.25">
      <c r="A26" s="3" t="s">
        <v>38</v>
      </c>
      <c r="I26">
        <f>36.2/100*2.582</f>
        <v>0.93468400000000007</v>
      </c>
      <c r="J26" s="11" t="s">
        <v>39</v>
      </c>
    </row>
    <row r="27" spans="1:13" x14ac:dyDescent="0.25">
      <c r="C27" s="10" t="s">
        <v>40</v>
      </c>
      <c r="D27" s="3" t="s">
        <v>41</v>
      </c>
      <c r="J27" s="11"/>
    </row>
    <row r="28" spans="1:13" x14ac:dyDescent="0.25">
      <c r="B28" t="s">
        <v>35</v>
      </c>
      <c r="C28" s="14">
        <v>780</v>
      </c>
      <c r="D28">
        <f>I26/C28</f>
        <v>1.1983128205128207E-3</v>
      </c>
      <c r="E28">
        <v>0.1</v>
      </c>
      <c r="F28">
        <v>0</v>
      </c>
      <c r="J28" s="11"/>
      <c r="M28" t="s">
        <v>42</v>
      </c>
    </row>
    <row r="29" spans="1:13" x14ac:dyDescent="0.25">
      <c r="B29" t="s">
        <v>30</v>
      </c>
      <c r="C29" s="14">
        <v>4300</v>
      </c>
      <c r="D29">
        <f>I26/C29</f>
        <v>2.1736837209302326E-4</v>
      </c>
      <c r="E29">
        <v>0.1</v>
      </c>
      <c r="F29">
        <v>0</v>
      </c>
      <c r="J29" s="11"/>
    </row>
    <row r="30" spans="1:13" x14ac:dyDescent="0.25">
      <c r="J30" s="11"/>
    </row>
    <row r="31" spans="1:13" x14ac:dyDescent="0.25">
      <c r="A31" s="3" t="s">
        <v>43</v>
      </c>
      <c r="J31" s="11"/>
    </row>
    <row r="32" spans="1:13" x14ac:dyDescent="0.25">
      <c r="C32" s="10" t="s">
        <v>34</v>
      </c>
      <c r="J32" s="11"/>
    </row>
    <row r="33" spans="1:13" x14ac:dyDescent="0.25">
      <c r="B33" t="s">
        <v>35</v>
      </c>
      <c r="C33" s="15">
        <v>0</v>
      </c>
      <c r="E33">
        <v>0</v>
      </c>
      <c r="F33">
        <v>0</v>
      </c>
      <c r="M33" t="s">
        <v>44</v>
      </c>
    </row>
    <row r="34" spans="1:13" x14ac:dyDescent="0.25">
      <c r="B34" t="s">
        <v>30</v>
      </c>
      <c r="C34" s="15">
        <f>I35/24*display!AC28</f>
        <v>2.5781249999999996E-4</v>
      </c>
      <c r="E34">
        <v>0.33</v>
      </c>
      <c r="F34">
        <v>0.33</v>
      </c>
      <c r="M34" s="16" t="s">
        <v>45</v>
      </c>
    </row>
    <row r="35" spans="1:13" ht="30" x14ac:dyDescent="0.25">
      <c r="I35">
        <v>4.4999999999999997E-3</v>
      </c>
      <c r="J35" s="11" t="s">
        <v>46</v>
      </c>
    </row>
    <row r="36" spans="1:13" x14ac:dyDescent="0.25">
      <c r="A36" s="3" t="s">
        <v>47</v>
      </c>
    </row>
    <row r="37" spans="1:13" x14ac:dyDescent="0.25">
      <c r="B37" s="3" t="s">
        <v>2</v>
      </c>
      <c r="C37" s="3" t="s">
        <v>3</v>
      </c>
      <c r="D37" s="3" t="s">
        <v>4</v>
      </c>
    </row>
    <row r="38" spans="1:13" x14ac:dyDescent="0.25">
      <c r="B38" t="s">
        <v>48</v>
      </c>
      <c r="C38">
        <f>compress!W12</f>
        <v>1.2226618705035972</v>
      </c>
      <c r="D38">
        <f>C38*prod!$K$19</f>
        <v>1.1003956834532374E-2</v>
      </c>
      <c r="E38">
        <v>0.29496402877697803</v>
      </c>
      <c r="F38">
        <v>0.29496402877697803</v>
      </c>
      <c r="M38" t="s">
        <v>49</v>
      </c>
    </row>
    <row r="39" spans="1:13" x14ac:dyDescent="0.25">
      <c r="B39" t="s">
        <v>30</v>
      </c>
      <c r="C39">
        <v>0</v>
      </c>
      <c r="D39">
        <f>C39*prod!$K$19</f>
        <v>0</v>
      </c>
    </row>
    <row r="41" spans="1:13" x14ac:dyDescent="0.25">
      <c r="A41" s="3" t="s">
        <v>50</v>
      </c>
    </row>
    <row r="42" spans="1:13" x14ac:dyDescent="0.25">
      <c r="C42" s="3" t="s">
        <v>51</v>
      </c>
      <c r="D42" s="3" t="s">
        <v>52</v>
      </c>
      <c r="I42">
        <v>13.4</v>
      </c>
      <c r="J42" t="s">
        <v>53</v>
      </c>
    </row>
    <row r="43" spans="1:13" x14ac:dyDescent="0.25">
      <c r="B43" t="s">
        <v>35</v>
      </c>
      <c r="C43">
        <v>0</v>
      </c>
      <c r="D43">
        <v>0</v>
      </c>
      <c r="I43">
        <v>4300</v>
      </c>
      <c r="J43" t="s">
        <v>54</v>
      </c>
    </row>
    <row r="44" spans="1:13" x14ac:dyDescent="0.25">
      <c r="B44" t="s">
        <v>30</v>
      </c>
      <c r="C44">
        <f>I43*I35*I42/I44</f>
        <v>0.11679729729729728</v>
      </c>
      <c r="D44">
        <f>C44*prod!K19</f>
        <v>1.0511756756756755E-3</v>
      </c>
      <c r="E44">
        <v>0.25</v>
      </c>
      <c r="F44">
        <v>0.25</v>
      </c>
      <c r="I44">
        <f>SUM(display!W28:Z28)</f>
        <v>2220</v>
      </c>
      <c r="J44" t="s">
        <v>55</v>
      </c>
      <c r="M44" t="s">
        <v>56</v>
      </c>
    </row>
    <row r="46" spans="1:13" x14ac:dyDescent="0.25">
      <c r="A46" s="3" t="s">
        <v>57</v>
      </c>
    </row>
    <row r="47" spans="1:13" x14ac:dyDescent="0.25">
      <c r="B47" t="s">
        <v>35</v>
      </c>
      <c r="C47" s="17">
        <v>5.0000000000000001E-3</v>
      </c>
      <c r="D47" s="5"/>
      <c r="E47">
        <v>0.01</v>
      </c>
      <c r="F47">
        <v>0.01</v>
      </c>
      <c r="M47" t="s">
        <v>58</v>
      </c>
    </row>
  </sheetData>
  <sortState ref="B5:M11">
    <sortCondition ref="B5:B11"/>
  </sortState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54"/>
  <sheetViews>
    <sheetView zoomScaleNormal="100" workbookViewId="0">
      <selection activeCell="C7" sqref="C7"/>
    </sheetView>
  </sheetViews>
  <sheetFormatPr defaultRowHeight="15" x14ac:dyDescent="0.25"/>
  <cols>
    <col min="1" max="1" width="8.5703125" customWidth="1"/>
    <col min="2" max="2" width="8.28515625" customWidth="1"/>
    <col min="3" max="3" width="9.7109375" customWidth="1"/>
    <col min="4" max="4" width="6.5703125" customWidth="1"/>
    <col min="5" max="5" width="9.42578125" customWidth="1"/>
    <col min="6" max="6" width="7.5703125" customWidth="1"/>
    <col min="7" max="7" width="6.42578125" customWidth="1"/>
    <col min="8" max="8" width="7.7109375" customWidth="1"/>
    <col min="9" max="9" width="7.28515625" customWidth="1"/>
    <col min="10" max="10" width="6.42578125" customWidth="1"/>
    <col min="11" max="11" width="1.5703125" customWidth="1"/>
    <col min="12" max="12" width="5.85546875" customWidth="1"/>
    <col min="13" max="13" width="7" customWidth="1"/>
    <col min="14" max="14" width="11.28515625" customWidth="1"/>
    <col min="15" max="15" width="8.5703125" customWidth="1"/>
    <col min="16" max="16" width="8.85546875" customWidth="1"/>
    <col min="17" max="17" width="5.5703125" customWidth="1"/>
    <col min="18" max="18" width="6.5703125" customWidth="1"/>
    <col min="19" max="19" width="9.5703125" customWidth="1"/>
    <col min="20" max="20" width="7.140625" customWidth="1"/>
    <col min="21" max="21" width="6.7109375" customWidth="1"/>
    <col min="22" max="22" width="5.7109375" customWidth="1"/>
    <col min="23" max="23" width="11.28515625" customWidth="1"/>
    <col min="24" max="24" width="9" customWidth="1"/>
    <col min="25" max="25" width="5.140625" customWidth="1"/>
    <col min="26" max="26" width="5.5703125" customWidth="1"/>
    <col min="27" max="27" width="9.42578125" customWidth="1"/>
    <col min="28" max="29" width="5.5703125" customWidth="1"/>
    <col min="30" max="1025" width="8.5703125" customWidth="1"/>
  </cols>
  <sheetData>
    <row r="1" spans="1:22" x14ac:dyDescent="0.25">
      <c r="A1" s="3" t="s">
        <v>59</v>
      </c>
      <c r="N1" s="3" t="s">
        <v>60</v>
      </c>
    </row>
    <row r="2" spans="1:22" x14ac:dyDescent="0.25">
      <c r="A2" s="18" t="s">
        <v>61</v>
      </c>
      <c r="B2" s="19" t="s">
        <v>62</v>
      </c>
      <c r="C2" s="19" t="s">
        <v>63</v>
      </c>
      <c r="D2" s="19" t="s">
        <v>64</v>
      </c>
      <c r="E2" s="19" t="s">
        <v>38</v>
      </c>
      <c r="F2" s="19" t="s">
        <v>65</v>
      </c>
      <c r="G2" s="19" t="s">
        <v>66</v>
      </c>
      <c r="H2" s="19" t="s">
        <v>67</v>
      </c>
      <c r="I2" s="19" t="s">
        <v>68</v>
      </c>
      <c r="J2" s="19" t="s">
        <v>69</v>
      </c>
      <c r="K2" s="20"/>
      <c r="L2" s="21" t="s">
        <v>70</v>
      </c>
      <c r="N2" s="3" t="s">
        <v>71</v>
      </c>
      <c r="O2" s="3" t="s">
        <v>72</v>
      </c>
      <c r="P2" s="3" t="s">
        <v>73</v>
      </c>
      <c r="Q2" s="3" t="s">
        <v>74</v>
      </c>
      <c r="R2" s="3" t="s">
        <v>75</v>
      </c>
      <c r="S2" s="3" t="s">
        <v>76</v>
      </c>
    </row>
    <row r="3" spans="1:22" x14ac:dyDescent="0.25">
      <c r="A3" s="22" t="s">
        <v>77</v>
      </c>
      <c r="B3" s="23">
        <f>VLOOKUP($N3,sourcedat!$B$5:$D$11,3,0)</f>
        <v>48.6</v>
      </c>
      <c r="C3" s="25">
        <f>VLOOKUP($O3,sourcedat!$B$15:$D$19,3,0)</f>
        <v>0.1206</v>
      </c>
      <c r="D3" s="25">
        <f>VLOOKUP($P3,sourcedat!$B$23:$C$24,2,0)*(SUM($B3,C3)+sourcedat!$I$21)</f>
        <v>0.81780900000000001</v>
      </c>
      <c r="E3" s="25">
        <f>$Q3*VLOOKUP($P3,sourcedat!$B$28:$E$29,3,0)</f>
        <v>1.0433681860465116E-2</v>
      </c>
      <c r="F3" s="26">
        <f>VLOOKUP($P3,sourcedat!$B$33:$C$34,2,0)*(SUM($B3,E3)+sourcedat!$I$21)</f>
        <v>1.4027689933604648E-2</v>
      </c>
      <c r="G3" s="25">
        <f>VLOOKUP($P3,sourcedat!$B$23:$C$24,2,0)*(SUM($B3,F3)+sourcedat!$I$21)</f>
        <v>0.81621041534900407</v>
      </c>
      <c r="H3" s="26">
        <f>VLOOKUP($P3,sourcedat!$B$43:$D$44,3,0)</f>
        <v>1.0511756756756755E-3</v>
      </c>
      <c r="I3" s="25">
        <f>VLOOKUP($R3,sourcedat!$B$38:$D$39,3,0)</f>
        <v>0</v>
      </c>
      <c r="J3" s="25">
        <f>sourcedat!$C$47*(SUM($B3,I3)+sourcedat!$I$21)</f>
        <v>0.27200000000000002</v>
      </c>
      <c r="K3" s="27"/>
      <c r="L3" s="28">
        <f t="shared" ref="L3:L11" si="0">SUM(B3:J3)</f>
        <v>50.65213196281875</v>
      </c>
      <c r="N3" t="s">
        <v>18</v>
      </c>
      <c r="O3" t="s">
        <v>30</v>
      </c>
      <c r="P3" t="s">
        <v>30</v>
      </c>
      <c r="Q3">
        <v>48</v>
      </c>
      <c r="R3" t="s">
        <v>30</v>
      </c>
      <c r="S3" t="s">
        <v>35</v>
      </c>
    </row>
    <row r="4" spans="1:22" x14ac:dyDescent="0.25">
      <c r="A4" s="29" t="s">
        <v>79</v>
      </c>
      <c r="B4" s="30">
        <f>VLOOKUP($N4,sourcedat!$B$5:$D$11,3,0)</f>
        <v>12.105129999999999</v>
      </c>
      <c r="C4" s="31">
        <f>VLOOKUP($O4,sourcedat!$B$15:$D$19,3,0)</f>
        <v>5.2679999999999998</v>
      </c>
      <c r="D4" s="31">
        <f>VLOOKUP($P4,sourcedat!$B$23:$C$24,2,0)*(SUM($B4,C4)+sourcedat!$I$21)</f>
        <v>0.34759695000000002</v>
      </c>
      <c r="E4" s="31">
        <f>$Q4*VLOOKUP($P4,sourcedat!$B$28:$E$29,3,0)</f>
        <v>0.85686612279069774</v>
      </c>
      <c r="F4" s="32">
        <f>VLOOKUP($P4,sourcedat!$B$33:$C$34,2,0)*(SUM($B4,E4)+sourcedat!$I$21)</f>
        <v>4.837077125406976E-3</v>
      </c>
      <c r="G4" s="31">
        <f>VLOOKUP($P4,sourcedat!$B$23:$C$24,2,0)*(SUM($B4,F4)+sourcedat!$I$21)</f>
        <v>0.26864950615688105</v>
      </c>
      <c r="H4" s="32">
        <f>VLOOKUP($P4,sourcedat!$B$43:$D$44,3,0)</f>
        <v>1.0511756756756755E-3</v>
      </c>
      <c r="I4" s="31">
        <f>VLOOKUP($R4,sourcedat!$B$38:$D$39,3,0)</f>
        <v>1.1003956834532374E-2</v>
      </c>
      <c r="J4" s="31">
        <f>sourcedat!$C$47*(SUM($B4,I4)+sourcedat!$I$21)</f>
        <v>8.9580669784172659E-2</v>
      </c>
      <c r="K4" s="33"/>
      <c r="L4" s="34">
        <f>SUM(B4:J4)</f>
        <v>18.952715458367368</v>
      </c>
      <c r="N4" t="s">
        <v>22</v>
      </c>
      <c r="O4" s="5" t="s">
        <v>337</v>
      </c>
      <c r="P4" t="s">
        <v>30</v>
      </c>
      <c r="Q4">
        <v>3942</v>
      </c>
      <c r="R4" t="s">
        <v>48</v>
      </c>
      <c r="S4" t="s">
        <v>35</v>
      </c>
    </row>
    <row r="5" spans="1:22" x14ac:dyDescent="0.25">
      <c r="A5" s="29" t="s">
        <v>78</v>
      </c>
      <c r="B5" s="30">
        <f>VLOOKUP($N5,sourcedat!$B$5:$D$11,3,0)</f>
        <v>12.105129999999999</v>
      </c>
      <c r="C5" s="31">
        <f>VLOOKUP($O5,sourcedat!$B$15:$D$19,3,0)</f>
        <v>1.5913662270183857</v>
      </c>
      <c r="D5" s="31">
        <f>VLOOKUP($P5,sourcedat!$B$23:$C$24,2,0)*(SUM($B5,C5)+sourcedat!$I$21)</f>
        <v>9.748248113509192E-2</v>
      </c>
      <c r="E5" s="31">
        <f>$Q5*VLOOKUP($P5,sourcedat!$B$28:$E$29,3,0)</f>
        <v>4.7237491384615389</v>
      </c>
      <c r="F5" s="32">
        <f>VLOOKUP($P5,sourcedat!$B$33:$C$34,2,0)*(SUM($B5,E5)+sourcedat!$I$21)</f>
        <v>0</v>
      </c>
      <c r="G5" s="31">
        <f>VLOOKUP($P5,sourcedat!$B$23:$C$24,2,0)*(SUM($B5,F5)+sourcedat!$I$21)</f>
        <v>8.9525649999999998E-2</v>
      </c>
      <c r="H5" s="32">
        <f>VLOOKUP($P5,sourcedat!$B$43:$D$44,3,0)</f>
        <v>0</v>
      </c>
      <c r="I5" s="31">
        <f>VLOOKUP($R5,sourcedat!$B$38:$D$39,3,0)</f>
        <v>1.1003956834532374E-2</v>
      </c>
      <c r="J5" s="31">
        <f>sourcedat!$C$47*(SUM($B5,I5)+sourcedat!$I$21)</f>
        <v>8.9580669784172659E-2</v>
      </c>
      <c r="K5" s="33"/>
      <c r="L5" s="34">
        <f t="shared" si="0"/>
        <v>18.707838123233721</v>
      </c>
      <c r="N5" t="s">
        <v>22</v>
      </c>
      <c r="O5" s="5" t="s">
        <v>338</v>
      </c>
      <c r="P5" t="s">
        <v>35</v>
      </c>
      <c r="Q5">
        <v>3942</v>
      </c>
      <c r="R5" t="s">
        <v>48</v>
      </c>
      <c r="S5" t="s">
        <v>35</v>
      </c>
    </row>
    <row r="6" spans="1:22" x14ac:dyDescent="0.25">
      <c r="A6" s="29" t="s">
        <v>80</v>
      </c>
      <c r="B6" s="30">
        <f>VLOOKUP($N6,sourcedat!$B$5:$D$11,3,0)</f>
        <v>0.53999999999999992</v>
      </c>
      <c r="C6" s="31">
        <f>VLOOKUP($O6,sourcedat!$B$15:$D$19,3,0)</f>
        <v>0.1206</v>
      </c>
      <c r="D6" s="31">
        <f>VLOOKUP($P6,sourcedat!$B$23:$C$24,2,0)*(SUM($B6,C6)+sourcedat!$I$21)</f>
        <v>9.6908999999999995E-2</v>
      </c>
      <c r="E6" s="31">
        <f>$Q6*VLOOKUP($P6,sourcedat!$B$28:$E$29,3,0)</f>
        <v>1.0433681860465116E-2</v>
      </c>
      <c r="F6" s="36">
        <f>VLOOKUP($P6,sourcedat!$B$33:$C$34,2,0)*(SUM($B6,E6)+sourcedat!$I$21)</f>
        <v>1.6372211836046507E-3</v>
      </c>
      <c r="G6" s="31">
        <f>VLOOKUP($P6,sourcedat!$B$23:$C$24,2,0)*(SUM($B6,F6)+sourcedat!$I$21)</f>
        <v>9.5124558317754057E-2</v>
      </c>
      <c r="H6" s="36">
        <f>VLOOKUP($P6,sourcedat!$B$43:$D$44,3,0)</f>
        <v>1.0511756756756755E-3</v>
      </c>
      <c r="I6" s="32">
        <f>VLOOKUP($R6,sourcedat!$B$38:$D$39,3,0)</f>
        <v>0</v>
      </c>
      <c r="J6" s="31">
        <f>sourcedat!$C$47*(SUM($B6,I6)+sourcedat!$I$21)</f>
        <v>3.1699999999999999E-2</v>
      </c>
      <c r="K6" s="33"/>
      <c r="L6" s="37">
        <f t="shared" si="0"/>
        <v>0.89745563703749942</v>
      </c>
      <c r="N6" t="s">
        <v>21</v>
      </c>
      <c r="O6" t="s">
        <v>30</v>
      </c>
      <c r="P6" t="s">
        <v>30</v>
      </c>
      <c r="Q6">
        <v>48</v>
      </c>
      <c r="R6" t="s">
        <v>30</v>
      </c>
      <c r="S6" t="s">
        <v>35</v>
      </c>
    </row>
    <row r="7" spans="1:22" x14ac:dyDescent="0.25">
      <c r="A7" s="29" t="s">
        <v>81</v>
      </c>
      <c r="B7" s="38">
        <f>VLOOKUP($N7,sourcedat!$B$5:$D$11,3,0)</f>
        <v>0.53999999999999992</v>
      </c>
      <c r="C7" s="40">
        <f>VLOOKUP($O7,sourcedat!$B$15:$D$19,3,0)</f>
        <v>2.2304964539007111E-3</v>
      </c>
      <c r="D7" s="40">
        <f>VLOOKUP($P7,sourcedat!$B$23:$C$24,2,0)*(SUM($B7,C7)+sourcedat!$I$21)</f>
        <v>3.1711152482269508E-2</v>
      </c>
      <c r="E7" s="40">
        <f>$Q7*VLOOKUP($P7,sourcedat!$B$28:$E$29,3,0)</f>
        <v>5.7519015384615388E-2</v>
      </c>
      <c r="F7" s="41">
        <f>VLOOKUP($P7,sourcedat!$B$33:$C$34,2,0)*(SUM($B7,E7)+sourcedat!$I$21)</f>
        <v>0</v>
      </c>
      <c r="G7" s="40">
        <f>VLOOKUP($P7,sourcedat!$B$23:$C$24,2,0)*(SUM($B7,F7)+sourcedat!$I$21)</f>
        <v>3.1699999999999999E-2</v>
      </c>
      <c r="H7" s="41">
        <f>VLOOKUP($P7,sourcedat!$B$43:$D$44,3,0)</f>
        <v>0</v>
      </c>
      <c r="I7" s="40">
        <f>VLOOKUP($R7,sourcedat!$B$38:$D$39,3,0)</f>
        <v>1.1003956834532374E-2</v>
      </c>
      <c r="J7" s="40">
        <f>sourcedat!$C$47*(SUM($B7,I7)+sourcedat!$I$21)</f>
        <v>3.175501978417266E-2</v>
      </c>
      <c r="K7" s="42"/>
      <c r="L7" s="43">
        <f t="shared" si="0"/>
        <v>0.70591964093949044</v>
      </c>
      <c r="N7" t="s">
        <v>21</v>
      </c>
      <c r="O7" s="5" t="s">
        <v>26</v>
      </c>
      <c r="P7" t="s">
        <v>35</v>
      </c>
      <c r="Q7">
        <v>48</v>
      </c>
      <c r="R7" t="s">
        <v>48</v>
      </c>
      <c r="S7" t="s">
        <v>35</v>
      </c>
    </row>
    <row r="8" spans="1:22" x14ac:dyDescent="0.25">
      <c r="A8" s="29" t="s">
        <v>83</v>
      </c>
      <c r="B8" s="30">
        <f>VLOOKUP($N8,sourcedat!$B$5:$D$11,3,0)</f>
        <v>0.37799999999999995</v>
      </c>
      <c r="C8" s="31">
        <f>VLOOKUP($O8,sourcedat!$B$15:$D$19,3,0)</f>
        <v>2.6024468085106389E-2</v>
      </c>
      <c r="D8" s="31">
        <f>VLOOKUP($P8,sourcedat!$B$23:$C$24,2,0)*(SUM($B8,C8)+sourcedat!$I$21)</f>
        <v>3.1020122340425532E-2</v>
      </c>
      <c r="E8" s="31">
        <f>$Q8*VLOOKUP($P8,sourcedat!$B$28:$E$29,3,0)</f>
        <v>5.7519015384615388E-2</v>
      </c>
      <c r="F8" s="32">
        <f>VLOOKUP($P8,sourcedat!$B$33:$C$34,2,0)*(SUM($B8,E8)+sourcedat!$I$21)</f>
        <v>0</v>
      </c>
      <c r="G8" s="31">
        <f>VLOOKUP($P8,sourcedat!$B$23:$C$24,2,0)*(SUM($B8,F8)+sourcedat!$I$21)</f>
        <v>3.0890000000000001E-2</v>
      </c>
      <c r="H8" s="32">
        <f>VLOOKUP($P8,sourcedat!$B$43:$D$44,3,0)</f>
        <v>0</v>
      </c>
      <c r="I8" s="31">
        <f>VLOOKUP($R8,sourcedat!$B$38:$D$39,3,0)</f>
        <v>1.1003956834532374E-2</v>
      </c>
      <c r="J8" s="31">
        <f>sourcedat!$C$47*(SUM($B8,I8)+sourcedat!$I$21)</f>
        <v>3.0945019784172662E-2</v>
      </c>
      <c r="K8" s="33"/>
      <c r="L8" s="37">
        <f t="shared" ref="L8" si="1">SUM(B8:J8)</f>
        <v>0.56540258242885233</v>
      </c>
      <c r="N8" t="s">
        <v>11</v>
      </c>
      <c r="O8" t="s">
        <v>29</v>
      </c>
      <c r="P8" t="s">
        <v>35</v>
      </c>
      <c r="Q8">
        <v>48</v>
      </c>
      <c r="R8" t="s">
        <v>48</v>
      </c>
      <c r="S8" t="s">
        <v>35</v>
      </c>
    </row>
    <row r="9" spans="1:22" x14ac:dyDescent="0.25">
      <c r="A9" s="29" t="s">
        <v>82</v>
      </c>
      <c r="B9" s="30">
        <f>VLOOKUP($N9,sourcedat!$B$5:$D$11,3,0)</f>
        <v>0.24299999999999999</v>
      </c>
      <c r="C9" s="31">
        <f>VLOOKUP($O9,sourcedat!$B$15:$D$19,3,0)</f>
        <v>2.6024468085106389E-2</v>
      </c>
      <c r="D9" s="31">
        <f>VLOOKUP($P9,sourcedat!$B$23:$C$24,2,0)*(SUM($B9,C9)+sourcedat!$I$21)</f>
        <v>3.0345122340425534E-2</v>
      </c>
      <c r="E9" s="31">
        <f>$Q9*VLOOKUP($P9,sourcedat!$B$28:$E$29,3,0)</f>
        <v>5.7519015384615388E-2</v>
      </c>
      <c r="F9" s="32">
        <f>VLOOKUP($P9,sourcedat!$B$33:$C$34,2,0)*(SUM($B9,E9)+sourcedat!$I$21)</f>
        <v>0</v>
      </c>
      <c r="G9" s="31">
        <f>VLOOKUP($P9,sourcedat!$B$23:$C$24,2,0)*(SUM($B9,F9)+sourcedat!$I$21)</f>
        <v>3.0215000000000002E-2</v>
      </c>
      <c r="H9" s="32">
        <f>VLOOKUP($P9,sourcedat!$B$43:$D$44,3,0)</f>
        <v>0</v>
      </c>
      <c r="I9" s="31">
        <f>VLOOKUP($R9,sourcedat!$B$38:$D$39,3,0)</f>
        <v>1.1003956834532374E-2</v>
      </c>
      <c r="J9" s="31">
        <f>sourcedat!$C$47*(SUM($B9,I9)+sourcedat!$I$21)</f>
        <v>3.0270019784172663E-2</v>
      </c>
      <c r="K9" s="33"/>
      <c r="L9" s="37">
        <f t="shared" si="0"/>
        <v>0.42837758242885232</v>
      </c>
      <c r="N9" t="s">
        <v>13</v>
      </c>
      <c r="O9" t="s">
        <v>29</v>
      </c>
      <c r="P9" t="s">
        <v>35</v>
      </c>
      <c r="Q9">
        <v>48</v>
      </c>
      <c r="R9" t="s">
        <v>48</v>
      </c>
      <c r="S9" t="s">
        <v>35</v>
      </c>
    </row>
    <row r="10" spans="1:22" x14ac:dyDescent="0.25">
      <c r="A10" s="29" t="s">
        <v>353</v>
      </c>
      <c r="B10" s="30">
        <f>VLOOKUP($N10,sourcedat!$B$5:$D$11,3,0)</f>
        <v>0.16800000000000001</v>
      </c>
      <c r="C10" s="31">
        <f>VLOOKUP($O10,sourcedat!$B$15:$D$19,3,0)</f>
        <v>2.6024468085106389E-2</v>
      </c>
      <c r="D10" s="31">
        <f>VLOOKUP($P10,sourcedat!$B$23:$C$24,2,0)*(SUM($B10,C10)+sourcedat!$I$21)</f>
        <v>2.9970122340425533E-2</v>
      </c>
      <c r="E10" s="31">
        <f>$Q10*VLOOKUP($P10,sourcedat!$B$28:$E$29,3,0)</f>
        <v>5.7519015384615388E-2</v>
      </c>
      <c r="F10" s="32">
        <f>VLOOKUP($P10,sourcedat!$B$33:$C$34,2,0)*(SUM($B10,E10)+sourcedat!$I$21)</f>
        <v>0</v>
      </c>
      <c r="G10" s="31">
        <f>VLOOKUP($P10,sourcedat!$B$23:$C$24,2,0)*(SUM($B10,F10)+sourcedat!$I$21)</f>
        <v>2.9840000000000002E-2</v>
      </c>
      <c r="H10" s="32">
        <f>VLOOKUP($P10,sourcedat!$B$43:$D$44,3,0)</f>
        <v>0</v>
      </c>
      <c r="I10" s="31">
        <f>VLOOKUP($R10,sourcedat!$B$38:$D$39,3,0)</f>
        <v>1.1003956834532374E-2</v>
      </c>
      <c r="J10" s="31">
        <f>sourcedat!$C$47*(SUM($B10,I10)+sourcedat!$I$21)</f>
        <v>2.9895019784172663E-2</v>
      </c>
      <c r="K10" s="33"/>
      <c r="L10" s="37">
        <f t="shared" si="0"/>
        <v>0.35225258242885232</v>
      </c>
      <c r="N10" t="s">
        <v>351</v>
      </c>
      <c r="O10" t="s">
        <v>29</v>
      </c>
      <c r="P10" t="s">
        <v>35</v>
      </c>
      <c r="Q10">
        <v>48</v>
      </c>
      <c r="R10" t="s">
        <v>48</v>
      </c>
      <c r="S10" t="s">
        <v>35</v>
      </c>
    </row>
    <row r="11" spans="1:22" x14ac:dyDescent="0.25">
      <c r="A11" s="44" t="s">
        <v>84</v>
      </c>
      <c r="B11" s="45">
        <f>VLOOKUP($N11,sourcedat!$B$5:$D$11,3,0)</f>
        <v>-5.8</v>
      </c>
      <c r="C11" s="47">
        <f>VLOOKUP($O11,sourcedat!$B$15:$D$19,3,0)</f>
        <v>2.6024468085106389E-2</v>
      </c>
      <c r="D11" s="47">
        <f>VLOOKUP($P11,sourcedat!$B$23:$C$24,2,0)*(SUM($B11,C11)+sourcedat!$I$21)</f>
        <v>1.3012234042553139E-4</v>
      </c>
      <c r="E11" s="47">
        <f>$Q11*VLOOKUP($P11,sourcedat!$B$28:$E$29,3,0)</f>
        <v>5.7519015384615388E-2</v>
      </c>
      <c r="F11" s="48">
        <f>VLOOKUP($P11,sourcedat!$B$33:$C$34,2,0)*(SUM($B11,E11)+sourcedat!$I$21)</f>
        <v>0</v>
      </c>
      <c r="G11" s="47">
        <f>VLOOKUP($P11,sourcedat!$B$23:$C$24,2,0)*((SUM($C11,F11)))</f>
        <v>1.3012234042553196E-4</v>
      </c>
      <c r="H11" s="48">
        <f>VLOOKUP($P11,sourcedat!$B$43:$D$44,3,0)</f>
        <v>0</v>
      </c>
      <c r="I11" s="47">
        <f>VLOOKUP($R11,sourcedat!$B$38:$D$39,3,0)</f>
        <v>1.1003956834532374E-2</v>
      </c>
      <c r="J11" s="47">
        <f>sourcedat!$C$47*(SUM($B11,I11)+sourcedat!$I$21)</f>
        <v>5.5019784172660735E-5</v>
      </c>
      <c r="K11" s="49"/>
      <c r="L11" s="50">
        <f t="shared" si="0"/>
        <v>-5.7051372952307222</v>
      </c>
      <c r="N11" t="s">
        <v>15</v>
      </c>
      <c r="O11" t="s">
        <v>29</v>
      </c>
      <c r="P11" t="s">
        <v>35</v>
      </c>
      <c r="Q11">
        <v>48</v>
      </c>
      <c r="R11" t="s">
        <v>48</v>
      </c>
      <c r="S11" t="s">
        <v>35</v>
      </c>
    </row>
    <row r="13" spans="1:22" x14ac:dyDescent="0.25">
      <c r="N13" s="3" t="s">
        <v>85</v>
      </c>
    </row>
    <row r="14" spans="1:22" x14ac:dyDescent="0.25">
      <c r="N14" s="18" t="s">
        <v>86</v>
      </c>
      <c r="O14" s="51" t="s">
        <v>87</v>
      </c>
      <c r="P14" s="51" t="s">
        <v>88</v>
      </c>
      <c r="Q14" s="19" t="s">
        <v>89</v>
      </c>
      <c r="R14" s="19" t="s">
        <v>64</v>
      </c>
      <c r="S14" s="19" t="s">
        <v>38</v>
      </c>
      <c r="T14" s="19" t="s">
        <v>65</v>
      </c>
      <c r="U14" s="19" t="s">
        <v>66</v>
      </c>
      <c r="V14" s="21" t="s">
        <v>70</v>
      </c>
    </row>
    <row r="15" spans="1:22" x14ac:dyDescent="0.25">
      <c r="N15" s="52" t="s">
        <v>90</v>
      </c>
      <c r="O15" s="53">
        <f>display!AB24</f>
        <v>24.845945945945946</v>
      </c>
      <c r="P15" s="54">
        <f>display!AC24</f>
        <v>0.8</v>
      </c>
      <c r="Q15" s="24">
        <f>VLOOKUP($N$23,sourcedat!$B$15:$D$19,3,0)</f>
        <v>0.1206</v>
      </c>
      <c r="R15" s="25">
        <f>VLOOKUP($N$23,sourcedat!$B$23:$C$24,2,0)*(SUM($Q15,Q15)+sourcedat!$I$21)</f>
        <v>9.061799999999999E-2</v>
      </c>
      <c r="S15" s="25">
        <f>O15*sourcedat!$I$26/$N$22</f>
        <v>5.4007228233815211E-3</v>
      </c>
      <c r="T15" s="26">
        <f>P15*$N$21</f>
        <v>1.4999999999999999E-4</v>
      </c>
      <c r="U15" s="25">
        <f>VLOOKUP($N$23,sourcedat!$B$23:$C$24,2,0)*(SUM($Q15,T15)+sourcedat!$I$21)</f>
        <v>8.8811249999999994E-2</v>
      </c>
      <c r="V15" s="55">
        <f>SUM(Q15:U15)</f>
        <v>0.30557997282338151</v>
      </c>
    </row>
    <row r="16" spans="1:22" x14ac:dyDescent="0.25">
      <c r="N16" s="56" t="s">
        <v>91</v>
      </c>
      <c r="O16" s="57">
        <f>display!AB25</f>
        <v>20.27927927927928</v>
      </c>
      <c r="P16" s="58">
        <f>display!AC25</f>
        <v>0.6</v>
      </c>
      <c r="Q16" s="35">
        <f>VLOOKUP($N$23,sourcedat!$B$15:$D$19,3,0)</f>
        <v>0.1206</v>
      </c>
      <c r="R16" s="31">
        <f>VLOOKUP("L",sourcedat!$B$23:$C$24,2,0)*(SUM($Q16,Q16)+sourcedat!$I$21)</f>
        <v>9.061799999999999E-2</v>
      </c>
      <c r="S16" s="31">
        <f>O16*sourcedat!$I$26/$N$22</f>
        <v>4.4080739241567149E-3</v>
      </c>
      <c r="T16" s="36">
        <f>P16*$N$21</f>
        <v>1.1249999999999998E-4</v>
      </c>
      <c r="U16" s="31">
        <f>VLOOKUP($N$23,sourcedat!$B$23:$C$24,2,0)*(SUM($Q16,T16)+sourcedat!$I$21)</f>
        <v>8.8810687499999985E-2</v>
      </c>
      <c r="V16" s="59">
        <f>SUM(Q16:U16)</f>
        <v>0.30454926142415667</v>
      </c>
    </row>
    <row r="17" spans="1:31" x14ac:dyDescent="0.25">
      <c r="N17" s="56" t="s">
        <v>92</v>
      </c>
      <c r="O17" s="57">
        <f>display!AB26</f>
        <v>20.085585585585587</v>
      </c>
      <c r="P17" s="58">
        <f>display!AC26</f>
        <v>0.6</v>
      </c>
      <c r="Q17" s="35">
        <f>VLOOKUP($N$23,sourcedat!$B$15:$D$19,3,0)</f>
        <v>0.1206</v>
      </c>
      <c r="R17" s="31">
        <f>VLOOKUP("L",sourcedat!$B$23:$C$24,2,0)*(SUM($Q17,Q17)+sourcedat!$I$21)</f>
        <v>9.061799999999999E-2</v>
      </c>
      <c r="S17" s="31">
        <f>O17*sourcedat!$I$26/$N$22</f>
        <v>4.3659710412738322E-3</v>
      </c>
      <c r="T17" s="36">
        <f>P17*$N$21</f>
        <v>1.1249999999999998E-4</v>
      </c>
      <c r="U17" s="31">
        <f>VLOOKUP($N$23,sourcedat!$B$23:$C$24,2,0)*(SUM($Q17,T17)+sourcedat!$I$21)</f>
        <v>8.8810687499999985E-2</v>
      </c>
      <c r="V17" s="59">
        <f>SUM(Q17:U17)</f>
        <v>0.3045071585412738</v>
      </c>
    </row>
    <row r="18" spans="1:31" x14ac:dyDescent="0.25">
      <c r="N18" s="60" t="s">
        <v>93</v>
      </c>
      <c r="O18" s="61">
        <f>display!AB27</f>
        <v>125</v>
      </c>
      <c r="P18" s="62">
        <f>display!AC27</f>
        <v>3.5</v>
      </c>
      <c r="Q18" s="46">
        <f>VLOOKUP($N$23,sourcedat!$B$15:$D$19,3,0)</f>
        <v>0.1206</v>
      </c>
      <c r="R18" s="47">
        <f>VLOOKUP("L",sourcedat!$B$23:$C$24,2,0)*(SUM($Q18,Q18)+sourcedat!$I$21)</f>
        <v>9.061799999999999E-2</v>
      </c>
      <c r="S18" s="47">
        <f>O18*sourcedat!$I$26/$N$22</f>
        <v>2.7171046511627911E-2</v>
      </c>
      <c r="T18" s="63">
        <f>P18*$N$21</f>
        <v>6.5624999999999993E-4</v>
      </c>
      <c r="U18" s="47">
        <f>VLOOKUP($N$23,sourcedat!$B$23:$C$24,2,0)*(SUM($Q18,T18)+sourcedat!$I$21)</f>
        <v>8.8818843750000001E-2</v>
      </c>
      <c r="V18" s="64">
        <f>SUM(Q18:U18)</f>
        <v>0.32786414026162791</v>
      </c>
    </row>
    <row r="19" spans="1:31" x14ac:dyDescent="0.25">
      <c r="N19" s="65" t="s">
        <v>94</v>
      </c>
      <c r="O19" s="66">
        <f>display!AB28</f>
        <v>47.552702702702703</v>
      </c>
      <c r="P19" s="67">
        <f>display!AC28</f>
        <v>1.375</v>
      </c>
      <c r="Q19" s="68">
        <f t="shared" ref="Q19:V19" si="2">AVERAGE(Q15:Q18)</f>
        <v>0.1206</v>
      </c>
      <c r="R19" s="69">
        <f t="shared" si="2"/>
        <v>9.061799999999999E-2</v>
      </c>
      <c r="S19" s="70">
        <f t="shared" si="2"/>
        <v>1.0336453575109995E-2</v>
      </c>
      <c r="T19" s="70">
        <f t="shared" si="2"/>
        <v>2.5781249999999996E-4</v>
      </c>
      <c r="U19" s="69">
        <f t="shared" si="2"/>
        <v>8.8812867187499991E-2</v>
      </c>
      <c r="V19" s="71">
        <f t="shared" si="2"/>
        <v>0.31062513326260999</v>
      </c>
    </row>
    <row r="21" spans="1:31" x14ac:dyDescent="0.25">
      <c r="N21" s="14">
        <f>0.0045/24</f>
        <v>1.8749999999999998E-4</v>
      </c>
      <c r="O21" t="s">
        <v>95</v>
      </c>
      <c r="W21" s="3" t="s">
        <v>96</v>
      </c>
    </row>
    <row r="22" spans="1:31" x14ac:dyDescent="0.25">
      <c r="N22" s="14">
        <f>VLOOKUP($N$23,sourcedat!$B$28:$E$29,2,0)</f>
        <v>4300</v>
      </c>
      <c r="O22" t="s">
        <v>97</v>
      </c>
      <c r="W22" s="18" t="s">
        <v>86</v>
      </c>
      <c r="X22" s="51" t="s">
        <v>87</v>
      </c>
      <c r="Y22" s="19" t="s">
        <v>89</v>
      </c>
      <c r="Z22" s="19" t="s">
        <v>64</v>
      </c>
      <c r="AA22" s="19" t="s">
        <v>38</v>
      </c>
      <c r="AB22" s="19" t="s">
        <v>66</v>
      </c>
      <c r="AC22" s="21" t="s">
        <v>70</v>
      </c>
    </row>
    <row r="23" spans="1:31" x14ac:dyDescent="0.25">
      <c r="N23" s="14" t="s">
        <v>30</v>
      </c>
      <c r="O23" t="s">
        <v>98</v>
      </c>
      <c r="W23" s="52" t="s">
        <v>90</v>
      </c>
      <c r="X23" s="53">
        <f>O15</f>
        <v>24.845945945945946</v>
      </c>
      <c r="Y23" s="24">
        <f>VLOOKUP($W$32,sourcedat!$B$15:$D$19,3,0)</f>
        <v>2.6024468085106389E-2</v>
      </c>
      <c r="Z23" s="25">
        <f>VLOOKUP($W$31,sourcedat!$B$23:$C$24,2,0)*(SUM($Y23,Y23)+sourcedat!$I$21)</f>
        <v>2.9260244680851061E-2</v>
      </c>
      <c r="AA23" s="25">
        <f>X23*sourcedat!$I$26/$W$30</f>
        <v>2.9773215564795567E-2</v>
      </c>
      <c r="AB23" s="25">
        <f>VLOOKUP($W$31,sourcedat!$B$23:$C$24,2,0)*(SUM($Y23,AA23)+sourcedat!$I$21)</f>
        <v>2.927898841824951E-2</v>
      </c>
      <c r="AC23" s="55">
        <f>SUM(Y23:AB23)</f>
        <v>0.11433691674900252</v>
      </c>
    </row>
    <row r="24" spans="1:31" x14ac:dyDescent="0.25">
      <c r="N24" s="14">
        <v>48</v>
      </c>
      <c r="O24" t="s">
        <v>99</v>
      </c>
      <c r="W24" s="56" t="s">
        <v>91</v>
      </c>
      <c r="X24" s="57">
        <f>O16</f>
        <v>20.27927927927928</v>
      </c>
      <c r="Y24" s="35">
        <f>VLOOKUP($W$32,sourcedat!$B$15:$D$19,3,0)</f>
        <v>2.6024468085106389E-2</v>
      </c>
      <c r="Z24" s="31">
        <f>VLOOKUP($W$31,sourcedat!$B$23:$C$24,2,0)*(SUM($Y24,Y24)+sourcedat!$I$21)</f>
        <v>2.9260244680851061E-2</v>
      </c>
      <c r="AA24" s="31">
        <f>X24*sourcedat!$I$26/$W$30</f>
        <v>2.4300920351120352E-2</v>
      </c>
      <c r="AB24" s="31">
        <f>VLOOKUP($W$31,sourcedat!$B$23:$C$24,2,0)*(SUM($Y24,AA24)+sourcedat!$I$21)</f>
        <v>2.9251626942181135E-2</v>
      </c>
      <c r="AC24" s="59">
        <f>SUM(Y24:AB24)</f>
        <v>0.10883726005925895</v>
      </c>
    </row>
    <row r="25" spans="1:31" x14ac:dyDescent="0.25">
      <c r="W25" s="56" t="s">
        <v>92</v>
      </c>
      <c r="X25" s="57">
        <f>O17</f>
        <v>20.085585585585587</v>
      </c>
      <c r="Y25" s="35">
        <f>VLOOKUP($W$32,sourcedat!$B$15:$D$19,3,0)</f>
        <v>2.6024468085106389E-2</v>
      </c>
      <c r="Z25" s="31">
        <f>VLOOKUP($W$31,sourcedat!$B$23:$C$24,2,0)*(SUM($Y25,Y25)+sourcedat!$I$21)</f>
        <v>2.9260244680851061E-2</v>
      </c>
      <c r="AA25" s="31">
        <f>X25*sourcedat!$I$26/$W$30</f>
        <v>2.4068814714714715E-2</v>
      </c>
      <c r="AB25" s="31">
        <f>VLOOKUP($W$31,sourcedat!$B$23:$C$24,2,0)*(SUM($Y25,AA25)+sourcedat!$I$21)</f>
        <v>2.9250466413999105E-2</v>
      </c>
      <c r="AC25" s="59">
        <f>SUM(Y25:AB25)</f>
        <v>0.10860399389467126</v>
      </c>
    </row>
    <row r="26" spans="1:31" x14ac:dyDescent="0.25">
      <c r="W26" s="60" t="s">
        <v>93</v>
      </c>
      <c r="X26" s="61">
        <f>O18</f>
        <v>125</v>
      </c>
      <c r="Y26" s="46">
        <f>VLOOKUP($W$32,sourcedat!$B$15:$D$19,3,0)</f>
        <v>2.6024468085106389E-2</v>
      </c>
      <c r="Z26" s="47">
        <f>VLOOKUP($W$31,sourcedat!$B$23:$C$24,2,0)*(SUM($Y26,Y26)+sourcedat!$I$21)</f>
        <v>2.9260244680851061E-2</v>
      </c>
      <c r="AA26" s="47">
        <f>X26*sourcedat!$I$26/$W$30</f>
        <v>0.14978910256410258</v>
      </c>
      <c r="AB26" s="47">
        <f>VLOOKUP($W$31,sourcedat!$B$23:$C$24,2,0)*(SUM($Y26,AA26)+sourcedat!$I$21)</f>
        <v>2.9879067853246042E-2</v>
      </c>
      <c r="AC26" s="64">
        <f>SUM(Y26:AB26)</f>
        <v>0.23495288318330607</v>
      </c>
    </row>
    <row r="27" spans="1:31" x14ac:dyDescent="0.25">
      <c r="W27" s="65" t="s">
        <v>94</v>
      </c>
      <c r="X27" s="66">
        <f>O19</f>
        <v>47.552702702702703</v>
      </c>
      <c r="Y27" s="68">
        <f>AVERAGE(Y23:Y26)</f>
        <v>2.6024468085106389E-2</v>
      </c>
      <c r="Z27" s="69">
        <f>AVERAGE(Z23:Z26)</f>
        <v>2.9260244680851061E-2</v>
      </c>
      <c r="AA27" s="69">
        <f>AVERAGE(AA23:AA26)</f>
        <v>5.6983013298683299E-2</v>
      </c>
      <c r="AB27" s="69">
        <f>AVERAGE(AB23:AB26)</f>
        <v>2.9415037406918948E-2</v>
      </c>
      <c r="AC27" s="71">
        <f>AVERAGE(AC23:AC26)</f>
        <v>0.1416827634715597</v>
      </c>
      <c r="AE27" s="72"/>
    </row>
    <row r="30" spans="1:31" x14ac:dyDescent="0.25">
      <c r="W30" s="73">
        <f>VLOOKUP(W31,sourcedat!$B$28:$E$29,2,0)</f>
        <v>780</v>
      </c>
      <c r="X30" t="s">
        <v>97</v>
      </c>
    </row>
    <row r="31" spans="1:31" x14ac:dyDescent="0.25">
      <c r="A31" s="3" t="s">
        <v>100</v>
      </c>
      <c r="N31" s="3" t="s">
        <v>60</v>
      </c>
      <c r="W31" s="14" t="s">
        <v>35</v>
      </c>
      <c r="X31" t="s">
        <v>98</v>
      </c>
    </row>
    <row r="32" spans="1:31" x14ac:dyDescent="0.25">
      <c r="A32" s="18" t="s">
        <v>61</v>
      </c>
      <c r="B32" s="19" t="s">
        <v>62</v>
      </c>
      <c r="C32" s="19" t="s">
        <v>63</v>
      </c>
      <c r="D32" s="19" t="s">
        <v>64</v>
      </c>
      <c r="E32" s="19" t="s">
        <v>38</v>
      </c>
      <c r="F32" s="19" t="s">
        <v>65</v>
      </c>
      <c r="G32" s="19" t="s">
        <v>66</v>
      </c>
      <c r="H32" s="19" t="s">
        <v>67</v>
      </c>
      <c r="I32" s="19" t="s">
        <v>68</v>
      </c>
      <c r="J32" s="19" t="s">
        <v>69</v>
      </c>
      <c r="K32" s="20"/>
      <c r="L32" s="21" t="s">
        <v>70</v>
      </c>
      <c r="N32" s="3" t="s">
        <v>71</v>
      </c>
      <c r="O32" s="3" t="s">
        <v>72</v>
      </c>
      <c r="P32" s="3" t="s">
        <v>73</v>
      </c>
      <c r="Q32" s="3" t="s">
        <v>74</v>
      </c>
      <c r="R32" s="3" t="s">
        <v>75</v>
      </c>
      <c r="S32" s="3" t="s">
        <v>76</v>
      </c>
      <c r="W32" s="14" t="s">
        <v>29</v>
      </c>
      <c r="X32" t="s">
        <v>101</v>
      </c>
    </row>
    <row r="33" spans="1:24" x14ac:dyDescent="0.25">
      <c r="A33" s="22" t="str">
        <f t="shared" ref="A33:A38" si="3">A3</f>
        <v>WE-L</v>
      </c>
      <c r="B33" s="23">
        <f>VLOOKUP($N33,sourcedat!$B$5:$F$11,4,0)*B3</f>
        <v>4.8600000000000003</v>
      </c>
      <c r="C33" s="24">
        <f>VLOOKUP($O33,sourcedat!$B$15:$F$19,4,0)*C3</f>
        <v>1.8089999999999998E-2</v>
      </c>
      <c r="D33" s="25">
        <f>VLOOKUP($P33,sourcedat!$B$23:$F$24,4,0)*(SUM($B33,C33))*D3</f>
        <v>2.6329682971746005</v>
      </c>
      <c r="E33" s="25">
        <f>VLOOKUP($P33,sourcedat!$B$28:$E$29,4,0)*E3</f>
        <v>1.0433681860465116E-3</v>
      </c>
      <c r="F33" s="26">
        <f>VLOOKUP($P33,sourcedat!$B$33:$F$34,4,0)*F3</f>
        <v>4.6291376780895344E-3</v>
      </c>
      <c r="G33" s="25">
        <f>VLOOKUP($P33,sourcedat!$B$23:$F$24,4,0)*G3</f>
        <v>0.53869887413034268</v>
      </c>
      <c r="H33" s="26">
        <f>VLOOKUP($P33,sourcedat!$B$43:$F$44,4,0)*H3</f>
        <v>2.6279391891891887E-4</v>
      </c>
      <c r="I33" s="74">
        <f>VLOOKUP($R33,sourcedat!$B$38:$F$39,4,0)*I3</f>
        <v>0</v>
      </c>
      <c r="J33" s="25">
        <f>sourcedat!$F$47*J3</f>
        <v>2.7200000000000002E-3</v>
      </c>
      <c r="K33" s="27"/>
      <c r="L33" s="75">
        <f t="shared" ref="L33" si="4">SUM(B33:J33)</f>
        <v>8.0584124710879994</v>
      </c>
      <c r="N33" s="76" t="str">
        <f t="shared" ref="N33:S33" si="5">N3</f>
        <v>WE</v>
      </c>
      <c r="O33" s="76" t="str">
        <f t="shared" si="5"/>
        <v>L</v>
      </c>
      <c r="P33" s="76" t="str">
        <f t="shared" si="5"/>
        <v>L</v>
      </c>
      <c r="Q33" s="76">
        <f t="shared" si="5"/>
        <v>48</v>
      </c>
      <c r="R33" s="76" t="str">
        <f t="shared" si="5"/>
        <v>L</v>
      </c>
      <c r="S33" s="76" t="str">
        <f t="shared" si="5"/>
        <v>G</v>
      </c>
      <c r="W33" s="14">
        <v>48</v>
      </c>
      <c r="X33" t="s">
        <v>99</v>
      </c>
    </row>
    <row r="34" spans="1:24" x14ac:dyDescent="0.25">
      <c r="A34" s="29" t="str">
        <f t="shared" si="3"/>
        <v>SM-L</v>
      </c>
      <c r="B34" s="30">
        <f>VLOOKUP($N34,sourcedat!$B$5:$F$11,4,0)*B4</f>
        <v>0.60525649999999998</v>
      </c>
      <c r="C34" s="31">
        <f>VLOOKUP($O34,sourcedat!$B$15:$F$19,4,0)*C4</f>
        <v>1.4571063829787232</v>
      </c>
      <c r="D34" s="32">
        <f>VLOOKUP($P34,sourcedat!$B$23:$F$24,4,0)*(SUM($B34,C34))*D4</f>
        <v>0.71687104791661116</v>
      </c>
      <c r="E34" s="31">
        <f>VLOOKUP($P34,sourcedat!$B$28:$E$29,4,0)*E4</f>
        <v>8.5686612279069777E-2</v>
      </c>
      <c r="F34" s="32">
        <f>VLOOKUP($P34,sourcedat!$B$33:$F$34,4,0)*F4</f>
        <v>0</v>
      </c>
      <c r="G34" s="32">
        <f>VLOOKUP($P34,sourcedat!$B$23:$F$24,4,0)*G4</f>
        <v>0.26864950615688105</v>
      </c>
      <c r="H34" s="32">
        <f>VLOOKUP($P34,sourcedat!$B$43:$F$44,4,0)*H4</f>
        <v>0</v>
      </c>
      <c r="I34" s="31">
        <f>VLOOKUP($R34,sourcedat!$B$38:$F$39,4,0)*I4</f>
        <v>3.2457714404016311E-3</v>
      </c>
      <c r="J34" s="31">
        <f>sourcedat!$F$47*J4</f>
        <v>8.9580669784172665E-4</v>
      </c>
      <c r="K34" s="33"/>
      <c r="L34" s="37">
        <f t="shared" ref="L34:L41" si="6">SUM(B34:J34)</f>
        <v>3.1377116274695287</v>
      </c>
      <c r="N34" s="76" t="str">
        <f t="shared" ref="N34:S34" si="7">N5</f>
        <v>SM</v>
      </c>
      <c r="O34" s="76" t="str">
        <f t="shared" si="7"/>
        <v>C20_312T</v>
      </c>
      <c r="P34" s="76" t="str">
        <f t="shared" si="7"/>
        <v>G</v>
      </c>
      <c r="Q34" s="76">
        <f t="shared" si="7"/>
        <v>3942</v>
      </c>
      <c r="R34" s="76" t="str">
        <f t="shared" si="7"/>
        <v>C880</v>
      </c>
      <c r="S34" s="76" t="str">
        <f t="shared" si="7"/>
        <v>G</v>
      </c>
    </row>
    <row r="35" spans="1:24" x14ac:dyDescent="0.25">
      <c r="A35" s="29" t="str">
        <f t="shared" si="3"/>
        <v>SM-G</v>
      </c>
      <c r="B35" s="30">
        <f>VLOOKUP($N35,sourcedat!$B$5:$F$11,4,0)*B5</f>
        <v>0.60525649999999998</v>
      </c>
      <c r="C35" s="31">
        <f>VLOOKUP($O35,sourcedat!$B$15:$F$19,4,0)*C5</f>
        <v>0.23870493405275783</v>
      </c>
      <c r="D35" s="32">
        <f>VLOOKUP($P35,sourcedat!$B$23:$F$24,4,0)*(SUM($B35,C35))*D5</f>
        <v>5.4299160018703441E-2</v>
      </c>
      <c r="E35" s="31">
        <f>VLOOKUP($P35,sourcedat!$B$28:$E$29,4,0)*E5</f>
        <v>0.47237491384615393</v>
      </c>
      <c r="F35" s="32">
        <f>VLOOKUP($P35,sourcedat!$B$33:$F$34,4,0)*F5</f>
        <v>0</v>
      </c>
      <c r="G35" s="32">
        <f>VLOOKUP($P35,sourcedat!$B$23:$F$24,4,0)*G5</f>
        <v>5.9086929000000003E-2</v>
      </c>
      <c r="H35" s="32">
        <f>VLOOKUP($P35,sourcedat!$B$43:$F$44,4,0)*H5</f>
        <v>0</v>
      </c>
      <c r="I35" s="31">
        <f>VLOOKUP($R35,sourcedat!$B$38:$F$39,4,0)*I5</f>
        <v>3.2457714404016311E-3</v>
      </c>
      <c r="J35" s="31">
        <f>sourcedat!$F$47*J5</f>
        <v>8.9580669784172665E-4</v>
      </c>
      <c r="K35" s="33"/>
      <c r="L35" s="37">
        <f t="shared" si="6"/>
        <v>1.4338640150558586</v>
      </c>
      <c r="N35" s="76" t="str">
        <f t="shared" ref="N35:S35" si="8">N4</f>
        <v>SM</v>
      </c>
      <c r="O35" s="76" t="str">
        <f t="shared" si="8"/>
        <v>LLT</v>
      </c>
      <c r="P35" s="76" t="str">
        <f t="shared" si="8"/>
        <v>L</v>
      </c>
      <c r="Q35" s="76">
        <f t="shared" si="8"/>
        <v>3942</v>
      </c>
      <c r="R35" s="76" t="str">
        <f t="shared" si="8"/>
        <v>C880</v>
      </c>
      <c r="S35" s="76" t="str">
        <f t="shared" si="8"/>
        <v>G</v>
      </c>
    </row>
    <row r="36" spans="1:24" x14ac:dyDescent="0.25">
      <c r="A36" s="29" t="str">
        <f t="shared" si="3"/>
        <v>LE-L</v>
      </c>
      <c r="B36" s="30">
        <f>VLOOKUP($N36,sourcedat!$B$5:$F$11,4,0)*B6</f>
        <v>5.3999999999999992E-2</v>
      </c>
      <c r="C36" s="35">
        <f>VLOOKUP($O36,sourcedat!$B$15:$F$19,4,0)*C6</f>
        <v>1.8089999999999998E-2</v>
      </c>
      <c r="D36" s="31">
        <f>VLOOKUP($P36,sourcedat!$B$23:$F$24,4,0)*(SUM($B36,C36))*D6</f>
        <v>4.6108720745999992E-3</v>
      </c>
      <c r="E36" s="31">
        <f>VLOOKUP($P36,sourcedat!$B$28:$E$29,4,0)*E6</f>
        <v>1.0433681860465116E-3</v>
      </c>
      <c r="F36" s="36">
        <f>VLOOKUP($P36,sourcedat!$B$33:$F$34,4,0)*F6</f>
        <v>5.4028299058953477E-4</v>
      </c>
      <c r="G36" s="31">
        <f>VLOOKUP($P36,sourcedat!$B$23:$F$24,4,0)*G6</f>
        <v>6.2782208489717675E-2</v>
      </c>
      <c r="H36" s="36">
        <f>VLOOKUP($P36,sourcedat!$B$43:$F$44,4,0)*H6</f>
        <v>2.6279391891891887E-4</v>
      </c>
      <c r="I36" s="32">
        <f>VLOOKUP($R36,sourcedat!$B$38:$F$39,4,0)*I6</f>
        <v>0</v>
      </c>
      <c r="J36" s="31">
        <f>sourcedat!$F$47*J6</f>
        <v>3.1700000000000001E-4</v>
      </c>
      <c r="K36" s="33"/>
      <c r="L36" s="37">
        <f t="shared" si="6"/>
        <v>0.14164652565987262</v>
      </c>
      <c r="N36" s="76" t="str">
        <f t="shared" ref="N36:S38" si="9">N6</f>
        <v>LE</v>
      </c>
      <c r="O36" s="76" t="str">
        <f t="shared" si="9"/>
        <v>L</v>
      </c>
      <c r="P36" s="76" t="str">
        <f t="shared" si="9"/>
        <v>L</v>
      </c>
      <c r="Q36" s="76">
        <f t="shared" si="9"/>
        <v>48</v>
      </c>
      <c r="R36" s="76" t="str">
        <f t="shared" si="9"/>
        <v>L</v>
      </c>
      <c r="S36" s="76" t="str">
        <f t="shared" si="9"/>
        <v>G</v>
      </c>
    </row>
    <row r="37" spans="1:24" x14ac:dyDescent="0.25">
      <c r="A37" s="29" t="str">
        <f t="shared" si="3"/>
        <v>LE-G</v>
      </c>
      <c r="B37" s="38">
        <f>VLOOKUP($N37,sourcedat!$B$5:$F$11,4,0)*B7</f>
        <v>5.3999999999999992E-2</v>
      </c>
      <c r="C37" s="39">
        <f>VLOOKUP($O37,sourcedat!$B$15:$F$19,4,0)*C7</f>
        <v>6.1694582767466463E-4</v>
      </c>
      <c r="D37" s="41">
        <f>VLOOKUP($P37,sourcedat!$B$23:$F$24,4,0)*(SUM($B37,C37))*D7</f>
        <v>1.7319662972572446E-3</v>
      </c>
      <c r="E37" s="40">
        <f>VLOOKUP($P37,sourcedat!$B$28:$E$29,4,0)*E7</f>
        <v>5.7519015384615395E-3</v>
      </c>
      <c r="F37" s="41">
        <f>VLOOKUP($P37,sourcedat!$B$33:$F$34,4,0)*F7</f>
        <v>0</v>
      </c>
      <c r="G37" s="41">
        <f>VLOOKUP($P37,sourcedat!$B$23:$F$24,4,0)*G7</f>
        <v>3.1699999999999999E-2</v>
      </c>
      <c r="H37" s="41">
        <f>VLOOKUP($P37,sourcedat!$B$43:$F$44,4,0)*H7</f>
        <v>0</v>
      </c>
      <c r="I37" s="40">
        <f>VLOOKUP($R37,sourcedat!$B$38:$F$39,4,0)*I7</f>
        <v>3.2457714404016311E-3</v>
      </c>
      <c r="J37" s="40">
        <f>sourcedat!$F$47*J7</f>
        <v>3.1755019784172661E-4</v>
      </c>
      <c r="K37" s="42"/>
      <c r="L37" s="43">
        <f t="shared" si="6"/>
        <v>9.7364135301636789E-2</v>
      </c>
      <c r="N37" s="76" t="str">
        <f t="shared" si="9"/>
        <v>LE</v>
      </c>
      <c r="O37" s="76" t="str">
        <f t="shared" si="9"/>
        <v>C20_312</v>
      </c>
      <c r="P37" s="76" t="str">
        <f t="shared" si="9"/>
        <v>G</v>
      </c>
      <c r="Q37" s="76">
        <f t="shared" si="9"/>
        <v>48</v>
      </c>
      <c r="R37" s="76" t="str">
        <f t="shared" si="9"/>
        <v>C880</v>
      </c>
      <c r="S37" s="76" t="str">
        <f t="shared" si="9"/>
        <v>G</v>
      </c>
    </row>
    <row r="38" spans="1:24" x14ac:dyDescent="0.25">
      <c r="A38" s="29" t="str">
        <f t="shared" si="3"/>
        <v>BE-G</v>
      </c>
      <c r="B38" s="208">
        <f>VLOOKUP($N38,sourcedat!$B$5:$F$11,4,0)*B8</f>
        <v>3.7799999999999995E-3</v>
      </c>
      <c r="C38" s="209">
        <f>VLOOKUP($O38,sourcedat!$B$15:$F$19,4,0)*C8</f>
        <v>7.1982571299230424E-3</v>
      </c>
      <c r="D38" s="210">
        <f>VLOOKUP($P38,sourcedat!$B$23:$F$24,4,0)*(SUM($B38,C38))*D8</f>
        <v>3.4054687925486168E-4</v>
      </c>
      <c r="E38" s="211">
        <f>VLOOKUP($P38,sourcedat!$B$28:$E$29,4,0)*E8</f>
        <v>5.7519015384615395E-3</v>
      </c>
      <c r="F38" s="210">
        <f>VLOOKUP($P38,sourcedat!$B$33:$F$34,4,0)*F8</f>
        <v>0</v>
      </c>
      <c r="G38" s="210">
        <f>VLOOKUP($P38,sourcedat!$B$23:$F$24,4,0)*G8</f>
        <v>3.0890000000000001E-2</v>
      </c>
      <c r="H38" s="210">
        <f>VLOOKUP($P38,sourcedat!$B$43:$F$44,4,0)*H8</f>
        <v>0</v>
      </c>
      <c r="I38" s="211">
        <f>VLOOKUP($R38,sourcedat!$B$38:$F$39,4,0)*I8</f>
        <v>3.2457714404016311E-3</v>
      </c>
      <c r="J38" s="211">
        <f>sourcedat!$F$47*J8</f>
        <v>3.0945019784172663E-4</v>
      </c>
      <c r="K38" s="212"/>
      <c r="L38" s="213">
        <f t="shared" ref="L38" si="10">SUM(B38:J38)</f>
        <v>5.1515927185882805E-2</v>
      </c>
      <c r="N38" s="76" t="str">
        <f t="shared" si="9"/>
        <v>BE</v>
      </c>
      <c r="O38" s="76" t="str">
        <f t="shared" si="9"/>
        <v>C312</v>
      </c>
      <c r="P38" s="76" t="str">
        <f t="shared" si="9"/>
        <v>G</v>
      </c>
      <c r="Q38" s="76">
        <f t="shared" si="9"/>
        <v>48</v>
      </c>
      <c r="R38" s="76" t="str">
        <f t="shared" si="9"/>
        <v>C880</v>
      </c>
      <c r="S38" s="76" t="str">
        <f t="shared" si="9"/>
        <v>G</v>
      </c>
    </row>
    <row r="39" spans="1:24" x14ac:dyDescent="0.25">
      <c r="A39" s="29" t="str">
        <f t="shared" ref="A39:A41" si="11">A9</f>
        <v>DIS-G</v>
      </c>
      <c r="B39" s="30">
        <f>VLOOKUP($N39,sourcedat!$B$5:$F$11,4,0)*B9</f>
        <v>4.8600000000000004E-2</v>
      </c>
      <c r="C39" s="35">
        <f>VLOOKUP($O39,sourcedat!$B$15:$F$19,4,0)*C9</f>
        <v>7.1982571299230424E-3</v>
      </c>
      <c r="D39" s="32">
        <f>VLOOKUP($P39,sourcedat!$B$23:$F$24,4,0)*(SUM($B39,C39))*D9</f>
        <v>1.6932049389900361E-3</v>
      </c>
      <c r="E39" s="31">
        <f>VLOOKUP($P39,sourcedat!$B$28:$E$29,4,0)*E9</f>
        <v>5.7519015384615395E-3</v>
      </c>
      <c r="F39" s="32">
        <f>VLOOKUP($P39,sourcedat!$B$33:$F$34,4,0)*F9</f>
        <v>0</v>
      </c>
      <c r="G39" s="32">
        <f>VLOOKUP($P39,sourcedat!$B$23:$F$24,4,0)*G9</f>
        <v>3.0215000000000002E-2</v>
      </c>
      <c r="H39" s="32">
        <f>VLOOKUP($P39,sourcedat!$B$43:$F$44,4,0)*H9</f>
        <v>0</v>
      </c>
      <c r="I39" s="31">
        <f>VLOOKUP($R39,sourcedat!$B$38:$F$39,4,0)*I9</f>
        <v>3.2457714404016311E-3</v>
      </c>
      <c r="J39" s="31">
        <f>sourcedat!$F$47*J9</f>
        <v>3.0270019784172666E-4</v>
      </c>
      <c r="K39" s="33"/>
      <c r="L39" s="37">
        <f t="shared" si="6"/>
        <v>9.7006835245617984E-2</v>
      </c>
      <c r="N39" s="76" t="str">
        <f t="shared" ref="N39:S41" si="12">N9</f>
        <v>DIS</v>
      </c>
      <c r="O39" s="76" t="str">
        <f t="shared" si="12"/>
        <v>C312</v>
      </c>
      <c r="P39" s="76" t="str">
        <f t="shared" si="12"/>
        <v>G</v>
      </c>
      <c r="Q39" s="76">
        <f t="shared" si="12"/>
        <v>48</v>
      </c>
      <c r="R39" s="76" t="str">
        <f t="shared" si="12"/>
        <v>C880</v>
      </c>
      <c r="S39" s="76" t="str">
        <f t="shared" si="12"/>
        <v>G</v>
      </c>
    </row>
    <row r="40" spans="1:24" x14ac:dyDescent="0.25">
      <c r="A40" s="29" t="str">
        <f t="shared" si="11"/>
        <v>RBE-G</v>
      </c>
      <c r="B40" s="30">
        <f>VLOOKUP($N40,sourcedat!$B$5:$F$11,4,0)*B10</f>
        <v>1.6800000000000001E-3</v>
      </c>
      <c r="C40" s="35">
        <f>VLOOKUP($O40,sourcedat!$B$15:$F$19,4,0)*C10</f>
        <v>7.1982571299230424E-3</v>
      </c>
      <c r="D40" s="32">
        <f>VLOOKUP($P40,sourcedat!$B$23:$F$24,4,0)*(SUM($B40,C40))*D10</f>
        <v>2.6608245235354883E-4</v>
      </c>
      <c r="E40" s="31">
        <f>VLOOKUP($P40,sourcedat!$B$28:$E$29,4,0)*E10</f>
        <v>5.7519015384615395E-3</v>
      </c>
      <c r="F40" s="32">
        <f>VLOOKUP($P40,sourcedat!$B$33:$F$34,4,0)*F10</f>
        <v>0</v>
      </c>
      <c r="G40" s="32">
        <f>VLOOKUP($P40,sourcedat!$B$23:$F$24,4,0)*G10</f>
        <v>2.9840000000000002E-2</v>
      </c>
      <c r="H40" s="32">
        <f>VLOOKUP($P40,sourcedat!$B$43:$F$44,4,0)*H10</f>
        <v>0</v>
      </c>
      <c r="I40" s="31">
        <f>VLOOKUP($R40,sourcedat!$B$38:$F$39,4,0)*I10</f>
        <v>3.2457714404016311E-3</v>
      </c>
      <c r="J40" s="31">
        <f>sourcedat!$F$47*J10</f>
        <v>2.9895019784172665E-4</v>
      </c>
      <c r="K40" s="33"/>
      <c r="L40" s="37">
        <f t="shared" si="6"/>
        <v>4.8280962758981492E-2</v>
      </c>
      <c r="N40" s="76" t="str">
        <f t="shared" si="12"/>
        <v>RBE</v>
      </c>
      <c r="O40" s="76" t="str">
        <f t="shared" si="12"/>
        <v>C312</v>
      </c>
      <c r="P40" s="76" t="str">
        <f t="shared" si="12"/>
        <v>G</v>
      </c>
      <c r="Q40" s="76">
        <f t="shared" si="12"/>
        <v>48</v>
      </c>
      <c r="R40" s="76" t="str">
        <f t="shared" si="12"/>
        <v>C880</v>
      </c>
      <c r="S40" s="76" t="str">
        <f t="shared" si="12"/>
        <v>G</v>
      </c>
    </row>
    <row r="41" spans="1:24" x14ac:dyDescent="0.25">
      <c r="A41" s="44" t="str">
        <f t="shared" si="11"/>
        <v>DIV-G</v>
      </c>
      <c r="B41" s="45">
        <f>VLOOKUP($N41,sourcedat!$B$5:$F$11,4,0)*B11</f>
        <v>0</v>
      </c>
      <c r="C41" s="46">
        <f>VLOOKUP($O41,sourcedat!$B$15:$F$19,4,0)*C11</f>
        <v>7.1982571299230424E-3</v>
      </c>
      <c r="D41" s="48">
        <f>VLOOKUP($P41,sourcedat!$B$23:$F$24,4,0)*(SUM($B41,C41))*D11</f>
        <v>9.3665406473035467E-7</v>
      </c>
      <c r="E41" s="47">
        <f>VLOOKUP($P41,sourcedat!$B$28:$E$29,4,0)*E11</f>
        <v>5.7519015384615395E-3</v>
      </c>
      <c r="F41" s="48">
        <f>VLOOKUP($P41,sourcedat!$B$33:$F$34,4,0)*F11</f>
        <v>0</v>
      </c>
      <c r="G41" s="47">
        <f>VLOOKUP($P41,sourcedat!$B$23:$F$24,4,0)*G11</f>
        <v>1.3012234042553196E-4</v>
      </c>
      <c r="H41" s="48">
        <f>VLOOKUP($P41,sourcedat!$B$43:$F$44,4,0)*H11</f>
        <v>0</v>
      </c>
      <c r="I41" s="47">
        <f>VLOOKUP($R41,sourcedat!$B$38:$F$39,4,0)*I11</f>
        <v>3.2457714404016311E-3</v>
      </c>
      <c r="J41" s="47">
        <f>sourcedat!$F$47*J11</f>
        <v>5.5019784172660735E-7</v>
      </c>
      <c r="K41" s="49"/>
      <c r="L41" s="77">
        <f t="shared" si="6"/>
        <v>1.6327539301118202E-2</v>
      </c>
      <c r="N41" s="76" t="str">
        <f t="shared" si="12"/>
        <v>DIV</v>
      </c>
      <c r="O41" s="76" t="str">
        <f t="shared" si="12"/>
        <v>C312</v>
      </c>
      <c r="P41" s="76" t="str">
        <f t="shared" si="12"/>
        <v>G</v>
      </c>
      <c r="Q41" s="76">
        <f t="shared" si="12"/>
        <v>48</v>
      </c>
      <c r="R41" s="76" t="str">
        <f t="shared" si="12"/>
        <v>C880</v>
      </c>
      <c r="S41" s="76" t="str">
        <f t="shared" si="12"/>
        <v>G</v>
      </c>
    </row>
    <row r="44" spans="1:24" x14ac:dyDescent="0.25">
      <c r="A44" s="3" t="s">
        <v>102</v>
      </c>
      <c r="N44" s="3" t="s">
        <v>60</v>
      </c>
    </row>
    <row r="45" spans="1:24" x14ac:dyDescent="0.25">
      <c r="A45" s="18" t="s">
        <v>61</v>
      </c>
      <c r="B45" s="19" t="s">
        <v>62</v>
      </c>
      <c r="C45" s="19" t="s">
        <v>63</v>
      </c>
      <c r="D45" s="19" t="s">
        <v>64</v>
      </c>
      <c r="E45" s="19" t="s">
        <v>38</v>
      </c>
      <c r="F45" s="19" t="s">
        <v>65</v>
      </c>
      <c r="G45" s="19" t="s">
        <v>66</v>
      </c>
      <c r="H45" s="19" t="s">
        <v>67</v>
      </c>
      <c r="I45" s="19" t="s">
        <v>68</v>
      </c>
      <c r="J45" s="19" t="s">
        <v>69</v>
      </c>
      <c r="K45" s="20"/>
      <c r="L45" s="21" t="s">
        <v>70</v>
      </c>
      <c r="N45" s="3" t="s">
        <v>71</v>
      </c>
      <c r="O45" s="3" t="s">
        <v>72</v>
      </c>
      <c r="P45" s="3" t="s">
        <v>73</v>
      </c>
      <c r="Q45" s="3" t="s">
        <v>74</v>
      </c>
      <c r="R45" s="3" t="s">
        <v>75</v>
      </c>
      <c r="S45" s="3" t="s">
        <v>76</v>
      </c>
    </row>
    <row r="46" spans="1:24" x14ac:dyDescent="0.25">
      <c r="A46" s="22" t="str">
        <f>A3</f>
        <v>WE-L</v>
      </c>
      <c r="B46" s="23">
        <f>VLOOKUP($N46,sourcedat!$B$5:$F$11,5,0)*B3</f>
        <v>0</v>
      </c>
      <c r="C46" s="24">
        <f>VLOOKUP($O46,sourcedat!$B$3:$F$19,5,0)*C3</f>
        <v>6.0300000000000006E-3</v>
      </c>
      <c r="D46" s="25">
        <f>VLOOKUP($P46,sourcedat!$B$23:$F$24,5,0)*(SUM($B46,C46))*D3</f>
        <v>3.2547162582000004E-3</v>
      </c>
      <c r="E46" s="25">
        <f>VLOOKUP($P46,sourcedat!$B$28:$F$29,5,0)*E3</f>
        <v>0</v>
      </c>
      <c r="F46" s="26">
        <f>VLOOKUP($P46,sourcedat!$B$33:$F$34,5,0)*F3</f>
        <v>4.6291376780895344E-3</v>
      </c>
      <c r="G46" s="25">
        <f>VLOOKUP($P46,sourcedat!$B$23:$F$24,5,0)*G3</f>
        <v>0.53869887413034268</v>
      </c>
      <c r="H46" s="26">
        <f>VLOOKUP($P46,sourcedat!$B$43:$F$44,5,0)*H3</f>
        <v>2.6279391891891887E-4</v>
      </c>
      <c r="I46" s="74">
        <f>VLOOKUP($R46,sourcedat!$B$38:$F$39,5,0)*I3</f>
        <v>0</v>
      </c>
      <c r="J46" s="25">
        <f>sourcedat!$F$47*J3</f>
        <v>2.7200000000000002E-3</v>
      </c>
      <c r="K46" s="27"/>
      <c r="L46" s="75">
        <f t="shared" ref="L46" si="13">SUM(B46:J46)</f>
        <v>0.55559552198555107</v>
      </c>
      <c r="N46" s="78" t="str">
        <f t="shared" ref="N46:S46" si="14">N3</f>
        <v>WE</v>
      </c>
      <c r="O46" s="78" t="str">
        <f t="shared" si="14"/>
        <v>L</v>
      </c>
      <c r="P46" s="78" t="str">
        <f t="shared" si="14"/>
        <v>L</v>
      </c>
      <c r="Q46" s="78">
        <f t="shared" si="14"/>
        <v>48</v>
      </c>
      <c r="R46" s="78" t="str">
        <f t="shared" si="14"/>
        <v>L</v>
      </c>
      <c r="S46" s="78" t="str">
        <f t="shared" si="14"/>
        <v>G</v>
      </c>
    </row>
    <row r="47" spans="1:24" x14ac:dyDescent="0.25">
      <c r="A47" s="29" t="str">
        <f>A4</f>
        <v>SM-L</v>
      </c>
      <c r="B47" s="30">
        <f>VLOOKUP($N47,sourcedat!$B$5:$F$11,5,0)*B4</f>
        <v>0.60525649999999998</v>
      </c>
      <c r="C47" s="31">
        <f>VLOOKUP($O47,sourcedat!$B$3:$F$19,5,0)*C4</f>
        <v>1.4571063829787232</v>
      </c>
      <c r="D47" s="32">
        <f>VLOOKUP($P47,sourcedat!$B$23:$F$24,5,0)*(SUM($B47,C47))*D4</f>
        <v>0</v>
      </c>
      <c r="E47" s="31">
        <f>VLOOKUP($P47,sourcedat!$B$28:$F$29,5,0)*E4</f>
        <v>0</v>
      </c>
      <c r="F47" s="32">
        <f>VLOOKUP($P47,sourcedat!$B$33:$F$34,5,0)*F4</f>
        <v>0</v>
      </c>
      <c r="G47" s="32">
        <f>VLOOKUP($P47,sourcedat!$B$23:$F$24,5,0)*G4</f>
        <v>0</v>
      </c>
      <c r="H47" s="32">
        <f>VLOOKUP($P47,sourcedat!$B$43:$F$44,5,0)*H4</f>
        <v>0</v>
      </c>
      <c r="I47" s="31">
        <f>VLOOKUP($R47,sourcedat!$B$38:$F$39,5,0)*I4</f>
        <v>3.2457714404016311E-3</v>
      </c>
      <c r="J47" s="31">
        <f>sourcedat!$F$47*J4</f>
        <v>8.9580669784172665E-4</v>
      </c>
      <c r="K47" s="33"/>
      <c r="L47" s="37">
        <f t="shared" ref="L47:L54" si="15">SUM(B47:J47)</f>
        <v>2.0665044611169665</v>
      </c>
      <c r="N47" s="78" t="str">
        <f t="shared" ref="N47:S47" si="16">N5</f>
        <v>SM</v>
      </c>
      <c r="O47" s="78" t="str">
        <f t="shared" si="16"/>
        <v>C20_312T</v>
      </c>
      <c r="P47" s="78" t="str">
        <f t="shared" si="16"/>
        <v>G</v>
      </c>
      <c r="Q47" s="78">
        <f t="shared" si="16"/>
        <v>3942</v>
      </c>
      <c r="R47" s="78" t="str">
        <f t="shared" si="16"/>
        <v>C880</v>
      </c>
      <c r="S47" s="78" t="str">
        <f t="shared" si="16"/>
        <v>G</v>
      </c>
    </row>
    <row r="48" spans="1:24" x14ac:dyDescent="0.25">
      <c r="A48" s="29" t="str">
        <f>A5</f>
        <v>SM-G</v>
      </c>
      <c r="B48" s="30">
        <f>VLOOKUP($N48,sourcedat!$B$5:$F$11,5,0)*B5</f>
        <v>0.60525649999999998</v>
      </c>
      <c r="C48" s="31">
        <f>VLOOKUP($O48,sourcedat!$B$3:$F$19,5,0)*C5</f>
        <v>7.9568311350919296E-2</v>
      </c>
      <c r="D48" s="32">
        <f>VLOOKUP($P48,sourcedat!$B$23:$F$24,5,0)*(SUM($B48,C48))*D5</f>
        <v>4.4060558357216853E-2</v>
      </c>
      <c r="E48" s="31">
        <f>VLOOKUP($P48,sourcedat!$B$28:$F$29,5,0)*E5</f>
        <v>0</v>
      </c>
      <c r="F48" s="32">
        <f>VLOOKUP($P48,sourcedat!$B$33:$F$34,5,0)*F5</f>
        <v>0</v>
      </c>
      <c r="G48" s="32">
        <f>VLOOKUP($P48,sourcedat!$B$23:$F$24,5,0)*G5</f>
        <v>5.9086929000000003E-2</v>
      </c>
      <c r="H48" s="32">
        <f>VLOOKUP($P48,sourcedat!$B$43:$F$44,5,0)*H5</f>
        <v>0</v>
      </c>
      <c r="I48" s="31">
        <f>VLOOKUP($R48,sourcedat!$B$38:$F$39,5,0)*I5</f>
        <v>3.2457714404016311E-3</v>
      </c>
      <c r="J48" s="31">
        <f>sourcedat!$F$47*J5</f>
        <v>8.9580669784172665E-4</v>
      </c>
      <c r="K48" s="33"/>
      <c r="L48" s="37">
        <f t="shared" si="15"/>
        <v>0.79211387684637946</v>
      </c>
      <c r="N48" s="78" t="str">
        <f t="shared" ref="N48:S48" si="17">N4</f>
        <v>SM</v>
      </c>
      <c r="O48" s="78" t="str">
        <f t="shared" si="17"/>
        <v>LLT</v>
      </c>
      <c r="P48" s="78" t="str">
        <f t="shared" si="17"/>
        <v>L</v>
      </c>
      <c r="Q48" s="78">
        <f t="shared" si="17"/>
        <v>3942</v>
      </c>
      <c r="R48" s="78" t="str">
        <f t="shared" si="17"/>
        <v>C880</v>
      </c>
      <c r="S48" s="78" t="str">
        <f t="shared" si="17"/>
        <v>G</v>
      </c>
    </row>
    <row r="49" spans="1:19" x14ac:dyDescent="0.25">
      <c r="A49" s="29" t="str">
        <f>A6</f>
        <v>LE-L</v>
      </c>
      <c r="B49" s="30">
        <f>VLOOKUP($N49,sourcedat!$B$5:$F$11,5,0)*B6</f>
        <v>5.3999999999999992E-2</v>
      </c>
      <c r="C49" s="35">
        <f>VLOOKUP($O49,sourcedat!$B$3:$F$19,5,0)*C6</f>
        <v>6.0300000000000006E-3</v>
      </c>
      <c r="D49" s="31">
        <f>VLOOKUP($P49,sourcedat!$B$23:$F$24,5,0)*(SUM($B49,C49))*D6</f>
        <v>3.8395151981999993E-3</v>
      </c>
      <c r="E49" s="31">
        <f>VLOOKUP($P49,sourcedat!$B$28:$F$29,5,0)*E6</f>
        <v>0</v>
      </c>
      <c r="F49" s="36">
        <f>VLOOKUP($P49,sourcedat!$B$33:$F$34,5,0)*F6</f>
        <v>5.4028299058953477E-4</v>
      </c>
      <c r="G49" s="31">
        <f>VLOOKUP($P49,sourcedat!$B$23:$F$24,5,0)*G6</f>
        <v>6.2782208489717675E-2</v>
      </c>
      <c r="H49" s="36">
        <f>VLOOKUP($P49,sourcedat!$B$43:$F$44,5,0)*H6</f>
        <v>2.6279391891891887E-4</v>
      </c>
      <c r="I49" s="32">
        <f>VLOOKUP($R49,sourcedat!$B$38:$F$39,5,0)*I6</f>
        <v>0</v>
      </c>
      <c r="J49" s="31">
        <f>sourcedat!$F$47*J6</f>
        <v>3.1700000000000001E-4</v>
      </c>
      <c r="K49" s="33"/>
      <c r="L49" s="37">
        <f t="shared" si="15"/>
        <v>0.12777180059742613</v>
      </c>
      <c r="N49" s="78" t="str">
        <f t="shared" ref="N49:S50" si="18">N6</f>
        <v>LE</v>
      </c>
      <c r="O49" s="78" t="str">
        <f t="shared" si="18"/>
        <v>L</v>
      </c>
      <c r="P49" s="78" t="str">
        <f t="shared" si="18"/>
        <v>L</v>
      </c>
      <c r="Q49" s="78">
        <f t="shared" si="18"/>
        <v>48</v>
      </c>
      <c r="R49" s="78" t="str">
        <f t="shared" si="18"/>
        <v>L</v>
      </c>
      <c r="S49" s="78" t="str">
        <f t="shared" si="18"/>
        <v>G</v>
      </c>
    </row>
    <row r="50" spans="1:19" x14ac:dyDescent="0.25">
      <c r="A50" s="29" t="str">
        <f>A7</f>
        <v>LE-G</v>
      </c>
      <c r="B50" s="38">
        <f>VLOOKUP($N50,sourcedat!$B$5:$F$11,5,0)*B7</f>
        <v>5.3999999999999992E-2</v>
      </c>
      <c r="C50" s="39">
        <f>VLOOKUP($O50,sourcedat!$B$3:$F$19,5,0)*C7</f>
        <v>6.1694582767466463E-4</v>
      </c>
      <c r="D50" s="41">
        <f>VLOOKUP($P50,sourcedat!$B$23:$F$24,5,0)*(SUM($B50,C50))*D7</f>
        <v>0</v>
      </c>
      <c r="E50" s="40">
        <f>VLOOKUP($P50,sourcedat!$B$28:$F$29,5,0)*E7</f>
        <v>0</v>
      </c>
      <c r="F50" s="41">
        <f>VLOOKUP($P50,sourcedat!$B$33:$F$34,5,0)*F7</f>
        <v>0</v>
      </c>
      <c r="G50" s="41">
        <f>VLOOKUP($P50,sourcedat!$B$23:$F$24,5,0)*G7</f>
        <v>0</v>
      </c>
      <c r="H50" s="41">
        <f>VLOOKUP($P50,sourcedat!$B$43:$F$44,5,0)*H7</f>
        <v>0</v>
      </c>
      <c r="I50" s="40">
        <f>VLOOKUP($R50,sourcedat!$B$38:$F$39,5,0)*I7</f>
        <v>3.2457714404016311E-3</v>
      </c>
      <c r="J50" s="40">
        <f>sourcedat!$F$47*J7</f>
        <v>3.1755019784172661E-4</v>
      </c>
      <c r="K50" s="42"/>
      <c r="L50" s="43">
        <f t="shared" si="15"/>
        <v>5.818026746591802E-2</v>
      </c>
      <c r="N50" s="78" t="str">
        <f t="shared" si="18"/>
        <v>LE</v>
      </c>
      <c r="O50" s="78" t="str">
        <f t="shared" si="18"/>
        <v>C20_312</v>
      </c>
      <c r="P50" s="78" t="str">
        <f t="shared" si="18"/>
        <v>G</v>
      </c>
      <c r="Q50" s="78">
        <f t="shared" si="18"/>
        <v>48</v>
      </c>
      <c r="R50" s="78" t="str">
        <f t="shared" si="18"/>
        <v>C880</v>
      </c>
      <c r="S50" s="78" t="str">
        <f t="shared" si="18"/>
        <v>G</v>
      </c>
    </row>
    <row r="51" spans="1:19" x14ac:dyDescent="0.25">
      <c r="A51" s="29" t="str">
        <f t="shared" ref="A51:A54" si="19">A8</f>
        <v>BE-G</v>
      </c>
      <c r="B51" s="30">
        <f>VLOOKUP($N51,sourcedat!$B$5:$F$11,5,0)*B8</f>
        <v>3.7799999999999995E-3</v>
      </c>
      <c r="C51" s="35">
        <f>VLOOKUP($O51,sourcedat!$B$3:$F$19,5,0)*C8</f>
        <v>7.1982571299230424E-3</v>
      </c>
      <c r="D51" s="32">
        <f>VLOOKUP($P51,sourcedat!$B$23:$F$24,5,0)*(SUM($B51,C51))*D8</f>
        <v>0</v>
      </c>
      <c r="E51" s="31">
        <f>VLOOKUP($P51,sourcedat!$B$28:$F$29,5,0)*E8</f>
        <v>0</v>
      </c>
      <c r="F51" s="32">
        <f>VLOOKUP($P51,sourcedat!$B$33:$F$34,5,0)*F8</f>
        <v>0</v>
      </c>
      <c r="G51" s="32">
        <f>VLOOKUP($P51,sourcedat!$B$23:$F$24,5,0)*G8</f>
        <v>0</v>
      </c>
      <c r="H51" s="32">
        <f>VLOOKUP($P51,sourcedat!$B$43:$F$44,5,0)*H8</f>
        <v>0</v>
      </c>
      <c r="I51" s="31">
        <f>VLOOKUP($R51,sourcedat!$B$38:$F$39,5,0)*I8</f>
        <v>3.2457714404016311E-3</v>
      </c>
      <c r="J51" s="31">
        <f>sourcedat!$F$47*J8</f>
        <v>3.0945019784172663E-4</v>
      </c>
      <c r="K51" s="33"/>
      <c r="L51" s="37">
        <f t="shared" ref="L51" si="20">SUM(B51:J51)</f>
        <v>1.4533478768166401E-2</v>
      </c>
      <c r="N51" s="78" t="str">
        <f t="shared" ref="N51:S54" si="21">N8</f>
        <v>BE</v>
      </c>
      <c r="O51" s="78" t="str">
        <f t="shared" si="21"/>
        <v>C312</v>
      </c>
      <c r="P51" s="78" t="str">
        <f t="shared" si="21"/>
        <v>G</v>
      </c>
      <c r="Q51" s="78">
        <f t="shared" si="21"/>
        <v>48</v>
      </c>
      <c r="R51" s="78" t="str">
        <f t="shared" si="21"/>
        <v>C880</v>
      </c>
      <c r="S51" s="78" t="str">
        <f t="shared" si="21"/>
        <v>G</v>
      </c>
    </row>
    <row r="52" spans="1:19" x14ac:dyDescent="0.25">
      <c r="A52" s="29" t="str">
        <f t="shared" si="19"/>
        <v>DIS-G</v>
      </c>
      <c r="B52" s="30">
        <f>VLOOKUP($N52,sourcedat!$B$5:$F$11,5,0)*B9</f>
        <v>4.3739999999999994E-2</v>
      </c>
      <c r="C52" s="35">
        <f>VLOOKUP($O52,sourcedat!$B$3:$F$19,5,0)*C9</f>
        <v>7.1982571299230424E-3</v>
      </c>
      <c r="D52" s="32">
        <f>VLOOKUP($P52,sourcedat!$B$23:$F$24,5,0)*(SUM($B52,C52))*D9</f>
        <v>0</v>
      </c>
      <c r="E52" s="31">
        <f>VLOOKUP($P52,sourcedat!$B$28:$F$29,5,0)*E9</f>
        <v>0</v>
      </c>
      <c r="F52" s="32">
        <f>VLOOKUP($P52,sourcedat!$B$33:$F$34,5,0)*F9</f>
        <v>0</v>
      </c>
      <c r="G52" s="32">
        <f>VLOOKUP($P52,sourcedat!$B$23:$F$24,5,0)*G9</f>
        <v>0</v>
      </c>
      <c r="H52" s="32">
        <f>VLOOKUP($P52,sourcedat!$B$43:$F$44,5,0)*H9</f>
        <v>0</v>
      </c>
      <c r="I52" s="31">
        <f>VLOOKUP($R52,sourcedat!$B$38:$F$39,5,0)*I9</f>
        <v>3.2457714404016311E-3</v>
      </c>
      <c r="J52" s="31">
        <f>sourcedat!$F$47*J9</f>
        <v>3.0270019784172666E-4</v>
      </c>
      <c r="K52" s="33"/>
      <c r="L52" s="37">
        <f t="shared" si="15"/>
        <v>5.4486728768166397E-2</v>
      </c>
      <c r="N52" s="78" t="str">
        <f t="shared" si="21"/>
        <v>DIS</v>
      </c>
      <c r="O52" s="78" t="str">
        <f t="shared" si="21"/>
        <v>C312</v>
      </c>
      <c r="P52" s="78" t="str">
        <f t="shared" si="21"/>
        <v>G</v>
      </c>
      <c r="Q52" s="78">
        <f t="shared" si="21"/>
        <v>48</v>
      </c>
      <c r="R52" s="78" t="str">
        <f t="shared" si="21"/>
        <v>C880</v>
      </c>
      <c r="S52" s="78" t="str">
        <f t="shared" si="21"/>
        <v>G</v>
      </c>
    </row>
    <row r="53" spans="1:19" x14ac:dyDescent="0.25">
      <c r="A53" s="29" t="str">
        <f t="shared" si="19"/>
        <v>RBE-G</v>
      </c>
      <c r="B53" s="30">
        <f>VLOOKUP($N53,sourcedat!$B$5:$F$11,5,0)*B10</f>
        <v>1.6800000000000001E-3</v>
      </c>
      <c r="C53" s="35">
        <f>VLOOKUP($O53,sourcedat!$B$3:$F$19,5,0)*C10</f>
        <v>7.1982571299230424E-3</v>
      </c>
      <c r="D53" s="32">
        <f>VLOOKUP($P53,sourcedat!$B$23:$F$24,5,0)*(SUM($B53,C53))*D10</f>
        <v>0</v>
      </c>
      <c r="E53" s="31">
        <f>VLOOKUP($P53,sourcedat!$B$28:$F$29,5,0)*E10</f>
        <v>0</v>
      </c>
      <c r="F53" s="32">
        <f>VLOOKUP($P53,sourcedat!$B$33:$F$34,5,0)*F10</f>
        <v>0</v>
      </c>
      <c r="G53" s="32">
        <f>VLOOKUP($P53,sourcedat!$B$23:$F$24,5,0)*G10</f>
        <v>0</v>
      </c>
      <c r="H53" s="32">
        <f>VLOOKUP($P53,sourcedat!$B$43:$F$44,5,0)*H10</f>
        <v>0</v>
      </c>
      <c r="I53" s="31">
        <f>VLOOKUP($R53,sourcedat!$B$38:$F$39,5,0)*I10</f>
        <v>3.2457714404016311E-3</v>
      </c>
      <c r="J53" s="31">
        <f>sourcedat!$F$47*J10</f>
        <v>2.9895019784172665E-4</v>
      </c>
      <c r="K53" s="33"/>
      <c r="L53" s="37">
        <f t="shared" si="15"/>
        <v>1.24229787681664E-2</v>
      </c>
      <c r="N53" s="78" t="str">
        <f t="shared" si="21"/>
        <v>RBE</v>
      </c>
      <c r="O53" s="78" t="str">
        <f t="shared" si="21"/>
        <v>C312</v>
      </c>
      <c r="P53" s="78" t="str">
        <f t="shared" si="21"/>
        <v>G</v>
      </c>
      <c r="Q53" s="78">
        <f t="shared" si="21"/>
        <v>48</v>
      </c>
      <c r="R53" s="78" t="str">
        <f t="shared" si="21"/>
        <v>C880</v>
      </c>
      <c r="S53" s="78" t="str">
        <f t="shared" si="21"/>
        <v>G</v>
      </c>
    </row>
    <row r="54" spans="1:19" x14ac:dyDescent="0.25">
      <c r="A54" s="44" t="str">
        <f t="shared" si="19"/>
        <v>DIV-G</v>
      </c>
      <c r="B54" s="45">
        <f>VLOOKUP($N54,sourcedat!$B$5:$F$11,5,0)*B11</f>
        <v>0.57999999999999996</v>
      </c>
      <c r="C54" s="46">
        <f>VLOOKUP($O54,sourcedat!$B$3:$F$19,5,0)*C11</f>
        <v>7.1982571299230424E-3</v>
      </c>
      <c r="D54" s="48">
        <f>VLOOKUP($P54,sourcedat!$B$23:$F$24,5,0)*(SUM($B54,C54))*D11</f>
        <v>0</v>
      </c>
      <c r="E54" s="47">
        <f>VLOOKUP($P54,sourcedat!$B$28:$F$29,5,0)*E11</f>
        <v>0</v>
      </c>
      <c r="F54" s="48">
        <f>VLOOKUP($P54,sourcedat!$B$33:$F$34,5,0)*F11</f>
        <v>0</v>
      </c>
      <c r="G54" s="47">
        <f>VLOOKUP($P54,sourcedat!$B$23:$F$24,5,0)*G11</f>
        <v>0</v>
      </c>
      <c r="H54" s="48">
        <f>VLOOKUP($P54,sourcedat!$B$43:$F$44,5,0)*H11</f>
        <v>0</v>
      </c>
      <c r="I54" s="47">
        <f>VLOOKUP($R54,sourcedat!$B$38:$F$39,5,0)*I11</f>
        <v>3.2457714404016311E-3</v>
      </c>
      <c r="J54" s="47">
        <f>sourcedat!$F$47*J11</f>
        <v>5.5019784172660735E-7</v>
      </c>
      <c r="K54" s="49"/>
      <c r="L54" s="77">
        <f t="shared" si="15"/>
        <v>0.59044457876816636</v>
      </c>
      <c r="N54" s="78" t="str">
        <f t="shared" si="21"/>
        <v>DIV</v>
      </c>
      <c r="O54" s="78" t="str">
        <f t="shared" si="21"/>
        <v>C312</v>
      </c>
      <c r="P54" s="78" t="str">
        <f t="shared" si="21"/>
        <v>G</v>
      </c>
      <c r="Q54" s="78">
        <f t="shared" si="21"/>
        <v>48</v>
      </c>
      <c r="R54" s="78" t="str">
        <f t="shared" si="21"/>
        <v>C880</v>
      </c>
      <c r="S54" s="78" t="str">
        <f t="shared" si="21"/>
        <v>G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31"/>
  <sheetViews>
    <sheetView zoomScaleNormal="100" workbookViewId="0">
      <selection activeCell="N39" sqref="N39"/>
    </sheetView>
  </sheetViews>
  <sheetFormatPr defaultRowHeight="15" x14ac:dyDescent="0.25"/>
  <cols>
    <col min="1" max="1" width="11.28515625" customWidth="1"/>
    <col min="2" max="2" width="8.5703125" customWidth="1"/>
    <col min="3" max="3" width="8.85546875" customWidth="1"/>
    <col min="4" max="4" width="5.5703125" customWidth="1"/>
    <col min="5" max="5" width="6.5703125" customWidth="1"/>
    <col min="6" max="6" width="9.5703125" customWidth="1"/>
    <col min="7" max="7" width="7.140625" customWidth="1"/>
    <col min="8" max="8" width="6.7109375" customWidth="1"/>
    <col min="9" max="9" width="5.7109375" customWidth="1"/>
    <col min="10" max="11" width="11.28515625" customWidth="1"/>
    <col min="12" max="12" width="9" customWidth="1"/>
    <col min="13" max="13" width="5.140625" customWidth="1"/>
    <col min="14" max="14" width="9.42578125" customWidth="1"/>
    <col min="15" max="15" width="7.140625" customWidth="1"/>
    <col min="16" max="1025" width="8.5703125" customWidth="1"/>
  </cols>
  <sheetData>
    <row r="1" spans="1:17" x14ac:dyDescent="0.25">
      <c r="A1" s="3" t="s">
        <v>85</v>
      </c>
      <c r="K1" s="3" t="s">
        <v>96</v>
      </c>
    </row>
    <row r="2" spans="1:17" x14ac:dyDescent="0.25">
      <c r="A2" s="18" t="s">
        <v>86</v>
      </c>
      <c r="B2" s="51" t="s">
        <v>87</v>
      </c>
      <c r="C2" s="51" t="s">
        <v>88</v>
      </c>
      <c r="D2" s="19" t="s">
        <v>89</v>
      </c>
      <c r="E2" s="19" t="s">
        <v>64</v>
      </c>
      <c r="F2" s="19" t="s">
        <v>38</v>
      </c>
      <c r="G2" s="19" t="s">
        <v>65</v>
      </c>
      <c r="H2" s="19" t="s">
        <v>66</v>
      </c>
      <c r="I2" s="21" t="s">
        <v>70</v>
      </c>
      <c r="K2" s="18" t="s">
        <v>86</v>
      </c>
      <c r="L2" s="51" t="s">
        <v>87</v>
      </c>
      <c r="M2" s="19" t="s">
        <v>89</v>
      </c>
      <c r="N2" s="19" t="s">
        <v>38</v>
      </c>
      <c r="O2" s="21" t="s">
        <v>70</v>
      </c>
    </row>
    <row r="3" spans="1:17" x14ac:dyDescent="0.25">
      <c r="A3" s="52" t="s">
        <v>90</v>
      </c>
      <c r="B3" s="53">
        <f>display!AB24</f>
        <v>24.845945945945946</v>
      </c>
      <c r="C3" s="54">
        <f>display!AC24</f>
        <v>0.8</v>
      </c>
      <c r="D3" s="24">
        <f>VLOOKUP($A$11,sourcedat!$B$15:$D$19,3,0)</f>
        <v>0.1206</v>
      </c>
      <c r="E3" s="25">
        <f>VLOOKUP($A$11,sourcedat!$B$23:$C$24,2,0)*(SUM($D3,D3)+sourcedat!$I$21)</f>
        <v>9.061799999999999E-2</v>
      </c>
      <c r="F3" s="25">
        <f>B3*sourcedat!$I$26/$A$10</f>
        <v>5.4007228233815211E-3</v>
      </c>
      <c r="G3" s="26">
        <f>C3*$A$9</f>
        <v>1.4999999999999999E-4</v>
      </c>
      <c r="H3" s="25">
        <f>VLOOKUP($A$11,sourcedat!$B$23:$C$24,2,0)*(SUM($D3,G3)+sourcedat!$I$21)</f>
        <v>8.8811249999999994E-2</v>
      </c>
      <c r="I3" s="55">
        <f>SUM(D3:H3)</f>
        <v>0.30557997282338151</v>
      </c>
      <c r="K3" s="52" t="s">
        <v>90</v>
      </c>
      <c r="L3" s="53">
        <f>B3</f>
        <v>24.845945945945946</v>
      </c>
      <c r="M3" s="24">
        <f>VLOOKUP($K$12,sourcedat!$B$15:$D$19,3,0)</f>
        <v>2.6024468085106389E-2</v>
      </c>
      <c r="N3" s="25">
        <f>L3*sourcedat!$I$26/$K$10</f>
        <v>2.9773215564795567E-2</v>
      </c>
      <c r="O3" s="55">
        <f>SUM(M3:N3)</f>
        <v>5.5797683649901952E-2</v>
      </c>
    </row>
    <row r="4" spans="1:17" x14ac:dyDescent="0.25">
      <c r="A4" s="56" t="s">
        <v>91</v>
      </c>
      <c r="B4" s="57">
        <f>display!AB25</f>
        <v>20.27927927927928</v>
      </c>
      <c r="C4" s="58">
        <f>display!AC25</f>
        <v>0.6</v>
      </c>
      <c r="D4" s="35">
        <f>VLOOKUP($A$11,sourcedat!$B$15:$D$19,3,0)</f>
        <v>0.1206</v>
      </c>
      <c r="E4" s="31">
        <f>VLOOKUP("L",sourcedat!$B$23:$C$24,2,0)*(SUM($D4,D4)+sourcedat!$I$21)</f>
        <v>9.061799999999999E-2</v>
      </c>
      <c r="F4" s="31">
        <f>B4*sourcedat!$I$26/$A$10</f>
        <v>4.4080739241567149E-3</v>
      </c>
      <c r="G4" s="36">
        <f>C4*$A$9</f>
        <v>1.1249999999999998E-4</v>
      </c>
      <c r="H4" s="31">
        <f>VLOOKUP($A$11,sourcedat!$B$23:$C$24,2,0)*(SUM($D4,G4)+sourcedat!$I$21)</f>
        <v>8.8810687499999985E-2</v>
      </c>
      <c r="I4" s="59">
        <f>SUM(D4:H4)</f>
        <v>0.30454926142415667</v>
      </c>
      <c r="K4" s="56" t="s">
        <v>91</v>
      </c>
      <c r="L4" s="57">
        <f>B4</f>
        <v>20.27927927927928</v>
      </c>
      <c r="M4" s="35">
        <f>VLOOKUP($K$12,sourcedat!$B$15:$D$19,3,0)</f>
        <v>2.6024468085106389E-2</v>
      </c>
      <c r="N4" s="31">
        <f>L4*sourcedat!$I$26/$K$10</f>
        <v>2.4300920351120352E-2</v>
      </c>
      <c r="O4" s="59">
        <f>SUM(M4:N4)</f>
        <v>5.0325388436226741E-2</v>
      </c>
    </row>
    <row r="5" spans="1:17" x14ac:dyDescent="0.25">
      <c r="A5" s="56" t="s">
        <v>92</v>
      </c>
      <c r="B5" s="57">
        <f>display!AB26</f>
        <v>20.085585585585587</v>
      </c>
      <c r="C5" s="58">
        <f>display!AC26</f>
        <v>0.6</v>
      </c>
      <c r="D5" s="35">
        <f>VLOOKUP($A$11,sourcedat!$B$15:$D$19,3,0)</f>
        <v>0.1206</v>
      </c>
      <c r="E5" s="31">
        <f>VLOOKUP("L",sourcedat!$B$23:$C$24,2,0)*(SUM($D5,D5)+sourcedat!$I$21)</f>
        <v>9.061799999999999E-2</v>
      </c>
      <c r="F5" s="31">
        <f>B5*sourcedat!$I$26/$A$10</f>
        <v>4.3659710412738322E-3</v>
      </c>
      <c r="G5" s="36">
        <f>C5*$A$9</f>
        <v>1.1249999999999998E-4</v>
      </c>
      <c r="H5" s="31">
        <f>VLOOKUP($A$11,sourcedat!$B$23:$C$24,2,0)*(SUM($D5,G5)+sourcedat!$I$21)</f>
        <v>8.8810687499999985E-2</v>
      </c>
      <c r="I5" s="59">
        <f>SUM(D5:H5)</f>
        <v>0.3045071585412738</v>
      </c>
      <c r="K5" s="56" t="s">
        <v>92</v>
      </c>
      <c r="L5" s="57">
        <f>B5</f>
        <v>20.085585585585587</v>
      </c>
      <c r="M5" s="35">
        <f>VLOOKUP($K$12,sourcedat!$B$15:$D$19,3,0)</f>
        <v>2.6024468085106389E-2</v>
      </c>
      <c r="N5" s="31">
        <f>L5*sourcedat!$I$26/$K$10</f>
        <v>2.4068814714714715E-2</v>
      </c>
      <c r="O5" s="59">
        <f>SUM(M5:N5)</f>
        <v>5.0093282799821101E-2</v>
      </c>
    </row>
    <row r="6" spans="1:17" x14ac:dyDescent="0.25">
      <c r="A6" s="60" t="s">
        <v>93</v>
      </c>
      <c r="B6" s="61">
        <f>display!AB27</f>
        <v>125</v>
      </c>
      <c r="C6" s="62">
        <f>display!AC27</f>
        <v>3.5</v>
      </c>
      <c r="D6" s="46">
        <f>VLOOKUP($A$11,sourcedat!$B$15:$D$19,3,0)</f>
        <v>0.1206</v>
      </c>
      <c r="E6" s="47">
        <f>VLOOKUP("L",sourcedat!$B$23:$C$24,2,0)*(SUM($D6,D6)+sourcedat!$I$21)</f>
        <v>9.061799999999999E-2</v>
      </c>
      <c r="F6" s="47">
        <f>B6*sourcedat!$I$26/$A$10</f>
        <v>2.7171046511627911E-2</v>
      </c>
      <c r="G6" s="63">
        <f>C6*$A$9</f>
        <v>6.5624999999999993E-4</v>
      </c>
      <c r="H6" s="47">
        <f>VLOOKUP($A$11,sourcedat!$B$23:$C$24,2,0)*(SUM($D6,G6)+sourcedat!$I$21)</f>
        <v>8.8818843750000001E-2</v>
      </c>
      <c r="I6" s="64">
        <f>SUM(D6:H6)</f>
        <v>0.32786414026162791</v>
      </c>
      <c r="K6" s="60" t="s">
        <v>93</v>
      </c>
      <c r="L6" s="61">
        <f>B6</f>
        <v>125</v>
      </c>
      <c r="M6" s="46">
        <f>VLOOKUP($K$12,sourcedat!$B$15:$D$19,3,0)</f>
        <v>2.6024468085106389E-2</v>
      </c>
      <c r="N6" s="47">
        <f>L6*sourcedat!$I$26/$K$10</f>
        <v>0.14978910256410258</v>
      </c>
      <c r="O6" s="64">
        <f>SUM(M6:N6)</f>
        <v>0.17581357064920897</v>
      </c>
    </row>
    <row r="7" spans="1:17" x14ac:dyDescent="0.25">
      <c r="A7" s="65" t="s">
        <v>94</v>
      </c>
      <c r="B7" s="66">
        <f>display!AB28</f>
        <v>47.552702702702703</v>
      </c>
      <c r="C7" s="67">
        <f>display!AC28</f>
        <v>1.375</v>
      </c>
      <c r="D7" s="68">
        <f t="shared" ref="D7:I7" si="0">AVERAGE(D3:D6)</f>
        <v>0.1206</v>
      </c>
      <c r="E7" s="69">
        <f t="shared" si="0"/>
        <v>9.061799999999999E-2</v>
      </c>
      <c r="F7" s="70">
        <f t="shared" si="0"/>
        <v>1.0336453575109995E-2</v>
      </c>
      <c r="G7" s="70">
        <f t="shared" si="0"/>
        <v>2.5781249999999996E-4</v>
      </c>
      <c r="H7" s="69">
        <f t="shared" si="0"/>
        <v>8.8812867187499991E-2</v>
      </c>
      <c r="I7" s="71">
        <f t="shared" si="0"/>
        <v>0.31062513326260999</v>
      </c>
      <c r="K7" s="65" t="s">
        <v>94</v>
      </c>
      <c r="L7" s="66">
        <f>B7</f>
        <v>47.552702702702703</v>
      </c>
      <c r="M7" s="68">
        <f>AVERAGE(M3:M6)</f>
        <v>2.6024468085106389E-2</v>
      </c>
      <c r="N7" s="69">
        <f>AVERAGE(N3:N6)</f>
        <v>5.6983013298683299E-2</v>
      </c>
      <c r="O7" s="71">
        <f>AVERAGE(O3:O6)</f>
        <v>8.3007481383789689E-2</v>
      </c>
    </row>
    <row r="9" spans="1:17" x14ac:dyDescent="0.25">
      <c r="A9" s="14">
        <f>0.0045/24</f>
        <v>1.8749999999999998E-4</v>
      </c>
      <c r="B9" t="s">
        <v>95</v>
      </c>
    </row>
    <row r="10" spans="1:17" x14ac:dyDescent="0.25">
      <c r="A10" s="14">
        <f>VLOOKUP($A$11,sourcedat!$B$28:$E$29,2,0)</f>
        <v>4300</v>
      </c>
      <c r="B10" t="s">
        <v>97</v>
      </c>
      <c r="K10" s="73">
        <f>VLOOKUP(K11,sourcedat!$B$28:$E$29,2,0)</f>
        <v>780</v>
      </c>
      <c r="L10" t="s">
        <v>97</v>
      </c>
    </row>
    <row r="11" spans="1:17" x14ac:dyDescent="0.25">
      <c r="A11" s="14" t="s">
        <v>30</v>
      </c>
      <c r="B11" t="s">
        <v>98</v>
      </c>
      <c r="K11" s="14" t="s">
        <v>35</v>
      </c>
      <c r="L11" t="s">
        <v>98</v>
      </c>
    </row>
    <row r="12" spans="1:17" x14ac:dyDescent="0.25">
      <c r="A12" s="14">
        <v>48</v>
      </c>
      <c r="B12" t="s">
        <v>99</v>
      </c>
      <c r="K12" s="14" t="s">
        <v>29</v>
      </c>
      <c r="L12" t="s">
        <v>101</v>
      </c>
    </row>
    <row r="13" spans="1:17" x14ac:dyDescent="0.25">
      <c r="K13" s="14">
        <v>48</v>
      </c>
      <c r="L13" t="s">
        <v>99</v>
      </c>
    </row>
    <row r="15" spans="1:17" x14ac:dyDescent="0.25">
      <c r="Q15" s="72"/>
    </row>
    <row r="16" spans="1:17" x14ac:dyDescent="0.25">
      <c r="A16" s="3" t="s">
        <v>103</v>
      </c>
      <c r="K16" s="3" t="s">
        <v>104</v>
      </c>
    </row>
    <row r="17" spans="1:15" x14ac:dyDescent="0.25">
      <c r="A17" s="18" t="s">
        <v>86</v>
      </c>
      <c r="B17" s="51" t="s">
        <v>87</v>
      </c>
      <c r="C17" s="51" t="s">
        <v>88</v>
      </c>
      <c r="D17" s="19" t="s">
        <v>89</v>
      </c>
      <c r="E17" s="19" t="s">
        <v>64</v>
      </c>
      <c r="F17" s="19" t="s">
        <v>38</v>
      </c>
      <c r="G17" s="19" t="s">
        <v>65</v>
      </c>
      <c r="H17" s="19" t="s">
        <v>66</v>
      </c>
      <c r="I17" s="21" t="s">
        <v>70</v>
      </c>
      <c r="K17" s="18" t="s">
        <v>86</v>
      </c>
      <c r="L17" s="51" t="s">
        <v>87</v>
      </c>
      <c r="M17" s="19" t="s">
        <v>89</v>
      </c>
      <c r="N17" s="19" t="s">
        <v>38</v>
      </c>
      <c r="O17" s="21" t="s">
        <v>70</v>
      </c>
    </row>
    <row r="18" spans="1:15" x14ac:dyDescent="0.25">
      <c r="A18" s="52" t="s">
        <v>90</v>
      </c>
      <c r="B18" s="53">
        <f>B3</f>
        <v>24.845945945945946</v>
      </c>
      <c r="C18" s="54">
        <f>C3</f>
        <v>0.8</v>
      </c>
      <c r="D18" s="79">
        <f>VLOOKUP($A$11,sourcedat!$B$15:$F$19,4,0)*D3</f>
        <v>1.8089999999999998E-2</v>
      </c>
      <c r="E18" s="80">
        <f>VLOOKUP($A$11,sourcedat!$B$23:$F$24,4,0)*E3</f>
        <v>5.9807879999999994E-2</v>
      </c>
      <c r="F18" s="25">
        <f>VLOOKUP($A$11,sourcedat!$B$28:$F$29,4,0)*F3</f>
        <v>5.4007228233815215E-4</v>
      </c>
      <c r="G18" s="81">
        <f>VLOOKUP($A$11,sourcedat!$B$33:$F$34,4,0)*G3</f>
        <v>4.9499999999999997E-5</v>
      </c>
      <c r="H18" s="25">
        <f>VLOOKUP($A$11,sourcedat!$B$23:$F$24,4,0)*H3</f>
        <v>5.8615424999999999E-2</v>
      </c>
      <c r="I18" s="55">
        <f>SUM(D18:H18)</f>
        <v>0.13710287728233814</v>
      </c>
      <c r="K18" s="52" t="s">
        <v>90</v>
      </c>
      <c r="L18" s="53">
        <f>L4</f>
        <v>20.27927927927928</v>
      </c>
      <c r="M18" s="79">
        <f>VLOOKUP($K$12,sourcedat!$B$15:$F$19,4,0)*M3</f>
        <v>7.1982571299230424E-3</v>
      </c>
      <c r="N18" s="25">
        <f>VLOOKUP($K$11,sourcedat!$B$28:$F$29,4,0)*N3</f>
        <v>2.9773215564795567E-3</v>
      </c>
      <c r="O18" s="55">
        <f>SUM(M18:N18)</f>
        <v>1.0175578686402599E-2</v>
      </c>
    </row>
    <row r="19" spans="1:15" x14ac:dyDescent="0.25">
      <c r="A19" s="56" t="s">
        <v>91</v>
      </c>
      <c r="B19" s="57">
        <f>B4</f>
        <v>20.27927927927928</v>
      </c>
      <c r="C19" s="58">
        <f>display!AC40</f>
        <v>0</v>
      </c>
      <c r="D19" s="35">
        <f>VLOOKUP($A$11,sourcedat!$B$15:$F$19,4,0)*D4</f>
        <v>1.8089999999999998E-2</v>
      </c>
      <c r="E19" s="31">
        <f>VLOOKUP($A$11,sourcedat!$B$23:$F$24,4,0)*E4</f>
        <v>5.9807879999999994E-2</v>
      </c>
      <c r="F19" s="31">
        <f>VLOOKUP($A$11,sourcedat!$B$28:$F$29,4,0)*F4</f>
        <v>4.408073924156715E-4</v>
      </c>
      <c r="G19" s="36">
        <f>VLOOKUP($A$11,sourcedat!$B$33:$F$34,4,0)*G4</f>
        <v>3.7124999999999994E-5</v>
      </c>
      <c r="H19" s="31">
        <f>VLOOKUP($A$11,sourcedat!$B$23:$F$24,4,0)*H4</f>
        <v>5.8615053749999993E-2</v>
      </c>
      <c r="I19" s="59">
        <f>SUM(D19:H19)</f>
        <v>0.13699086614241565</v>
      </c>
      <c r="K19" s="56" t="s">
        <v>91</v>
      </c>
      <c r="L19" s="57">
        <f>L5</f>
        <v>20.085585585585587</v>
      </c>
      <c r="M19" s="35">
        <f>VLOOKUP($K$12,sourcedat!$B$15:$F$19,4,0)*M4</f>
        <v>7.1982571299230424E-3</v>
      </c>
      <c r="N19" s="31">
        <f>VLOOKUP($K$11,sourcedat!$B$28:$F$29,4,0)*N4</f>
        <v>2.4300920351120353E-3</v>
      </c>
      <c r="O19" s="59">
        <f>SUM(M19:N19)</f>
        <v>9.6283491650350772E-3</v>
      </c>
    </row>
    <row r="20" spans="1:15" x14ac:dyDescent="0.25">
      <c r="A20" s="56" t="s">
        <v>92</v>
      </c>
      <c r="B20" s="57">
        <f>B5</f>
        <v>20.085585585585587</v>
      </c>
      <c r="C20" s="58">
        <f>display!AC41</f>
        <v>0</v>
      </c>
      <c r="D20" s="35">
        <f>VLOOKUP($A$11,sourcedat!$B$15:$F$19,4,0)*D5</f>
        <v>1.8089999999999998E-2</v>
      </c>
      <c r="E20" s="31">
        <f>VLOOKUP($A$11,sourcedat!$B$23:$F$24,4,0)*E5</f>
        <v>5.9807879999999994E-2</v>
      </c>
      <c r="F20" s="31">
        <f>VLOOKUP($A$11,sourcedat!$B$28:$F$29,4,0)*F5</f>
        <v>4.3659710412738325E-4</v>
      </c>
      <c r="G20" s="36">
        <f>VLOOKUP($A$11,sourcedat!$B$33:$F$34,4,0)*G5</f>
        <v>3.7124999999999994E-5</v>
      </c>
      <c r="H20" s="31">
        <f>VLOOKUP($A$11,sourcedat!$B$23:$F$24,4,0)*H5</f>
        <v>5.8615053749999993E-2</v>
      </c>
      <c r="I20" s="59">
        <f>SUM(D20:H20)</f>
        <v>0.13698665585412736</v>
      </c>
      <c r="K20" s="56" t="s">
        <v>92</v>
      </c>
      <c r="L20" s="57">
        <f>L6</f>
        <v>125</v>
      </c>
      <c r="M20" s="35">
        <f>VLOOKUP($K$12,sourcedat!$B$15:$F$19,4,0)*M5</f>
        <v>7.1982571299230424E-3</v>
      </c>
      <c r="N20" s="31">
        <f>VLOOKUP($K$11,sourcedat!$B$28:$F$29,4,0)*N5</f>
        <v>2.4068814714714717E-3</v>
      </c>
      <c r="O20" s="59">
        <f>SUM(M20:N20)</f>
        <v>9.6051386013945132E-3</v>
      </c>
    </row>
    <row r="21" spans="1:15" x14ac:dyDescent="0.25">
      <c r="A21" s="60" t="s">
        <v>93</v>
      </c>
      <c r="B21" s="61">
        <f>B6</f>
        <v>125</v>
      </c>
      <c r="C21" s="62">
        <f>display!AC42</f>
        <v>0</v>
      </c>
      <c r="D21" s="46">
        <f>VLOOKUP($A$11,sourcedat!$B$15:$F$19,4,0)*D6</f>
        <v>1.8089999999999998E-2</v>
      </c>
      <c r="E21" s="47">
        <f>VLOOKUP($A$11,sourcedat!$B$23:$F$24,4,0)*E6</f>
        <v>5.9807879999999994E-2</v>
      </c>
      <c r="F21" s="47">
        <f>VLOOKUP($A$11,sourcedat!$B$28:$F$29,4,0)*F6</f>
        <v>2.7171046511627914E-3</v>
      </c>
      <c r="G21" s="63">
        <f>VLOOKUP($A$11,sourcedat!$B$33:$F$34,4,0)*G6</f>
        <v>2.1656249999999999E-4</v>
      </c>
      <c r="H21" s="47">
        <f>VLOOKUP($A$11,sourcedat!$B$23:$F$24,4,0)*H6</f>
        <v>5.8620436875000001E-2</v>
      </c>
      <c r="I21" s="64">
        <f>SUM(D21:H21)</f>
        <v>0.13945198402616277</v>
      </c>
      <c r="K21" s="60" t="s">
        <v>93</v>
      </c>
      <c r="L21" s="61">
        <f>L7</f>
        <v>47.552702702702703</v>
      </c>
      <c r="M21" s="46">
        <f>VLOOKUP($K$12,sourcedat!$B$15:$F$19,4,0)*M6</f>
        <v>7.1982571299230424E-3</v>
      </c>
      <c r="N21" s="47">
        <f>VLOOKUP($K$11,sourcedat!$B$28:$F$29,4,0)*N6</f>
        <v>1.4978910256410259E-2</v>
      </c>
      <c r="O21" s="64">
        <f>SUM(M21:N21)</f>
        <v>2.2177167386333303E-2</v>
      </c>
    </row>
    <row r="22" spans="1:15" x14ac:dyDescent="0.25">
      <c r="A22" s="65" t="s">
        <v>94</v>
      </c>
      <c r="B22" s="66">
        <f>display!AB43</f>
        <v>0</v>
      </c>
      <c r="C22" s="67">
        <f>display!AC43</f>
        <v>0</v>
      </c>
      <c r="D22" s="68">
        <f t="shared" ref="D22:I22" si="1">AVERAGE(D18:D21)</f>
        <v>1.8089999999999998E-2</v>
      </c>
      <c r="E22" s="69">
        <f t="shared" si="1"/>
        <v>5.9807879999999994E-2</v>
      </c>
      <c r="F22" s="70">
        <f t="shared" si="1"/>
        <v>1.0336453575109997E-3</v>
      </c>
      <c r="G22" s="70">
        <f t="shared" si="1"/>
        <v>8.5078125000000003E-5</v>
      </c>
      <c r="H22" s="69">
        <f t="shared" si="1"/>
        <v>5.8616492343749993E-2</v>
      </c>
      <c r="I22" s="71">
        <f t="shared" si="1"/>
        <v>0.13763309582626099</v>
      </c>
      <c r="K22" s="65" t="s">
        <v>94</v>
      </c>
      <c r="L22" s="66">
        <f>display!AK52</f>
        <v>0</v>
      </c>
      <c r="M22" s="68">
        <f>AVERAGE(M18:M21)</f>
        <v>7.1982571299230424E-3</v>
      </c>
      <c r="N22" s="70">
        <f>AVERAGE(N18:N21)</f>
        <v>5.6983013298683308E-3</v>
      </c>
      <c r="O22" s="71">
        <f>AVERAGE(O18:O21)</f>
        <v>1.2896558459791374E-2</v>
      </c>
    </row>
    <row r="25" spans="1:15" x14ac:dyDescent="0.25">
      <c r="A25" s="3" t="s">
        <v>105</v>
      </c>
      <c r="K25" s="3" t="s">
        <v>106</v>
      </c>
    </row>
    <row r="26" spans="1:15" x14ac:dyDescent="0.25">
      <c r="A26" s="18" t="s">
        <v>86</v>
      </c>
      <c r="B26" s="51" t="s">
        <v>87</v>
      </c>
      <c r="C26" s="51" t="s">
        <v>88</v>
      </c>
      <c r="D26" s="19" t="s">
        <v>89</v>
      </c>
      <c r="E26" s="19" t="s">
        <v>64</v>
      </c>
      <c r="F26" s="19" t="s">
        <v>38</v>
      </c>
      <c r="G26" s="19" t="s">
        <v>65</v>
      </c>
      <c r="H26" s="19" t="s">
        <v>66</v>
      </c>
      <c r="I26" s="21" t="s">
        <v>70</v>
      </c>
      <c r="K26" s="18" t="s">
        <v>86</v>
      </c>
      <c r="L26" s="51" t="s">
        <v>87</v>
      </c>
      <c r="M26" s="19" t="s">
        <v>89</v>
      </c>
      <c r="N26" s="19" t="s">
        <v>38</v>
      </c>
      <c r="O26" s="21" t="s">
        <v>70</v>
      </c>
    </row>
    <row r="27" spans="1:15" x14ac:dyDescent="0.25">
      <c r="A27" s="52" t="s">
        <v>90</v>
      </c>
      <c r="B27" s="53" t="str">
        <f>B12</f>
        <v>distance</v>
      </c>
      <c r="C27" s="54">
        <f>C12</f>
        <v>0</v>
      </c>
      <c r="D27" s="79">
        <f>VLOOKUP($A$11,sourcedat!$B$15:$F$19,5,0)*D3</f>
        <v>6.0300000000000006E-3</v>
      </c>
      <c r="E27" s="80">
        <f>VLOOKUP($A$11,sourcedat!$B$23:$F$24,5,0)*E3</f>
        <v>5.9807879999999994E-2</v>
      </c>
      <c r="F27" s="80">
        <f>VLOOKUP($A$11,sourcedat!$B$28:$F$29,5,0)*F3</f>
        <v>0</v>
      </c>
      <c r="G27" s="81">
        <f>VLOOKUP($A$11,sourcedat!$B$33:$F$34,5,0)*G3</f>
        <v>4.9499999999999997E-5</v>
      </c>
      <c r="H27" s="80">
        <f>VLOOKUP($A$11,sourcedat!$B$23:$F$24,5,0)*H3</f>
        <v>5.8615424999999999E-2</v>
      </c>
      <c r="I27" s="55">
        <f>SUM(D27:H27)</f>
        <v>0.12450280499999998</v>
      </c>
      <c r="K27" s="52" t="str">
        <f t="shared" ref="K27:L31" si="2">K3</f>
        <v>Surrey</v>
      </c>
      <c r="L27" s="53">
        <f t="shared" si="2"/>
        <v>24.845945945945946</v>
      </c>
      <c r="M27" s="79">
        <f>VLOOKUP($K$12,sourcedat!$B$15:$F$19,5,0)*M3</f>
        <v>7.1982571299230424E-3</v>
      </c>
      <c r="N27" s="25">
        <f>VLOOKUP($K$11,sourcedat!$B$28:$F$29,5,0)*N3</f>
        <v>0</v>
      </c>
      <c r="O27" s="55">
        <f>SUM(M27:N27)</f>
        <v>7.1982571299230424E-3</v>
      </c>
    </row>
    <row r="28" spans="1:15" x14ac:dyDescent="0.25">
      <c r="A28" s="56" t="s">
        <v>91</v>
      </c>
      <c r="B28" s="57">
        <f>B13</f>
        <v>0</v>
      </c>
      <c r="C28" s="58">
        <f>display!AC49</f>
        <v>0</v>
      </c>
      <c r="D28" s="35">
        <f>VLOOKUP($A$11,sourcedat!$B$15:$F$19,5,0)*D4</f>
        <v>6.0300000000000006E-3</v>
      </c>
      <c r="E28" s="31">
        <f>VLOOKUP($A$11,sourcedat!$B$23:$F$24,5,0)*E4</f>
        <v>5.9807879999999994E-2</v>
      </c>
      <c r="F28" s="31">
        <f>VLOOKUP($A$11,sourcedat!$B$28:$F$29,5,0)*F4</f>
        <v>0</v>
      </c>
      <c r="G28" s="36">
        <f>VLOOKUP($A$11,sourcedat!$B$33:$F$34,5,0)*G4</f>
        <v>3.7124999999999994E-5</v>
      </c>
      <c r="H28" s="31">
        <f>VLOOKUP($A$11,sourcedat!$B$23:$F$24,5,0)*H4</f>
        <v>5.8615053749999993E-2</v>
      </c>
      <c r="I28" s="59">
        <f>SUM(D28:H28)</f>
        <v>0.12449005874999998</v>
      </c>
      <c r="K28" s="56" t="str">
        <f t="shared" si="2"/>
        <v>Vancouver</v>
      </c>
      <c r="L28" s="57">
        <f t="shared" si="2"/>
        <v>20.27927927927928</v>
      </c>
      <c r="M28" s="35">
        <f>VLOOKUP($K$12,sourcedat!$B$15:$F$19,5,0)*M4</f>
        <v>7.1982571299230424E-3</v>
      </c>
      <c r="N28" s="31">
        <f>VLOOKUP($K$11,sourcedat!$B$28:$F$29,5,0)*N4</f>
        <v>0</v>
      </c>
      <c r="O28" s="59">
        <f>SUM(M28:N28)</f>
        <v>7.1982571299230424E-3</v>
      </c>
    </row>
    <row r="29" spans="1:15" x14ac:dyDescent="0.25">
      <c r="A29" s="56" t="s">
        <v>92</v>
      </c>
      <c r="B29" s="57">
        <f>B14</f>
        <v>0</v>
      </c>
      <c r="C29" s="58">
        <f>display!AC50</f>
        <v>0</v>
      </c>
      <c r="D29" s="35">
        <f>VLOOKUP($A$11,sourcedat!$B$15:$F$19,5,0)*D5</f>
        <v>6.0300000000000006E-3</v>
      </c>
      <c r="E29" s="31">
        <f>VLOOKUP($A$11,sourcedat!$B$23:$F$24,5,0)*E5</f>
        <v>5.9807879999999994E-2</v>
      </c>
      <c r="F29" s="31">
        <f>VLOOKUP($A$11,sourcedat!$B$28:$F$29,5,0)*F5</f>
        <v>0</v>
      </c>
      <c r="G29" s="36">
        <f>VLOOKUP($A$11,sourcedat!$B$33:$F$34,5,0)*G5</f>
        <v>3.7124999999999994E-5</v>
      </c>
      <c r="H29" s="31">
        <f>VLOOKUP($A$11,sourcedat!$B$23:$F$24,5,0)*H5</f>
        <v>5.8615053749999993E-2</v>
      </c>
      <c r="I29" s="59">
        <f>SUM(D29:H29)</f>
        <v>0.12449005874999998</v>
      </c>
      <c r="K29" s="56" t="str">
        <f t="shared" si="2"/>
        <v>UBC</v>
      </c>
      <c r="L29" s="57">
        <f t="shared" si="2"/>
        <v>20.085585585585587</v>
      </c>
      <c r="M29" s="35">
        <f>VLOOKUP($K$12,sourcedat!$B$15:$F$19,5,0)*M5</f>
        <v>7.1982571299230424E-3</v>
      </c>
      <c r="N29" s="31">
        <f>VLOOKUP($K$11,sourcedat!$B$28:$F$29,5,0)*N5</f>
        <v>0</v>
      </c>
      <c r="O29" s="59">
        <f>SUM(M29:N29)</f>
        <v>7.1982571299230424E-3</v>
      </c>
    </row>
    <row r="30" spans="1:15" x14ac:dyDescent="0.25">
      <c r="A30" s="60" t="s">
        <v>93</v>
      </c>
      <c r="B30" s="61">
        <f>B15</f>
        <v>0</v>
      </c>
      <c r="C30" s="62">
        <f>display!AC51</f>
        <v>0</v>
      </c>
      <c r="D30" s="46">
        <f>VLOOKUP($A$11,sourcedat!$B$15:$F$19,5,0)*D6</f>
        <v>6.0300000000000006E-3</v>
      </c>
      <c r="E30" s="47">
        <f>VLOOKUP($A$11,sourcedat!$B$23:$F$24,5,0)*E6</f>
        <v>5.9807879999999994E-2</v>
      </c>
      <c r="F30" s="47">
        <f>VLOOKUP($A$11,sourcedat!$B$28:$F$29,5,0)*F6</f>
        <v>0</v>
      </c>
      <c r="G30" s="63">
        <f>VLOOKUP($A$11,sourcedat!$B$33:$F$34,5,0)*G6</f>
        <v>2.1656249999999999E-4</v>
      </c>
      <c r="H30" s="47">
        <f>VLOOKUP($A$11,sourcedat!$B$23:$F$24,5,0)*H6</f>
        <v>5.8620436875000001E-2</v>
      </c>
      <c r="I30" s="64">
        <f>SUM(D30:H30)</f>
        <v>0.12467487937499999</v>
      </c>
      <c r="K30" s="60" t="str">
        <f t="shared" si="2"/>
        <v>CRD</v>
      </c>
      <c r="L30" s="61">
        <f t="shared" si="2"/>
        <v>125</v>
      </c>
      <c r="M30" s="46">
        <f>VLOOKUP($K$12,sourcedat!$B$15:$F$19,5,0)*M6</f>
        <v>7.1982571299230424E-3</v>
      </c>
      <c r="N30" s="47">
        <f>VLOOKUP($K$11,sourcedat!$B$28:$F$29,5,0)*N6</f>
        <v>0</v>
      </c>
      <c r="O30" s="64">
        <f>SUM(M30:N30)</f>
        <v>7.1982571299230424E-3</v>
      </c>
    </row>
    <row r="31" spans="1:15" x14ac:dyDescent="0.25">
      <c r="A31" s="65" t="s">
        <v>94</v>
      </c>
      <c r="B31" s="66">
        <f>display!AB52</f>
        <v>0</v>
      </c>
      <c r="C31" s="67">
        <f>display!AC52</f>
        <v>0</v>
      </c>
      <c r="D31" s="68">
        <f t="shared" ref="D31:I31" si="3">AVERAGE(D27:D30)</f>
        <v>6.0300000000000006E-3</v>
      </c>
      <c r="E31" s="69">
        <f t="shared" si="3"/>
        <v>5.9807879999999994E-2</v>
      </c>
      <c r="F31" s="70">
        <f t="shared" si="3"/>
        <v>0</v>
      </c>
      <c r="G31" s="70">
        <f t="shared" si="3"/>
        <v>8.5078125000000003E-5</v>
      </c>
      <c r="H31" s="69">
        <f t="shared" si="3"/>
        <v>5.8616492343749993E-2</v>
      </c>
      <c r="I31" s="71">
        <f t="shared" si="3"/>
        <v>0.12453945046874998</v>
      </c>
      <c r="K31" s="65" t="str">
        <f t="shared" si="2"/>
        <v>Average</v>
      </c>
      <c r="L31" s="66">
        <f t="shared" si="2"/>
        <v>47.552702702702703</v>
      </c>
      <c r="M31" s="68">
        <f>AVERAGE(M27:M30)</f>
        <v>7.1982571299230424E-3</v>
      </c>
      <c r="N31" s="70">
        <f>AVERAGE(N27:N30)</f>
        <v>0</v>
      </c>
      <c r="O31" s="71">
        <f>AVERAGE(O27:O30)</f>
        <v>7.1982571299230424E-3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25"/>
  <sheetViews>
    <sheetView zoomScale="80" zoomScaleNormal="80" workbookViewId="0">
      <selection activeCell="L29" sqref="L29"/>
    </sheetView>
  </sheetViews>
  <sheetFormatPr defaultRowHeight="15" x14ac:dyDescent="0.25"/>
  <cols>
    <col min="1" max="1" width="8.28515625" customWidth="1"/>
    <col min="2" max="2" width="11.5703125" customWidth="1"/>
    <col min="3" max="3" width="15.7109375" customWidth="1"/>
    <col min="4" max="4" width="27" customWidth="1"/>
    <col min="5" max="5" width="12" customWidth="1"/>
    <col min="6" max="6" width="4.42578125" customWidth="1"/>
    <col min="7" max="7" width="14.140625" customWidth="1"/>
    <col min="8" max="8" width="10.42578125" customWidth="1"/>
    <col min="9" max="9" width="10.5703125" customWidth="1"/>
    <col min="10" max="10" width="10" customWidth="1"/>
    <col min="11" max="12" width="11" customWidth="1"/>
    <col min="13" max="14" width="8.5703125" customWidth="1"/>
    <col min="15" max="15" width="12" customWidth="1"/>
    <col min="16" max="1025" width="8.5703125" customWidth="1"/>
  </cols>
  <sheetData>
    <row r="1" spans="1:17" ht="30" x14ac:dyDescent="0.25">
      <c r="A1" s="82" t="s">
        <v>107</v>
      </c>
      <c r="B1" s="82" t="s">
        <v>61</v>
      </c>
      <c r="C1" s="82" t="s">
        <v>108</v>
      </c>
      <c r="D1" s="82" t="s">
        <v>109</v>
      </c>
      <c r="G1" t="s">
        <v>110</v>
      </c>
    </row>
    <row r="2" spans="1:17" x14ac:dyDescent="0.25">
      <c r="A2" s="83">
        <v>29.54</v>
      </c>
      <c r="B2" s="84" t="s">
        <v>111</v>
      </c>
      <c r="C2" s="84"/>
      <c r="D2" s="85" t="s">
        <v>112</v>
      </c>
      <c r="G2" t="s">
        <v>113</v>
      </c>
      <c r="H2">
        <v>22.1</v>
      </c>
      <c r="I2" t="s">
        <v>114</v>
      </c>
      <c r="J2">
        <v>907.18499999999995</v>
      </c>
      <c r="K2" t="s">
        <v>115</v>
      </c>
      <c r="M2" t="s">
        <v>116</v>
      </c>
      <c r="N2">
        <v>393</v>
      </c>
      <c r="O2" t="s">
        <v>117</v>
      </c>
      <c r="P2" s="86">
        <f>H2*J2*N2/L3</f>
        <v>7.8791738804999998</v>
      </c>
      <c r="Q2" t="s">
        <v>118</v>
      </c>
    </row>
    <row r="3" spans="1:17" x14ac:dyDescent="0.25">
      <c r="A3" s="83">
        <v>24.2</v>
      </c>
      <c r="B3" s="84" t="s">
        <v>119</v>
      </c>
      <c r="C3" s="84"/>
      <c r="D3" s="85" t="s">
        <v>120</v>
      </c>
      <c r="I3" t="s">
        <v>121</v>
      </c>
      <c r="K3" t="s">
        <v>122</v>
      </c>
      <c r="L3" s="87">
        <v>1000000</v>
      </c>
      <c r="M3" t="s">
        <v>123</v>
      </c>
      <c r="N3">
        <v>1</v>
      </c>
      <c r="O3" t="s">
        <v>124</v>
      </c>
    </row>
    <row r="4" spans="1:17" x14ac:dyDescent="0.25">
      <c r="A4" s="83">
        <v>23.32</v>
      </c>
      <c r="B4" s="84" t="s">
        <v>125</v>
      </c>
      <c r="C4" s="84"/>
      <c r="D4" s="85" t="s">
        <v>126</v>
      </c>
      <c r="G4" t="s">
        <v>127</v>
      </c>
      <c r="H4">
        <v>25</v>
      </c>
      <c r="P4" s="88">
        <f>H4/H2*P2</f>
        <v>8.9130926249999991</v>
      </c>
    </row>
    <row r="5" spans="1:17" ht="30" x14ac:dyDescent="0.25">
      <c r="A5" s="83">
        <v>14.02</v>
      </c>
      <c r="B5" s="84" t="s">
        <v>128</v>
      </c>
      <c r="C5" s="84" t="s">
        <v>129</v>
      </c>
      <c r="D5" s="85" t="s">
        <v>130</v>
      </c>
    </row>
    <row r="6" spans="1:17" x14ac:dyDescent="0.25">
      <c r="A6" s="83">
        <v>12.13</v>
      </c>
      <c r="B6" s="84" t="s">
        <v>131</v>
      </c>
      <c r="C6" s="84"/>
      <c r="D6" s="85" t="s">
        <v>132</v>
      </c>
      <c r="G6" t="s">
        <v>133</v>
      </c>
      <c r="H6">
        <v>44.01</v>
      </c>
    </row>
    <row r="7" spans="1:17" x14ac:dyDescent="0.25">
      <c r="A7" s="83">
        <v>9.1929999999999996</v>
      </c>
      <c r="B7" s="84" t="s">
        <v>134</v>
      </c>
      <c r="C7" s="84" t="s">
        <v>135</v>
      </c>
      <c r="D7" s="85" t="s">
        <v>136</v>
      </c>
      <c r="G7" t="s">
        <v>137</v>
      </c>
      <c r="H7">
        <f>3*2.01588</f>
        <v>6.0476400000000003</v>
      </c>
    </row>
    <row r="8" spans="1:17" x14ac:dyDescent="0.25">
      <c r="A8" s="83">
        <v>5.0999999999999996</v>
      </c>
      <c r="B8" s="84" t="s">
        <v>138</v>
      </c>
      <c r="C8" s="84" t="s">
        <v>139</v>
      </c>
      <c r="D8" s="85" t="s">
        <v>140</v>
      </c>
      <c r="G8" t="s">
        <v>141</v>
      </c>
      <c r="H8">
        <f>H6/H7</f>
        <v>7.2772188820763137</v>
      </c>
    </row>
    <row r="9" spans="1:17" x14ac:dyDescent="0.25">
      <c r="A9" s="83">
        <v>2.67</v>
      </c>
      <c r="B9" s="84" t="s">
        <v>142</v>
      </c>
      <c r="C9" s="84"/>
      <c r="D9" s="85" t="s">
        <v>143</v>
      </c>
    </row>
    <row r="10" spans="1:17" x14ac:dyDescent="0.25">
      <c r="A10" s="83">
        <v>2.21</v>
      </c>
      <c r="B10" s="84" t="s">
        <v>144</v>
      </c>
      <c r="C10" s="84" t="s">
        <v>139</v>
      </c>
      <c r="D10" s="85" t="s">
        <v>145</v>
      </c>
    </row>
    <row r="15" spans="1:17" x14ac:dyDescent="0.25">
      <c r="G15" s="3" t="s">
        <v>146</v>
      </c>
    </row>
    <row r="16" spans="1:17" x14ac:dyDescent="0.25">
      <c r="M16" s="89"/>
    </row>
    <row r="17" spans="7:14" x14ac:dyDescent="0.25">
      <c r="G17" s="90"/>
      <c r="H17" s="91"/>
      <c r="I17" s="92"/>
      <c r="J17" s="268" t="s">
        <v>147</v>
      </c>
      <c r="K17" s="268"/>
      <c r="L17" s="268"/>
      <c r="M17" s="268"/>
      <c r="N17" s="89"/>
    </row>
    <row r="18" spans="7:14" ht="30" x14ac:dyDescent="0.25">
      <c r="G18" s="93" t="s">
        <v>148</v>
      </c>
      <c r="H18" s="94" t="s">
        <v>149</v>
      </c>
      <c r="I18" s="94" t="s">
        <v>150</v>
      </c>
      <c r="J18" s="95" t="s">
        <v>151</v>
      </c>
      <c r="K18" s="96" t="s">
        <v>152</v>
      </c>
      <c r="L18" s="96" t="s">
        <v>153</v>
      </c>
      <c r="M18" s="97"/>
    </row>
    <row r="19" spans="7:14" ht="30" x14ac:dyDescent="0.25">
      <c r="G19" s="98"/>
      <c r="H19" s="99" t="s">
        <v>154</v>
      </c>
      <c r="I19" s="99" t="s">
        <v>155</v>
      </c>
      <c r="J19" s="100">
        <v>0.81</v>
      </c>
      <c r="K19" s="101">
        <v>8.9999999999999993E-3</v>
      </c>
      <c r="L19" s="101">
        <v>4.0000000000000001E-3</v>
      </c>
      <c r="M19" s="102"/>
    </row>
    <row r="20" spans="7:14" ht="14.85" customHeight="1" x14ac:dyDescent="0.25">
      <c r="G20" s="98"/>
      <c r="H20" s="99"/>
      <c r="I20" s="99"/>
      <c r="J20" s="269" t="s">
        <v>156</v>
      </c>
      <c r="K20" s="269"/>
      <c r="L20" s="269"/>
      <c r="M20" s="102"/>
    </row>
    <row r="21" spans="7:14" ht="15" customHeight="1" x14ac:dyDescent="0.25">
      <c r="G21" s="103" t="s">
        <v>131</v>
      </c>
      <c r="H21" s="104">
        <v>0.56999999999999995</v>
      </c>
      <c r="I21" s="104">
        <v>12.1</v>
      </c>
      <c r="J21" s="105">
        <f t="shared" ref="J21:L25" si="0">$H21*J$19+$I21</f>
        <v>12.5617</v>
      </c>
      <c r="K21" s="106">
        <f t="shared" si="0"/>
        <v>12.105129999999999</v>
      </c>
      <c r="L21" s="106">
        <f t="shared" si="0"/>
        <v>12.10228</v>
      </c>
      <c r="M21" s="270" t="s">
        <v>157</v>
      </c>
    </row>
    <row r="22" spans="7:14" ht="30" x14ac:dyDescent="0.25">
      <c r="G22" s="103" t="s">
        <v>158</v>
      </c>
      <c r="H22" s="104">
        <v>60</v>
      </c>
      <c r="I22" s="104"/>
      <c r="J22" s="107">
        <f t="shared" si="0"/>
        <v>48.6</v>
      </c>
      <c r="K22" s="275">
        <f t="shared" si="0"/>
        <v>0.53999999999999992</v>
      </c>
      <c r="L22" s="275">
        <f t="shared" si="0"/>
        <v>0.24</v>
      </c>
      <c r="M22" s="270"/>
    </row>
    <row r="23" spans="7:14" ht="30" x14ac:dyDescent="0.25">
      <c r="G23" s="103" t="s">
        <v>159</v>
      </c>
      <c r="H23" s="104">
        <v>42</v>
      </c>
      <c r="I23" s="104"/>
      <c r="J23" s="107">
        <f t="shared" si="0"/>
        <v>34.020000000000003</v>
      </c>
      <c r="K23" s="275">
        <f t="shared" si="0"/>
        <v>0.37799999999999995</v>
      </c>
      <c r="L23" s="275">
        <f t="shared" si="0"/>
        <v>0.16800000000000001</v>
      </c>
      <c r="M23" s="270"/>
    </row>
    <row r="24" spans="7:14" x14ac:dyDescent="0.25">
      <c r="G24" s="108" t="s">
        <v>160</v>
      </c>
      <c r="H24" s="109">
        <v>27</v>
      </c>
      <c r="I24" s="109">
        <v>0</v>
      </c>
      <c r="J24" s="110">
        <f t="shared" si="0"/>
        <v>21.87</v>
      </c>
      <c r="K24" s="276">
        <f t="shared" si="0"/>
        <v>0.24299999999999999</v>
      </c>
      <c r="L24" s="276">
        <f t="shared" si="0"/>
        <v>0.108</v>
      </c>
      <c r="M24" s="270"/>
    </row>
    <row r="25" spans="7:14" x14ac:dyDescent="0.25">
      <c r="G25" s="111" t="s">
        <v>161</v>
      </c>
      <c r="H25" s="112">
        <v>0</v>
      </c>
      <c r="I25" s="112">
        <v>-5.8</v>
      </c>
      <c r="J25" s="113">
        <f t="shared" si="0"/>
        <v>-5.8</v>
      </c>
      <c r="K25" s="114">
        <f t="shared" si="0"/>
        <v>-5.8</v>
      </c>
      <c r="L25" s="114">
        <f t="shared" si="0"/>
        <v>-5.8</v>
      </c>
      <c r="M25" s="270"/>
    </row>
  </sheetData>
  <mergeCells count="3">
    <mergeCell ref="J17:M17"/>
    <mergeCell ref="J20:L20"/>
    <mergeCell ref="M21:M25"/>
  </mergeCells>
  <pageMargins left="0.7" right="0.7" top="0.75" bottom="0.75" header="0.51180555555555496" footer="0.51180555555555496"/>
  <pageSetup firstPageNumber="0" orientation="portrait" horizontalDpi="300" verticalDpi="3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93"/>
  <sheetViews>
    <sheetView zoomScale="80" zoomScaleNormal="80" workbookViewId="0"/>
  </sheetViews>
  <sheetFormatPr defaultRowHeight="15" x14ac:dyDescent="0.25"/>
  <cols>
    <col min="1" max="4" width="8.5703125" customWidth="1"/>
    <col min="5" max="5" width="11.5703125" customWidth="1"/>
    <col min="6" max="1025" width="8.5703125" customWidth="1"/>
  </cols>
  <sheetData>
    <row r="1" spans="1:26" x14ac:dyDescent="0.25">
      <c r="A1" t="s">
        <v>162</v>
      </c>
      <c r="E1">
        <v>300</v>
      </c>
      <c r="G1" s="3" t="s">
        <v>163</v>
      </c>
      <c r="P1" s="3" t="s">
        <v>164</v>
      </c>
    </row>
    <row r="2" spans="1:26" ht="45" x14ac:dyDescent="0.25">
      <c r="A2" s="115" t="s">
        <v>165</v>
      </c>
      <c r="B2" s="115" t="s">
        <v>166</v>
      </c>
      <c r="C2" s="115" t="s">
        <v>167</v>
      </c>
      <c r="D2" s="115" t="s">
        <v>168</v>
      </c>
      <c r="E2" s="116" t="s">
        <v>169</v>
      </c>
      <c r="G2" s="117" t="s">
        <v>170</v>
      </c>
      <c r="H2" s="118" t="s">
        <v>171</v>
      </c>
      <c r="P2" s="3" t="s">
        <v>172</v>
      </c>
      <c r="Q2" s="3"/>
      <c r="S2" t="s">
        <v>173</v>
      </c>
      <c r="T2" s="3" t="s">
        <v>173</v>
      </c>
      <c r="U2" s="3"/>
      <c r="V2" t="s">
        <v>174</v>
      </c>
      <c r="W2" t="s">
        <v>175</v>
      </c>
    </row>
    <row r="3" spans="1:26" x14ac:dyDescent="0.25">
      <c r="A3" s="119">
        <v>300</v>
      </c>
      <c r="B3" s="119">
        <v>0.10131999999999999</v>
      </c>
      <c r="C3" s="119">
        <v>3958.2</v>
      </c>
      <c r="D3" s="119">
        <v>53.463000000000001</v>
      </c>
      <c r="E3" s="120">
        <f t="shared" ref="E3:E34" si="0">($E$1*($D$3-D3)-($C$3-C3))/3600</f>
        <v>0</v>
      </c>
      <c r="P3" s="3" t="s">
        <v>176</v>
      </c>
      <c r="Q3" s="3" t="s">
        <v>177</v>
      </c>
      <c r="R3" s="3" t="s">
        <v>178</v>
      </c>
      <c r="S3" s="3" t="s">
        <v>179</v>
      </c>
      <c r="T3" s="3" t="s">
        <v>180</v>
      </c>
      <c r="U3" s="3" t="s">
        <v>181</v>
      </c>
      <c r="V3" s="3" t="s">
        <v>3</v>
      </c>
      <c r="W3" s="3" t="s">
        <v>3</v>
      </c>
      <c r="X3" s="3" t="s">
        <v>4</v>
      </c>
      <c r="Z3" s="3" t="s">
        <v>182</v>
      </c>
    </row>
    <row r="4" spans="1:26" x14ac:dyDescent="0.25">
      <c r="A4" s="119">
        <v>300</v>
      </c>
      <c r="B4" s="119">
        <v>1</v>
      </c>
      <c r="C4" s="119">
        <v>3962.1</v>
      </c>
      <c r="D4" s="119">
        <v>44.012</v>
      </c>
      <c r="E4" s="120">
        <f t="shared" si="0"/>
        <v>0.78866666666666674</v>
      </c>
      <c r="G4" t="s">
        <v>183</v>
      </c>
      <c r="K4" t="s">
        <v>184</v>
      </c>
      <c r="L4">
        <v>6.7200000000000003E-3</v>
      </c>
      <c r="P4">
        <v>0.101325</v>
      </c>
      <c r="Q4">
        <v>3958.2</v>
      </c>
      <c r="R4">
        <v>53.517000000000003</v>
      </c>
    </row>
    <row r="5" spans="1:26" x14ac:dyDescent="0.25">
      <c r="A5" s="119">
        <v>300</v>
      </c>
      <c r="B5" s="119">
        <v>2</v>
      </c>
      <c r="C5" s="119">
        <v>3966.5</v>
      </c>
      <c r="D5" s="119">
        <v>41.143999999999998</v>
      </c>
      <c r="E5" s="120">
        <f t="shared" si="0"/>
        <v>1.0288888888888892</v>
      </c>
      <c r="G5" t="s">
        <v>185</v>
      </c>
      <c r="P5">
        <v>12</v>
      </c>
      <c r="Q5">
        <v>4015.6</v>
      </c>
      <c r="R5">
        <v>33.673000000000002</v>
      </c>
      <c r="S5">
        <v>1</v>
      </c>
      <c r="T5">
        <v>12</v>
      </c>
      <c r="U5">
        <f>300*(R4-R5)-(Q4-Q5)</f>
        <v>6010.6</v>
      </c>
      <c r="V5">
        <f>U5/3600</f>
        <v>1.6696111111111112</v>
      </c>
    </row>
    <row r="6" spans="1:26" x14ac:dyDescent="0.25">
      <c r="A6" s="119">
        <v>300</v>
      </c>
      <c r="B6" s="119">
        <v>2</v>
      </c>
      <c r="C6" s="119">
        <v>3966.5</v>
      </c>
      <c r="D6" s="119">
        <v>41.143999999999998</v>
      </c>
      <c r="E6" s="120">
        <f t="shared" si="0"/>
        <v>1.0288888888888892</v>
      </c>
      <c r="G6" t="s">
        <v>186</v>
      </c>
      <c r="L6" t="s">
        <v>187</v>
      </c>
      <c r="M6" t="s">
        <v>188</v>
      </c>
      <c r="N6" t="s">
        <v>189</v>
      </c>
      <c r="P6">
        <v>20</v>
      </c>
      <c r="Q6">
        <v>4061.5</v>
      </c>
      <c r="R6">
        <v>31.495000000000001</v>
      </c>
      <c r="S6">
        <v>1</v>
      </c>
      <c r="T6">
        <v>20</v>
      </c>
      <c r="U6">
        <f>300*(R4-R6)-(Q4-Q6)</f>
        <v>6709.9000000000005</v>
      </c>
      <c r="V6">
        <f>U6/3600</f>
        <v>1.8638611111111112</v>
      </c>
      <c r="W6" s="3">
        <f>V6/Z6</f>
        <v>2.6437746256895194</v>
      </c>
      <c r="Z6">
        <v>0.70499999999999996</v>
      </c>
    </row>
    <row r="7" spans="1:26" x14ac:dyDescent="0.25">
      <c r="A7" s="119">
        <v>300</v>
      </c>
      <c r="B7" s="119">
        <v>2</v>
      </c>
      <c r="C7" s="119">
        <v>3966.5</v>
      </c>
      <c r="D7" s="119">
        <v>41.143999999999998</v>
      </c>
      <c r="E7" s="120">
        <f t="shared" si="0"/>
        <v>1.0288888888888892</v>
      </c>
      <c r="G7" t="s">
        <v>190</v>
      </c>
      <c r="K7" t="s">
        <v>191</v>
      </c>
      <c r="L7">
        <v>-702.9</v>
      </c>
      <c r="M7">
        <v>-736.1</v>
      </c>
      <c r="N7">
        <v>-669.6</v>
      </c>
      <c r="P7">
        <v>25</v>
      </c>
      <c r="Q7">
        <v>4091.5</v>
      </c>
      <c r="R7">
        <v>30.571000000000002</v>
      </c>
    </row>
    <row r="8" spans="1:26" x14ac:dyDescent="0.25">
      <c r="A8" s="119">
        <v>300</v>
      </c>
      <c r="B8" s="119">
        <v>3</v>
      </c>
      <c r="C8" s="119">
        <v>3971</v>
      </c>
      <c r="D8" s="119">
        <v>39.462000000000003</v>
      </c>
      <c r="E8" s="120">
        <f t="shared" si="0"/>
        <v>1.1703055555555555</v>
      </c>
      <c r="G8" t="s">
        <v>192</v>
      </c>
      <c r="K8" t="s">
        <v>193</v>
      </c>
      <c r="L8">
        <v>5.8939999999999999E-3</v>
      </c>
      <c r="M8">
        <v>5.6189999999999999E-3</v>
      </c>
      <c r="N8">
        <v>6.169E-3</v>
      </c>
      <c r="P8">
        <v>31.2</v>
      </c>
      <c r="Q8">
        <v>4131.3</v>
      </c>
      <c r="R8">
        <v>29.631</v>
      </c>
      <c r="S8">
        <v>1</v>
      </c>
      <c r="T8">
        <v>312</v>
      </c>
      <c r="U8">
        <f>300*(R4-R8)-(Q4-Q8)</f>
        <v>7338.9000000000015</v>
      </c>
      <c r="V8">
        <f t="shared" ref="V8:V13" si="1">U8/3600</f>
        <v>2.0385833333333339</v>
      </c>
      <c r="W8" s="121">
        <f>V8/Z8</f>
        <v>2.8916075650118214</v>
      </c>
      <c r="X8" s="121">
        <f>W8*prod!$K$19</f>
        <v>2.6024468085106389E-2</v>
      </c>
      <c r="Z8">
        <v>0.70499999999999996</v>
      </c>
    </row>
    <row r="9" spans="1:26" x14ac:dyDescent="0.25">
      <c r="A9" s="119">
        <v>300</v>
      </c>
      <c r="B9" s="119">
        <v>4</v>
      </c>
      <c r="C9" s="119">
        <v>3975.6</v>
      </c>
      <c r="D9" s="119">
        <v>38.267000000000003</v>
      </c>
      <c r="E9" s="120">
        <f t="shared" si="0"/>
        <v>1.2711666666666663</v>
      </c>
      <c r="G9" t="s">
        <v>194</v>
      </c>
      <c r="K9" t="s">
        <v>195</v>
      </c>
      <c r="L9">
        <v>746.9</v>
      </c>
      <c r="M9">
        <v>713.7</v>
      </c>
      <c r="N9">
        <v>780.2</v>
      </c>
      <c r="S9">
        <v>20</v>
      </c>
      <c r="T9">
        <v>312</v>
      </c>
      <c r="U9">
        <f>300*(R6-R8)-(Q6-Q8)</f>
        <v>629.00000000000045</v>
      </c>
      <c r="V9">
        <f t="shared" si="1"/>
        <v>0.17472222222222236</v>
      </c>
      <c r="W9" s="121">
        <f>V9/Z9</f>
        <v>0.24783293932230124</v>
      </c>
      <c r="X9" s="121">
        <f>W9*prod!$K$19</f>
        <v>2.2304964539007111E-3</v>
      </c>
      <c r="Z9">
        <v>0.70499999999999996</v>
      </c>
    </row>
    <row r="10" spans="1:26" x14ac:dyDescent="0.25">
      <c r="A10" s="119">
        <v>300</v>
      </c>
      <c r="B10" s="119">
        <v>5</v>
      </c>
      <c r="C10" s="119">
        <v>3980.3</v>
      </c>
      <c r="D10" s="119">
        <v>37.338000000000001</v>
      </c>
      <c r="E10" s="120">
        <f t="shared" si="0"/>
        <v>1.3498888888888889</v>
      </c>
      <c r="P10">
        <v>88</v>
      </c>
      <c r="Q10">
        <v>4547.2</v>
      </c>
      <c r="R10">
        <v>25.248000000000001</v>
      </c>
      <c r="S10">
        <v>1</v>
      </c>
      <c r="T10">
        <v>880</v>
      </c>
      <c r="U10">
        <f>300*(R4-R10)-(Q4-Q10)</f>
        <v>9069.7000000000007</v>
      </c>
      <c r="V10">
        <f t="shared" si="1"/>
        <v>2.5193611111111114</v>
      </c>
      <c r="W10" s="3">
        <f>V10/Z10</f>
        <v>3.624980015987211</v>
      </c>
      <c r="Z10">
        <v>0.69499999999999995</v>
      </c>
    </row>
    <row r="11" spans="1:26" x14ac:dyDescent="0.25">
      <c r="A11" s="119">
        <v>300</v>
      </c>
      <c r="B11" s="119">
        <v>6</v>
      </c>
      <c r="C11" s="119">
        <v>3985.1</v>
      </c>
      <c r="D11" s="119">
        <v>36.576999999999998</v>
      </c>
      <c r="E11" s="120">
        <f t="shared" si="0"/>
        <v>1.414638888888889</v>
      </c>
      <c r="S11">
        <v>20</v>
      </c>
      <c r="T11">
        <v>880</v>
      </c>
      <c r="U11">
        <f>300*(R6-R10)-(Q6-Q10)</f>
        <v>2359.7999999999997</v>
      </c>
      <c r="V11">
        <f t="shared" si="1"/>
        <v>0.65549999999999997</v>
      </c>
      <c r="W11" s="3">
        <f>V11/Z11</f>
        <v>0.94316546762589926</v>
      </c>
      <c r="Z11">
        <v>0.69499999999999995</v>
      </c>
    </row>
    <row r="12" spans="1:26" x14ac:dyDescent="0.25">
      <c r="A12" s="119">
        <v>300</v>
      </c>
      <c r="B12" s="119">
        <v>7</v>
      </c>
      <c r="C12" s="119">
        <v>3990</v>
      </c>
      <c r="D12" s="119">
        <v>35.933</v>
      </c>
      <c r="E12" s="120">
        <f t="shared" si="0"/>
        <v>1.4696666666666667</v>
      </c>
      <c r="S12">
        <v>120</v>
      </c>
      <c r="T12">
        <v>880</v>
      </c>
      <c r="U12">
        <f>300*(R5-R10)-(Q5-Q10)</f>
        <v>3059.1</v>
      </c>
      <c r="V12">
        <f t="shared" si="1"/>
        <v>0.84975000000000001</v>
      </c>
      <c r="W12" s="121">
        <f>V12/Z12</f>
        <v>1.2226618705035972</v>
      </c>
      <c r="X12" s="121">
        <f>W12*prod!$K$19</f>
        <v>1.1003956834532374E-2</v>
      </c>
      <c r="Z12">
        <v>0.69499999999999995</v>
      </c>
    </row>
    <row r="13" spans="1:26" x14ac:dyDescent="0.25">
      <c r="A13" s="119">
        <v>300</v>
      </c>
      <c r="B13" s="119">
        <v>8</v>
      </c>
      <c r="C13" s="119">
        <v>3994.9</v>
      </c>
      <c r="D13" s="119">
        <v>35.375</v>
      </c>
      <c r="E13" s="120">
        <f t="shared" si="0"/>
        <v>1.5175277777777778</v>
      </c>
      <c r="G13" s="3" t="s">
        <v>196</v>
      </c>
      <c r="S13">
        <v>250</v>
      </c>
      <c r="T13">
        <v>880</v>
      </c>
      <c r="U13">
        <f>300*(R7-R10)-(Q7-Q10)</f>
        <v>2052.6</v>
      </c>
      <c r="V13">
        <f t="shared" si="1"/>
        <v>0.5701666666666666</v>
      </c>
    </row>
    <row r="14" spans="1:26" x14ac:dyDescent="0.25">
      <c r="A14" s="119">
        <v>300</v>
      </c>
      <c r="B14" s="119">
        <v>9</v>
      </c>
      <c r="C14" s="119">
        <v>4000</v>
      </c>
      <c r="D14" s="119">
        <v>34.881</v>
      </c>
      <c r="E14" s="120">
        <f t="shared" si="0"/>
        <v>1.5601111111111112</v>
      </c>
      <c r="G14" t="s">
        <v>183</v>
      </c>
      <c r="K14" t="s">
        <v>197</v>
      </c>
      <c r="L14">
        <v>0.65190000000000003</v>
      </c>
    </row>
    <row r="15" spans="1:26" x14ac:dyDescent="0.25">
      <c r="A15" s="119">
        <v>300</v>
      </c>
      <c r="B15" s="119">
        <v>10</v>
      </c>
      <c r="C15" s="119">
        <v>4005.1</v>
      </c>
      <c r="D15" s="119">
        <v>34.439</v>
      </c>
      <c r="E15" s="120">
        <f t="shared" si="0"/>
        <v>1.5983611111111111</v>
      </c>
      <c r="G15" t="s">
        <v>185</v>
      </c>
    </row>
    <row r="16" spans="1:26" x14ac:dyDescent="0.25">
      <c r="A16" s="119">
        <v>300</v>
      </c>
      <c r="B16" s="119">
        <v>11</v>
      </c>
      <c r="C16" s="119">
        <v>4010.3</v>
      </c>
      <c r="D16" s="119">
        <v>34.039000000000001</v>
      </c>
      <c r="E16" s="120">
        <f t="shared" si="0"/>
        <v>1.6331388888888889</v>
      </c>
      <c r="G16" t="s">
        <v>186</v>
      </c>
      <c r="P16" s="3" t="s">
        <v>198</v>
      </c>
    </row>
    <row r="17" spans="1:19" x14ac:dyDescent="0.25">
      <c r="A17" s="119">
        <v>300</v>
      </c>
      <c r="B17" s="119">
        <v>12</v>
      </c>
      <c r="C17" s="119">
        <v>4015.6</v>
      </c>
      <c r="D17" s="119">
        <v>33.673000000000002</v>
      </c>
      <c r="E17" s="120">
        <f t="shared" si="0"/>
        <v>1.665111111111111</v>
      </c>
      <c r="G17" t="s">
        <v>199</v>
      </c>
      <c r="K17" t="s">
        <v>191</v>
      </c>
      <c r="L17">
        <v>2.927</v>
      </c>
      <c r="M17">
        <v>2.895</v>
      </c>
      <c r="N17">
        <v>2.96</v>
      </c>
      <c r="P17">
        <v>0.51</v>
      </c>
      <c r="Q17" t="s">
        <v>200</v>
      </c>
    </row>
    <row r="18" spans="1:19" x14ac:dyDescent="0.25">
      <c r="A18" s="119">
        <v>300</v>
      </c>
      <c r="B18" s="119">
        <v>13</v>
      </c>
      <c r="C18" s="119">
        <v>4021</v>
      </c>
      <c r="D18" s="119">
        <v>33.335999999999999</v>
      </c>
      <c r="E18" s="120">
        <f t="shared" si="0"/>
        <v>1.6946944444444445</v>
      </c>
      <c r="G18" t="s">
        <v>201</v>
      </c>
      <c r="K18" t="s">
        <v>193</v>
      </c>
      <c r="L18">
        <v>1.1850000000000001</v>
      </c>
      <c r="M18">
        <v>1.1819999999999999</v>
      </c>
      <c r="N18">
        <v>1.1870000000000001</v>
      </c>
      <c r="P18">
        <v>0.9</v>
      </c>
      <c r="Q18" t="s">
        <v>202</v>
      </c>
    </row>
    <row r="19" spans="1:19" x14ac:dyDescent="0.25">
      <c r="A19" s="119">
        <v>300</v>
      </c>
      <c r="B19" s="119">
        <v>14</v>
      </c>
      <c r="C19" s="119">
        <v>4026.5</v>
      </c>
      <c r="D19" s="119">
        <v>33.023000000000003</v>
      </c>
      <c r="E19" s="120">
        <f t="shared" si="0"/>
        <v>1.7223055555555553</v>
      </c>
      <c r="G19" t="s">
        <v>203</v>
      </c>
      <c r="K19" t="s">
        <v>195</v>
      </c>
      <c r="L19">
        <v>3960</v>
      </c>
      <c r="M19">
        <v>3959</v>
      </c>
      <c r="N19">
        <v>3960</v>
      </c>
      <c r="P19">
        <f>SUM(P17:P18)/2</f>
        <v>0.70500000000000007</v>
      </c>
      <c r="Q19" t="s">
        <v>204</v>
      </c>
      <c r="R19">
        <f>(P19-P17)/P19</f>
        <v>0.27659574468085113</v>
      </c>
      <c r="S19" s="5"/>
    </row>
    <row r="20" spans="1:19" x14ac:dyDescent="0.25">
      <c r="A20" s="119">
        <v>300</v>
      </c>
      <c r="B20" s="119">
        <v>15</v>
      </c>
      <c r="C20" s="119">
        <v>4032.1</v>
      </c>
      <c r="D20" s="119">
        <v>32.731999999999999</v>
      </c>
      <c r="E20" s="120">
        <f t="shared" si="0"/>
        <v>1.7481111111111114</v>
      </c>
    </row>
    <row r="21" spans="1:19" x14ac:dyDescent="0.25">
      <c r="A21" s="119">
        <v>300</v>
      </c>
      <c r="B21" s="119">
        <v>16</v>
      </c>
      <c r="C21" s="119">
        <v>4037.7</v>
      </c>
      <c r="D21" s="119">
        <v>32.46</v>
      </c>
      <c r="E21" s="120">
        <f t="shared" si="0"/>
        <v>1.7723333333333333</v>
      </c>
      <c r="P21" s="3" t="s">
        <v>198</v>
      </c>
    </row>
    <row r="22" spans="1:19" x14ac:dyDescent="0.25">
      <c r="A22" s="119">
        <v>300</v>
      </c>
      <c r="B22" s="119">
        <v>17</v>
      </c>
      <c r="C22" s="119">
        <v>4043.4</v>
      </c>
      <c r="D22" s="119">
        <v>32.204000000000001</v>
      </c>
      <c r="E22" s="120">
        <f t="shared" si="0"/>
        <v>1.7952499999999998</v>
      </c>
      <c r="P22">
        <v>0.49</v>
      </c>
      <c r="Q22" t="s">
        <v>200</v>
      </c>
    </row>
    <row r="23" spans="1:19" x14ac:dyDescent="0.25">
      <c r="A23" s="119">
        <v>300</v>
      </c>
      <c r="B23" s="119">
        <v>18</v>
      </c>
      <c r="C23" s="119">
        <v>4049.2</v>
      </c>
      <c r="D23" s="119">
        <v>31.962</v>
      </c>
      <c r="E23" s="120">
        <f t="shared" si="0"/>
        <v>1.8170277777777779</v>
      </c>
      <c r="P23">
        <v>0.9</v>
      </c>
      <c r="Q23" t="s">
        <v>202</v>
      </c>
    </row>
    <row r="24" spans="1:19" x14ac:dyDescent="0.25">
      <c r="A24" s="119">
        <v>300</v>
      </c>
      <c r="B24" s="119">
        <v>19</v>
      </c>
      <c r="C24" s="119">
        <v>4055</v>
      </c>
      <c r="D24" s="119">
        <v>31.733000000000001</v>
      </c>
      <c r="E24" s="120">
        <f t="shared" si="0"/>
        <v>1.8377222222222223</v>
      </c>
      <c r="P24">
        <f>SUM(P22:P23)/2</f>
        <v>0.69500000000000006</v>
      </c>
      <c r="Q24" t="s">
        <v>204</v>
      </c>
      <c r="R24">
        <f>(P24-P22)/P24</f>
        <v>0.29496402877697847</v>
      </c>
      <c r="S24" s="5"/>
    </row>
    <row r="25" spans="1:19" x14ac:dyDescent="0.25">
      <c r="A25" s="119">
        <v>300</v>
      </c>
      <c r="B25" s="119">
        <v>20</v>
      </c>
      <c r="C25" s="119">
        <v>4060.9</v>
      </c>
      <c r="D25" s="119">
        <v>31.515999999999998</v>
      </c>
      <c r="E25" s="120">
        <f t="shared" si="0"/>
        <v>1.8574444444444447</v>
      </c>
    </row>
    <row r="26" spans="1:19" x14ac:dyDescent="0.25">
      <c r="A26" s="119">
        <v>300</v>
      </c>
      <c r="B26" s="119">
        <v>21</v>
      </c>
      <c r="C26" s="119">
        <v>4066.9</v>
      </c>
      <c r="D26" s="119">
        <v>31.31</v>
      </c>
      <c r="E26" s="120">
        <f t="shared" si="0"/>
        <v>1.8762777777777779</v>
      </c>
    </row>
    <row r="27" spans="1:19" x14ac:dyDescent="0.25">
      <c r="A27" s="119">
        <v>300</v>
      </c>
      <c r="B27" s="119">
        <v>22</v>
      </c>
      <c r="C27" s="119">
        <v>4073</v>
      </c>
      <c r="D27" s="119">
        <v>31.113</v>
      </c>
      <c r="E27" s="120">
        <f t="shared" si="0"/>
        <v>1.8943888888888889</v>
      </c>
    </row>
    <row r="28" spans="1:19" x14ac:dyDescent="0.25">
      <c r="A28" s="119">
        <v>300</v>
      </c>
      <c r="B28" s="119">
        <v>23</v>
      </c>
      <c r="C28" s="119">
        <v>4079.1</v>
      </c>
      <c r="D28" s="119">
        <v>30.923999999999999</v>
      </c>
      <c r="E28" s="120">
        <f t="shared" si="0"/>
        <v>1.9118333333333335</v>
      </c>
    </row>
    <row r="29" spans="1:19" x14ac:dyDescent="0.25">
      <c r="A29" s="119">
        <v>300</v>
      </c>
      <c r="B29" s="119">
        <v>24</v>
      </c>
      <c r="C29" s="119">
        <v>4085.3</v>
      </c>
      <c r="D29" s="119">
        <v>30.744</v>
      </c>
      <c r="E29" s="120">
        <f t="shared" si="0"/>
        <v>1.9285555555555558</v>
      </c>
    </row>
    <row r="30" spans="1:19" x14ac:dyDescent="0.25">
      <c r="A30" s="119">
        <v>300</v>
      </c>
      <c r="B30" s="119">
        <v>25</v>
      </c>
      <c r="C30" s="119">
        <v>4091.5</v>
      </c>
      <c r="D30" s="119">
        <v>30.571000000000002</v>
      </c>
      <c r="E30" s="120">
        <f t="shared" si="0"/>
        <v>1.9446944444444443</v>
      </c>
    </row>
    <row r="31" spans="1:19" x14ac:dyDescent="0.25">
      <c r="A31" s="119">
        <v>300</v>
      </c>
      <c r="B31" s="119">
        <v>26</v>
      </c>
      <c r="C31" s="119">
        <v>4097.8</v>
      </c>
      <c r="D31" s="119">
        <v>30.405000000000001</v>
      </c>
      <c r="E31" s="120">
        <f t="shared" si="0"/>
        <v>1.9602777777777778</v>
      </c>
    </row>
    <row r="32" spans="1:19" x14ac:dyDescent="0.25">
      <c r="A32" s="119">
        <v>300</v>
      </c>
      <c r="B32" s="119">
        <v>27</v>
      </c>
      <c r="C32" s="119">
        <v>4104.1000000000004</v>
      </c>
      <c r="D32" s="119">
        <v>30.245000000000001</v>
      </c>
      <c r="E32" s="120">
        <f t="shared" si="0"/>
        <v>1.9753611111111111</v>
      </c>
    </row>
    <row r="33" spans="1:5" x14ac:dyDescent="0.25">
      <c r="A33" s="119">
        <v>300</v>
      </c>
      <c r="B33" s="119">
        <v>28</v>
      </c>
      <c r="C33" s="119">
        <v>4110.5</v>
      </c>
      <c r="D33" s="119">
        <v>30.09</v>
      </c>
      <c r="E33" s="120">
        <f t="shared" si="0"/>
        <v>1.9900555555555557</v>
      </c>
    </row>
    <row r="34" spans="1:5" x14ac:dyDescent="0.25">
      <c r="A34" s="119">
        <v>300</v>
      </c>
      <c r="B34" s="119">
        <v>29</v>
      </c>
      <c r="C34" s="119">
        <v>4117</v>
      </c>
      <c r="D34" s="119">
        <v>29.940999999999999</v>
      </c>
      <c r="E34" s="120">
        <f t="shared" si="0"/>
        <v>2.0042777777777778</v>
      </c>
    </row>
    <row r="35" spans="1:5" x14ac:dyDescent="0.25">
      <c r="A35" s="119">
        <v>300</v>
      </c>
      <c r="B35" s="119">
        <v>30</v>
      </c>
      <c r="C35" s="119">
        <v>4123.5</v>
      </c>
      <c r="D35" s="119">
        <v>29.797999999999998</v>
      </c>
      <c r="E35" s="120">
        <f t="shared" ref="E35:E66" si="2">($E$1*($D$3-D35)-($C$3-C35))/3600</f>
        <v>2.0180000000000002</v>
      </c>
    </row>
    <row r="36" spans="1:5" x14ac:dyDescent="0.25">
      <c r="A36" s="119">
        <v>300</v>
      </c>
      <c r="B36" s="119">
        <v>31</v>
      </c>
      <c r="C36" s="119">
        <v>4130</v>
      </c>
      <c r="D36" s="119">
        <v>29.658000000000001</v>
      </c>
      <c r="E36" s="120">
        <f t="shared" si="2"/>
        <v>2.0314722222222223</v>
      </c>
    </row>
    <row r="37" spans="1:5" x14ac:dyDescent="0.25">
      <c r="A37" s="119">
        <v>300</v>
      </c>
      <c r="B37" s="119">
        <v>32</v>
      </c>
      <c r="C37" s="119">
        <v>4136.6000000000004</v>
      </c>
      <c r="D37" s="119">
        <v>29.524000000000001</v>
      </c>
      <c r="E37" s="120">
        <f t="shared" si="2"/>
        <v>2.0444722222222222</v>
      </c>
    </row>
    <row r="38" spans="1:5" x14ac:dyDescent="0.25">
      <c r="A38" s="119">
        <v>300</v>
      </c>
      <c r="B38" s="119">
        <v>33</v>
      </c>
      <c r="C38" s="119">
        <v>4143.2</v>
      </c>
      <c r="D38" s="119">
        <v>29.393000000000001</v>
      </c>
      <c r="E38" s="120">
        <f t="shared" si="2"/>
        <v>2.0572222222222223</v>
      </c>
    </row>
    <row r="39" spans="1:5" x14ac:dyDescent="0.25">
      <c r="A39" s="119">
        <v>300</v>
      </c>
      <c r="B39" s="119">
        <v>34</v>
      </c>
      <c r="C39" s="119">
        <v>4149.8999999999996</v>
      </c>
      <c r="D39" s="119">
        <v>29.265999999999998</v>
      </c>
      <c r="E39" s="120">
        <f t="shared" si="2"/>
        <v>2.0696666666666665</v>
      </c>
    </row>
    <row r="40" spans="1:5" x14ac:dyDescent="0.25">
      <c r="A40" s="119">
        <v>300</v>
      </c>
      <c r="B40" s="119">
        <v>35</v>
      </c>
      <c r="C40" s="119">
        <v>4156.6000000000004</v>
      </c>
      <c r="D40" s="119">
        <v>29.143000000000001</v>
      </c>
      <c r="E40" s="120">
        <f t="shared" si="2"/>
        <v>2.0817777777777779</v>
      </c>
    </row>
    <row r="41" spans="1:5" x14ac:dyDescent="0.25">
      <c r="A41" s="119">
        <v>300</v>
      </c>
      <c r="B41" s="119">
        <v>36</v>
      </c>
      <c r="C41" s="119">
        <v>4163.3999999999996</v>
      </c>
      <c r="D41" s="119">
        <v>29.024000000000001</v>
      </c>
      <c r="E41" s="120">
        <f t="shared" si="2"/>
        <v>2.0935833333333331</v>
      </c>
    </row>
    <row r="42" spans="1:5" x14ac:dyDescent="0.25">
      <c r="A42" s="119">
        <v>300</v>
      </c>
      <c r="B42" s="119">
        <v>37</v>
      </c>
      <c r="C42" s="119">
        <v>4170.2</v>
      </c>
      <c r="D42" s="119">
        <v>28.908000000000001</v>
      </c>
      <c r="E42" s="120">
        <f t="shared" si="2"/>
        <v>2.1051388888888889</v>
      </c>
    </row>
    <row r="43" spans="1:5" x14ac:dyDescent="0.25">
      <c r="A43" s="119">
        <v>300</v>
      </c>
      <c r="B43" s="119">
        <v>38</v>
      </c>
      <c r="C43" s="119">
        <v>4177</v>
      </c>
      <c r="D43" s="119">
        <v>28.794</v>
      </c>
      <c r="E43" s="120">
        <f t="shared" si="2"/>
        <v>2.1165277777777778</v>
      </c>
    </row>
    <row r="44" spans="1:5" x14ac:dyDescent="0.25">
      <c r="A44" s="119">
        <v>300</v>
      </c>
      <c r="B44" s="119">
        <v>39</v>
      </c>
      <c r="C44" s="119">
        <v>4183.8999999999996</v>
      </c>
      <c r="D44" s="119">
        <v>28.684000000000001</v>
      </c>
      <c r="E44" s="120">
        <f t="shared" si="2"/>
        <v>2.1276111111111109</v>
      </c>
    </row>
    <row r="45" spans="1:5" x14ac:dyDescent="0.25">
      <c r="A45" s="119">
        <v>300</v>
      </c>
      <c r="B45" s="119">
        <v>40</v>
      </c>
      <c r="C45" s="119">
        <v>4190.8</v>
      </c>
      <c r="D45" s="119">
        <v>28.577000000000002</v>
      </c>
      <c r="E45" s="120">
        <f t="shared" si="2"/>
        <v>2.1384444444444446</v>
      </c>
    </row>
    <row r="46" spans="1:5" x14ac:dyDescent="0.25">
      <c r="A46" s="119">
        <v>300</v>
      </c>
      <c r="B46" s="119">
        <v>41</v>
      </c>
      <c r="C46" s="119">
        <v>4197.7</v>
      </c>
      <c r="D46" s="119">
        <v>28.472000000000001</v>
      </c>
      <c r="E46" s="120">
        <f t="shared" si="2"/>
        <v>2.149111111111111</v>
      </c>
    </row>
    <row r="47" spans="1:5" x14ac:dyDescent="0.25">
      <c r="A47" s="119">
        <v>300</v>
      </c>
      <c r="B47" s="119">
        <v>42</v>
      </c>
      <c r="C47" s="119">
        <v>4204.7</v>
      </c>
      <c r="D47" s="119">
        <v>28.37</v>
      </c>
      <c r="E47" s="120">
        <f t="shared" si="2"/>
        <v>2.1595555555555555</v>
      </c>
    </row>
    <row r="48" spans="1:5" x14ac:dyDescent="0.25">
      <c r="A48" s="119">
        <v>300</v>
      </c>
      <c r="B48" s="119">
        <v>43</v>
      </c>
      <c r="C48" s="119">
        <v>4211.7</v>
      </c>
      <c r="D48" s="119">
        <v>28.27</v>
      </c>
      <c r="E48" s="120">
        <f t="shared" si="2"/>
        <v>2.1698333333333335</v>
      </c>
    </row>
    <row r="49" spans="1:10" x14ac:dyDescent="0.25">
      <c r="A49" s="119">
        <v>300</v>
      </c>
      <c r="B49" s="119">
        <v>44</v>
      </c>
      <c r="C49" s="119">
        <v>4218.7</v>
      </c>
      <c r="D49" s="119">
        <v>28.172999999999998</v>
      </c>
      <c r="E49" s="120">
        <f t="shared" si="2"/>
        <v>2.1798611111111112</v>
      </c>
    </row>
    <row r="50" spans="1:10" x14ac:dyDescent="0.25">
      <c r="A50" s="119">
        <v>300</v>
      </c>
      <c r="B50" s="119">
        <v>45</v>
      </c>
      <c r="C50" s="119">
        <v>4225.7</v>
      </c>
      <c r="D50" s="119">
        <v>28.077000000000002</v>
      </c>
      <c r="E50" s="120">
        <f t="shared" si="2"/>
        <v>2.1898055555555556</v>
      </c>
    </row>
    <row r="51" spans="1:10" x14ac:dyDescent="0.25">
      <c r="A51" s="119">
        <v>300</v>
      </c>
      <c r="B51" s="119">
        <v>46</v>
      </c>
      <c r="C51" s="119">
        <v>4232.8</v>
      </c>
      <c r="D51" s="119">
        <v>27.984000000000002</v>
      </c>
      <c r="E51" s="120">
        <f t="shared" si="2"/>
        <v>2.199527777777778</v>
      </c>
    </row>
    <row r="52" spans="1:10" x14ac:dyDescent="0.25">
      <c r="A52" s="119">
        <v>300</v>
      </c>
      <c r="B52" s="119">
        <v>47</v>
      </c>
      <c r="C52" s="119">
        <v>4239.8999999999996</v>
      </c>
      <c r="D52" s="119">
        <v>27.893000000000001</v>
      </c>
      <c r="E52" s="120">
        <f t="shared" si="2"/>
        <v>2.2090833333333331</v>
      </c>
    </row>
    <row r="53" spans="1:10" x14ac:dyDescent="0.25">
      <c r="A53" s="119">
        <v>300</v>
      </c>
      <c r="B53" s="119">
        <v>48</v>
      </c>
      <c r="C53" s="119">
        <v>4247.1000000000004</v>
      </c>
      <c r="D53" s="119">
        <v>27.803999999999998</v>
      </c>
      <c r="E53" s="120">
        <f t="shared" si="2"/>
        <v>2.2185000000000001</v>
      </c>
    </row>
    <row r="54" spans="1:10" x14ac:dyDescent="0.25">
      <c r="A54" s="119">
        <v>300</v>
      </c>
      <c r="B54" s="119">
        <v>49</v>
      </c>
      <c r="C54" s="119">
        <v>4254.3</v>
      </c>
      <c r="D54" s="119">
        <v>27.716000000000001</v>
      </c>
      <c r="E54" s="120">
        <f t="shared" si="2"/>
        <v>2.2278333333333333</v>
      </c>
    </row>
    <row r="55" spans="1:10" x14ac:dyDescent="0.25">
      <c r="A55" s="119">
        <v>300</v>
      </c>
      <c r="B55" s="119">
        <v>50</v>
      </c>
      <c r="C55" s="119">
        <v>4261.3999999999996</v>
      </c>
      <c r="D55" s="119">
        <v>27.631</v>
      </c>
      <c r="E55" s="120">
        <f t="shared" si="2"/>
        <v>2.2368888888888891</v>
      </c>
    </row>
    <row r="56" spans="1:10" x14ac:dyDescent="0.25">
      <c r="A56" s="119">
        <v>300</v>
      </c>
      <c r="B56" s="119">
        <v>51</v>
      </c>
      <c r="C56" s="119">
        <v>4268.7</v>
      </c>
      <c r="D56" s="119">
        <v>27.547000000000001</v>
      </c>
      <c r="E56" s="120">
        <f t="shared" si="2"/>
        <v>2.2459166666666666</v>
      </c>
    </row>
    <row r="57" spans="1:10" x14ac:dyDescent="0.25">
      <c r="A57" s="119">
        <v>300</v>
      </c>
      <c r="B57" s="119">
        <v>52</v>
      </c>
      <c r="C57" s="119">
        <v>4275.8999999999996</v>
      </c>
      <c r="D57" s="119">
        <v>27.465</v>
      </c>
      <c r="E57" s="120">
        <f t="shared" si="2"/>
        <v>2.25475</v>
      </c>
    </row>
    <row r="58" spans="1:10" x14ac:dyDescent="0.25">
      <c r="A58" s="119">
        <v>300</v>
      </c>
      <c r="B58" s="119">
        <v>53</v>
      </c>
      <c r="C58" s="119">
        <v>4283.2</v>
      </c>
      <c r="D58" s="119">
        <v>27.384</v>
      </c>
      <c r="E58" s="120">
        <f t="shared" si="2"/>
        <v>2.2635277777777776</v>
      </c>
    </row>
    <row r="59" spans="1:10" x14ac:dyDescent="0.25">
      <c r="A59" s="119">
        <v>300</v>
      </c>
      <c r="B59" s="119">
        <v>54</v>
      </c>
      <c r="C59" s="119">
        <v>4290.3999999999996</v>
      </c>
      <c r="D59" s="119">
        <v>27.305</v>
      </c>
      <c r="E59" s="120">
        <f t="shared" si="2"/>
        <v>2.2721111111111112</v>
      </c>
    </row>
    <row r="60" spans="1:10" x14ac:dyDescent="0.25">
      <c r="A60" s="119">
        <v>300</v>
      </c>
      <c r="B60" s="119">
        <v>55</v>
      </c>
      <c r="C60" s="119">
        <v>4297.8</v>
      </c>
      <c r="D60" s="119">
        <v>27.227</v>
      </c>
      <c r="E60" s="120">
        <f t="shared" si="2"/>
        <v>2.2806666666666673</v>
      </c>
    </row>
    <row r="61" spans="1:10" x14ac:dyDescent="0.25">
      <c r="A61" s="119">
        <v>300</v>
      </c>
      <c r="B61" s="119">
        <v>56</v>
      </c>
      <c r="C61" s="119">
        <v>4305.1000000000004</v>
      </c>
      <c r="D61" s="119">
        <v>27.151</v>
      </c>
      <c r="E61" s="120">
        <f t="shared" si="2"/>
        <v>2.2890277777777777</v>
      </c>
    </row>
    <row r="62" spans="1:10" x14ac:dyDescent="0.25">
      <c r="A62" s="119">
        <v>300</v>
      </c>
      <c r="B62" s="119">
        <v>57</v>
      </c>
      <c r="C62" s="119">
        <v>4312.3999999999996</v>
      </c>
      <c r="D62" s="119">
        <v>27.076000000000001</v>
      </c>
      <c r="E62" s="120">
        <f t="shared" si="2"/>
        <v>2.2973055555555555</v>
      </c>
    </row>
    <row r="63" spans="1:10" x14ac:dyDescent="0.25">
      <c r="A63" s="119">
        <v>300</v>
      </c>
      <c r="B63" s="119">
        <v>58</v>
      </c>
      <c r="C63" s="119">
        <v>4319.8</v>
      </c>
      <c r="D63" s="119">
        <v>27.003</v>
      </c>
      <c r="E63" s="120">
        <f t="shared" si="2"/>
        <v>2.3054444444444444</v>
      </c>
      <c r="J63">
        <v>312</v>
      </c>
    </row>
    <row r="64" spans="1:10" x14ac:dyDescent="0.25">
      <c r="A64" s="119">
        <v>300</v>
      </c>
      <c r="B64" s="119">
        <v>59</v>
      </c>
      <c r="C64" s="119">
        <v>4327.2</v>
      </c>
      <c r="D64" s="119">
        <v>26.931000000000001</v>
      </c>
      <c r="E64" s="120">
        <f t="shared" si="2"/>
        <v>2.3134999999999999</v>
      </c>
      <c r="J64">
        <f>4.63 *J63^0.06249 - 4.581</f>
        <v>2.0478884616833568</v>
      </c>
    </row>
    <row r="65" spans="1:10" x14ac:dyDescent="0.25">
      <c r="A65" s="119">
        <v>300</v>
      </c>
      <c r="B65" s="119">
        <v>60</v>
      </c>
      <c r="C65" s="119">
        <v>4334.6000000000004</v>
      </c>
      <c r="D65" s="119">
        <v>26.86</v>
      </c>
      <c r="E65" s="120">
        <f t="shared" si="2"/>
        <v>2.3214722222222224</v>
      </c>
      <c r="J65">
        <f>J64/0.51</f>
        <v>4.0154675719281503</v>
      </c>
    </row>
    <row r="66" spans="1:10" x14ac:dyDescent="0.25">
      <c r="A66" s="119">
        <v>300</v>
      </c>
      <c r="B66" s="119">
        <v>61</v>
      </c>
      <c r="C66" s="119">
        <v>4342</v>
      </c>
      <c r="D66" s="119">
        <v>26.79</v>
      </c>
      <c r="E66" s="120">
        <f t="shared" si="2"/>
        <v>2.3293611111111114</v>
      </c>
    </row>
    <row r="67" spans="1:10" x14ac:dyDescent="0.25">
      <c r="A67" s="119">
        <v>300</v>
      </c>
      <c r="B67" s="119">
        <v>62</v>
      </c>
      <c r="C67" s="119">
        <v>4349.3999999999996</v>
      </c>
      <c r="D67" s="119">
        <v>26.721</v>
      </c>
      <c r="E67" s="120">
        <f t="shared" ref="E67:E93" si="3">($E$1*($D$3-D67)-($C$3-C67))/3600</f>
        <v>2.3371666666666666</v>
      </c>
    </row>
    <row r="68" spans="1:10" x14ac:dyDescent="0.25">
      <c r="A68" s="119">
        <v>300</v>
      </c>
      <c r="B68" s="119">
        <v>63</v>
      </c>
      <c r="C68" s="119">
        <v>4356.8999999999996</v>
      </c>
      <c r="D68" s="119">
        <v>26.654</v>
      </c>
      <c r="E68" s="120">
        <f t="shared" si="3"/>
        <v>2.3448333333333338</v>
      </c>
    </row>
    <row r="69" spans="1:10" x14ac:dyDescent="0.25">
      <c r="A69" s="119">
        <v>300</v>
      </c>
      <c r="B69" s="119">
        <v>64</v>
      </c>
      <c r="C69" s="119">
        <v>4364.3</v>
      </c>
      <c r="D69" s="119">
        <v>26.587</v>
      </c>
      <c r="E69" s="120">
        <f t="shared" si="3"/>
        <v>2.3524722222222225</v>
      </c>
    </row>
    <row r="70" spans="1:10" x14ac:dyDescent="0.25">
      <c r="A70" s="119">
        <v>300</v>
      </c>
      <c r="B70" s="119">
        <v>65</v>
      </c>
      <c r="C70" s="119">
        <v>4371.8</v>
      </c>
      <c r="D70" s="119">
        <v>26.521999999999998</v>
      </c>
      <c r="E70" s="120">
        <f t="shared" si="3"/>
        <v>2.3599722222222228</v>
      </c>
    </row>
    <row r="71" spans="1:10" x14ac:dyDescent="0.25">
      <c r="A71" s="119">
        <v>300</v>
      </c>
      <c r="B71" s="119">
        <v>66</v>
      </c>
      <c r="C71" s="119">
        <v>4379.3</v>
      </c>
      <c r="D71" s="119">
        <v>26.457000000000001</v>
      </c>
      <c r="E71" s="120">
        <f t="shared" si="3"/>
        <v>2.3674722222222226</v>
      </c>
    </row>
    <row r="72" spans="1:10" x14ac:dyDescent="0.25">
      <c r="A72" s="119">
        <v>300</v>
      </c>
      <c r="B72" s="119">
        <v>67</v>
      </c>
      <c r="C72" s="119">
        <v>4386.8</v>
      </c>
      <c r="D72" s="119">
        <v>26.393999999999998</v>
      </c>
      <c r="E72" s="120">
        <f t="shared" si="3"/>
        <v>2.3748055555555561</v>
      </c>
    </row>
    <row r="73" spans="1:10" x14ac:dyDescent="0.25">
      <c r="A73" s="119">
        <v>300</v>
      </c>
      <c r="B73" s="119">
        <v>68</v>
      </c>
      <c r="C73" s="119">
        <v>4394.3999999999996</v>
      </c>
      <c r="D73" s="119">
        <v>26.332000000000001</v>
      </c>
      <c r="E73" s="120">
        <f t="shared" si="3"/>
        <v>2.3820833333333336</v>
      </c>
    </row>
    <row r="74" spans="1:10" x14ac:dyDescent="0.25">
      <c r="A74" s="119">
        <v>300</v>
      </c>
      <c r="B74" s="119">
        <v>69</v>
      </c>
      <c r="C74" s="119">
        <v>4401.8999999999996</v>
      </c>
      <c r="D74" s="119">
        <v>26.27</v>
      </c>
      <c r="E74" s="120">
        <f t="shared" si="3"/>
        <v>2.3893333333333335</v>
      </c>
    </row>
    <row r="75" spans="1:10" x14ac:dyDescent="0.25">
      <c r="A75" s="119">
        <v>300</v>
      </c>
      <c r="B75" s="119">
        <v>70</v>
      </c>
      <c r="C75" s="119">
        <v>4409.3999999999996</v>
      </c>
      <c r="D75" s="119">
        <v>26.21</v>
      </c>
      <c r="E75" s="120">
        <f t="shared" si="3"/>
        <v>2.3964166666666662</v>
      </c>
    </row>
    <row r="76" spans="1:10" x14ac:dyDescent="0.25">
      <c r="A76" s="119">
        <v>300</v>
      </c>
      <c r="B76" s="119">
        <v>71</v>
      </c>
      <c r="C76" s="119">
        <v>4417</v>
      </c>
      <c r="D76" s="119">
        <v>26.15</v>
      </c>
      <c r="E76" s="120">
        <f t="shared" si="3"/>
        <v>2.4035277777777782</v>
      </c>
    </row>
    <row r="77" spans="1:10" x14ac:dyDescent="0.25">
      <c r="A77" s="119">
        <v>300</v>
      </c>
      <c r="B77" s="119">
        <v>72</v>
      </c>
      <c r="C77" s="119">
        <v>4424.6000000000004</v>
      </c>
      <c r="D77" s="119">
        <v>26.091000000000001</v>
      </c>
      <c r="E77" s="120">
        <f t="shared" si="3"/>
        <v>2.4105555555555553</v>
      </c>
    </row>
    <row r="78" spans="1:10" x14ac:dyDescent="0.25">
      <c r="A78" s="119">
        <v>300</v>
      </c>
      <c r="B78" s="119">
        <v>73</v>
      </c>
      <c r="C78" s="119">
        <v>4432.2</v>
      </c>
      <c r="D78" s="119">
        <v>26.033000000000001</v>
      </c>
      <c r="E78" s="120">
        <f t="shared" si="3"/>
        <v>2.4175</v>
      </c>
    </row>
    <row r="79" spans="1:10" x14ac:dyDescent="0.25">
      <c r="A79" s="119">
        <v>300</v>
      </c>
      <c r="B79" s="119">
        <v>74</v>
      </c>
      <c r="C79" s="119">
        <v>4439.8</v>
      </c>
      <c r="D79" s="119">
        <v>25.975999999999999</v>
      </c>
      <c r="E79" s="120">
        <f t="shared" si="3"/>
        <v>2.4243611111111112</v>
      </c>
    </row>
    <row r="80" spans="1:10" x14ac:dyDescent="0.25">
      <c r="A80" s="119">
        <v>300</v>
      </c>
      <c r="B80" s="119">
        <v>75</v>
      </c>
      <c r="C80" s="119">
        <v>4447.3999999999996</v>
      </c>
      <c r="D80" s="119">
        <v>25.919</v>
      </c>
      <c r="E80" s="120">
        <f t="shared" si="3"/>
        <v>2.4312222222222228</v>
      </c>
    </row>
    <row r="81" spans="1:5" x14ac:dyDescent="0.25">
      <c r="A81" s="119">
        <v>300</v>
      </c>
      <c r="B81" s="119">
        <v>76</v>
      </c>
      <c r="C81" s="119">
        <v>4455</v>
      </c>
      <c r="D81" s="119">
        <v>25.864000000000001</v>
      </c>
      <c r="E81" s="120">
        <f t="shared" si="3"/>
        <v>2.4379166666666667</v>
      </c>
    </row>
    <row r="82" spans="1:5" x14ac:dyDescent="0.25">
      <c r="A82" s="119">
        <v>300</v>
      </c>
      <c r="B82" s="119">
        <v>77</v>
      </c>
      <c r="C82" s="119">
        <v>4462.6000000000004</v>
      </c>
      <c r="D82" s="119">
        <v>25.809000000000001</v>
      </c>
      <c r="E82" s="120">
        <f t="shared" si="3"/>
        <v>2.4446111111111115</v>
      </c>
    </row>
    <row r="83" spans="1:5" x14ac:dyDescent="0.25">
      <c r="A83" s="119">
        <v>300</v>
      </c>
      <c r="B83" s="119">
        <v>78</v>
      </c>
      <c r="C83" s="119">
        <v>4470.3</v>
      </c>
      <c r="D83" s="119">
        <v>25.754000000000001</v>
      </c>
      <c r="E83" s="120">
        <f t="shared" si="3"/>
        <v>2.4513333333333338</v>
      </c>
    </row>
    <row r="84" spans="1:5" x14ac:dyDescent="0.25">
      <c r="A84" s="119">
        <v>300</v>
      </c>
      <c r="B84" s="119">
        <v>79</v>
      </c>
      <c r="C84" s="119">
        <v>4477.8999999999996</v>
      </c>
      <c r="D84" s="119">
        <v>25.701000000000001</v>
      </c>
      <c r="E84" s="120">
        <f t="shared" si="3"/>
        <v>2.4578611111111108</v>
      </c>
    </row>
    <row r="85" spans="1:5" x14ac:dyDescent="0.25">
      <c r="A85" s="119">
        <v>300</v>
      </c>
      <c r="B85" s="119">
        <v>80</v>
      </c>
      <c r="C85" s="119">
        <v>4485.6000000000004</v>
      </c>
      <c r="D85" s="119">
        <v>25.648</v>
      </c>
      <c r="E85" s="120">
        <f t="shared" si="3"/>
        <v>2.4644166666666671</v>
      </c>
    </row>
    <row r="86" spans="1:5" x14ac:dyDescent="0.25">
      <c r="A86" s="119">
        <v>300</v>
      </c>
      <c r="B86" s="119">
        <v>81</v>
      </c>
      <c r="C86" s="119">
        <v>4493.3</v>
      </c>
      <c r="D86" s="119">
        <v>25.596</v>
      </c>
      <c r="E86" s="120">
        <f t="shared" si="3"/>
        <v>2.4708888888888891</v>
      </c>
    </row>
    <row r="87" spans="1:5" x14ac:dyDescent="0.25">
      <c r="A87" s="119">
        <v>300</v>
      </c>
      <c r="B87" s="119">
        <v>82</v>
      </c>
      <c r="C87" s="119">
        <v>4500.8999999999996</v>
      </c>
      <c r="D87" s="119">
        <v>25.544</v>
      </c>
      <c r="E87" s="120">
        <f t="shared" si="3"/>
        <v>2.4773333333333336</v>
      </c>
    </row>
    <row r="88" spans="1:5" x14ac:dyDescent="0.25">
      <c r="A88" s="119">
        <v>300</v>
      </c>
      <c r="B88" s="119">
        <v>83</v>
      </c>
      <c r="C88" s="119">
        <v>4508.6000000000004</v>
      </c>
      <c r="D88" s="119">
        <v>25.494</v>
      </c>
      <c r="E88" s="120">
        <f t="shared" si="3"/>
        <v>2.4836388888888896</v>
      </c>
    </row>
    <row r="89" spans="1:5" x14ac:dyDescent="0.25">
      <c r="A89" s="119">
        <v>300</v>
      </c>
      <c r="B89" s="119">
        <v>84</v>
      </c>
      <c r="C89" s="119">
        <v>4516.3</v>
      </c>
      <c r="D89" s="119">
        <v>25.443000000000001</v>
      </c>
      <c r="E89" s="120">
        <f t="shared" si="3"/>
        <v>2.4900277777777777</v>
      </c>
    </row>
    <row r="90" spans="1:5" x14ac:dyDescent="0.25">
      <c r="A90" s="119">
        <v>300</v>
      </c>
      <c r="B90" s="119">
        <v>85</v>
      </c>
      <c r="C90" s="119">
        <v>4524</v>
      </c>
      <c r="D90" s="119">
        <v>25.393999999999998</v>
      </c>
      <c r="E90" s="120">
        <f t="shared" si="3"/>
        <v>2.4962499999999999</v>
      </c>
    </row>
    <row r="91" spans="1:5" x14ac:dyDescent="0.25">
      <c r="A91" s="119">
        <v>300</v>
      </c>
      <c r="B91" s="119">
        <v>86</v>
      </c>
      <c r="C91" s="119">
        <v>4531.7</v>
      </c>
      <c r="D91" s="119">
        <v>25.344999999999999</v>
      </c>
      <c r="E91" s="120">
        <f t="shared" si="3"/>
        <v>2.5024722222222224</v>
      </c>
    </row>
    <row r="92" spans="1:5" x14ac:dyDescent="0.25">
      <c r="A92" s="119">
        <v>300</v>
      </c>
      <c r="B92" s="119">
        <v>87</v>
      </c>
      <c r="C92" s="119">
        <v>4539.3999999999996</v>
      </c>
      <c r="D92" s="119">
        <v>25.295999999999999</v>
      </c>
      <c r="E92" s="120">
        <f t="shared" si="3"/>
        <v>2.5086944444444441</v>
      </c>
    </row>
    <row r="93" spans="1:5" x14ac:dyDescent="0.25">
      <c r="A93" s="119">
        <v>300</v>
      </c>
      <c r="B93" s="119">
        <v>88</v>
      </c>
      <c r="C93" s="119">
        <v>4547.2</v>
      </c>
      <c r="D93" s="119">
        <v>25.248000000000001</v>
      </c>
      <c r="E93" s="120">
        <f t="shared" si="3"/>
        <v>2.5148611111111112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AF32"/>
  <sheetViews>
    <sheetView zoomScale="80" zoomScaleNormal="80" workbookViewId="0">
      <selection activeCell="W28" sqref="W28:Z28"/>
    </sheetView>
  </sheetViews>
  <sheetFormatPr defaultRowHeight="15" x14ac:dyDescent="0.25"/>
  <cols>
    <col min="1" max="2" width="10.5703125" customWidth="1"/>
    <col min="3" max="3" width="8.42578125" customWidth="1"/>
    <col min="4" max="4" width="11.140625" customWidth="1"/>
    <col min="5" max="5" width="18.140625" customWidth="1"/>
    <col min="6" max="6" width="15.85546875" customWidth="1"/>
    <col min="7" max="8" width="8.5703125" customWidth="1"/>
    <col min="9" max="9" width="9" customWidth="1"/>
    <col min="10" max="10" width="8.5703125" customWidth="1"/>
    <col min="11" max="11" width="24.42578125" customWidth="1"/>
    <col min="12" max="12" width="25.28515625" customWidth="1"/>
    <col min="13" max="13" width="12.85546875" customWidth="1"/>
    <col min="14" max="14" width="9.7109375" customWidth="1"/>
    <col min="15" max="15" width="8.5703125" customWidth="1"/>
    <col min="16" max="16" width="10.5703125" customWidth="1"/>
    <col min="17" max="17" width="2.42578125" customWidth="1"/>
    <col min="18" max="18" width="8.5703125" customWidth="1"/>
    <col min="19" max="19" width="7" customWidth="1"/>
    <col min="20" max="20" width="5.85546875" customWidth="1"/>
    <col min="21" max="21" width="6.140625" customWidth="1"/>
    <col min="22" max="22" width="1.42578125" customWidth="1"/>
    <col min="23" max="23" width="8.5703125" customWidth="1"/>
    <col min="24" max="24" width="5.85546875" bestFit="1" customWidth="1"/>
    <col min="25" max="25" width="5" customWidth="1"/>
    <col min="26" max="26" width="6" bestFit="1" customWidth="1"/>
    <col min="27" max="27" width="2.140625" customWidth="1"/>
    <col min="28" max="1026" width="8.5703125" customWidth="1"/>
  </cols>
  <sheetData>
    <row r="2" spans="1:15" ht="30" x14ac:dyDescent="0.25">
      <c r="A2" s="122" t="s">
        <v>205</v>
      </c>
      <c r="B2" s="123" t="s">
        <v>206</v>
      </c>
      <c r="C2" s="123" t="s">
        <v>207</v>
      </c>
      <c r="D2" s="124" t="s">
        <v>208</v>
      </c>
      <c r="E2" s="125"/>
      <c r="F2" s="125"/>
      <c r="G2" s="126" t="s">
        <v>209</v>
      </c>
    </row>
    <row r="3" spans="1:15" x14ac:dyDescent="0.25">
      <c r="A3" s="127" t="s">
        <v>210</v>
      </c>
      <c r="B3" s="128" t="s">
        <v>211</v>
      </c>
      <c r="C3" s="128">
        <v>120</v>
      </c>
      <c r="D3" s="129" t="s">
        <v>212</v>
      </c>
      <c r="G3">
        <v>3.8</v>
      </c>
      <c r="H3" t="s">
        <v>213</v>
      </c>
      <c r="I3" s="130" t="s">
        <v>214</v>
      </c>
    </row>
    <row r="4" spans="1:15" x14ac:dyDescent="0.25">
      <c r="A4" s="131" t="s">
        <v>215</v>
      </c>
      <c r="B4" s="132" t="s">
        <v>216</v>
      </c>
      <c r="C4" s="132">
        <v>500</v>
      </c>
      <c r="D4" s="133" t="s">
        <v>212</v>
      </c>
      <c r="G4" s="134">
        <v>8.9880000000000002E-2</v>
      </c>
      <c r="H4" t="s">
        <v>217</v>
      </c>
    </row>
    <row r="5" spans="1:15" x14ac:dyDescent="0.25">
      <c r="A5" s="135" t="s">
        <v>92</v>
      </c>
      <c r="B5" s="136" t="s">
        <v>216</v>
      </c>
      <c r="C5" s="136">
        <v>100</v>
      </c>
      <c r="D5" s="137" t="s">
        <v>212</v>
      </c>
      <c r="G5">
        <f>G3/G4</f>
        <v>42.278593680462834</v>
      </c>
      <c r="H5" t="s">
        <v>218</v>
      </c>
    </row>
    <row r="7" spans="1:15" ht="33" x14ac:dyDescent="0.25">
      <c r="E7" s="122" t="s">
        <v>219</v>
      </c>
      <c r="F7" s="123" t="s">
        <v>220</v>
      </c>
      <c r="G7" s="123" t="s">
        <v>221</v>
      </c>
      <c r="H7" s="123" t="s">
        <v>222</v>
      </c>
      <c r="I7" s="124" t="s">
        <v>223</v>
      </c>
      <c r="J7" s="138" t="s">
        <v>224</v>
      </c>
      <c r="K7" t="s">
        <v>220</v>
      </c>
      <c r="L7" t="s">
        <v>225</v>
      </c>
      <c r="N7" s="139"/>
    </row>
    <row r="8" spans="1:15" x14ac:dyDescent="0.25">
      <c r="E8" s="127" t="s">
        <v>226</v>
      </c>
      <c r="F8" s="128" t="s">
        <v>227</v>
      </c>
      <c r="G8" s="128">
        <f>I8*J8</f>
        <v>15000</v>
      </c>
      <c r="H8" s="128">
        <f>(1-J8)*I8</f>
        <v>0</v>
      </c>
      <c r="I8" s="140">
        <v>15000</v>
      </c>
      <c r="J8">
        <v>1</v>
      </c>
      <c r="K8" t="s">
        <v>228</v>
      </c>
      <c r="L8" t="s">
        <v>229</v>
      </c>
    </row>
    <row r="9" spans="1:15" x14ac:dyDescent="0.25">
      <c r="E9" s="131" t="s">
        <v>226</v>
      </c>
      <c r="F9" s="132" t="s">
        <v>230</v>
      </c>
      <c r="G9" s="132">
        <f>I9*J9</f>
        <v>1500</v>
      </c>
      <c r="H9" s="132">
        <f>(1-J9)*I9</f>
        <v>8500</v>
      </c>
      <c r="I9" s="141">
        <v>10000</v>
      </c>
      <c r="J9">
        <v>0.15</v>
      </c>
      <c r="K9" t="s">
        <v>228</v>
      </c>
      <c r="L9" t="s">
        <v>231</v>
      </c>
    </row>
    <row r="10" spans="1:15" x14ac:dyDescent="0.25">
      <c r="E10" s="131" t="s">
        <v>232</v>
      </c>
      <c r="F10" s="132" t="s">
        <v>230</v>
      </c>
      <c r="G10" s="132">
        <f>I10*J10</f>
        <v>10000</v>
      </c>
      <c r="H10" s="132">
        <f>(1-J10)*I10</f>
        <v>0</v>
      </c>
      <c r="I10" s="141">
        <v>10000</v>
      </c>
      <c r="J10">
        <v>1</v>
      </c>
      <c r="K10" t="s">
        <v>233</v>
      </c>
      <c r="L10" t="s">
        <v>234</v>
      </c>
    </row>
    <row r="11" spans="1:15" x14ac:dyDescent="0.25">
      <c r="E11" s="135" t="s">
        <v>226</v>
      </c>
      <c r="F11" s="136" t="s">
        <v>230</v>
      </c>
      <c r="G11" s="136">
        <f>I11*J11</f>
        <v>6600</v>
      </c>
      <c r="H11" s="136">
        <f>(1-J11)*I11</f>
        <v>3399.9999999999995</v>
      </c>
      <c r="I11" s="142">
        <v>10000</v>
      </c>
      <c r="J11">
        <v>0.66</v>
      </c>
      <c r="K11" t="s">
        <v>235</v>
      </c>
      <c r="L11" t="s">
        <v>229</v>
      </c>
    </row>
    <row r="12" spans="1:15" x14ac:dyDescent="0.25">
      <c r="E12" s="143" t="s">
        <v>236</v>
      </c>
      <c r="F12" s="144"/>
      <c r="G12" s="145">
        <f>SUM(G8:G11)</f>
        <v>33100</v>
      </c>
      <c r="H12" s="145">
        <f>SUM(H8:H11)</f>
        <v>11900</v>
      </c>
      <c r="I12" s="146">
        <f>SUM(I8:I11)</f>
        <v>45000</v>
      </c>
    </row>
    <row r="13" spans="1:15" x14ac:dyDescent="0.25">
      <c r="E13" s="147" t="s">
        <v>237</v>
      </c>
      <c r="F13" s="148"/>
      <c r="G13" s="149">
        <f>G12*365/1000</f>
        <v>12081.5</v>
      </c>
      <c r="H13" s="149">
        <f>H12*365/1000</f>
        <v>4343.5</v>
      </c>
      <c r="I13" s="150">
        <f>I12*365/1000</f>
        <v>16425</v>
      </c>
      <c r="J13" s="151"/>
      <c r="K13" s="151"/>
    </row>
    <row r="15" spans="1:15" ht="45" x14ac:dyDescent="0.25">
      <c r="G15" s="152">
        <f>G13/$I$13</f>
        <v>0.73555555555555552</v>
      </c>
      <c r="H15" s="152">
        <f>H13/$I$13</f>
        <v>0.26444444444444443</v>
      </c>
      <c r="J15" s="153" t="s">
        <v>2</v>
      </c>
      <c r="K15" s="154" t="s">
        <v>238</v>
      </c>
      <c r="L15" s="154" t="s">
        <v>239</v>
      </c>
      <c r="M15" s="200" t="s">
        <v>332</v>
      </c>
      <c r="N15" s="155" t="s">
        <v>240</v>
      </c>
      <c r="O15" s="156"/>
    </row>
    <row r="16" spans="1:15" ht="60" x14ac:dyDescent="0.25">
      <c r="J16" s="157" t="s">
        <v>241</v>
      </c>
      <c r="K16" s="158" t="s">
        <v>242</v>
      </c>
      <c r="L16" s="158" t="s">
        <v>243</v>
      </c>
      <c r="M16" s="201" t="s">
        <v>333</v>
      </c>
      <c r="N16" s="159" t="s">
        <v>244</v>
      </c>
    </row>
    <row r="17" spans="10:32" ht="75" x14ac:dyDescent="0.25">
      <c r="J17" s="160" t="s">
        <v>212</v>
      </c>
      <c r="K17" s="161" t="s">
        <v>245</v>
      </c>
      <c r="L17" s="161" t="s">
        <v>246</v>
      </c>
      <c r="M17" s="202" t="s">
        <v>335</v>
      </c>
      <c r="N17" s="162" t="s">
        <v>247</v>
      </c>
    </row>
    <row r="18" spans="10:32" ht="75" x14ac:dyDescent="0.25">
      <c r="J18" s="163" t="s">
        <v>248</v>
      </c>
      <c r="K18" s="164" t="s">
        <v>249</v>
      </c>
      <c r="L18" s="164" t="s">
        <v>250</v>
      </c>
      <c r="M18" s="203" t="s">
        <v>334</v>
      </c>
      <c r="N18" s="165" t="s">
        <v>251</v>
      </c>
      <c r="P18" t="s">
        <v>252</v>
      </c>
    </row>
    <row r="20" spans="10:32" x14ac:dyDescent="0.25">
      <c r="P20" t="s">
        <v>253</v>
      </c>
      <c r="W20" t="s">
        <v>254</v>
      </c>
      <c r="Z20">
        <v>555</v>
      </c>
      <c r="AB20" t="s">
        <v>255</v>
      </c>
    </row>
    <row r="22" spans="10:32" x14ac:dyDescent="0.25">
      <c r="P22" s="166" t="s">
        <v>256</v>
      </c>
      <c r="R22" s="271" t="s">
        <v>257</v>
      </c>
      <c r="S22" s="271"/>
      <c r="T22" s="271"/>
      <c r="U22" s="271"/>
      <c r="W22" s="272" t="s">
        <v>257</v>
      </c>
      <c r="X22" s="272"/>
      <c r="Y22" s="272"/>
      <c r="Z22" s="272"/>
      <c r="AB22" s="272" t="s">
        <v>94</v>
      </c>
      <c r="AC22" s="272"/>
    </row>
    <row r="23" spans="10:32" x14ac:dyDescent="0.25">
      <c r="P23" s="167"/>
      <c r="R23" s="168" t="s">
        <v>210</v>
      </c>
      <c r="S23" s="169" t="s">
        <v>215</v>
      </c>
      <c r="T23" s="169" t="s">
        <v>92</v>
      </c>
      <c r="U23" s="170" t="s">
        <v>258</v>
      </c>
      <c r="W23" s="168" t="s">
        <v>210</v>
      </c>
      <c r="X23" s="169" t="s">
        <v>215</v>
      </c>
      <c r="Y23" s="169" t="s">
        <v>92</v>
      </c>
      <c r="Z23" s="170" t="s">
        <v>258</v>
      </c>
      <c r="AB23" s="168" t="s">
        <v>259</v>
      </c>
      <c r="AC23" s="170" t="s">
        <v>260</v>
      </c>
      <c r="AF23" s="3" t="s">
        <v>261</v>
      </c>
    </row>
    <row r="24" spans="10:32" ht="15.75" x14ac:dyDescent="0.25">
      <c r="P24" s="171" t="s">
        <v>90</v>
      </c>
      <c r="R24" s="172">
        <v>0</v>
      </c>
      <c r="S24" s="27">
        <v>30.8</v>
      </c>
      <c r="T24" s="27">
        <v>37.4</v>
      </c>
      <c r="U24" s="173">
        <v>31.7</v>
      </c>
      <c r="W24" s="172">
        <f>W28</f>
        <v>120</v>
      </c>
      <c r="X24" s="27"/>
      <c r="Y24" s="27"/>
      <c r="Z24" s="173">
        <v>435</v>
      </c>
      <c r="AB24" s="174">
        <f>SUMPRODUCT(R24:U24,W24:Z24)/555</f>
        <v>24.845945945945946</v>
      </c>
      <c r="AC24" s="174">
        <v>0.8</v>
      </c>
      <c r="AF24" s="175" t="s">
        <v>262</v>
      </c>
    </row>
    <row r="25" spans="10:32" ht="15.75" x14ac:dyDescent="0.25">
      <c r="P25" s="176" t="s">
        <v>91</v>
      </c>
      <c r="R25" s="177">
        <v>26.5</v>
      </c>
      <c r="S25" s="33">
        <v>20.2</v>
      </c>
      <c r="T25" s="33">
        <v>11.2</v>
      </c>
      <c r="U25" s="178">
        <v>21</v>
      </c>
      <c r="W25" s="177"/>
      <c r="X25" s="33">
        <v>500</v>
      </c>
      <c r="Y25" s="33"/>
      <c r="Z25" s="178">
        <v>55</v>
      </c>
      <c r="AB25" s="179">
        <f>SUMPRODUCT(R25:U25,W25:Z25)/555</f>
        <v>20.27927927927928</v>
      </c>
      <c r="AC25" s="179">
        <v>0.6</v>
      </c>
      <c r="AF25" s="175" t="s">
        <v>263</v>
      </c>
    </row>
    <row r="26" spans="10:32" x14ac:dyDescent="0.25">
      <c r="P26" s="176" t="s">
        <v>92</v>
      </c>
      <c r="R26" s="177">
        <v>37.4</v>
      </c>
      <c r="S26" s="33">
        <v>23.7</v>
      </c>
      <c r="T26" s="33">
        <v>0</v>
      </c>
      <c r="U26" s="178">
        <v>24.5</v>
      </c>
      <c r="W26" s="177"/>
      <c r="X26" s="33"/>
      <c r="Y26" s="33">
        <f>Y28</f>
        <v>100</v>
      </c>
      <c r="Z26" s="178">
        <v>455</v>
      </c>
      <c r="AB26" s="179">
        <f>SUMPRODUCT(R26:U26,W26:Z26)/555</f>
        <v>20.085585585585587</v>
      </c>
      <c r="AC26" s="179">
        <v>0.6</v>
      </c>
      <c r="AF26" t="s">
        <v>264</v>
      </c>
    </row>
    <row r="27" spans="10:32" ht="15.75" x14ac:dyDescent="0.25">
      <c r="P27" s="180" t="s">
        <v>93</v>
      </c>
      <c r="R27" s="181">
        <v>111</v>
      </c>
      <c r="S27" s="49">
        <v>125</v>
      </c>
      <c r="T27" s="49">
        <v>116</v>
      </c>
      <c r="U27" s="182">
        <v>125</v>
      </c>
      <c r="W27" s="181"/>
      <c r="X27" s="49"/>
      <c r="Y27" s="49"/>
      <c r="Z27" s="182">
        <v>555</v>
      </c>
      <c r="AB27" s="183">
        <f>SUMPRODUCT(R27:U27,W27:Z27)/555</f>
        <v>125</v>
      </c>
      <c r="AC27" s="183">
        <v>3.5</v>
      </c>
      <c r="AF27" s="175" t="s">
        <v>265</v>
      </c>
    </row>
    <row r="28" spans="10:32" x14ac:dyDescent="0.25">
      <c r="R28" s="184"/>
      <c r="S28" s="185"/>
      <c r="T28" s="185"/>
      <c r="U28" s="186"/>
      <c r="W28" s="184">
        <v>120</v>
      </c>
      <c r="X28" s="185">
        <v>500</v>
      </c>
      <c r="Y28" s="185">
        <v>100</v>
      </c>
      <c r="Z28" s="186">
        <v>1500</v>
      </c>
      <c r="AB28" s="187">
        <f>AVERAGE(AB24:AB27)</f>
        <v>47.552702702702703</v>
      </c>
      <c r="AC28" s="187">
        <f>AVERAGE(AC24:AC27)</f>
        <v>1.375</v>
      </c>
    </row>
    <row r="29" spans="10:32" x14ac:dyDescent="0.25">
      <c r="R29" s="273" t="s">
        <v>266</v>
      </c>
      <c r="S29" s="273"/>
      <c r="T29" s="273"/>
      <c r="U29" s="273"/>
      <c r="W29" s="274" t="s">
        <v>267</v>
      </c>
      <c r="X29" s="274"/>
      <c r="Y29" s="274"/>
      <c r="Z29" s="274"/>
      <c r="AB29" s="188" t="s">
        <v>268</v>
      </c>
      <c r="AC29" s="188" t="s">
        <v>269</v>
      </c>
    </row>
    <row r="31" spans="10:32" x14ac:dyDescent="0.25">
      <c r="R31" s="3" t="s">
        <v>261</v>
      </c>
    </row>
    <row r="32" spans="10:32" ht="15.75" x14ac:dyDescent="0.25">
      <c r="R32" s="175" t="s">
        <v>262</v>
      </c>
      <c r="S32" t="s">
        <v>270</v>
      </c>
      <c r="T32" t="s">
        <v>264</v>
      </c>
      <c r="U32" t="s">
        <v>271</v>
      </c>
    </row>
  </sheetData>
  <mergeCells count="5">
    <mergeCell ref="R22:U22"/>
    <mergeCell ref="W22:Z22"/>
    <mergeCell ref="AB22:AC22"/>
    <mergeCell ref="R29:U29"/>
    <mergeCell ref="W29:Z29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T37"/>
  <sheetViews>
    <sheetView zoomScale="80" zoomScaleNormal="80" workbookViewId="0">
      <selection activeCell="F3" sqref="F3"/>
    </sheetView>
  </sheetViews>
  <sheetFormatPr defaultRowHeight="15" x14ac:dyDescent="0.25"/>
  <cols>
    <col min="1" max="1" width="8.42578125" customWidth="1"/>
    <col min="2" max="2" width="11.7109375" customWidth="1"/>
    <col min="3" max="3" width="12.140625" customWidth="1"/>
    <col min="4" max="4" width="8.85546875" customWidth="1"/>
    <col min="5" max="5" width="13.7109375" customWidth="1"/>
    <col min="6" max="6" width="8.5703125" customWidth="1"/>
    <col min="7" max="7" width="8.85546875" customWidth="1"/>
    <col min="8" max="8" width="11.28515625" customWidth="1"/>
    <col min="9" max="9" width="11.85546875" customWidth="1"/>
    <col min="10" max="10" width="10.42578125" customWidth="1"/>
    <col min="11" max="11" width="11.5703125" customWidth="1"/>
    <col min="12" max="12" width="10.85546875" customWidth="1"/>
    <col min="13" max="13" width="11.5703125" customWidth="1"/>
    <col min="14" max="1025" width="8.5703125" customWidth="1"/>
  </cols>
  <sheetData>
    <row r="1" spans="1:20" ht="16.5" thickBot="1" x14ac:dyDescent="0.3">
      <c r="A1" s="3"/>
      <c r="F1" s="189"/>
    </row>
    <row r="2" spans="1:20" s="11" customFormat="1" ht="50.25" customHeight="1" thickBot="1" x14ac:dyDescent="0.3">
      <c r="A2" s="258" t="s">
        <v>257</v>
      </c>
      <c r="B2" s="259" t="s">
        <v>272</v>
      </c>
      <c r="C2" s="259" t="s">
        <v>273</v>
      </c>
      <c r="D2" s="259" t="s">
        <v>274</v>
      </c>
      <c r="E2" s="259" t="s">
        <v>382</v>
      </c>
      <c r="F2" s="259" t="s">
        <v>383</v>
      </c>
      <c r="G2" s="260" t="s">
        <v>380</v>
      </c>
    </row>
    <row r="3" spans="1:20" x14ac:dyDescent="0.25">
      <c r="A3" s="255" t="s">
        <v>81</v>
      </c>
      <c r="B3" s="256">
        <f>SUM(display!W28:Z28)*365/1000</f>
        <v>810.3</v>
      </c>
      <c r="C3" s="257">
        <f>paths!L7</f>
        <v>0.70591964093949044</v>
      </c>
      <c r="D3" s="256">
        <f>C3*B3</f>
        <v>572.00668505326905</v>
      </c>
      <c r="E3" s="256">
        <f>drivetrain!$K$12*proj!B3</f>
        <v>6292.8561384468521</v>
      </c>
      <c r="F3" s="256">
        <f>-E3*$A$17</f>
        <v>-13844.283504583076</v>
      </c>
      <c r="G3" s="256">
        <f>F3+C3</f>
        <v>-13843.577584942137</v>
      </c>
      <c r="J3" s="3" t="s">
        <v>275</v>
      </c>
      <c r="M3" s="3" t="s">
        <v>276</v>
      </c>
      <c r="O3" s="3" t="s">
        <v>277</v>
      </c>
      <c r="P3" s="3" t="s">
        <v>278</v>
      </c>
      <c r="R3" s="3" t="s">
        <v>279</v>
      </c>
      <c r="S3" s="3"/>
    </row>
    <row r="4" spans="1:20" ht="15.75" x14ac:dyDescent="0.25">
      <c r="A4" s="254" t="s">
        <v>82</v>
      </c>
      <c r="B4" s="252">
        <f>SUM(display!G8:G10)*365/1000</f>
        <v>9672.5</v>
      </c>
      <c r="C4" s="253">
        <f>paths!L9</f>
        <v>0.42837758242885232</v>
      </c>
      <c r="D4" s="252">
        <f>C4*B4</f>
        <v>4143.4821660430744</v>
      </c>
      <c r="E4" s="256">
        <f>drivetrain!$K$12*proj!B4</f>
        <v>75117.426877856575</v>
      </c>
      <c r="F4" s="252">
        <f>-E4*$A$17</f>
        <v>-165258.33913128448</v>
      </c>
      <c r="G4" s="252">
        <f>F4+C4</f>
        <v>-165257.91075370205</v>
      </c>
      <c r="J4" t="s">
        <v>280</v>
      </c>
      <c r="K4">
        <f>33.7/3.785</f>
        <v>8.9035667107001331</v>
      </c>
      <c r="L4" t="s">
        <v>3</v>
      </c>
      <c r="M4">
        <f>K5/K4</f>
        <v>3.7849999999999997</v>
      </c>
      <c r="N4" t="s">
        <v>281</v>
      </c>
      <c r="O4">
        <v>0.19</v>
      </c>
      <c r="P4">
        <f>O4*K4</f>
        <v>1.6916776750330254</v>
      </c>
      <c r="R4">
        <f>P5/P4</f>
        <v>8.3668421052631565</v>
      </c>
      <c r="T4" t="s">
        <v>282</v>
      </c>
    </row>
    <row r="5" spans="1:20" ht="15.75" thickBot="1" x14ac:dyDescent="0.3">
      <c r="A5" s="261" t="s">
        <v>84</v>
      </c>
      <c r="B5" s="262">
        <f>display!H9*365/1000</f>
        <v>3102.5</v>
      </c>
      <c r="C5" s="263">
        <f>paths!L11</f>
        <v>-5.7051372952307222</v>
      </c>
      <c r="D5" s="262">
        <f>C5*B5</f>
        <v>-17700.188458453315</v>
      </c>
      <c r="E5" s="256">
        <f>drivetrain!$K$12*proj!B5</f>
        <v>24094.268998557767</v>
      </c>
      <c r="F5" s="262">
        <f>-E5*$A$17</f>
        <v>-53007.391796827091</v>
      </c>
      <c r="G5" s="262">
        <f>F5+C5</f>
        <v>-53013.096934122324</v>
      </c>
      <c r="J5" t="s">
        <v>283</v>
      </c>
      <c r="K5">
        <v>33.700000000000003</v>
      </c>
      <c r="L5" t="s">
        <v>3</v>
      </c>
      <c r="O5">
        <v>0.42</v>
      </c>
      <c r="P5">
        <f>K5*O5</f>
        <v>14.154</v>
      </c>
      <c r="R5">
        <f>R4*A59</f>
        <v>0</v>
      </c>
      <c r="T5" t="s">
        <v>284</v>
      </c>
    </row>
    <row r="6" spans="1:20" ht="15.75" thickBot="1" x14ac:dyDescent="0.3">
      <c r="A6" s="264"/>
      <c r="B6" s="265">
        <f>SUM(B3:B5)</f>
        <v>13585.3</v>
      </c>
      <c r="C6" s="266"/>
      <c r="D6" s="265">
        <f>SUM(D3:D5)</f>
        <v>-12984.699607356972</v>
      </c>
      <c r="E6" s="265">
        <f>SUM(E3:E5)</f>
        <v>105504.5520148612</v>
      </c>
      <c r="F6" s="265">
        <f>SUM(F3:F5)</f>
        <v>-232110.01443269465</v>
      </c>
      <c r="G6" s="267">
        <f>SUM(G3:G5)</f>
        <v>-232114.5852727665</v>
      </c>
    </row>
    <row r="8" spans="1:20" x14ac:dyDescent="0.25">
      <c r="J8" t="s">
        <v>285</v>
      </c>
    </row>
    <row r="11" spans="1:20" x14ac:dyDescent="0.25">
      <c r="A11" s="3" t="s">
        <v>286</v>
      </c>
    </row>
    <row r="12" spans="1:20" x14ac:dyDescent="0.25">
      <c r="A12">
        <v>2.5819999999999999</v>
      </c>
      <c r="B12" t="s">
        <v>287</v>
      </c>
      <c r="C12" t="s">
        <v>288</v>
      </c>
    </row>
    <row r="13" spans="1:20" x14ac:dyDescent="0.25">
      <c r="A13">
        <v>36.200000000000003</v>
      </c>
      <c r="B13" t="s">
        <v>289</v>
      </c>
      <c r="C13" t="s">
        <v>290</v>
      </c>
    </row>
    <row r="15" spans="1:20" x14ac:dyDescent="0.25">
      <c r="A15">
        <v>8.9</v>
      </c>
      <c r="B15" t="s">
        <v>289</v>
      </c>
      <c r="C15" t="s">
        <v>291</v>
      </c>
    </row>
    <row r="16" spans="1:20" x14ac:dyDescent="0.25">
      <c r="A16">
        <v>13100</v>
      </c>
      <c r="B16" t="s">
        <v>292</v>
      </c>
      <c r="C16" t="s">
        <v>293</v>
      </c>
    </row>
    <row r="17" spans="1:8" x14ac:dyDescent="0.25">
      <c r="A17">
        <v>2.2000000000000002</v>
      </c>
      <c r="B17" t="s">
        <v>294</v>
      </c>
      <c r="C17" t="s">
        <v>295</v>
      </c>
    </row>
    <row r="18" spans="1:8" x14ac:dyDescent="0.25">
      <c r="A18" s="8">
        <f>paths!$L$7</f>
        <v>0.70591964093949044</v>
      </c>
      <c r="B18" t="s">
        <v>354</v>
      </c>
      <c r="C18" t="s">
        <v>350</v>
      </c>
    </row>
    <row r="20" spans="1:8" x14ac:dyDescent="0.25">
      <c r="A20" s="3" t="s">
        <v>296</v>
      </c>
    </row>
    <row r="21" spans="1:8" x14ac:dyDescent="0.25">
      <c r="A21" t="s">
        <v>297</v>
      </c>
    </row>
    <row r="22" spans="1:8" x14ac:dyDescent="0.25">
      <c r="A22">
        <v>25500000</v>
      </c>
      <c r="B22" t="s">
        <v>298</v>
      </c>
    </row>
    <row r="23" spans="1:8" x14ac:dyDescent="0.25">
      <c r="A23" s="196">
        <f>-G6/A22</f>
        <v>9.1025327557947653E-3</v>
      </c>
    </row>
    <row r="25" spans="1:8" x14ac:dyDescent="0.25">
      <c r="A25" t="s">
        <v>299</v>
      </c>
    </row>
    <row r="26" spans="1:8" ht="45" x14ac:dyDescent="0.25">
      <c r="A26" s="122" t="s">
        <v>257</v>
      </c>
      <c r="B26" s="190" t="s">
        <v>272</v>
      </c>
      <c r="C26" s="190" t="s">
        <v>300</v>
      </c>
      <c r="D26" s="190" t="s">
        <v>274</v>
      </c>
      <c r="E26" s="190" t="s">
        <v>301</v>
      </c>
      <c r="F26" s="190" t="s">
        <v>302</v>
      </c>
      <c r="G26" s="191" t="s">
        <v>303</v>
      </c>
    </row>
    <row r="27" spans="1:8" x14ac:dyDescent="0.25">
      <c r="A27" s="192" t="s">
        <v>81</v>
      </c>
      <c r="B27" s="193">
        <f>SUM(display!W28:Z28)*365/1000</f>
        <v>810.3</v>
      </c>
      <c r="C27" s="194">
        <f>prod!H23*1.38</f>
        <v>57.959999999999994</v>
      </c>
      <c r="D27" s="193">
        <f>C27*B27</f>
        <v>46964.98799999999</v>
      </c>
      <c r="E27" s="193">
        <f>B27*$R$4</f>
        <v>6779.652157894735</v>
      </c>
      <c r="F27" s="193">
        <f>-E27*$A$17</f>
        <v>-14915.234747368419</v>
      </c>
      <c r="G27" s="195">
        <f>F27+C27</f>
        <v>-14857.274747368419</v>
      </c>
    </row>
    <row r="28" spans="1:8" x14ac:dyDescent="0.25">
      <c r="G28" s="197">
        <f>-G27/A22</f>
        <v>5.8263822538699684E-4</v>
      </c>
      <c r="H28" t="s">
        <v>304</v>
      </c>
    </row>
    <row r="29" spans="1:8" x14ac:dyDescent="0.25">
      <c r="G29">
        <f>(0.6-A23)/G28</f>
        <v>1014.1755921553593</v>
      </c>
      <c r="H29" t="s">
        <v>305</v>
      </c>
    </row>
    <row r="30" spans="1:8" x14ac:dyDescent="0.25">
      <c r="G30">
        <f>810*G29</f>
        <v>821482.22964584094</v>
      </c>
      <c r="H30" t="s">
        <v>306</v>
      </c>
    </row>
    <row r="31" spans="1:8" x14ac:dyDescent="0.25">
      <c r="A31">
        <f>G30*1000</f>
        <v>821482229.64584088</v>
      </c>
      <c r="B31" t="s">
        <v>307</v>
      </c>
      <c r="G31">
        <f>G30/B6</f>
        <v>60.468464417115634</v>
      </c>
    </row>
    <row r="32" spans="1:8" x14ac:dyDescent="0.25">
      <c r="A32">
        <f>A31*42*1.38*1000</f>
        <v>47613110030272.945</v>
      </c>
      <c r="B32" t="s">
        <v>308</v>
      </c>
    </row>
    <row r="33" spans="1:3" x14ac:dyDescent="0.25">
      <c r="A33" s="87">
        <v>1000000000000</v>
      </c>
      <c r="B33" t="s">
        <v>309</v>
      </c>
    </row>
    <row r="34" spans="1:3" x14ac:dyDescent="0.25">
      <c r="A34" s="8">
        <f>A32/A33</f>
        <v>47.613110030272942</v>
      </c>
      <c r="B34" t="s">
        <v>310</v>
      </c>
    </row>
    <row r="36" spans="1:3" x14ac:dyDescent="0.25">
      <c r="A36">
        <v>5.0999999999999996</v>
      </c>
      <c r="B36" t="s">
        <v>311</v>
      </c>
      <c r="C36" t="s">
        <v>312</v>
      </c>
    </row>
    <row r="37" spans="1:3" x14ac:dyDescent="0.25">
      <c r="A37">
        <f>A34/A36</f>
        <v>9.3359039275044999</v>
      </c>
      <c r="B37" t="s">
        <v>313</v>
      </c>
    </row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27E72A-90F5-4D08-9979-5DB216D18B7F}">
  <dimension ref="A1:T26"/>
  <sheetViews>
    <sheetView workbookViewId="0">
      <selection activeCell="K12" sqref="K12"/>
    </sheetView>
  </sheetViews>
  <sheetFormatPr defaultRowHeight="15" x14ac:dyDescent="0.25"/>
  <cols>
    <col min="1" max="1" width="7.7109375" customWidth="1"/>
    <col min="2" max="2" width="8.42578125" customWidth="1"/>
    <col min="3" max="3" width="9.140625" customWidth="1"/>
    <col min="4" max="4" width="7.85546875" customWidth="1"/>
    <col min="5" max="5" width="5.28515625" bestFit="1" customWidth="1"/>
    <col min="7" max="8" width="8" customWidth="1"/>
    <col min="9" max="10" width="10.7109375" customWidth="1"/>
    <col min="12" max="12" width="12" bestFit="1" customWidth="1"/>
    <col min="13" max="13" width="9.7109375" customWidth="1"/>
  </cols>
  <sheetData>
    <row r="1" spans="1:20" x14ac:dyDescent="0.25">
      <c r="A1" t="s">
        <v>356</v>
      </c>
      <c r="D1" t="s">
        <v>355</v>
      </c>
    </row>
    <row r="2" spans="1:20" ht="15.75" thickBot="1" x14ac:dyDescent="0.3"/>
    <row r="3" spans="1:20" s="11" customFormat="1" ht="51" customHeight="1" thickBot="1" x14ac:dyDescent="0.3">
      <c r="A3" s="237" t="s">
        <v>2</v>
      </c>
      <c r="B3" s="238" t="s">
        <v>358</v>
      </c>
      <c r="C3" s="243" t="s">
        <v>359</v>
      </c>
      <c r="D3" s="237" t="s">
        <v>368</v>
      </c>
      <c r="E3" s="238" t="s">
        <v>371</v>
      </c>
      <c r="F3" s="238" t="s">
        <v>357</v>
      </c>
      <c r="G3" s="238" t="s">
        <v>372</v>
      </c>
      <c r="H3" s="239" t="s">
        <v>381</v>
      </c>
      <c r="I3" s="242" t="s">
        <v>361</v>
      </c>
      <c r="J3" s="238" t="s">
        <v>360</v>
      </c>
      <c r="K3" s="239" t="s">
        <v>373</v>
      </c>
      <c r="M3" s="11" t="s">
        <v>369</v>
      </c>
      <c r="Q3" s="205"/>
      <c r="R3" s="205"/>
      <c r="T3" s="205"/>
    </row>
    <row r="4" spans="1:20" x14ac:dyDescent="0.25">
      <c r="A4" s="204" t="s">
        <v>367</v>
      </c>
      <c r="B4" s="204">
        <v>1577150</v>
      </c>
      <c r="C4" s="244">
        <f t="shared" ref="C4:C9" si="0">B4*F4/1000000</f>
        <v>18026.824499999999</v>
      </c>
      <c r="D4" s="232">
        <f>100/M4</f>
        <v>12.5</v>
      </c>
      <c r="E4" s="219" t="s">
        <v>340</v>
      </c>
      <c r="F4" s="204">
        <v>11430</v>
      </c>
      <c r="G4" s="220">
        <f t="shared" ref="G4:G9" si="1">C4/D4</f>
        <v>1442.1459599999998</v>
      </c>
      <c r="H4" s="229">
        <f>G4*proj!$A$17</f>
        <v>3172.7211119999997</v>
      </c>
      <c r="I4" s="246">
        <v>106</v>
      </c>
      <c r="J4" s="218">
        <f t="shared" ref="J4:J9" si="2">F4*B4/I4/1000000</f>
        <v>170.06438207547171</v>
      </c>
      <c r="K4" s="218">
        <f t="shared" ref="K4:K9" si="3">J4*$C$20</f>
        <v>120.05178753131331</v>
      </c>
      <c r="M4">
        <v>8</v>
      </c>
      <c r="Q4" s="206"/>
    </row>
    <row r="5" spans="1:20" x14ac:dyDescent="0.25">
      <c r="A5" s="33" t="s">
        <v>362</v>
      </c>
      <c r="B5" s="33">
        <v>1087951</v>
      </c>
      <c r="C5" s="216">
        <f t="shared" si="0"/>
        <v>13890.958368</v>
      </c>
      <c r="D5" s="233">
        <f t="shared" ref="D5:D9" si="4">100/M5</f>
        <v>8.695652173913043</v>
      </c>
      <c r="E5" s="214" t="s">
        <v>340</v>
      </c>
      <c r="F5" s="33">
        <v>12768</v>
      </c>
      <c r="G5" s="32">
        <f t="shared" si="1"/>
        <v>1597.46021232</v>
      </c>
      <c r="H5" s="217">
        <f>G5*proj!$A$17</f>
        <v>3514.4124671040004</v>
      </c>
      <c r="I5" s="247">
        <v>75</v>
      </c>
      <c r="J5" s="215">
        <f t="shared" si="2"/>
        <v>185.21277824000001</v>
      </c>
      <c r="K5" s="218">
        <f t="shared" si="3"/>
        <v>130.74533791258628</v>
      </c>
      <c r="M5">
        <v>11.5</v>
      </c>
      <c r="Q5" s="206"/>
    </row>
    <row r="6" spans="1:20" x14ac:dyDescent="0.25">
      <c r="A6" s="33" t="s">
        <v>363</v>
      </c>
      <c r="B6" s="33">
        <v>420589</v>
      </c>
      <c r="C6" s="216">
        <f t="shared" si="0"/>
        <v>5408.3539510000001</v>
      </c>
      <c r="D6" s="233">
        <f t="shared" si="4"/>
        <v>8.5470085470085468</v>
      </c>
      <c r="E6" s="214" t="s">
        <v>340</v>
      </c>
      <c r="F6" s="33">
        <v>12859</v>
      </c>
      <c r="G6" s="32">
        <f t="shared" si="1"/>
        <v>632.77741226700005</v>
      </c>
      <c r="H6" s="217">
        <f>G6*proj!$A$17</f>
        <v>1392.1103069874002</v>
      </c>
      <c r="I6" s="247">
        <v>62</v>
      </c>
      <c r="J6" s="215">
        <f t="shared" si="2"/>
        <v>87.231515338709684</v>
      </c>
      <c r="K6" s="218">
        <f t="shared" si="3"/>
        <v>61.578439986509593</v>
      </c>
      <c r="M6">
        <v>11.7</v>
      </c>
      <c r="Q6" s="206"/>
    </row>
    <row r="7" spans="1:20" x14ac:dyDescent="0.25">
      <c r="A7" s="33" t="s">
        <v>364</v>
      </c>
      <c r="B7" s="33">
        <f>309964/2</f>
        <v>154982</v>
      </c>
      <c r="C7" s="216">
        <f t="shared" si="0"/>
        <v>3908.6460400000001</v>
      </c>
      <c r="D7" s="233">
        <f t="shared" si="4"/>
        <v>4.5454545454545459</v>
      </c>
      <c r="E7" s="214" t="s">
        <v>340</v>
      </c>
      <c r="F7" s="33">
        <f>25220</f>
        <v>25220</v>
      </c>
      <c r="G7" s="32">
        <f t="shared" si="1"/>
        <v>859.9021287999999</v>
      </c>
      <c r="H7" s="217">
        <f>G7*proj!$A$17</f>
        <v>1891.7846833599999</v>
      </c>
      <c r="I7" s="247">
        <v>35</v>
      </c>
      <c r="J7" s="215">
        <f t="shared" si="2"/>
        <v>111.67560114285715</v>
      </c>
      <c r="K7" s="218">
        <f t="shared" si="3"/>
        <v>78.834000260467462</v>
      </c>
      <c r="M7">
        <v>22</v>
      </c>
      <c r="Q7" s="206"/>
    </row>
    <row r="8" spans="1:20" x14ac:dyDescent="0.25">
      <c r="A8" s="33" t="s">
        <v>365</v>
      </c>
      <c r="B8" s="33">
        <f>309964/2</f>
        <v>154982</v>
      </c>
      <c r="C8" s="216">
        <f t="shared" si="0"/>
        <v>3908.6460400000001</v>
      </c>
      <c r="D8" s="233">
        <f t="shared" si="4"/>
        <v>4.6082949308755765</v>
      </c>
      <c r="E8" s="214" t="s">
        <v>341</v>
      </c>
      <c r="F8" s="33">
        <f>F7</f>
        <v>25220</v>
      </c>
      <c r="G8" s="32">
        <f t="shared" si="1"/>
        <v>848.17619067999988</v>
      </c>
      <c r="H8" s="217">
        <f>G8*proj!$A$12</f>
        <v>2189.9909243357597</v>
      </c>
      <c r="I8" s="247">
        <v>35</v>
      </c>
      <c r="J8" s="215">
        <f t="shared" si="2"/>
        <v>111.67560114285715</v>
      </c>
      <c r="K8" s="218">
        <f t="shared" si="3"/>
        <v>78.834000260467462</v>
      </c>
      <c r="M8">
        <v>21.7</v>
      </c>
      <c r="Q8" s="206"/>
    </row>
    <row r="9" spans="1:20" ht="15.75" thickBot="1" x14ac:dyDescent="0.3">
      <c r="A9" s="223" t="s">
        <v>366</v>
      </c>
      <c r="B9" s="223">
        <v>43863</v>
      </c>
      <c r="C9" s="245">
        <f t="shared" si="0"/>
        <v>2451.8539740000001</v>
      </c>
      <c r="D9" s="234">
        <f t="shared" si="4"/>
        <v>2.5</v>
      </c>
      <c r="E9" s="222" t="s">
        <v>341</v>
      </c>
      <c r="F9" s="223">
        <v>55898</v>
      </c>
      <c r="G9" s="224">
        <f t="shared" si="1"/>
        <v>980.7415896</v>
      </c>
      <c r="H9" s="230">
        <f>G9*proj!$A$12</f>
        <v>2532.2747843471998</v>
      </c>
      <c r="I9" s="248">
        <v>16</v>
      </c>
      <c r="J9" s="221">
        <f t="shared" si="2"/>
        <v>153.24087337500001</v>
      </c>
      <c r="K9" s="218">
        <f t="shared" si="3"/>
        <v>108.17574231013393</v>
      </c>
      <c r="M9">
        <v>40</v>
      </c>
      <c r="Q9" s="206"/>
    </row>
    <row r="10" spans="1:20" ht="15.75" thickBot="1" x14ac:dyDescent="0.3">
      <c r="A10" s="240" t="s">
        <v>70</v>
      </c>
      <c r="B10" s="225">
        <f>SUM(B4:B9)</f>
        <v>3439517</v>
      </c>
      <c r="C10" s="236">
        <f>SUM(C4:C9)</f>
        <v>47595.282872999996</v>
      </c>
      <c r="D10" s="231">
        <f>C10/G10</f>
        <v>7.482119212250363</v>
      </c>
      <c r="E10" s="235" t="s">
        <v>370</v>
      </c>
      <c r="F10" s="226">
        <f>C10/B10*1000000</f>
        <v>13837.780965466953</v>
      </c>
      <c r="G10" s="226">
        <f>SUM(G4:G9)</f>
        <v>6361.2034936670007</v>
      </c>
      <c r="H10" s="227">
        <f>SUM(H4:H9)</f>
        <v>14693.294278134359</v>
      </c>
      <c r="I10" s="249">
        <f>C10/K10</f>
        <v>82.313548152004671</v>
      </c>
      <c r="J10" s="241">
        <f>SUM(J4:J9)</f>
        <v>819.10075131489577</v>
      </c>
      <c r="K10" s="228">
        <f>SUM(K4:K9)</f>
        <v>578.21930826147798</v>
      </c>
      <c r="L10" s="206"/>
    </row>
    <row r="11" spans="1:20" x14ac:dyDescent="0.25">
      <c r="K11" s="250">
        <f>1-K10/H10</f>
        <v>0.96064740164348661</v>
      </c>
      <c r="L11" s="206" t="s">
        <v>378</v>
      </c>
    </row>
    <row r="12" spans="1:20" x14ac:dyDescent="0.25">
      <c r="A12" s="198"/>
      <c r="K12" s="251">
        <f>G10/J10</f>
        <v>7.7660818689952515</v>
      </c>
      <c r="L12" s="206" t="s">
        <v>379</v>
      </c>
    </row>
    <row r="13" spans="1:20" x14ac:dyDescent="0.25">
      <c r="A13" s="198" t="s">
        <v>374</v>
      </c>
    </row>
    <row r="14" spans="1:20" x14ac:dyDescent="0.25">
      <c r="A14" t="s">
        <v>344</v>
      </c>
      <c r="B14" t="s">
        <v>345</v>
      </c>
      <c r="C14" t="s">
        <v>376</v>
      </c>
    </row>
    <row r="15" spans="1:20" x14ac:dyDescent="0.25">
      <c r="A15" s="207">
        <v>1</v>
      </c>
      <c r="B15" s="207">
        <v>1</v>
      </c>
      <c r="D15" t="s">
        <v>343</v>
      </c>
    </row>
    <row r="16" spans="1:20" x14ac:dyDescent="0.25">
      <c r="A16">
        <v>87</v>
      </c>
      <c r="B16">
        <v>66</v>
      </c>
      <c r="D16" t="s">
        <v>346</v>
      </c>
    </row>
    <row r="17" spans="1:8" x14ac:dyDescent="0.25">
      <c r="A17">
        <f>A16*365*1000/6.29</f>
        <v>5048489.6661367249</v>
      </c>
      <c r="B17">
        <f>B16*365*1000/6.29</f>
        <v>3829888.7122416534</v>
      </c>
      <c r="D17" t="s">
        <v>348</v>
      </c>
    </row>
    <row r="18" spans="1:8" x14ac:dyDescent="0.25">
      <c r="A18">
        <f>A17*A19/1000000</f>
        <v>3.7358823529411764</v>
      </c>
      <c r="B18">
        <f>B17*B19/1000000</f>
        <v>3.1864674085850551</v>
      </c>
      <c r="D18" t="s">
        <v>349</v>
      </c>
    </row>
    <row r="19" spans="1:8" x14ac:dyDescent="0.25">
      <c r="A19">
        <v>0.74</v>
      </c>
      <c r="B19">
        <v>0.83199999999999996</v>
      </c>
      <c r="D19" t="s">
        <v>342</v>
      </c>
    </row>
    <row r="20" spans="1:8" x14ac:dyDescent="0.25">
      <c r="C20" s="8">
        <f>paths!L7</f>
        <v>0.70591964093949044</v>
      </c>
      <c r="D20" t="s">
        <v>377</v>
      </c>
    </row>
    <row r="22" spans="1:8" x14ac:dyDescent="0.25">
      <c r="A22">
        <v>38.68</v>
      </c>
      <c r="B22" t="s">
        <v>375</v>
      </c>
    </row>
    <row r="23" spans="1:8" x14ac:dyDescent="0.25">
      <c r="B23" t="s">
        <v>347</v>
      </c>
    </row>
    <row r="26" spans="1:8" x14ac:dyDescent="0.25">
      <c r="G26" s="207"/>
      <c r="H26" s="207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Q42"/>
  <sheetViews>
    <sheetView tabSelected="1" zoomScale="80" zoomScaleNormal="80" workbookViewId="0">
      <selection activeCell="D43" sqref="D43"/>
    </sheetView>
  </sheetViews>
  <sheetFormatPr defaultRowHeight="15" x14ac:dyDescent="0.25"/>
  <cols>
    <col min="1" max="1025" width="8.5703125" customWidth="1"/>
  </cols>
  <sheetData>
    <row r="1" spans="1:6" x14ac:dyDescent="0.25">
      <c r="A1" t="s">
        <v>329</v>
      </c>
    </row>
    <row r="2" spans="1:6" x14ac:dyDescent="0.25">
      <c r="A2" s="198" t="s">
        <v>321</v>
      </c>
      <c r="B2" s="198" t="s">
        <v>322</v>
      </c>
      <c r="E2" t="s">
        <v>328</v>
      </c>
    </row>
    <row r="3" spans="1:6" x14ac:dyDescent="0.25">
      <c r="A3">
        <v>180</v>
      </c>
      <c r="B3" t="s">
        <v>320</v>
      </c>
      <c r="D3">
        <f>A3</f>
        <v>180</v>
      </c>
      <c r="E3" s="199">
        <f>(A3-D3)/A3</f>
        <v>0</v>
      </c>
    </row>
    <row r="4" spans="1:6" x14ac:dyDescent="0.25">
      <c r="A4">
        <v>573</v>
      </c>
      <c r="B4" t="s">
        <v>319</v>
      </c>
      <c r="D4">
        <v>450</v>
      </c>
      <c r="E4" s="199">
        <f t="shared" ref="E4:E11" si="0">(A4-D4)/A4</f>
        <v>0.21465968586387435</v>
      </c>
    </row>
    <row r="5" spans="1:6" x14ac:dyDescent="0.25">
      <c r="A5">
        <v>1463</v>
      </c>
      <c r="B5" t="s">
        <v>323</v>
      </c>
      <c r="D5">
        <v>1000</v>
      </c>
      <c r="E5" s="199">
        <f t="shared" si="0"/>
        <v>0.31647300068352702</v>
      </c>
    </row>
    <row r="6" spans="1:6" x14ac:dyDescent="0.25">
      <c r="A6">
        <v>1117</v>
      </c>
      <c r="B6" t="s">
        <v>38</v>
      </c>
      <c r="D6">
        <v>800</v>
      </c>
      <c r="E6" s="199">
        <f t="shared" si="0"/>
        <v>0.28379588182632048</v>
      </c>
    </row>
    <row r="7" spans="1:6" x14ac:dyDescent="0.25">
      <c r="A7">
        <v>258</v>
      </c>
      <c r="B7" t="s">
        <v>57</v>
      </c>
      <c r="D7">
        <v>200</v>
      </c>
      <c r="E7" s="199">
        <f t="shared" si="0"/>
        <v>0.22480620155038761</v>
      </c>
    </row>
    <row r="8" spans="1:6" x14ac:dyDescent="0.25">
      <c r="A8">
        <v>188</v>
      </c>
      <c r="B8" t="s">
        <v>324</v>
      </c>
      <c r="D8">
        <f t="shared" ref="D8:D10" si="1">A8</f>
        <v>188</v>
      </c>
      <c r="E8" s="199">
        <f t="shared" si="0"/>
        <v>0</v>
      </c>
    </row>
    <row r="9" spans="1:6" x14ac:dyDescent="0.25">
      <c r="A9">
        <v>266</v>
      </c>
      <c r="B9" t="s">
        <v>325</v>
      </c>
      <c r="D9">
        <v>200</v>
      </c>
      <c r="E9" s="199">
        <f t="shared" si="0"/>
        <v>0.24812030075187969</v>
      </c>
    </row>
    <row r="10" spans="1:6" x14ac:dyDescent="0.25">
      <c r="A10">
        <v>207</v>
      </c>
      <c r="B10" t="s">
        <v>326</v>
      </c>
      <c r="D10">
        <f t="shared" si="1"/>
        <v>207</v>
      </c>
      <c r="E10" s="199">
        <f t="shared" si="0"/>
        <v>0</v>
      </c>
    </row>
    <row r="11" spans="1:6" x14ac:dyDescent="0.25">
      <c r="A11" s="198">
        <f>SUM(A3:A10)</f>
        <v>4252</v>
      </c>
      <c r="B11" t="s">
        <v>70</v>
      </c>
      <c r="D11" s="198">
        <f>SUM(D3:D10)</f>
        <v>3225</v>
      </c>
      <c r="E11" s="199">
        <f t="shared" si="0"/>
        <v>0.24153339604891816</v>
      </c>
    </row>
    <row r="12" spans="1:6" x14ac:dyDescent="0.25">
      <c r="A12">
        <v>829</v>
      </c>
      <c r="B12" t="s">
        <v>327</v>
      </c>
    </row>
    <row r="13" spans="1:6" x14ac:dyDescent="0.25">
      <c r="A13">
        <f>SUM(A11:A12)</f>
        <v>5081</v>
      </c>
    </row>
    <row r="15" spans="1:6" x14ac:dyDescent="0.25">
      <c r="F15" s="3"/>
    </row>
    <row r="16" spans="1:6" x14ac:dyDescent="0.25">
      <c r="A16" s="3" t="s">
        <v>314</v>
      </c>
    </row>
    <row r="17" spans="1:17" x14ac:dyDescent="0.25">
      <c r="B17" s="3"/>
      <c r="D17" s="3"/>
      <c r="E17" s="3"/>
      <c r="Q17" s="3"/>
    </row>
    <row r="18" spans="1:17" x14ac:dyDescent="0.25">
      <c r="A18" s="3" t="s">
        <v>176</v>
      </c>
      <c r="B18" s="3" t="s">
        <v>177</v>
      </c>
      <c r="C18" s="3" t="s">
        <v>178</v>
      </c>
      <c r="D18" s="3"/>
      <c r="E18" s="3" t="s">
        <v>173</v>
      </c>
      <c r="F18" s="3" t="s">
        <v>176</v>
      </c>
      <c r="G18" s="3" t="s">
        <v>315</v>
      </c>
      <c r="H18" s="3" t="s">
        <v>177</v>
      </c>
      <c r="I18" s="3" t="s">
        <v>178</v>
      </c>
      <c r="J18" t="s">
        <v>316</v>
      </c>
    </row>
    <row r="19" spans="1:17" x14ac:dyDescent="0.25">
      <c r="A19">
        <v>0.101325</v>
      </c>
      <c r="B19">
        <v>4226.8999999999996</v>
      </c>
      <c r="C19">
        <v>70.575000000000003</v>
      </c>
      <c r="E19">
        <v>1.0129999999999999</v>
      </c>
      <c r="H19">
        <f>B19</f>
        <v>4226.8999999999996</v>
      </c>
      <c r="I19">
        <f>C19</f>
        <v>70.575000000000003</v>
      </c>
      <c r="K19" t="s">
        <v>317</v>
      </c>
      <c r="L19" t="s">
        <v>3</v>
      </c>
    </row>
    <row r="20" spans="1:17" x14ac:dyDescent="0.25">
      <c r="A20">
        <v>20</v>
      </c>
      <c r="B20">
        <v>4329.2</v>
      </c>
      <c r="C20">
        <v>48.624000000000002</v>
      </c>
      <c r="H20">
        <f>B20</f>
        <v>4329.2</v>
      </c>
      <c r="I20">
        <f>C20</f>
        <v>48.624000000000002</v>
      </c>
      <c r="K20">
        <f>300*(I19-I20)-(H19-H20)</f>
        <v>6687.6</v>
      </c>
      <c r="L20">
        <f>K20/3600</f>
        <v>1.8576666666666668</v>
      </c>
    </row>
    <row r="21" spans="1:17" x14ac:dyDescent="0.25">
      <c r="A21">
        <v>24</v>
      </c>
      <c r="B21">
        <v>4353.5</v>
      </c>
      <c r="C21">
        <v>47.850999999999999</v>
      </c>
      <c r="E21">
        <v>250</v>
      </c>
      <c r="F21">
        <f>E21/10</f>
        <v>25</v>
      </c>
      <c r="G21" s="152">
        <f>(F21-A21)/(A23-A21)</f>
        <v>0.5</v>
      </c>
      <c r="H21">
        <f>B21+$G21*(B23-B21)</f>
        <v>4359.75</v>
      </c>
      <c r="I21">
        <f>C21+$G21*(C23-C21)</f>
        <v>47.680999999999997</v>
      </c>
    </row>
    <row r="22" spans="1:17" x14ac:dyDescent="0.25">
      <c r="A22">
        <v>25</v>
      </c>
      <c r="G22" s="152"/>
    </row>
    <row r="23" spans="1:17" x14ac:dyDescent="0.25">
      <c r="A23">
        <v>26</v>
      </c>
      <c r="B23">
        <v>4366</v>
      </c>
      <c r="C23">
        <v>47.511000000000003</v>
      </c>
      <c r="G23" s="152"/>
      <c r="K23" t="s">
        <v>317</v>
      </c>
    </row>
    <row r="24" spans="1:17" x14ac:dyDescent="0.25">
      <c r="A24">
        <v>31.2</v>
      </c>
      <c r="G24" s="152"/>
    </row>
    <row r="25" spans="1:17" x14ac:dyDescent="0.25">
      <c r="A25">
        <v>30</v>
      </c>
      <c r="B25">
        <v>4391.5</v>
      </c>
      <c r="C25">
        <v>46.902999999999999</v>
      </c>
      <c r="E25">
        <v>312</v>
      </c>
      <c r="F25">
        <f>E25/10</f>
        <v>31.2</v>
      </c>
      <c r="G25" s="152">
        <f>(F25-A25)/(A26-A25)</f>
        <v>0.23999999999999985</v>
      </c>
      <c r="H25">
        <f>B25+$G25*(B26-B25)</f>
        <v>4399.3959999999997</v>
      </c>
      <c r="I25">
        <f>C25+$G25*(C26-C25)</f>
        <v>46.745559999999998</v>
      </c>
      <c r="K25">
        <f>300*($I$19-I25)-($H$19-H25)</f>
        <v>7321.3280000000013</v>
      </c>
      <c r="L25">
        <f>K25/3600</f>
        <v>2.0337022222222227</v>
      </c>
    </row>
    <row r="26" spans="1:17" x14ac:dyDescent="0.25">
      <c r="A26">
        <v>35</v>
      </c>
      <c r="B26">
        <v>4424.3999999999996</v>
      </c>
      <c r="C26">
        <v>46.247</v>
      </c>
    </row>
    <row r="27" spans="1:17" x14ac:dyDescent="0.25">
      <c r="A27">
        <v>70</v>
      </c>
      <c r="B27">
        <v>4273.3</v>
      </c>
      <c r="C27">
        <v>43.298000000000002</v>
      </c>
      <c r="E27">
        <v>700</v>
      </c>
      <c r="H27">
        <f>B27</f>
        <v>4273.3</v>
      </c>
      <c r="I27">
        <f>C27</f>
        <v>43.298000000000002</v>
      </c>
      <c r="K27" t="s">
        <v>318</v>
      </c>
    </row>
    <row r="28" spans="1:17" x14ac:dyDescent="0.25">
      <c r="A28">
        <v>80</v>
      </c>
      <c r="B28">
        <v>4747.6000000000004</v>
      </c>
      <c r="C28">
        <v>42.731999999999999</v>
      </c>
      <c r="E28">
        <v>880</v>
      </c>
      <c r="F28">
        <f>E28/10</f>
        <v>88</v>
      </c>
      <c r="G28" s="152">
        <f>(F28-A28)/(A30-A28)</f>
        <v>0.8</v>
      </c>
      <c r="H28">
        <f>B28+$G28*(B30-B28)</f>
        <v>4807.6000000000004</v>
      </c>
      <c r="I28">
        <f>C28+$G28*(C30-C28)</f>
        <v>42.332799999999999</v>
      </c>
      <c r="K28">
        <f>300*(I21-I28)-(H21-H28)</f>
        <v>2052.31</v>
      </c>
      <c r="L28">
        <f>K28/3600</f>
        <v>0.57008611111111107</v>
      </c>
    </row>
    <row r="29" spans="1:17" x14ac:dyDescent="0.25">
      <c r="A29">
        <v>88</v>
      </c>
      <c r="J29" s="152"/>
    </row>
    <row r="30" spans="1:17" x14ac:dyDescent="0.25">
      <c r="A30">
        <v>90</v>
      </c>
      <c r="B30">
        <v>4822.6000000000004</v>
      </c>
      <c r="C30">
        <v>42.232999999999997</v>
      </c>
    </row>
    <row r="33" spans="1:4" x14ac:dyDescent="0.25">
      <c r="A33" s="198" t="s">
        <v>50</v>
      </c>
    </row>
    <row r="34" spans="1:4" x14ac:dyDescent="0.25">
      <c r="A34" t="s">
        <v>388</v>
      </c>
      <c r="C34">
        <v>4300</v>
      </c>
      <c r="D34" t="s">
        <v>397</v>
      </c>
    </row>
    <row r="35" spans="1:4" x14ac:dyDescent="0.25">
      <c r="A35" t="s">
        <v>389</v>
      </c>
      <c r="C35" s="17">
        <v>4.4999999999999997E-3</v>
      </c>
      <c r="D35" t="s">
        <v>398</v>
      </c>
    </row>
    <row r="36" spans="1:4" x14ac:dyDescent="0.25">
      <c r="A36" t="s">
        <v>396</v>
      </c>
      <c r="C36">
        <f>SUM(display!W28:Z28)/4</f>
        <v>555</v>
      </c>
      <c r="D36" t="s">
        <v>115</v>
      </c>
    </row>
    <row r="37" spans="1:4" x14ac:dyDescent="0.25">
      <c r="A37" t="s">
        <v>390</v>
      </c>
      <c r="C37">
        <f>sourcedat!D18</f>
        <v>0.1206</v>
      </c>
      <c r="D37" t="s">
        <v>391</v>
      </c>
    </row>
    <row r="38" spans="1:4" x14ac:dyDescent="0.25">
      <c r="C38">
        <f>C37*C35*C34</f>
        <v>2.3336099999999997</v>
      </c>
      <c r="D38" t="s">
        <v>392</v>
      </c>
    </row>
    <row r="39" spans="1:4" x14ac:dyDescent="0.25">
      <c r="C39">
        <f>C38/C36</f>
        <v>4.2047027027027018E-3</v>
      </c>
      <c r="D39" t="s">
        <v>399</v>
      </c>
    </row>
    <row r="40" spans="1:4" x14ac:dyDescent="0.25">
      <c r="A40" t="s">
        <v>393</v>
      </c>
      <c r="C40" s="8">
        <f>sourcedat!C18</f>
        <v>13.4</v>
      </c>
      <c r="D40" t="s">
        <v>394</v>
      </c>
    </row>
    <row r="41" spans="1:4" x14ac:dyDescent="0.25">
      <c r="C41">
        <f>C40*C35*C34</f>
        <v>259.29000000000002</v>
      </c>
      <c r="D41" t="s">
        <v>395</v>
      </c>
    </row>
    <row r="42" spans="1:4" x14ac:dyDescent="0.25">
      <c r="C42">
        <f>C41/C36</f>
        <v>0.46718918918918922</v>
      </c>
      <c r="D42" t="s">
        <v>400</v>
      </c>
    </row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1926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26</vt:i4>
      </vt:variant>
    </vt:vector>
  </HeadingPairs>
  <TitlesOfParts>
    <vt:vector size="35" baseType="lpstr">
      <vt:lpstr>sourcedat</vt:lpstr>
      <vt:lpstr>paths</vt:lpstr>
      <vt:lpstr>transp</vt:lpstr>
      <vt:lpstr>prod</vt:lpstr>
      <vt:lpstr>compress</vt:lpstr>
      <vt:lpstr>display</vt:lpstr>
      <vt:lpstr>proj</vt:lpstr>
      <vt:lpstr>drivetrain</vt:lpstr>
      <vt:lpstr>Misc</vt:lpstr>
      <vt:lpstr>display!__Fieldmark__769_1656100292</vt:lpstr>
      <vt:lpstr>distance</vt:lpstr>
      <vt:lpstr>elec_type</vt:lpstr>
      <vt:lpstr>elec_types</vt:lpstr>
      <vt:lpstr>electrolysers</vt:lpstr>
      <vt:lpstr>ElectroPlants</vt:lpstr>
      <vt:lpstr>fuel_econ</vt:lpstr>
      <vt:lpstr>gas_decr</vt:lpstr>
      <vt:lpstr>gas_incr</vt:lpstr>
      <vt:lpstr>transp!gas_transp</vt:lpstr>
      <vt:lpstr>gas_transp</vt:lpstr>
      <vt:lpstr>gwp_by_source</vt:lpstr>
      <vt:lpstr>liq_decr</vt:lpstr>
      <vt:lpstr>liq_incr</vt:lpstr>
      <vt:lpstr>transp!liq_transport</vt:lpstr>
      <vt:lpstr>liq_transport</vt:lpstr>
      <vt:lpstr>pants</vt:lpstr>
      <vt:lpstr>path_decr</vt:lpstr>
      <vt:lpstr>path_incr</vt:lpstr>
      <vt:lpstr>pathway_labels</vt:lpstr>
      <vt:lpstr>pathways</vt:lpstr>
      <vt:lpstr>plants</vt:lpstr>
      <vt:lpstr>proj_table</vt:lpstr>
      <vt:lpstr>Thermo</vt:lpstr>
      <vt:lpstr>us_elec_chart</vt:lpstr>
      <vt:lpstr>work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at</dc:creator>
  <dc:description/>
  <cp:lastModifiedBy>aju</cp:lastModifiedBy>
  <cp:revision>36</cp:revision>
  <dcterms:created xsi:type="dcterms:W3CDTF">2018-06-21T21:34:44Z</dcterms:created>
  <dcterms:modified xsi:type="dcterms:W3CDTF">2018-11-22T20:13:30Z</dcterms:modified>
  <dc:language>en-CA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