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zhu/Desktop/"/>
    </mc:Choice>
  </mc:AlternateContent>
  <xr:revisionPtr revIDLastSave="0" documentId="8_{974942E7-90CF-4C44-B08D-142B789111C6}" xr6:coauthVersionLast="47" xr6:coauthVersionMax="47" xr10:uidLastSave="{00000000-0000-0000-0000-000000000000}"/>
  <bookViews>
    <workbookView xWindow="0" yWindow="640" windowWidth="19420" windowHeight="12220" activeTab="3" xr2:uid="{B9A94866-6525-41D4-B074-D1CFA94C49E0}"/>
  </bookViews>
  <sheets>
    <sheet name="DCF Output" sheetId="10" r:id="rId1"/>
    <sheet name="Comp Plugs" sheetId="2" r:id="rId2"/>
    <sheet name="Comps" sheetId="1" r:id="rId3"/>
    <sheet name="DCF" sheetId="4" r:id="rId4"/>
    <sheet name="Assumptions" sheetId="9" r:id="rId5"/>
    <sheet name="BS" sheetId="8" r:id="rId6"/>
    <sheet name="Income" sheetId="6" r:id="rId7"/>
    <sheet name="CF" sheetId="7" r:id="rId8"/>
    <sheet name="Comp Valuatio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C62" i="4"/>
  <c r="E34" i="4"/>
  <c r="B56" i="10"/>
  <c r="T44" i="4"/>
  <c r="R47" i="4"/>
  <c r="B43" i="10"/>
  <c r="B47" i="10" s="1"/>
  <c r="B52" i="10" s="1"/>
  <c r="B55" i="10" s="1"/>
  <c r="B57" i="10" s="1"/>
  <c r="B41" i="10"/>
  <c r="B42" i="10" s="1"/>
  <c r="B37" i="10"/>
  <c r="B39" i="10" s="1"/>
  <c r="B40" i="10" s="1"/>
  <c r="B34" i="10"/>
  <c r="B19" i="4"/>
  <c r="O32" i="4"/>
  <c r="O31" i="4"/>
  <c r="T38" i="4"/>
  <c r="I5" i="2"/>
  <c r="O51" i="4"/>
  <c r="O44" i="4"/>
  <c r="D59" i="4"/>
  <c r="C59" i="4"/>
  <c r="B59" i="4"/>
  <c r="D57" i="4"/>
  <c r="C57" i="4"/>
  <c r="D33" i="4"/>
  <c r="D24" i="4" s="1"/>
  <c r="C33" i="4"/>
  <c r="B33" i="4"/>
  <c r="B24" i="4" s="1"/>
  <c r="F18" i="4"/>
  <c r="D42" i="4"/>
  <c r="C42" i="4"/>
  <c r="D40" i="4"/>
  <c r="C40" i="4"/>
  <c r="D53" i="4"/>
  <c r="C53" i="4"/>
  <c r="D51" i="4"/>
  <c r="C51" i="4"/>
  <c r="D49" i="4"/>
  <c r="C49" i="4"/>
  <c r="B53" i="4"/>
  <c r="B51" i="4"/>
  <c r="B49" i="4"/>
  <c r="B42" i="4"/>
  <c r="B40" i="4"/>
  <c r="D38" i="4"/>
  <c r="C38" i="4"/>
  <c r="B38" i="4"/>
  <c r="B6" i="4"/>
  <c r="C6" i="4"/>
  <c r="C46" i="4" s="1"/>
  <c r="D6" i="4"/>
  <c r="D46" i="4" s="1"/>
  <c r="F33" i="4"/>
  <c r="D18" i="4"/>
  <c r="D21" i="4" s="1"/>
  <c r="C18" i="4"/>
  <c r="C21" i="4" s="1"/>
  <c r="B18" i="4"/>
  <c r="B21" i="4" s="1"/>
  <c r="F12" i="4"/>
  <c r="F16" i="4"/>
  <c r="D16" i="4"/>
  <c r="D23" i="4" s="1"/>
  <c r="C16" i="4"/>
  <c r="B16" i="4"/>
  <c r="B23" i="4" s="1"/>
  <c r="D12" i="4"/>
  <c r="C12" i="4"/>
  <c r="B12" i="4"/>
  <c r="D8" i="4"/>
  <c r="C8" i="4"/>
  <c r="B8" i="4"/>
  <c r="F8" i="4"/>
  <c r="F6" i="4"/>
  <c r="C8" i="3"/>
  <c r="C7" i="3"/>
  <c r="C6" i="3"/>
  <c r="B8" i="3"/>
  <c r="B7" i="3"/>
  <c r="B6" i="3"/>
  <c r="I3" i="2"/>
  <c r="U38" i="1"/>
  <c r="Q38" i="1"/>
  <c r="P38" i="1"/>
  <c r="L38" i="1"/>
  <c r="K38" i="1"/>
  <c r="U37" i="1"/>
  <c r="Q37" i="1"/>
  <c r="P37" i="1"/>
  <c r="L37" i="1"/>
  <c r="K37" i="1"/>
  <c r="F27" i="1"/>
  <c r="T27" i="1" s="1"/>
  <c r="F26" i="1"/>
  <c r="V26" i="1" s="1"/>
  <c r="F25" i="1"/>
  <c r="T25" i="1" s="1"/>
  <c r="F24" i="1"/>
  <c r="V24" i="1" s="1"/>
  <c r="F23" i="1"/>
  <c r="T23" i="1" s="1"/>
  <c r="F22" i="1"/>
  <c r="J22" i="1" s="1"/>
  <c r="F16" i="1"/>
  <c r="W16" i="1" s="1"/>
  <c r="F15" i="1"/>
  <c r="R15" i="1" s="1"/>
  <c r="F14" i="1"/>
  <c r="M14" i="1" s="1"/>
  <c r="F13" i="1"/>
  <c r="O13" i="1" s="1"/>
  <c r="F12" i="1"/>
  <c r="N12" i="1" s="1"/>
  <c r="F11" i="1"/>
  <c r="R11" i="1" s="1"/>
  <c r="F10" i="1"/>
  <c r="M10" i="1" s="1"/>
  <c r="D27" i="1"/>
  <c r="D26" i="1"/>
  <c r="D25" i="1"/>
  <c r="D24" i="1"/>
  <c r="D23" i="1"/>
  <c r="D22" i="1"/>
  <c r="D16" i="1"/>
  <c r="D15" i="1"/>
  <c r="D14" i="1"/>
  <c r="D13" i="1"/>
  <c r="D12" i="1"/>
  <c r="D11" i="1"/>
  <c r="D10" i="1"/>
  <c r="I18" i="2"/>
  <c r="I17" i="2"/>
  <c r="I16" i="2"/>
  <c r="I15" i="2"/>
  <c r="I14" i="2"/>
  <c r="I13" i="2"/>
  <c r="I11" i="2"/>
  <c r="I10" i="2"/>
  <c r="I9" i="2"/>
  <c r="I8" i="2"/>
  <c r="I7" i="2"/>
  <c r="I6" i="2"/>
  <c r="I2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G2" i="2"/>
  <c r="C52" i="4" l="1"/>
  <c r="O53" i="4"/>
  <c r="D13" i="4"/>
  <c r="C17" i="4"/>
  <c r="D25" i="4"/>
  <c r="D26" i="4" s="1"/>
  <c r="B52" i="4"/>
  <c r="B62" i="4"/>
  <c r="B25" i="4" s="1"/>
  <c r="B26" i="4" s="1"/>
  <c r="C50" i="4"/>
  <c r="D52" i="4"/>
  <c r="C34" i="4"/>
  <c r="B50" i="4"/>
  <c r="C25" i="4"/>
  <c r="D34" i="4"/>
  <c r="B54" i="4"/>
  <c r="D50" i="4"/>
  <c r="C23" i="4"/>
  <c r="B10" i="4"/>
  <c r="B11" i="4" s="1"/>
  <c r="C24" i="4"/>
  <c r="B34" i="4"/>
  <c r="C43" i="4"/>
  <c r="D43" i="4"/>
  <c r="B43" i="4"/>
  <c r="C54" i="4"/>
  <c r="C41" i="4"/>
  <c r="D41" i="4"/>
  <c r="D54" i="4"/>
  <c r="D39" i="4"/>
  <c r="B41" i="4"/>
  <c r="B39" i="4"/>
  <c r="C39" i="4"/>
  <c r="B46" i="4"/>
  <c r="F34" i="4"/>
  <c r="E6" i="4"/>
  <c r="D9" i="4"/>
  <c r="D7" i="4"/>
  <c r="G6" i="4"/>
  <c r="D17" i="4"/>
  <c r="F17" i="4"/>
  <c r="D19" i="4"/>
  <c r="D10" i="4"/>
  <c r="D14" i="4" s="1"/>
  <c r="F19" i="4"/>
  <c r="F10" i="4"/>
  <c r="F11" i="4" s="1"/>
  <c r="F13" i="4"/>
  <c r="C13" i="4"/>
  <c r="C19" i="4"/>
  <c r="C10" i="4"/>
  <c r="C11" i="4" s="1"/>
  <c r="F9" i="4"/>
  <c r="E18" i="4"/>
  <c r="B9" i="4"/>
  <c r="B17" i="4"/>
  <c r="B13" i="4"/>
  <c r="C9" i="4"/>
  <c r="C7" i="4"/>
  <c r="D6" i="3"/>
  <c r="F6" i="3" s="1"/>
  <c r="H6" i="3" s="1"/>
  <c r="D7" i="3"/>
  <c r="F7" i="3" s="1"/>
  <c r="H7" i="3" s="1"/>
  <c r="D8" i="3"/>
  <c r="F8" i="3" s="1"/>
  <c r="H8" i="3" s="1"/>
  <c r="H14" i="1"/>
  <c r="I13" i="1"/>
  <c r="O14" i="1"/>
  <c r="S16" i="1"/>
  <c r="J25" i="1"/>
  <c r="H26" i="1"/>
  <c r="J13" i="1"/>
  <c r="N14" i="1"/>
  <c r="M15" i="1"/>
  <c r="R24" i="1"/>
  <c r="M25" i="1"/>
  <c r="N26" i="1"/>
  <c r="T16" i="1"/>
  <c r="T24" i="1"/>
  <c r="W22" i="1"/>
  <c r="M22" i="1"/>
  <c r="N22" i="1"/>
  <c r="W23" i="1"/>
  <c r="W24" i="1"/>
  <c r="O22" i="1"/>
  <c r="O26" i="1"/>
  <c r="W25" i="1"/>
  <c r="R22" i="1"/>
  <c r="R26" i="1"/>
  <c r="N15" i="1"/>
  <c r="H22" i="1"/>
  <c r="S22" i="1"/>
  <c r="V12" i="1"/>
  <c r="I10" i="1"/>
  <c r="M16" i="1"/>
  <c r="H24" i="1"/>
  <c r="T22" i="1"/>
  <c r="V13" i="1"/>
  <c r="J10" i="1"/>
  <c r="N16" i="1"/>
  <c r="I24" i="1"/>
  <c r="M23" i="1"/>
  <c r="V16" i="1"/>
  <c r="J16" i="1"/>
  <c r="R12" i="1"/>
  <c r="J24" i="1"/>
  <c r="M24" i="1"/>
  <c r="I16" i="1"/>
  <c r="S13" i="1"/>
  <c r="H25" i="1"/>
  <c r="N24" i="1"/>
  <c r="I14" i="1"/>
  <c r="R16" i="1"/>
  <c r="I25" i="1"/>
  <c r="O24" i="1"/>
  <c r="I12" i="1"/>
  <c r="N10" i="1"/>
  <c r="S11" i="1"/>
  <c r="S15" i="1"/>
  <c r="M26" i="1"/>
  <c r="V10" i="1"/>
  <c r="V27" i="1"/>
  <c r="O10" i="1"/>
  <c r="T11" i="1"/>
  <c r="T15" i="1"/>
  <c r="V11" i="1"/>
  <c r="S12" i="1"/>
  <c r="H10" i="1"/>
  <c r="H13" i="1"/>
  <c r="O11" i="1"/>
  <c r="O15" i="1"/>
  <c r="T12" i="1"/>
  <c r="W26" i="1"/>
  <c r="S24" i="1"/>
  <c r="S26" i="1"/>
  <c r="V14" i="1"/>
  <c r="J12" i="1"/>
  <c r="M12" i="1"/>
  <c r="M37" i="1" s="1"/>
  <c r="R13" i="1"/>
  <c r="W10" i="1"/>
  <c r="W27" i="1"/>
  <c r="T26" i="1"/>
  <c r="V15" i="1"/>
  <c r="M11" i="1"/>
  <c r="M19" i="1" s="1"/>
  <c r="H16" i="1"/>
  <c r="H12" i="1"/>
  <c r="O12" i="1"/>
  <c r="O16" i="1"/>
  <c r="T13" i="1"/>
  <c r="W12" i="1"/>
  <c r="I22" i="1"/>
  <c r="I26" i="1"/>
  <c r="N23" i="1"/>
  <c r="N25" i="1"/>
  <c r="N27" i="1"/>
  <c r="V22" i="1"/>
  <c r="N11" i="1"/>
  <c r="M27" i="1"/>
  <c r="J15" i="1"/>
  <c r="J11" i="1"/>
  <c r="M13" i="1"/>
  <c r="R10" i="1"/>
  <c r="R14" i="1"/>
  <c r="W13" i="1"/>
  <c r="J26" i="1"/>
  <c r="O23" i="1"/>
  <c r="O25" i="1"/>
  <c r="O27" i="1"/>
  <c r="V23" i="1"/>
  <c r="I15" i="1"/>
  <c r="I11" i="1"/>
  <c r="N13" i="1"/>
  <c r="S10" i="1"/>
  <c r="S14" i="1"/>
  <c r="W14" i="1"/>
  <c r="H23" i="1"/>
  <c r="H27" i="1"/>
  <c r="R23" i="1"/>
  <c r="R25" i="1"/>
  <c r="R27" i="1"/>
  <c r="H15" i="1"/>
  <c r="H11" i="1"/>
  <c r="T10" i="1"/>
  <c r="T14" i="1"/>
  <c r="W15" i="1"/>
  <c r="I23" i="1"/>
  <c r="I27" i="1"/>
  <c r="S23" i="1"/>
  <c r="S25" i="1"/>
  <c r="S27" i="1"/>
  <c r="V25" i="1"/>
  <c r="W11" i="1"/>
  <c r="J14" i="1"/>
  <c r="J23" i="1"/>
  <c r="J29" i="1" s="1"/>
  <c r="J27" i="1"/>
  <c r="T42" i="4" l="1"/>
  <c r="B28" i="4"/>
  <c r="C26" i="4"/>
  <c r="B14" i="4"/>
  <c r="B15" i="4" s="1"/>
  <c r="G38" i="4"/>
  <c r="G51" i="4"/>
  <c r="G53" i="4"/>
  <c r="G42" i="4"/>
  <c r="D11" i="4"/>
  <c r="F14" i="4"/>
  <c r="F15" i="4" s="1"/>
  <c r="G8" i="4"/>
  <c r="G12" i="4"/>
  <c r="H6" i="4"/>
  <c r="G33" i="4"/>
  <c r="G24" i="4" s="1"/>
  <c r="G16" i="4"/>
  <c r="G23" i="4" s="1"/>
  <c r="E10" i="4"/>
  <c r="C14" i="4"/>
  <c r="C15" i="4" s="1"/>
  <c r="D15" i="4"/>
  <c r="I18" i="1"/>
  <c r="I19" i="1"/>
  <c r="I38" i="1"/>
  <c r="I34" i="1"/>
  <c r="I37" i="1"/>
  <c r="I35" i="1"/>
  <c r="N29" i="1"/>
  <c r="N30" i="1"/>
  <c r="S29" i="1"/>
  <c r="S30" i="1"/>
  <c r="W29" i="1"/>
  <c r="W30" i="1"/>
  <c r="I30" i="1"/>
  <c r="I29" i="1"/>
  <c r="H29" i="1"/>
  <c r="H30" i="1"/>
  <c r="N37" i="1"/>
  <c r="N34" i="1"/>
  <c r="N35" i="1"/>
  <c r="N38" i="1"/>
  <c r="N18" i="1"/>
  <c r="N19" i="1"/>
  <c r="M35" i="1"/>
  <c r="S35" i="1"/>
  <c r="S38" i="1"/>
  <c r="S18" i="1"/>
  <c r="S19" i="1"/>
  <c r="S37" i="1"/>
  <c r="S34" i="1"/>
  <c r="H34" i="1"/>
  <c r="H18" i="1"/>
  <c r="H38" i="1"/>
  <c r="H19" i="1"/>
  <c r="H35" i="1"/>
  <c r="H37" i="1"/>
  <c r="R29" i="1"/>
  <c r="R30" i="1"/>
  <c r="M34" i="1"/>
  <c r="O37" i="1"/>
  <c r="O34" i="1"/>
  <c r="O35" i="1"/>
  <c r="O38" i="1"/>
  <c r="O18" i="1"/>
  <c r="O19" i="1"/>
  <c r="J18" i="1"/>
  <c r="J35" i="1"/>
  <c r="J19" i="1"/>
  <c r="J38" i="1"/>
  <c r="J34" i="1"/>
  <c r="J37" i="1"/>
  <c r="J30" i="1"/>
  <c r="W38" i="1"/>
  <c r="W37" i="1"/>
  <c r="W19" i="1"/>
  <c r="W18" i="1"/>
  <c r="W34" i="1"/>
  <c r="W35" i="1"/>
  <c r="T38" i="1"/>
  <c r="T19" i="1"/>
  <c r="T37" i="1"/>
  <c r="T18" i="1"/>
  <c r="T34" i="1"/>
  <c r="T35" i="1"/>
  <c r="R34" i="1"/>
  <c r="R35" i="1"/>
  <c r="R18" i="1"/>
  <c r="R38" i="1"/>
  <c r="R19" i="1"/>
  <c r="R37" i="1"/>
  <c r="V38" i="1"/>
  <c r="V19" i="1"/>
  <c r="V18" i="1"/>
  <c r="V37" i="1"/>
  <c r="V34" i="1"/>
  <c r="V35" i="1"/>
  <c r="T29" i="1"/>
  <c r="T30" i="1"/>
  <c r="O30" i="1"/>
  <c r="O29" i="1"/>
  <c r="M29" i="1"/>
  <c r="M30" i="1"/>
  <c r="V29" i="1"/>
  <c r="V30" i="1"/>
  <c r="M18" i="1"/>
  <c r="M38" i="1"/>
  <c r="K30" i="4" l="1"/>
  <c r="J30" i="4"/>
  <c r="G30" i="4"/>
  <c r="I30" i="4"/>
  <c r="H30" i="4"/>
  <c r="E14" i="4"/>
  <c r="G10" i="4"/>
  <c r="G11" i="4" s="1"/>
  <c r="G40" i="4"/>
  <c r="G49" i="4"/>
  <c r="H51" i="4"/>
  <c r="H38" i="4"/>
  <c r="H53" i="4"/>
  <c r="H42" i="4"/>
  <c r="I6" i="4"/>
  <c r="H33" i="4"/>
  <c r="H24" i="4" s="1"/>
  <c r="H8" i="4"/>
  <c r="H16" i="4"/>
  <c r="H23" i="4" s="1"/>
  <c r="H12" i="4"/>
  <c r="S7" i="1"/>
  <c r="V7" i="1"/>
  <c r="J7" i="1"/>
  <c r="I7" i="1"/>
  <c r="O7" i="1"/>
  <c r="N7" i="1"/>
  <c r="W7" i="1"/>
  <c r="R7" i="1"/>
  <c r="T7" i="1"/>
  <c r="H7" i="1"/>
  <c r="M7" i="1"/>
  <c r="G14" i="4" l="1"/>
  <c r="G18" i="4" s="1"/>
  <c r="G62" i="4"/>
  <c r="G25" i="4" s="1"/>
  <c r="H10" i="4"/>
  <c r="H14" i="4" s="1"/>
  <c r="H49" i="4"/>
  <c r="H40" i="4"/>
  <c r="H62" i="4" s="1"/>
  <c r="H25" i="4" s="1"/>
  <c r="I42" i="4"/>
  <c r="I53" i="4"/>
  <c r="I38" i="4"/>
  <c r="I51" i="4"/>
  <c r="J6" i="4"/>
  <c r="I12" i="4"/>
  <c r="I8" i="4"/>
  <c r="I33" i="4"/>
  <c r="I24" i="4" s="1"/>
  <c r="I16" i="4"/>
  <c r="I23" i="4" s="1"/>
  <c r="H11" i="4" l="1"/>
  <c r="G15" i="4"/>
  <c r="J53" i="4"/>
  <c r="J42" i="4"/>
  <c r="J38" i="4"/>
  <c r="J51" i="4"/>
  <c r="I10" i="4"/>
  <c r="I14" i="4" s="1"/>
  <c r="I49" i="4"/>
  <c r="I40" i="4"/>
  <c r="I62" i="4" s="1"/>
  <c r="I25" i="4" s="1"/>
  <c r="G19" i="4"/>
  <c r="G20" i="4"/>
  <c r="G21" i="4" s="1"/>
  <c r="G26" i="4" s="1"/>
  <c r="G31" i="4" s="1"/>
  <c r="H18" i="4"/>
  <c r="H15" i="4"/>
  <c r="K6" i="4"/>
  <c r="J33" i="4"/>
  <c r="J24" i="4" s="1"/>
  <c r="J16" i="4"/>
  <c r="J23" i="4" s="1"/>
  <c r="J8" i="4"/>
  <c r="J12" i="4"/>
  <c r="I11" i="4" l="1"/>
  <c r="J10" i="4"/>
  <c r="J11" i="4" s="1"/>
  <c r="J49" i="4"/>
  <c r="J40" i="4"/>
  <c r="J62" i="4" s="1"/>
  <c r="J25" i="4" s="1"/>
  <c r="L6" i="4"/>
  <c r="K53" i="4"/>
  <c r="K38" i="4"/>
  <c r="K42" i="4"/>
  <c r="K51" i="4"/>
  <c r="H19" i="4"/>
  <c r="H20" i="4"/>
  <c r="H21" i="4" s="1"/>
  <c r="H26" i="4" s="1"/>
  <c r="H31" i="4" s="1"/>
  <c r="J14" i="4"/>
  <c r="K33" i="4"/>
  <c r="K24" i="4" s="1"/>
  <c r="K8" i="4"/>
  <c r="K16" i="4"/>
  <c r="K23" i="4" s="1"/>
  <c r="K12" i="4"/>
  <c r="I15" i="4"/>
  <c r="I18" i="4"/>
  <c r="K10" i="4" l="1"/>
  <c r="L10" i="4" s="1"/>
  <c r="K49" i="4"/>
  <c r="K40" i="4"/>
  <c r="K62" i="4" s="1"/>
  <c r="K25" i="4" s="1"/>
  <c r="I19" i="4"/>
  <c r="I20" i="4"/>
  <c r="I21" i="4" s="1"/>
  <c r="I26" i="4" s="1"/>
  <c r="I31" i="4" s="1"/>
  <c r="J15" i="4"/>
  <c r="J18" i="4"/>
  <c r="K14" i="4" l="1"/>
  <c r="L14" i="4" s="1"/>
  <c r="K11" i="4"/>
  <c r="J19" i="4"/>
  <c r="J20" i="4"/>
  <c r="J21" i="4" s="1"/>
  <c r="J26" i="4" s="1"/>
  <c r="J31" i="4" s="1"/>
  <c r="T37" i="4" l="1"/>
  <c r="T39" i="4" s="1"/>
  <c r="L31" i="4" s="1"/>
  <c r="K18" i="4"/>
  <c r="K15" i="4"/>
  <c r="B57" i="4"/>
  <c r="K20" i="4" l="1"/>
  <c r="K21" i="4" s="1"/>
  <c r="L18" i="4"/>
  <c r="K19" i="4"/>
  <c r="K26" i="4" l="1"/>
  <c r="L21" i="4"/>
  <c r="T41" i="4" l="1"/>
  <c r="K31" i="4"/>
  <c r="O30" i="4" s="1"/>
  <c r="O33" i="4" l="1"/>
  <c r="O34" i="4" s="1"/>
</calcChain>
</file>

<file path=xl/sharedStrings.xml><?xml version="1.0" encoding="utf-8"?>
<sst xmlns="http://schemas.openxmlformats.org/spreadsheetml/2006/main" count="563" uniqueCount="359">
  <si>
    <t xml:space="preserve">Comparables Companies Analysis </t>
  </si>
  <si>
    <t xml:space="preserve">As of August 2024, $ in millions (except per share data) </t>
  </si>
  <si>
    <t xml:space="preserve">ProPetro Holding Corp. </t>
  </si>
  <si>
    <t>Current Share Price</t>
  </si>
  <si>
    <t>% of 52 Wk High</t>
  </si>
  <si>
    <t>Market Cap</t>
  </si>
  <si>
    <t xml:space="preserve">Enterprise Value </t>
  </si>
  <si>
    <t xml:space="preserve">Enterprise Value / </t>
  </si>
  <si>
    <t>LTM EBITDA Margin</t>
  </si>
  <si>
    <t>Total Debt / EBITDA</t>
  </si>
  <si>
    <t xml:space="preserve">Company </t>
  </si>
  <si>
    <t>Country</t>
  </si>
  <si>
    <t xml:space="preserve">Ticker </t>
  </si>
  <si>
    <t xml:space="preserve">LTM Sales </t>
  </si>
  <si>
    <t xml:space="preserve">2023E Sales </t>
  </si>
  <si>
    <t>2022E Sales</t>
  </si>
  <si>
    <t>LTM EBITDA</t>
  </si>
  <si>
    <t>2023E EBITDA</t>
  </si>
  <si>
    <t>2022E EBITDA</t>
  </si>
  <si>
    <t>LTM EBIT</t>
  </si>
  <si>
    <t>2023E EBIT</t>
  </si>
  <si>
    <t>2022E EBIT</t>
  </si>
  <si>
    <t>PUMP</t>
  </si>
  <si>
    <t>ProPetro Holding Corp.</t>
  </si>
  <si>
    <t xml:space="preserve">Liberty Energy Inc. </t>
  </si>
  <si>
    <t>Calfrac Well Services</t>
  </si>
  <si>
    <t xml:space="preserve">STEP Energy Services </t>
  </si>
  <si>
    <t>Trican Well Services</t>
  </si>
  <si>
    <t>Canada</t>
  </si>
  <si>
    <t xml:space="preserve">US </t>
  </si>
  <si>
    <t xml:space="preserve">ProFrac Holding Corp. </t>
  </si>
  <si>
    <t xml:space="preserve">Patterson-UTI Energy, Inc. </t>
  </si>
  <si>
    <t xml:space="preserve">Precision Drilling </t>
  </si>
  <si>
    <t xml:space="preserve">Select Water Solutions </t>
  </si>
  <si>
    <t xml:space="preserve">Solaris Oilfield Infrastructure </t>
  </si>
  <si>
    <t>Helix Energy Solutions Group</t>
  </si>
  <si>
    <t xml:space="preserve">Oceaneering International </t>
  </si>
  <si>
    <t xml:space="preserve">RPC </t>
  </si>
  <si>
    <t>Hydraulic services</t>
  </si>
  <si>
    <t>Hydraulic fracturing</t>
  </si>
  <si>
    <t xml:space="preserve">OFS </t>
  </si>
  <si>
    <t>US</t>
  </si>
  <si>
    <t xml:space="preserve">Hydraulic fracturing </t>
  </si>
  <si>
    <t xml:space="preserve">Services </t>
  </si>
  <si>
    <t xml:space="preserve">LBRT </t>
  </si>
  <si>
    <t xml:space="preserve">HLX </t>
  </si>
  <si>
    <t>CFWFF</t>
  </si>
  <si>
    <t xml:space="preserve">SNVVF </t>
  </si>
  <si>
    <t xml:space="preserve">TOLWF </t>
  </si>
  <si>
    <t xml:space="preserve">ACDC </t>
  </si>
  <si>
    <t>PTEN</t>
  </si>
  <si>
    <t xml:space="preserve">RES </t>
  </si>
  <si>
    <t xml:space="preserve">WTTR </t>
  </si>
  <si>
    <t xml:space="preserve">SOI </t>
  </si>
  <si>
    <t xml:space="preserve">PDS </t>
  </si>
  <si>
    <t xml:space="preserve">OII </t>
  </si>
  <si>
    <t>Oil States International</t>
  </si>
  <si>
    <t xml:space="preserve">OIS </t>
  </si>
  <si>
    <t>Ticker</t>
  </si>
  <si>
    <t>% of 52% Wk High</t>
  </si>
  <si>
    <t xml:space="preserve">Market Cap </t>
  </si>
  <si>
    <t xml:space="preserve">Total Debt </t>
  </si>
  <si>
    <t xml:space="preserve">Total Cash </t>
  </si>
  <si>
    <t xml:space="preserve">LTM Revenue </t>
  </si>
  <si>
    <t>2023E Revenue</t>
  </si>
  <si>
    <t>2022E Revenue</t>
  </si>
  <si>
    <t xml:space="preserve">LTM EBITDA </t>
  </si>
  <si>
    <t>52 Wk High</t>
  </si>
  <si>
    <t xml:space="preserve">Tier 1: SMID Hydraulic Fracturing OFS </t>
  </si>
  <si>
    <t>Tier 2: SMID Other OFS</t>
  </si>
  <si>
    <t xml:space="preserve">Mean </t>
  </si>
  <si>
    <t xml:space="preserve">Median </t>
  </si>
  <si>
    <t>Overall</t>
  </si>
  <si>
    <t>High</t>
  </si>
  <si>
    <t>Low</t>
  </si>
  <si>
    <t>Implied Valuation</t>
  </si>
  <si>
    <t>Implied Enterprise Value</t>
  </si>
  <si>
    <t>Less: Net Debt</t>
  </si>
  <si>
    <t>Implied Equity Value</t>
  </si>
  <si>
    <t>Implied Share Price</t>
  </si>
  <si>
    <t>EV/EBITDA</t>
  </si>
  <si>
    <t xml:space="preserve">EV/EBIT </t>
  </si>
  <si>
    <t>LTM Metric</t>
  </si>
  <si>
    <t xml:space="preserve">Multiple Estimate </t>
  </si>
  <si>
    <t>Total Diluted Shares</t>
  </si>
  <si>
    <t xml:space="preserve">EV/Revenue </t>
  </si>
  <si>
    <t xml:space="preserve">ProPetro Summary Historical Operating and Balance Sheet Data </t>
  </si>
  <si>
    <t xml:space="preserve">Historical Period </t>
  </si>
  <si>
    <t xml:space="preserve">Operating Data </t>
  </si>
  <si>
    <t xml:space="preserve">Sales </t>
  </si>
  <si>
    <t xml:space="preserve">% growth </t>
  </si>
  <si>
    <t xml:space="preserve">Cost of Goods Sold </t>
  </si>
  <si>
    <t xml:space="preserve">% sales </t>
  </si>
  <si>
    <t xml:space="preserve">Gross Profit </t>
  </si>
  <si>
    <t xml:space="preserve">% margin </t>
  </si>
  <si>
    <t>SG&amp;A</t>
  </si>
  <si>
    <t xml:space="preserve">EBITDA </t>
  </si>
  <si>
    <t>D&amp;A</t>
  </si>
  <si>
    <t xml:space="preserve">EBIT </t>
  </si>
  <si>
    <t xml:space="preserve">CapEx </t>
  </si>
  <si>
    <t>CAGR 
('21-'23)</t>
  </si>
  <si>
    <t>LTM 6/30/2024</t>
  </si>
  <si>
    <t xml:space="preserve">PUMP   74347M108   BYXR9C0   NYSE    Common stock    </t>
  </si>
  <si>
    <t>Source: FactSet Fundamentals</t>
  </si>
  <si>
    <t>JUN '24</t>
  </si>
  <si>
    <t>DEC '23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</si>
  <si>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</si>
  <si>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</si>
  <si>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</si>
  <si>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</si>
  <si>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</si>
  <si>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</si>
  <si>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</si>
  <si>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</si>
  <si>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LTM</t>
  </si>
  <si>
    <t>GAAP/IFRS Income Statement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</si>
  <si>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</si>
  <si>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</si>
  <si>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</si>
  <si>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</si>
  <si>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</si>
  <si>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</si>
  <si>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Amortization of Deferred Charges</t>
  </si>
  <si>
    <t>Gross Income</t>
  </si>
  <si>
    <t>SG&amp;A Expense</t>
  </si>
  <si>
    <t>Other SG&amp;A</t>
  </si>
  <si>
    <t>EBIT (Operating Income)</t>
  </si>
  <si>
    <t>Nonoperating Income - Net</t>
  </si>
  <si>
    <t>Other Income (Expense)</t>
  </si>
  <si>
    <t>Interest Expense</t>
  </si>
  <si>
    <t>Gross Interest Expense</t>
  </si>
  <si>
    <t>Unusual Expense - Net</t>
  </si>
  <si>
    <t>Impairments</t>
  </si>
  <si>
    <t>Goodwill</t>
  </si>
  <si>
    <t>Property,Plant &amp; Equipment</t>
  </si>
  <si>
    <t>Unrealized Valuation Gain/Loss</t>
  </si>
  <si>
    <t>Investments</t>
  </si>
  <si>
    <t>Excpl Chrgs - Others</t>
  </si>
  <si>
    <t>Restructuring of Debt</t>
  </si>
  <si>
    <t>Pretax Income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</si>
  <si>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</si>
  <si>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</si>
  <si>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</si>
  <si>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</si>
  <si>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</si>
  <si>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Consolidated Net Income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</si>
  <si>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</si>
  <si>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</si>
  <si>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</si>
  <si>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</si>
  <si>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</si>
  <si>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</si>
  <si>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</si>
  <si>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</si>
  <si>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</si>
  <si>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</si>
  <si>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EBITDA</t>
  </si>
  <si>
    <t>EBIT</t>
  </si>
  <si>
    <t>Supplemental</t>
  </si>
  <si>
    <t>Rental Expense</t>
  </si>
  <si>
    <t>Stock Option Comp Exp (Net of Tax)</t>
  </si>
  <si>
    <t>Foreign Currency Translation Gains/Losses</t>
  </si>
  <si>
    <t>Tax Rate</t>
  </si>
  <si>
    <t>All figures in millions of U.S. Dollar except per share items.</t>
  </si>
  <si>
    <t>ProPetro Holding Corp. (PUMP)</t>
  </si>
  <si>
    <t>$8.10</t>
  </si>
  <si>
    <t>GAAP/IFRS Cash Flow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</si>
  <si>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</si>
  <si>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</si>
  <si>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</si>
  <si>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</si>
  <si>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</si>
  <si>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</si>
  <si>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</si>
  <si>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</si>
  <si>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</si>
  <si>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</si>
  <si>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</si>
  <si>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</si>
  <si>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</si>
  <si>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</si>
  <si>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</si>
  <si>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</si>
  <si>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</si>
  <si>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</si>
  <si>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</si>
  <si>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</si>
  <si>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Sale of Fixed Assets &amp; Businesses</t>
  </si>
  <si>
    <t>Net Investing Cash Flow</t>
  </si>
  <si>
    <t>Financing Activities</t>
  </si>
  <si>
    <t>Change in Capital Stock</t>
  </si>
  <si>
    <t>Repurchase of Common &amp; Preferred Stk.</t>
  </si>
  <si>
    <t>Sale of Common &amp; Preferred Stock</t>
  </si>
  <si>
    <t>Proceeds from Sale of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</si>
  <si>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</si>
  <si>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</si>
  <si>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</si>
  <si>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</si>
  <si>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</si>
  <si>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Other Uses</t>
  </si>
  <si>
    <t>Other Sources</t>
  </si>
  <si>
    <t>Net Financing Cash Flow</t>
  </si>
  <si>
    <t>All Activities</t>
  </si>
  <si>
    <t>Net Change in Cash</t>
  </si>
  <si>
    <t>Free Cash Flow</t>
  </si>
  <si>
    <t>Free Cash Flow per Share</t>
  </si>
  <si>
    <t>Free Cash Flow Yield (%)</t>
  </si>
  <si>
    <t>Interest Paid</t>
  </si>
  <si>
    <t>Taxation</t>
  </si>
  <si>
    <t xml:space="preserve">Balance Sheet Data </t>
  </si>
  <si>
    <t xml:space="preserve">Current Assets </t>
  </si>
  <si>
    <t xml:space="preserve">Accounts Receivable </t>
  </si>
  <si>
    <t xml:space="preserve">Inventory </t>
  </si>
  <si>
    <t xml:space="preserve">Prepaid Expenses  &amp; Other </t>
  </si>
  <si>
    <t xml:space="preserve">Current Liabilities </t>
  </si>
  <si>
    <t xml:space="preserve">Accounts Payable </t>
  </si>
  <si>
    <t xml:space="preserve">Accrued Liabilities </t>
  </si>
  <si>
    <t xml:space="preserve">Other Current Liabilities </t>
  </si>
  <si>
    <t>GAAP/IFRS Balance Sheet</t>
  </si>
  <si>
    <t>Assets</t>
  </si>
  <si>
    <t>Cash &amp; Short-Term Investments</t>
  </si>
  <si>
    <t>Cash Only</t>
  </si>
  <si>
    <t>Total Short Term Investments</t>
  </si>
  <si>
    <t>Short-Term Receivables</t>
  </si>
  <si>
    <t>Accounts Receivables, Net</t>
  </si>
  <si>
    <t>Accounts Receivables, Gross</t>
  </si>
  <si>
    <t>Bad Debt/Doubtful Accounts</t>
  </si>
  <si>
    <t>Raw Materials</t>
  </si>
  <si>
    <t>Other Current Assets</t>
  </si>
  <si>
    <t>Prepaid Expenses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</si>
  <si>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</si>
  <si>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</si>
  <si>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</si>
  <si>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</si>
  <si>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</si>
  <si>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</si>
  <si>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Leases</t>
  </si>
  <si>
    <t>Other Property, Plant &amp; Equipment</t>
  </si>
  <si>
    <t>Operating Lease Right-of-Use Assets</t>
  </si>
  <si>
    <t>Accumulated Depreciation</t>
  </si>
  <si>
    <t>Intangible Assets</t>
  </si>
  <si>
    <t>Other Intangible Assets</t>
  </si>
  <si>
    <t>Deferred Tax Assets</t>
  </si>
  <si>
    <t>Other Assets</t>
  </si>
  <si>
    <t>Deferred Charges</t>
  </si>
  <si>
    <t>Tangible Other Assets</t>
  </si>
  <si>
    <t>Total Assets</t>
  </si>
  <si>
    <t>Liabilities &amp; Shareholders' Equity</t>
  </si>
  <si>
    <t>Current</t>
  </si>
  <si>
    <t>ST Debt &amp; Curr. Portion LT Debt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</si>
  <si>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</si>
  <si>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</si>
  <si>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</si>
  <si>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</si>
  <si>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</si>
  <si>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</t>
  </si>
  <si>
    <t>Long-Term Debt</t>
  </si>
  <si>
    <t>Long-Term Debt excl Lease Obligations</t>
  </si>
  <si>
    <t>Capital and Operating Lease Obligations</t>
  </si>
  <si>
    <t>Deferred Tax Liabilities</t>
  </si>
  <si>
    <t>Other Liabilities</t>
  </si>
  <si>
    <t>Other Liabilities (excl. Deferred Income)</t>
  </si>
  <si>
    <t>Total Liabilities</t>
  </si>
  <si>
    <t>Equity</t>
  </si>
  <si>
    <t>Preferred Stock (Carrying Value)</t>
  </si>
  <si>
    <t>Redeemable Preferred Stock</t>
  </si>
  <si>
    <t>Common Equity</t>
  </si>
  <si>
    <t>Common Stock Par/Carry Value</t>
  </si>
  <si>
    <t>Additional Paid-In Capital/Capital Surplus</t>
  </si>
  <si>
    <t>Retained Earnings</t>
  </si>
  <si>
    <t>Total Shareholders' Equity</t>
  </si>
  <si>
    <t>Total Equity</t>
  </si>
  <si>
    <t>Total Liabilities &amp; Shareholders' Equity</t>
  </si>
  <si>
    <t>Book Value per Share</t>
  </si>
  <si>
    <t>Tangible Book Value per Share</t>
  </si>
  <si>
    <t>Working Capital</t>
  </si>
  <si>
    <t>Total Capital</t>
  </si>
  <si>
    <t>Total Debt</t>
  </si>
  <si>
    <t>Net Debt</t>
  </si>
  <si>
    <t>Efficiency</t>
  </si>
  <si>
    <t>Days of Inventory on Hand</t>
  </si>
  <si>
    <t>Days of Sales Outstanding</t>
  </si>
  <si>
    <t>Days of Payables Outstanding</t>
  </si>
  <si>
    <t>Stock Option Comp</t>
  </si>
  <si>
    <t>Non-Qualified Option/Warrant Awards</t>
  </si>
  <si>
    <t>Operating Lease Commitments</t>
  </si>
  <si>
    <t>Year 1</t>
  </si>
  <si>
    <t>Year 2</t>
  </si>
  <si>
    <t>Year 3</t>
  </si>
  <si>
    <t>Year 4</t>
  </si>
  <si>
    <t>Year 5</t>
  </si>
  <si>
    <t>Over 5 Years</t>
  </si>
  <si>
    <t>Long Term Debt Maturities</t>
  </si>
  <si>
    <t>Projection Period</t>
  </si>
  <si>
    <t>CAGR 
('24-'28)</t>
  </si>
  <si>
    <t xml:space="preserve">Total Assets </t>
  </si>
  <si>
    <t xml:space="preserve">Asset Turnover </t>
  </si>
  <si>
    <t xml:space="preserve">JP Morgan anticipated 8.5% Revenue Growth Y/Y for 2025E </t>
  </si>
  <si>
    <t xml:space="preserve">EBIAT </t>
  </si>
  <si>
    <t>Taxes</t>
  </si>
  <si>
    <t xml:space="preserve">DSO </t>
  </si>
  <si>
    <t>DIH</t>
  </si>
  <si>
    <t>% Sales</t>
  </si>
  <si>
    <t xml:space="preserve">DPO </t>
  </si>
  <si>
    <t>Plus: D&amp;A</t>
  </si>
  <si>
    <t>Less: Capex</t>
  </si>
  <si>
    <t xml:space="preserve">Less: Change in NWC </t>
  </si>
  <si>
    <t xml:space="preserve">Change in NWC </t>
  </si>
  <si>
    <t xml:space="preserve">Unlevered Free Cash Flow </t>
  </si>
  <si>
    <t xml:space="preserve">Total Liabilities </t>
  </si>
  <si>
    <t xml:space="preserve">Total Equity </t>
  </si>
  <si>
    <t>Total Capital Structure</t>
  </si>
  <si>
    <t>% Debt</t>
  </si>
  <si>
    <t xml:space="preserve">% Equity </t>
  </si>
  <si>
    <t>WACC Calculation</t>
  </si>
  <si>
    <t>Target Capital Structure</t>
  </si>
  <si>
    <t xml:space="preserve">Debt-to-Total Capitalization </t>
  </si>
  <si>
    <t xml:space="preserve">Equity-to-Total Capitalization </t>
  </si>
  <si>
    <t>Cost of Debt</t>
  </si>
  <si>
    <t>Cost-of-Debt</t>
  </si>
  <si>
    <t xml:space="preserve">Tax Rate </t>
  </si>
  <si>
    <t xml:space="preserve">After-Tax Cost of Debt </t>
  </si>
  <si>
    <t xml:space="preserve">Cost of Equity </t>
  </si>
  <si>
    <t xml:space="preserve">Risk-free Rate </t>
  </si>
  <si>
    <t xml:space="preserve">Market Risk Premium </t>
  </si>
  <si>
    <t xml:space="preserve">Levered Beta </t>
  </si>
  <si>
    <t xml:space="preserve">Size Premium </t>
  </si>
  <si>
    <t>WACC</t>
  </si>
  <si>
    <t>Calculation of Terminal Value using EMM</t>
  </si>
  <si>
    <t xml:space="preserve">Terminal Year EBITDA </t>
  </si>
  <si>
    <t xml:space="preserve">Exit Multiple </t>
  </si>
  <si>
    <t xml:space="preserve">Terminal Value </t>
  </si>
  <si>
    <t xml:space="preserve">Terminal Year FCF </t>
  </si>
  <si>
    <t>Perpetuity Growth Rate</t>
  </si>
  <si>
    <t xml:space="preserve">Discount Period </t>
  </si>
  <si>
    <t xml:space="preserve">Discount Factor </t>
  </si>
  <si>
    <t xml:space="preserve">PV of FCF </t>
  </si>
  <si>
    <t xml:space="preserve">PV of Terminal Value </t>
  </si>
  <si>
    <t xml:space="preserve">Plus: Cash </t>
  </si>
  <si>
    <t xml:space="preserve">Less: Total Debt </t>
  </si>
  <si>
    <t xml:space="preserve">PPS </t>
  </si>
  <si>
    <t xml:space="preserve">Tier 1: SMID Hydraulic Fracturing Pressure Pumping OFS </t>
  </si>
  <si>
    <t>Discounted Cash Flow Valuation</t>
  </si>
  <si>
    <t>Plus: Depreciation &amp; Amortization</t>
  </si>
  <si>
    <t xml:space="preserve">Present Value of Free Cash Flow </t>
  </si>
  <si>
    <t xml:space="preserve">Cumulative Present Value of FCF </t>
  </si>
  <si>
    <t>Terminal Value</t>
  </si>
  <si>
    <t xml:space="preserve">Terminal Value EBITDA (2028E) </t>
  </si>
  <si>
    <t xml:space="preserve">Terminal Value  </t>
  </si>
  <si>
    <t xml:space="preserve">Present Value of Terminal Value </t>
  </si>
  <si>
    <t xml:space="preserve">% of Enterprise Value </t>
  </si>
  <si>
    <t>Implied Equity Value and Share Price</t>
  </si>
  <si>
    <t xml:space="preserve">Less: Preferred Stock </t>
  </si>
  <si>
    <t xml:space="preserve">Less: Noncontrolling Interest </t>
  </si>
  <si>
    <t>Plus: Cash and Cash Equivalents</t>
  </si>
  <si>
    <t xml:space="preserve">- </t>
  </si>
  <si>
    <t>-</t>
  </si>
  <si>
    <t>Implied EV/EBITDA</t>
  </si>
  <si>
    <t xml:space="preserve">LTM 6/30/2024 EBITDA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</si>
</sst>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0.00\x"/>
    <numFmt numFmtId="165" formatCode="#,##0.0"/>
    <numFmt numFmtId="166" formatCode="0.0"/>
    <numFmt numFmtId="167" formatCode="yyyy"/>
    <numFmt numFmtId="168" formatCode="#.##\x"/>
    <numFmt numFmtId="169" formatCode="0.00000%"/>
    <numFmt numFmtId="170" formatCode="0.0%"/>
    <numFmt numFmtId="171" formatCode="&quot;$&quot;#,##0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0" fillId="0" borderId="3" xfId="0" applyBorder="1"/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9" fontId="0" fillId="0" borderId="0" xfId="2" applyFont="1"/>
    <xf numFmtId="0" fontId="2" fillId="2" borderId="0" xfId="0" applyFont="1" applyFill="1"/>
    <xf numFmtId="164" fontId="2" fillId="2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wrapText="1"/>
    </xf>
    <xf numFmtId="0" fontId="2" fillId="2" borderId="0" xfId="0" applyFont="1" applyFill="1" applyAlignment="1">
      <alignment horizontal="centerContinuous"/>
    </xf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7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64" fontId="0" fillId="0" borderId="0" xfId="0" applyNumberFormat="1"/>
    <xf numFmtId="164" fontId="0" fillId="0" borderId="0" xfId="0" quotePrefix="1" applyNumberFormat="1" applyAlignment="1">
      <alignment horizontal="right"/>
    </xf>
    <xf numFmtId="9" fontId="3" fillId="3" borderId="0" xfId="2" applyFont="1" applyFill="1"/>
    <xf numFmtId="164" fontId="3" fillId="3" borderId="0" xfId="0" applyNumberFormat="1" applyFont="1" applyFill="1"/>
    <xf numFmtId="1" fontId="0" fillId="0" borderId="0" xfId="0" applyNumberFormat="1"/>
    <xf numFmtId="1" fontId="3" fillId="3" borderId="0" xfId="0" applyNumberFormat="1" applyFont="1" applyFill="1"/>
    <xf numFmtId="1" fontId="2" fillId="2" borderId="0" xfId="0" applyNumberFormat="1" applyFont="1" applyFill="1"/>
    <xf numFmtId="0" fontId="9" fillId="2" borderId="0" xfId="0" applyFont="1" applyFill="1" applyAlignment="1">
      <alignment horizontal="center" wrapText="1"/>
    </xf>
    <xf numFmtId="44" fontId="3" fillId="3" borderId="0" xfId="1" applyFont="1" applyFill="1"/>
    <xf numFmtId="0" fontId="0" fillId="0" borderId="0" xfId="0" applyAlignment="1">
      <alignment horizontal="left" indent="1"/>
    </xf>
    <xf numFmtId="0" fontId="11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2" fillId="6" borderId="0" xfId="0" applyFont="1" applyFill="1" applyAlignment="1">
      <alignment horizontal="left" indent="3"/>
    </xf>
    <xf numFmtId="165" fontId="12" fillId="6" borderId="0" xfId="0" applyNumberFormat="1" applyFont="1" applyFill="1" applyAlignment="1">
      <alignment horizontal="right"/>
    </xf>
    <xf numFmtId="0" fontId="0" fillId="0" borderId="0" xfId="0" applyAlignment="1">
      <alignment horizontal="left" indent="4"/>
    </xf>
    <xf numFmtId="165" fontId="0" fillId="0" borderId="0" xfId="0" applyNumberFormat="1" applyAlignment="1">
      <alignment horizontal="right"/>
    </xf>
    <xf numFmtId="0" fontId="12" fillId="6" borderId="0" xfId="0" applyFont="1" applyFill="1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/>
    </xf>
    <xf numFmtId="0" fontId="0" fillId="6" borderId="0" xfId="0" applyFill="1" applyAlignment="1">
      <alignment horizontal="left" indent="7"/>
    </xf>
    <xf numFmtId="165" fontId="0" fillId="6" borderId="0" xfId="0" applyNumberFormat="1" applyFill="1" applyAlignment="1">
      <alignment horizontal="right"/>
    </xf>
    <xf numFmtId="0" fontId="12" fillId="6" borderId="0" xfId="0" applyFont="1" applyFill="1" applyAlignment="1">
      <alignment horizontal="left"/>
    </xf>
    <xf numFmtId="0" fontId="12" fillId="0" borderId="0" xfId="0" applyFont="1" applyAlignment="1">
      <alignment horizontal="left" indent="3"/>
    </xf>
    <xf numFmtId="0" fontId="0" fillId="6" borderId="0" xfId="0" applyFill="1" applyAlignment="1">
      <alignment horizontal="left" indent="4"/>
    </xf>
    <xf numFmtId="165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6"/>
    </xf>
    <xf numFmtId="165" fontId="13" fillId="6" borderId="0" xfId="0" applyNumberFormat="1" applyFont="1" applyFill="1" applyAlignment="1">
      <alignment horizontal="right"/>
    </xf>
    <xf numFmtId="0" fontId="0" fillId="6" borderId="0" xfId="0" applyFill="1" applyAlignment="1">
      <alignment horizontal="left" indent="1"/>
    </xf>
    <xf numFmtId="4" fontId="0" fillId="6" borderId="0" xfId="0" applyNumberFormat="1" applyFill="1" applyAlignment="1">
      <alignment horizontal="right"/>
    </xf>
    <xf numFmtId="4" fontId="13" fillId="6" borderId="0" xfId="0" applyNumberFormat="1" applyFont="1" applyFill="1" applyAlignment="1">
      <alignment horizontal="right"/>
    </xf>
    <xf numFmtId="4" fontId="1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2" fillId="6" borderId="0" xfId="0" applyNumberFormat="1" applyFont="1" applyFill="1" applyAlignment="1">
      <alignment horizontal="right"/>
    </xf>
    <xf numFmtId="4" fontId="13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11" fillId="0" borderId="0" xfId="0" applyFont="1"/>
    <xf numFmtId="0" fontId="0" fillId="0" borderId="7" xfId="0" applyBorder="1"/>
    <xf numFmtId="0" fontId="0" fillId="0" borderId="8" xfId="0" applyBorder="1"/>
    <xf numFmtId="166" fontId="0" fillId="0" borderId="0" xfId="0" applyNumberFormat="1"/>
    <xf numFmtId="166" fontId="3" fillId="0" borderId="0" xfId="0" applyNumberFormat="1" applyFont="1"/>
    <xf numFmtId="0" fontId="15" fillId="0" borderId="0" xfId="0" applyFont="1" applyAlignment="1">
      <alignment horizontal="left" indent="1"/>
    </xf>
    <xf numFmtId="9" fontId="15" fillId="0" borderId="0" xfId="2" applyFont="1"/>
    <xf numFmtId="0" fontId="15" fillId="0" borderId="0" xfId="0" applyFont="1"/>
    <xf numFmtId="9" fontId="15" fillId="0" borderId="3" xfId="2" applyFont="1" applyBorder="1"/>
    <xf numFmtId="0" fontId="15" fillId="0" borderId="3" xfId="0" applyFont="1" applyBorder="1"/>
    <xf numFmtId="4" fontId="0" fillId="0" borderId="0" xfId="0" applyNumberFormat="1"/>
    <xf numFmtId="167" fontId="3" fillId="0" borderId="0" xfId="0" applyNumberFormat="1" applyFont="1" applyAlignment="1">
      <alignment horizontal="center"/>
    </xf>
    <xf numFmtId="168" fontId="15" fillId="0" borderId="0" xfId="2" applyNumberFormat="1" applyFont="1"/>
    <xf numFmtId="9" fontId="15" fillId="0" borderId="0" xfId="0" applyNumberFormat="1" applyFont="1"/>
    <xf numFmtId="0" fontId="10" fillId="2" borderId="0" xfId="0" applyFont="1" applyFill="1"/>
    <xf numFmtId="9" fontId="1" fillId="0" borderId="0" xfId="2" applyFont="1"/>
    <xf numFmtId="4" fontId="15" fillId="0" borderId="0" xfId="0" applyNumberFormat="1" applyFont="1"/>
    <xf numFmtId="166" fontId="0" fillId="0" borderId="3" xfId="0" applyNumberFormat="1" applyBorder="1"/>
    <xf numFmtId="9" fontId="0" fillId="0" borderId="0" xfId="0" applyNumberFormat="1"/>
    <xf numFmtId="10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0" fillId="0" borderId="0" xfId="2" applyNumberFormat="1" applyFont="1"/>
    <xf numFmtId="166" fontId="15" fillId="0" borderId="0" xfId="0" applyNumberFormat="1" applyFont="1"/>
    <xf numFmtId="0" fontId="15" fillId="0" borderId="0" xfId="2" applyNumberFormat="1" applyFont="1"/>
    <xf numFmtId="2" fontId="15" fillId="0" borderId="0" xfId="2" applyNumberFormat="1" applyFont="1"/>
    <xf numFmtId="2" fontId="15" fillId="0" borderId="0" xfId="0" applyNumberFormat="1" applyFont="1"/>
    <xf numFmtId="2" fontId="0" fillId="0" borderId="0" xfId="0" applyNumberFormat="1"/>
    <xf numFmtId="0" fontId="16" fillId="0" borderId="0" xfId="0" applyFont="1"/>
    <xf numFmtId="9" fontId="15" fillId="0" borderId="9" xfId="2" applyFont="1" applyBorder="1"/>
    <xf numFmtId="166" fontId="0" fillId="0" borderId="9" xfId="0" applyNumberFormat="1" applyBorder="1"/>
    <xf numFmtId="9" fontId="15" fillId="0" borderId="10" xfId="2" applyFont="1" applyBorder="1"/>
    <xf numFmtId="0" fontId="0" fillId="0" borderId="9" xfId="0" applyBorder="1"/>
    <xf numFmtId="0" fontId="10" fillId="2" borderId="9" xfId="0" applyFont="1" applyFill="1" applyBorder="1"/>
    <xf numFmtId="171" fontId="3" fillId="0" borderId="0" xfId="1" applyNumberFormat="1" applyFont="1"/>
    <xf numFmtId="0" fontId="0" fillId="0" borderId="0" xfId="2" applyNumberFormat="1" applyFont="1"/>
    <xf numFmtId="2" fontId="0" fillId="0" borderId="0" xfId="2" applyNumberFormat="1" applyFont="1"/>
    <xf numFmtId="9" fontId="0" fillId="0" borderId="0" xfId="2" applyFont="1" applyBorder="1"/>
    <xf numFmtId="9" fontId="15" fillId="0" borderId="0" xfId="2" applyFont="1" applyBorder="1"/>
    <xf numFmtId="166" fontId="0" fillId="0" borderId="11" xfId="0" applyNumberFormat="1" applyBorder="1"/>
    <xf numFmtId="0" fontId="3" fillId="0" borderId="0" xfId="0" applyFont="1" applyAlignment="1">
      <alignment horizontal="left" indent="1"/>
    </xf>
    <xf numFmtId="171" fontId="0" fillId="0" borderId="0" xfId="2" applyNumberFormat="1" applyFont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171" fontId="3" fillId="0" borderId="0" xfId="2" applyNumberFormat="1" applyFont="1"/>
    <xf numFmtId="0" fontId="2" fillId="0" borderId="0" xfId="0" applyFont="1"/>
    <xf numFmtId="0" fontId="0" fillId="0" borderId="0" xfId="2" quotePrefix="1" applyNumberFormat="1" applyFont="1" applyAlignment="1">
      <alignment horizontal="center"/>
    </xf>
    <xf numFmtId="9" fontId="0" fillId="0" borderId="0" xfId="2" quotePrefix="1" applyFont="1" applyAlignment="1">
      <alignment horizontal="center"/>
    </xf>
    <xf numFmtId="171" fontId="3" fillId="8" borderId="12" xfId="2" applyNumberFormat="1" applyFont="1" applyFill="1" applyBorder="1"/>
    <xf numFmtId="171" fontId="3" fillId="0" borderId="0" xfId="2" applyNumberFormat="1" applyFont="1" applyFill="1" applyBorder="1"/>
    <xf numFmtId="171" fontId="0" fillId="0" borderId="0" xfId="2" applyNumberFormat="1" applyFont="1" applyFill="1" applyBorder="1"/>
    <xf numFmtId="164" fontId="3" fillId="8" borderId="12" xfId="0" applyNumberFormat="1" applyFont="1" applyFill="1" applyBorder="1"/>
    <xf numFmtId="9" fontId="15" fillId="7" borderId="0" xfId="2" applyFont="1" applyFill="1"/>
    <xf numFmtId="166" fontId="0" fillId="7" borderId="0" xfId="0" applyNumberFormat="1" applyFill="1"/>
    <xf numFmtId="166" fontId="0" fillId="7" borderId="9" xfId="0" applyNumberFormat="1" applyFill="1" applyBorder="1"/>
    <xf numFmtId="171" fontId="3" fillId="7" borderId="0" xfId="1" applyNumberFormat="1" applyFont="1" applyFill="1"/>
    <xf numFmtId="171" fontId="3" fillId="0" borderId="13" xfId="1" applyNumberFormat="1" applyFont="1" applyBorder="1"/>
    <xf numFmtId="171" fontId="3" fillId="0" borderId="14" xfId="1" applyNumberFormat="1" applyFont="1" applyBorder="1"/>
    <xf numFmtId="171" fontId="3" fillId="0" borderId="15" xfId="1" applyNumberFormat="1" applyFont="1" applyBorder="1"/>
    <xf numFmtId="0" fontId="3" fillId="8" borderId="16" xfId="0" applyFont="1" applyFill="1" applyBorder="1" applyAlignment="1">
      <alignment horizontal="left" indent="1"/>
    </xf>
    <xf numFmtId="9" fontId="15" fillId="8" borderId="17" xfId="2" applyFont="1" applyFill="1" applyBorder="1"/>
    <xf numFmtId="171" fontId="3" fillId="8" borderId="17" xfId="1" applyNumberFormat="1" applyFont="1" applyFill="1" applyBorder="1"/>
    <xf numFmtId="171" fontId="3" fillId="8" borderId="18" xfId="1" applyNumberFormat="1" applyFont="1" applyFill="1" applyBorder="1"/>
    <xf numFmtId="170" fontId="3" fillId="3" borderId="12" xfId="0" applyNumberFormat="1" applyFont="1" applyFill="1" applyBorder="1"/>
    <xf numFmtId="170" fontId="3" fillId="3" borderId="12" xfId="2" applyNumberFormat="1" applyFont="1" applyFill="1" applyBorder="1"/>
    <xf numFmtId="170" fontId="0" fillId="7" borderId="0" xfId="0" applyNumberFormat="1" applyFill="1"/>
    <xf numFmtId="0" fontId="3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9" xfId="0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E3CE-AC30-4B92-8257-CDDE2179750B}">
  <dimension ref="A1:T88"/>
  <sheetViews>
    <sheetView showGridLines="0" zoomScale="150" workbookViewId="0">
      <selection activeCell="G31" sqref="G31"/>
    </sheetView>
  </sheetViews>
  <sheetFormatPr baseColWidth="10" defaultColWidth="8.83203125" defaultRowHeight="15" x14ac:dyDescent="0.2"/>
  <cols>
    <col min="1" max="1" width="28.5" customWidth="1"/>
    <col min="2" max="4" width="9.33203125" bestFit="1" customWidth="1"/>
    <col min="5" max="5" width="9.5" customWidth="1"/>
    <col min="6" max="6" width="10.83203125" customWidth="1"/>
    <col min="7" max="7" width="11.1640625" bestFit="1" customWidth="1"/>
    <col min="8" max="13" width="8.6640625" bestFit="1" customWidth="1"/>
    <col min="14" max="14" width="25.1640625" bestFit="1" customWidth="1"/>
    <col min="15" max="15" width="12.83203125" bestFit="1" customWidth="1"/>
    <col min="16" max="19" width="8.6640625" bestFit="1" customWidth="1"/>
    <col min="20" max="20" width="9" bestFit="1" customWidth="1"/>
  </cols>
  <sheetData>
    <row r="1" spans="1:12" ht="22" x14ac:dyDescent="0.3">
      <c r="A1" s="14" t="s">
        <v>2</v>
      </c>
    </row>
    <row r="2" spans="1:12" ht="16" x14ac:dyDescent="0.2">
      <c r="A2" s="4" t="s">
        <v>342</v>
      </c>
    </row>
    <row r="4" spans="1:12" x14ac:dyDescent="0.2">
      <c r="B4" s="125" t="s">
        <v>87</v>
      </c>
      <c r="C4" s="125"/>
      <c r="D4" s="125"/>
      <c r="E4" s="126" t="s">
        <v>100</v>
      </c>
      <c r="F4" s="127" t="s">
        <v>101</v>
      </c>
      <c r="G4" s="125" t="s">
        <v>293</v>
      </c>
      <c r="H4" s="125"/>
      <c r="I4" s="125"/>
      <c r="J4" s="125"/>
      <c r="K4" s="125"/>
      <c r="L4" s="126" t="s">
        <v>294</v>
      </c>
    </row>
    <row r="5" spans="1:12" x14ac:dyDescent="0.2">
      <c r="B5" s="70">
        <v>44197</v>
      </c>
      <c r="C5" s="70">
        <v>44562</v>
      </c>
      <c r="D5" s="70">
        <v>44927</v>
      </c>
      <c r="E5" s="126"/>
      <c r="F5" s="127"/>
      <c r="G5" s="70">
        <v>45292</v>
      </c>
      <c r="H5" s="70">
        <v>45658</v>
      </c>
      <c r="I5" s="70">
        <v>46023</v>
      </c>
      <c r="J5" s="70">
        <v>46388</v>
      </c>
      <c r="K5" s="70">
        <v>46753</v>
      </c>
      <c r="L5" s="126"/>
    </row>
    <row r="6" spans="1:12" s="12" customFormat="1" x14ac:dyDescent="0.2">
      <c r="A6" s="12" t="s">
        <v>88</v>
      </c>
      <c r="F6" s="92"/>
      <c r="L6" s="73"/>
    </row>
    <row r="7" spans="1:12" s="63" customFormat="1" x14ac:dyDescent="0.2">
      <c r="A7" s="63" t="s">
        <v>89</v>
      </c>
      <c r="B7" s="114">
        <v>874.51400000000001</v>
      </c>
      <c r="C7" s="114">
        <v>1279.701</v>
      </c>
      <c r="D7" s="114">
        <v>1630.3989999999999</v>
      </c>
      <c r="E7" s="11">
        <v>0.23076662618061206</v>
      </c>
      <c r="F7" s="114">
        <v>1534.444</v>
      </c>
      <c r="G7" s="116">
        <v>1768.9829149999998</v>
      </c>
      <c r="H7" s="93">
        <v>1910.5015481999999</v>
      </c>
      <c r="I7" s="93">
        <v>2063.3416720559999</v>
      </c>
      <c r="J7" s="93">
        <v>2166.5087556588001</v>
      </c>
      <c r="K7" s="93">
        <v>2209.8389307719763</v>
      </c>
      <c r="L7" s="11">
        <v>4.5508086828474292E-2</v>
      </c>
    </row>
    <row r="8" spans="1:12" s="66" customFormat="1" x14ac:dyDescent="0.2">
      <c r="A8" s="64" t="s">
        <v>90</v>
      </c>
      <c r="B8" s="65"/>
      <c r="C8" s="65">
        <v>0.31662630567609151</v>
      </c>
      <c r="D8" s="65">
        <v>0.21509949405022935</v>
      </c>
      <c r="E8" s="65"/>
      <c r="F8" s="88"/>
      <c r="G8" s="65">
        <v>8.5000000000000006E-2</v>
      </c>
      <c r="H8" s="72">
        <v>0.08</v>
      </c>
      <c r="I8" s="72">
        <v>0.08</v>
      </c>
      <c r="J8" s="72">
        <v>0.05</v>
      </c>
      <c r="K8" s="72">
        <v>0.02</v>
      </c>
    </row>
    <row r="9" spans="1:12" x14ac:dyDescent="0.2">
      <c r="A9" t="s">
        <v>91</v>
      </c>
      <c r="B9" s="112">
        <v>662.26599999999996</v>
      </c>
      <c r="C9" s="112">
        <v>882.82</v>
      </c>
      <c r="D9" s="112">
        <v>1131.8009999999999</v>
      </c>
      <c r="F9" s="113">
        <v>1108.01</v>
      </c>
      <c r="G9" s="62">
        <v>1228.0040849999998</v>
      </c>
      <c r="H9" s="62">
        <v>1326.2444117999999</v>
      </c>
      <c r="I9" s="62">
        <v>1432.3439647439998</v>
      </c>
      <c r="J9" s="62">
        <v>1503.9611629812</v>
      </c>
      <c r="K9" s="62">
        <v>1534.0403862408241</v>
      </c>
    </row>
    <row r="10" spans="1:12" s="66" customFormat="1" x14ac:dyDescent="0.2">
      <c r="A10" s="64" t="s">
        <v>92</v>
      </c>
      <c r="B10" s="67">
        <v>0.75729605243598153</v>
      </c>
      <c r="C10" s="67">
        <v>0.68986427298251707</v>
      </c>
      <c r="D10" s="67">
        <v>0.69418651508005091</v>
      </c>
      <c r="E10" s="97"/>
      <c r="F10" s="90">
        <v>0.7220921714966464</v>
      </c>
      <c r="G10" s="67">
        <v>0.69418651508005091</v>
      </c>
      <c r="H10" s="67">
        <v>0.69418651508005091</v>
      </c>
      <c r="I10" s="67">
        <v>0.69418651508005091</v>
      </c>
      <c r="J10" s="67">
        <v>0.69418651508005091</v>
      </c>
      <c r="K10" s="67">
        <v>0.69418651508005091</v>
      </c>
    </row>
    <row r="11" spans="1:12" s="1" customFormat="1" x14ac:dyDescent="0.2">
      <c r="A11" s="1" t="s">
        <v>93</v>
      </c>
      <c r="B11" s="93">
        <v>212.24800000000005</v>
      </c>
      <c r="C11" s="93">
        <v>396.88099999999997</v>
      </c>
      <c r="D11" s="93">
        <v>498.59799999999996</v>
      </c>
      <c r="E11" s="11">
        <v>0.32933868048057291</v>
      </c>
      <c r="F11" s="93">
        <v>426.43399999999997</v>
      </c>
      <c r="G11" s="115">
        <v>540.97883000000002</v>
      </c>
      <c r="H11" s="93">
        <v>584.25713640000004</v>
      </c>
      <c r="I11" s="93">
        <v>630.9977073120001</v>
      </c>
      <c r="J11" s="93">
        <v>662.54759267760005</v>
      </c>
      <c r="K11" s="93">
        <v>675.79854453115217</v>
      </c>
      <c r="L11" s="96">
        <v>4.5508086828474292E-2</v>
      </c>
    </row>
    <row r="12" spans="1:12" s="66" customFormat="1" x14ac:dyDescent="0.2">
      <c r="A12" s="64" t="s">
        <v>94</v>
      </c>
      <c r="B12" s="65">
        <v>0.24270394756401847</v>
      </c>
      <c r="C12" s="65">
        <v>0.31013572701748299</v>
      </c>
      <c r="D12" s="65">
        <v>0.30581348491994903</v>
      </c>
      <c r="E12" s="65"/>
      <c r="F12" s="88">
        <v>0.27790782850335366</v>
      </c>
      <c r="G12" s="65">
        <v>0.30581348491994909</v>
      </c>
      <c r="H12" s="65">
        <v>0.30581348491994909</v>
      </c>
      <c r="I12" s="65">
        <v>0.30581348491994909</v>
      </c>
      <c r="J12" s="65">
        <v>0.30581348491994909</v>
      </c>
      <c r="K12" s="65">
        <v>0.30581348491994909</v>
      </c>
    </row>
    <row r="13" spans="1:12" x14ac:dyDescent="0.2">
      <c r="A13" t="s">
        <v>95</v>
      </c>
      <c r="B13" s="112">
        <v>82.921000000000006</v>
      </c>
      <c r="C13" s="112">
        <v>111.76</v>
      </c>
      <c r="D13" s="112">
        <v>114.354</v>
      </c>
      <c r="F13" s="113">
        <v>115.723</v>
      </c>
      <c r="G13" s="62">
        <v>124.07409</v>
      </c>
      <c r="H13" s="62">
        <v>134.0000172</v>
      </c>
      <c r="I13" s="62">
        <v>144.720018576</v>
      </c>
      <c r="J13" s="62">
        <v>151.9560195048</v>
      </c>
      <c r="K13" s="62">
        <v>154.99513989489603</v>
      </c>
    </row>
    <row r="14" spans="1:12" s="66" customFormat="1" x14ac:dyDescent="0.2">
      <c r="A14" s="64" t="s">
        <v>92</v>
      </c>
      <c r="B14" s="67">
        <v>9.4819522614846649E-2</v>
      </c>
      <c r="C14" s="67">
        <v>8.7332900419707413E-2</v>
      </c>
      <c r="D14" s="67">
        <v>7.0138659309776322E-2</v>
      </c>
      <c r="E14" s="97"/>
      <c r="F14" s="90">
        <v>7.5416893676145888E-2</v>
      </c>
      <c r="G14" s="67">
        <v>7.0138659309776322E-2</v>
      </c>
      <c r="H14" s="67">
        <v>7.0138659309776322E-2</v>
      </c>
      <c r="I14" s="67">
        <v>7.0138659309776322E-2</v>
      </c>
      <c r="J14" s="67">
        <v>7.0138659309776322E-2</v>
      </c>
      <c r="K14" s="67">
        <v>7.0138659309776322E-2</v>
      </c>
    </row>
    <row r="15" spans="1:12" s="1" customFormat="1" x14ac:dyDescent="0.2">
      <c r="A15" s="1" t="s">
        <v>96</v>
      </c>
      <c r="B15" s="93">
        <v>129.32700000000006</v>
      </c>
      <c r="C15" s="93">
        <v>285.12099999999998</v>
      </c>
      <c r="D15" s="93">
        <v>384.24399999999997</v>
      </c>
      <c r="E15" s="96">
        <v>0.43760408150414243</v>
      </c>
      <c r="F15" s="117">
        <v>310.71099999999996</v>
      </c>
      <c r="G15" s="93">
        <v>416.90474</v>
      </c>
      <c r="H15" s="93">
        <v>450.25711920000003</v>
      </c>
      <c r="I15" s="93">
        <v>486.27768873600007</v>
      </c>
      <c r="J15" s="93">
        <v>510.59157317280005</v>
      </c>
      <c r="K15" s="93">
        <v>520.80340463625612</v>
      </c>
      <c r="L15" s="96">
        <v>4.5508086828474292E-2</v>
      </c>
    </row>
    <row r="16" spans="1:12" s="66" customFormat="1" x14ac:dyDescent="0.2">
      <c r="A16" s="64" t="s">
        <v>94</v>
      </c>
      <c r="B16" s="65">
        <v>0.14788442494917184</v>
      </c>
      <c r="C16" s="65">
        <v>0.22280282659777556</v>
      </c>
      <c r="D16" s="65">
        <v>0.23567482561017272</v>
      </c>
      <c r="E16" s="65"/>
      <c r="F16" s="88">
        <v>0.20249093482720776</v>
      </c>
      <c r="G16" s="65">
        <v>0.23567482561017275</v>
      </c>
      <c r="H16" s="65">
        <v>0.23567482561017275</v>
      </c>
      <c r="I16" s="65">
        <v>0.23567482561017278</v>
      </c>
      <c r="J16" s="65">
        <v>0.23567482561017275</v>
      </c>
      <c r="K16" s="65">
        <v>0.23567482561017275</v>
      </c>
    </row>
    <row r="17" spans="1:15" x14ac:dyDescent="0.2">
      <c r="A17" t="s">
        <v>97</v>
      </c>
      <c r="B17" s="112">
        <v>133.37700000000001</v>
      </c>
      <c r="C17" s="112">
        <v>128.108</v>
      </c>
      <c r="D17" s="112">
        <v>180.886</v>
      </c>
      <c r="F17" s="113">
        <v>225.649</v>
      </c>
      <c r="G17" s="62">
        <v>196.26130999999998</v>
      </c>
      <c r="H17" s="62">
        <v>211.9622148</v>
      </c>
      <c r="I17" s="62">
        <v>228.91919198399998</v>
      </c>
      <c r="J17" s="62">
        <v>240.3651515832</v>
      </c>
      <c r="K17" s="62">
        <v>245.17245461486402</v>
      </c>
    </row>
    <row r="18" spans="1:15" s="66" customFormat="1" x14ac:dyDescent="0.2">
      <c r="A18" s="64" t="s">
        <v>92</v>
      </c>
      <c r="B18" s="67">
        <v>0.15251556864727153</v>
      </c>
      <c r="C18" s="67">
        <v>0.10010775954695668</v>
      </c>
      <c r="D18" s="67">
        <v>0.11094584822488238</v>
      </c>
      <c r="E18" s="97"/>
      <c r="F18" s="90">
        <v>0.14705587170336618</v>
      </c>
      <c r="G18" s="67">
        <v>0.11094584822488238</v>
      </c>
      <c r="H18" s="67">
        <v>0.11094584822488238</v>
      </c>
      <c r="I18" s="67">
        <v>0.11094584822488238</v>
      </c>
      <c r="J18" s="67">
        <v>0.11094584822488238</v>
      </c>
      <c r="K18" s="67">
        <v>0.11094584822488238</v>
      </c>
    </row>
    <row r="19" spans="1:15" s="1" customFormat="1" x14ac:dyDescent="0.2">
      <c r="A19" s="1" t="s">
        <v>98</v>
      </c>
      <c r="B19" s="93">
        <v>-4.05</v>
      </c>
      <c r="C19" s="93">
        <v>157.01300000000001</v>
      </c>
      <c r="D19" s="93">
        <v>203.358</v>
      </c>
      <c r="E19" s="96"/>
      <c r="F19" s="117">
        <v>85.061999999999998</v>
      </c>
      <c r="G19" s="93">
        <v>220.64343000000002</v>
      </c>
      <c r="H19" s="93">
        <v>238.29490440000004</v>
      </c>
      <c r="I19" s="93">
        <v>257.35849675200006</v>
      </c>
      <c r="J19" s="93">
        <v>270.22642158960002</v>
      </c>
      <c r="K19" s="93">
        <v>275.6309500213921</v>
      </c>
      <c r="L19" s="96">
        <v>4.5508086828474292E-2</v>
      </c>
    </row>
    <row r="20" spans="1:15" s="66" customFormat="1" x14ac:dyDescent="0.2">
      <c r="A20" s="64" t="s">
        <v>94</v>
      </c>
      <c r="B20" s="65">
        <v>-4.6311436980997446E-3</v>
      </c>
      <c r="C20" s="65">
        <v>0.12269506705081891</v>
      </c>
      <c r="D20" s="65">
        <v>0.12472897738529036</v>
      </c>
      <c r="E20" s="65"/>
      <c r="F20" s="88">
        <v>5.5435063123841596E-2</v>
      </c>
      <c r="G20" s="65">
        <v>0.12472897738529037</v>
      </c>
      <c r="H20" s="65">
        <v>0.12472897738529037</v>
      </c>
      <c r="I20" s="65">
        <v>0.12472897738529039</v>
      </c>
      <c r="J20" s="65">
        <v>0.12472897738529036</v>
      </c>
      <c r="K20" s="65">
        <v>0.12472897738529037</v>
      </c>
    </row>
    <row r="21" spans="1:15" x14ac:dyDescent="0.2">
      <c r="A21" t="s">
        <v>299</v>
      </c>
      <c r="B21" s="7">
        <v>-14.4</v>
      </c>
      <c r="C21" s="7">
        <v>5.4</v>
      </c>
      <c r="D21" s="7">
        <v>29.9</v>
      </c>
      <c r="F21" s="91">
        <v>22.7</v>
      </c>
      <c r="G21" s="76">
        <v>55.160857500000006</v>
      </c>
      <c r="H21" s="76">
        <v>59.573726100000009</v>
      </c>
      <c r="I21" s="76">
        <v>64.339624188000016</v>
      </c>
      <c r="J21" s="76">
        <v>67.556605397400006</v>
      </c>
      <c r="K21" s="76">
        <v>68.907737505348024</v>
      </c>
    </row>
    <row r="22" spans="1:15" s="63" customFormat="1" x14ac:dyDescent="0.2">
      <c r="A22" s="63" t="s">
        <v>298</v>
      </c>
      <c r="B22" s="93">
        <v>10.350000000000001</v>
      </c>
      <c r="C22" s="93">
        <v>151.613</v>
      </c>
      <c r="D22" s="93">
        <v>173.458</v>
      </c>
      <c r="F22" s="89"/>
      <c r="G22" s="93">
        <v>165.4825725</v>
      </c>
      <c r="H22" s="93">
        <v>178.72117830000002</v>
      </c>
      <c r="I22" s="93">
        <v>193.01887256400005</v>
      </c>
      <c r="J22" s="93">
        <v>202.66981619220002</v>
      </c>
      <c r="K22" s="93">
        <v>206.72321251604407</v>
      </c>
      <c r="L22" s="96">
        <v>4.5508086828474292E-2</v>
      </c>
    </row>
    <row r="23" spans="1:15" s="66" customFormat="1" x14ac:dyDescent="0.2">
      <c r="A23" s="64"/>
      <c r="B23" s="65"/>
      <c r="C23" s="65"/>
      <c r="D23" s="65"/>
      <c r="E23" s="65"/>
      <c r="F23" s="88"/>
      <c r="G23" s="65"/>
      <c r="H23" s="65"/>
      <c r="I23" s="65"/>
      <c r="J23" s="65"/>
      <c r="K23" s="65"/>
    </row>
    <row r="24" spans="1:15" x14ac:dyDescent="0.2">
      <c r="A24" t="s">
        <v>343</v>
      </c>
      <c r="B24" s="62"/>
      <c r="C24" s="62"/>
      <c r="D24" s="62"/>
      <c r="F24" s="89"/>
      <c r="G24" s="62">
        <v>196.26130999999998</v>
      </c>
      <c r="H24" s="62">
        <v>211.9622148</v>
      </c>
      <c r="I24" s="62">
        <v>228.91919198399998</v>
      </c>
      <c r="J24" s="62">
        <v>240.3651515832</v>
      </c>
      <c r="K24" s="62">
        <v>245.17245461486402</v>
      </c>
    </row>
    <row r="25" spans="1:15" x14ac:dyDescent="0.2">
      <c r="A25" t="s">
        <v>305</v>
      </c>
      <c r="B25" s="62"/>
      <c r="C25" s="62"/>
      <c r="D25" s="62"/>
      <c r="F25" s="89"/>
      <c r="G25" s="62">
        <v>318.41692469999998</v>
      </c>
      <c r="H25" s="62">
        <v>343.89027867599998</v>
      </c>
      <c r="I25" s="62">
        <v>371.40150097007995</v>
      </c>
      <c r="J25" s="62">
        <v>389.97157601858402</v>
      </c>
      <c r="K25" s="62">
        <v>397.7710075389557</v>
      </c>
    </row>
    <row r="26" spans="1:15" x14ac:dyDescent="0.2">
      <c r="A26" t="s">
        <v>306</v>
      </c>
      <c r="B26" s="76"/>
      <c r="C26" s="76"/>
      <c r="D26" s="76"/>
      <c r="E26" s="7"/>
      <c r="F26" s="89"/>
      <c r="G26" s="76">
        <v>35.428504999999973</v>
      </c>
      <c r="H26" s="76">
        <v>38.262785399999927</v>
      </c>
      <c r="I26" s="76">
        <v>41.323808232000033</v>
      </c>
      <c r="J26" s="76">
        <v>43.389998643599995</v>
      </c>
      <c r="K26" s="76">
        <v>44.257798616471973</v>
      </c>
    </row>
    <row r="27" spans="1:15" x14ac:dyDescent="0.2">
      <c r="A27" s="63" t="s">
        <v>308</v>
      </c>
      <c r="B27" s="63"/>
      <c r="C27" s="63"/>
      <c r="D27" s="63"/>
      <c r="F27" s="98"/>
      <c r="G27" s="93">
        <v>7.8984528000000296</v>
      </c>
      <c r="H27" s="93">
        <v>8.530329024000082</v>
      </c>
      <c r="I27" s="93">
        <v>9.2127553459200726</v>
      </c>
      <c r="J27" s="93">
        <v>9.6733931132159796</v>
      </c>
      <c r="K27" s="93">
        <v>9.8668609754804493</v>
      </c>
    </row>
    <row r="28" spans="1:15" s="66" customFormat="1" x14ac:dyDescent="0.2">
      <c r="A28" s="31" t="s">
        <v>327</v>
      </c>
      <c r="B28" s="111">
        <v>6.0225000000000001E-2</v>
      </c>
      <c r="C28" s="65"/>
      <c r="D28" s="65"/>
      <c r="E28" s="65"/>
      <c r="F28" s="65"/>
      <c r="G28" s="65"/>
      <c r="H28" s="65"/>
      <c r="I28" s="65"/>
      <c r="J28" s="65"/>
      <c r="K28" s="65"/>
    </row>
    <row r="29" spans="1:15" s="66" customFormat="1" x14ac:dyDescent="0.2">
      <c r="A29" s="31" t="s">
        <v>334</v>
      </c>
      <c r="B29" s="65"/>
      <c r="C29" s="65"/>
      <c r="D29" s="65"/>
      <c r="E29" s="65"/>
      <c r="F29" s="65"/>
      <c r="G29" s="94">
        <v>0.5</v>
      </c>
      <c r="H29" s="94">
        <v>1.5</v>
      </c>
      <c r="I29" s="94">
        <v>2.5</v>
      </c>
      <c r="J29" s="94">
        <v>3.5</v>
      </c>
      <c r="K29" s="94">
        <v>4.5</v>
      </c>
    </row>
    <row r="30" spans="1:15" s="66" customFormat="1" x14ac:dyDescent="0.2">
      <c r="A30" s="31" t="s">
        <v>335</v>
      </c>
      <c r="B30" s="65"/>
      <c r="C30" s="65"/>
      <c r="D30" s="65"/>
      <c r="E30" s="65"/>
      <c r="F30" s="65"/>
      <c r="G30" s="95">
        <v>0.9740267444124876</v>
      </c>
      <c r="H30" s="95">
        <v>0.91869814842367192</v>
      </c>
      <c r="I30" s="95">
        <v>0.86651243691072355</v>
      </c>
      <c r="J30" s="95">
        <v>0.81729108152583041</v>
      </c>
      <c r="K30" s="95">
        <v>0.77086569504193025</v>
      </c>
      <c r="O30" s="85"/>
    </row>
    <row r="31" spans="1:15" s="66" customFormat="1" x14ac:dyDescent="0.2">
      <c r="A31" s="118" t="s">
        <v>344</v>
      </c>
      <c r="B31" s="119"/>
      <c r="C31" s="119"/>
      <c r="D31" s="119"/>
      <c r="E31" s="119"/>
      <c r="F31" s="119"/>
      <c r="G31" s="120">
        <v>7.6933042666797258</v>
      </c>
      <c r="H31" s="120">
        <v>7.8367974797935833</v>
      </c>
      <c r="I31" s="120">
        <v>7.9829670854554982</v>
      </c>
      <c r="J31" s="120">
        <v>7.9059779195248074</v>
      </c>
      <c r="K31" s="121">
        <v>7.6060246437458341</v>
      </c>
      <c r="L31"/>
    </row>
    <row r="32" spans="1:15" s="66" customFormat="1" x14ac:dyDescent="0.2">
      <c r="A32" s="31"/>
      <c r="B32" s="65"/>
      <c r="C32" s="65"/>
      <c r="D32" s="65"/>
      <c r="E32" s="65"/>
      <c r="F32" s="65"/>
      <c r="G32" s="93"/>
      <c r="H32" s="93"/>
      <c r="I32" s="93"/>
      <c r="J32" s="93"/>
      <c r="K32" s="93"/>
      <c r="L32"/>
    </row>
    <row r="33" spans="1:12" s="66" customFormat="1" x14ac:dyDescent="0.2">
      <c r="A33" s="12" t="s">
        <v>6</v>
      </c>
      <c r="B33" s="12"/>
      <c r="C33" s="65"/>
      <c r="D33" s="104"/>
      <c r="E33" s="104"/>
      <c r="F33" s="104"/>
      <c r="G33" s="104"/>
      <c r="H33" s="93"/>
      <c r="I33" s="93"/>
      <c r="J33" s="93"/>
      <c r="K33" s="93"/>
      <c r="L33"/>
    </row>
    <row r="34" spans="1:12" s="66" customFormat="1" x14ac:dyDescent="0.2">
      <c r="A34" s="101" t="s">
        <v>345</v>
      </c>
      <c r="B34" s="103">
        <f>SUM(G31:K31)</f>
        <v>39.025071395199454</v>
      </c>
      <c r="C34" s="100"/>
      <c r="D34" s="65"/>
      <c r="E34" s="65"/>
      <c r="F34" s="65"/>
      <c r="G34" s="93"/>
      <c r="H34" s="93"/>
      <c r="I34" s="93"/>
      <c r="J34" s="93"/>
      <c r="K34" s="93"/>
      <c r="L34"/>
    </row>
    <row r="35" spans="1:12" s="66" customFormat="1" x14ac:dyDescent="0.2">
      <c r="A35" s="31"/>
      <c r="B35" s="65"/>
      <c r="C35" s="65"/>
      <c r="D35" s="65"/>
      <c r="E35" s="65"/>
      <c r="F35" s="65"/>
      <c r="G35" s="93"/>
      <c r="H35" s="93"/>
      <c r="I35" s="93"/>
      <c r="J35" s="93"/>
      <c r="K35" s="93"/>
      <c r="L35"/>
    </row>
    <row r="36" spans="1:12" s="66" customFormat="1" x14ac:dyDescent="0.2">
      <c r="A36" s="102" t="s">
        <v>346</v>
      </c>
      <c r="B36" s="67"/>
      <c r="C36" s="65"/>
      <c r="D36" s="65"/>
      <c r="E36" s="65"/>
      <c r="F36" s="65"/>
      <c r="G36" s="93"/>
      <c r="H36" s="93"/>
      <c r="I36" s="93"/>
      <c r="J36" s="93"/>
      <c r="K36" s="93"/>
      <c r="L36"/>
    </row>
    <row r="37" spans="1:12" s="66" customFormat="1" x14ac:dyDescent="0.2">
      <c r="A37" s="42" t="s">
        <v>347</v>
      </c>
      <c r="B37" s="103">
        <f>K15</f>
        <v>520.80340463625612</v>
      </c>
      <c r="C37" s="65"/>
      <c r="D37" s="65"/>
      <c r="E37" s="65"/>
      <c r="F37" s="65"/>
      <c r="G37" s="93"/>
      <c r="H37" s="93"/>
      <c r="I37" s="93"/>
      <c r="J37" s="93"/>
      <c r="K37" s="93"/>
      <c r="L37"/>
    </row>
    <row r="38" spans="1:12" s="66" customFormat="1" x14ac:dyDescent="0.2">
      <c r="A38" s="42" t="s">
        <v>330</v>
      </c>
      <c r="B38" s="22">
        <v>3</v>
      </c>
      <c r="C38" s="65"/>
      <c r="D38" s="65"/>
      <c r="E38" s="65"/>
      <c r="F38" s="65"/>
      <c r="G38" s="93"/>
      <c r="H38" s="93"/>
      <c r="I38" s="93"/>
      <c r="J38" s="93"/>
      <c r="K38" s="93"/>
      <c r="L38"/>
    </row>
    <row r="39" spans="1:12" s="66" customFormat="1" x14ac:dyDescent="0.2">
      <c r="A39" s="99" t="s">
        <v>348</v>
      </c>
      <c r="B39" s="103">
        <f>B37*B38</f>
        <v>1562.4102139087684</v>
      </c>
      <c r="C39" s="65"/>
      <c r="D39" s="65"/>
      <c r="E39" s="65"/>
      <c r="F39" s="65"/>
      <c r="G39" s="93"/>
      <c r="H39" s="93"/>
      <c r="I39" s="93"/>
      <c r="J39" s="93"/>
      <c r="K39" s="93"/>
      <c r="L39"/>
    </row>
    <row r="40" spans="1:12" s="66" customFormat="1" x14ac:dyDescent="0.2">
      <c r="A40" s="42" t="s">
        <v>335</v>
      </c>
      <c r="B40" s="95">
        <f>B41/B39</f>
        <v>0.74646559703578275</v>
      </c>
      <c r="C40" s="65"/>
      <c r="D40" s="65"/>
      <c r="E40" s="65"/>
      <c r="F40" s="65"/>
      <c r="G40" s="93"/>
      <c r="H40" s="93"/>
      <c r="I40" s="93"/>
      <c r="J40" s="93"/>
      <c r="K40" s="93"/>
      <c r="L40"/>
    </row>
    <row r="41" spans="1:12" s="66" customFormat="1" x14ac:dyDescent="0.2">
      <c r="A41" s="99" t="s">
        <v>349</v>
      </c>
      <c r="B41" s="103">
        <f>R73</f>
        <v>1166.2854731402138</v>
      </c>
      <c r="C41" s="65"/>
      <c r="D41" s="65"/>
      <c r="E41" s="65"/>
      <c r="F41" s="65"/>
      <c r="G41" s="65"/>
      <c r="H41" s="65"/>
      <c r="I41" s="65"/>
      <c r="J41" s="65"/>
      <c r="K41" s="65"/>
    </row>
    <row r="42" spans="1:12" s="66" customFormat="1" x14ac:dyDescent="0.2">
      <c r="A42" s="64" t="s">
        <v>350</v>
      </c>
      <c r="B42" s="65">
        <f>B41/B43</f>
        <v>0.96762239277493289</v>
      </c>
      <c r="C42" s="65"/>
      <c r="D42" s="65"/>
      <c r="E42" s="65"/>
      <c r="F42" s="65"/>
      <c r="G42" s="65"/>
      <c r="H42" s="65"/>
      <c r="I42" s="65"/>
      <c r="J42" s="65"/>
      <c r="K42" s="65"/>
    </row>
    <row r="43" spans="1:12" s="66" customFormat="1" x14ac:dyDescent="0.2">
      <c r="A43" s="101" t="s">
        <v>6</v>
      </c>
      <c r="B43" s="107">
        <f>O81</f>
        <v>1205.3105445354131</v>
      </c>
      <c r="C43" s="65"/>
      <c r="D43" s="65"/>
      <c r="E43" s="65"/>
      <c r="F43" s="65"/>
      <c r="G43" s="65"/>
      <c r="H43" s="65"/>
      <c r="I43" s="65"/>
      <c r="J43" s="65"/>
      <c r="K43" s="65"/>
    </row>
    <row r="44" spans="1:12" s="66" customFormat="1" x14ac:dyDescent="0.2">
      <c r="A44" s="64"/>
      <c r="B44" s="65"/>
      <c r="C44" s="65"/>
      <c r="D44" s="65"/>
      <c r="E44" s="65"/>
      <c r="F44" s="65"/>
      <c r="G44" s="65"/>
      <c r="H44" s="65"/>
      <c r="I44" s="65"/>
      <c r="J44" s="65"/>
      <c r="K44" s="65"/>
    </row>
    <row r="45" spans="1:12" s="66" customFormat="1" x14ac:dyDescent="0.2">
      <c r="A45" s="64"/>
      <c r="B45" s="65"/>
      <c r="C45" s="65"/>
      <c r="D45" s="65"/>
      <c r="E45" s="65"/>
      <c r="F45" s="65"/>
      <c r="G45" s="65"/>
      <c r="H45" s="65"/>
      <c r="I45" s="65"/>
      <c r="J45" s="65"/>
      <c r="K45" s="65"/>
    </row>
    <row r="46" spans="1:12" s="66" customFormat="1" x14ac:dyDescent="0.2">
      <c r="A46" s="12" t="s">
        <v>351</v>
      </c>
      <c r="B46" s="12"/>
      <c r="C46" s="104"/>
      <c r="D46" s="104"/>
      <c r="E46" s="65"/>
      <c r="F46" s="65"/>
      <c r="G46" s="65"/>
      <c r="H46" s="65"/>
      <c r="I46" s="65"/>
      <c r="J46" s="65"/>
      <c r="K46" s="65"/>
    </row>
    <row r="47" spans="1:12" s="66" customFormat="1" x14ac:dyDescent="0.2">
      <c r="A47" s="11" t="s">
        <v>6</v>
      </c>
      <c r="B47" s="100">
        <f>B43</f>
        <v>1205.3105445354131</v>
      </c>
      <c r="C47" s="65"/>
      <c r="D47" s="93"/>
      <c r="E47" s="65"/>
      <c r="F47" s="65"/>
      <c r="G47" s="65"/>
      <c r="H47" s="65"/>
      <c r="I47" s="65"/>
      <c r="J47" s="65"/>
      <c r="K47" s="65"/>
    </row>
    <row r="48" spans="1:12" s="66" customFormat="1" x14ac:dyDescent="0.2">
      <c r="A48" s="11" t="s">
        <v>339</v>
      </c>
      <c r="B48">
        <v>148.6</v>
      </c>
      <c r="C48" s="65"/>
      <c r="D48" s="93"/>
      <c r="E48" s="65"/>
      <c r="F48" s="65"/>
      <c r="G48" s="65"/>
      <c r="H48" s="65"/>
      <c r="I48" s="65"/>
      <c r="J48" s="65"/>
      <c r="K48" s="65"/>
    </row>
    <row r="49" spans="1:20" s="66" customFormat="1" x14ac:dyDescent="0.2">
      <c r="A49" s="11" t="s">
        <v>352</v>
      </c>
      <c r="B49" s="105" t="s">
        <v>355</v>
      </c>
      <c r="C49" s="65"/>
      <c r="D49" s="93"/>
      <c r="E49" s="65"/>
      <c r="F49" s="65"/>
      <c r="G49" s="65"/>
      <c r="H49" s="65"/>
      <c r="I49" s="65"/>
      <c r="J49" s="65"/>
      <c r="K49" s="65"/>
    </row>
    <row r="50" spans="1:20" s="66" customFormat="1" x14ac:dyDescent="0.2">
      <c r="A50" s="11" t="s">
        <v>353</v>
      </c>
      <c r="B50" s="106" t="s">
        <v>356</v>
      </c>
      <c r="C50" s="65"/>
      <c r="D50" s="93"/>
      <c r="E50" s="65"/>
      <c r="F50" s="65"/>
      <c r="G50" s="65"/>
      <c r="H50" s="65"/>
      <c r="I50" s="65"/>
      <c r="J50" s="65"/>
      <c r="K50" s="65"/>
    </row>
    <row r="51" spans="1:20" s="66" customFormat="1" x14ac:dyDescent="0.2">
      <c r="A51" s="11" t="s">
        <v>354</v>
      </c>
      <c r="B51">
        <v>41.1</v>
      </c>
      <c r="C51" s="65"/>
      <c r="D51" s="93"/>
      <c r="E51" s="65"/>
      <c r="F51" s="65"/>
      <c r="G51" s="65"/>
      <c r="H51" s="65"/>
      <c r="I51" s="65"/>
      <c r="J51" s="65"/>
      <c r="K51" s="65"/>
    </row>
    <row r="52" spans="1:20" s="66" customFormat="1" x14ac:dyDescent="0.2">
      <c r="A52" s="101" t="s">
        <v>78</v>
      </c>
      <c r="B52" s="107">
        <f>B47-B48+B51</f>
        <v>1097.8105445354131</v>
      </c>
      <c r="C52" s="65"/>
      <c r="D52" s="65"/>
      <c r="E52" s="65"/>
      <c r="F52" s="65"/>
      <c r="G52" s="65"/>
      <c r="H52" s="65"/>
      <c r="I52" s="65"/>
      <c r="J52" s="65"/>
      <c r="K52" s="65"/>
    </row>
    <row r="53" spans="1:20" s="66" customFormat="1" x14ac:dyDescent="0.2">
      <c r="A53" s="101"/>
      <c r="B53" s="108"/>
      <c r="C53" s="65"/>
      <c r="D53" s="65"/>
      <c r="E53" s="65"/>
      <c r="F53" s="65"/>
      <c r="G53" s="65"/>
      <c r="H53" s="65"/>
      <c r="I53" s="65"/>
      <c r="J53" s="65"/>
      <c r="K53" s="65"/>
    </row>
    <row r="54" spans="1:20" s="66" customFormat="1" x14ac:dyDescent="0.2">
      <c r="A54" s="12" t="s">
        <v>357</v>
      </c>
      <c r="B54" s="12"/>
      <c r="C54" s="65"/>
      <c r="D54" s="65"/>
      <c r="E54" s="65"/>
      <c r="F54" s="65"/>
      <c r="G54" s="65"/>
      <c r="H54" s="65"/>
      <c r="I54" s="65"/>
      <c r="J54" s="65"/>
      <c r="K54" s="65"/>
    </row>
    <row r="55" spans="1:20" s="66" customFormat="1" x14ac:dyDescent="0.2">
      <c r="A55" s="42" t="s">
        <v>6</v>
      </c>
      <c r="B55" s="109">
        <f>B52</f>
        <v>1097.8105445354131</v>
      </c>
      <c r="C55" s="65"/>
      <c r="D55" s="65"/>
      <c r="E55" s="65"/>
      <c r="F55" s="65"/>
      <c r="G55" s="65"/>
      <c r="H55" s="65"/>
      <c r="I55" s="65"/>
      <c r="J55" s="65"/>
      <c r="K55" s="65"/>
    </row>
    <row r="56" spans="1:20" s="66" customFormat="1" x14ac:dyDescent="0.2">
      <c r="A56" s="42" t="s">
        <v>358</v>
      </c>
      <c r="B56" s="109">
        <f>F15</f>
        <v>310.71099999999996</v>
      </c>
      <c r="C56" s="65"/>
      <c r="D56" s="65"/>
      <c r="E56" s="65"/>
      <c r="F56" s="65"/>
      <c r="G56" s="65"/>
      <c r="H56" s="65"/>
      <c r="I56" s="65"/>
      <c r="J56" s="65"/>
      <c r="K56" s="65"/>
    </row>
    <row r="57" spans="1:20" s="66" customFormat="1" x14ac:dyDescent="0.2">
      <c r="A57" s="42" t="s">
        <v>357</v>
      </c>
      <c r="B57" s="110">
        <f>B55/B56</f>
        <v>3.5332207245170375</v>
      </c>
      <c r="C57" s="65"/>
      <c r="D57" s="65"/>
      <c r="E57" s="65"/>
      <c r="F57" s="65"/>
      <c r="G57" s="65"/>
      <c r="H57" s="65"/>
      <c r="I57" s="65"/>
      <c r="J57" s="65"/>
      <c r="K57" s="65"/>
    </row>
    <row r="58" spans="1:20" s="66" customFormat="1" x14ac:dyDescent="0.2">
      <c r="A58" s="64"/>
      <c r="B58" s="65"/>
      <c r="C58" s="65"/>
      <c r="D58" s="65"/>
      <c r="E58" s="65"/>
      <c r="F58" s="65"/>
      <c r="G58" s="65"/>
      <c r="H58" s="65"/>
      <c r="I58" s="65"/>
      <c r="J58" s="65"/>
      <c r="K58" s="65"/>
    </row>
    <row r="59" spans="1:20" x14ac:dyDescent="0.2">
      <c r="A59" t="s">
        <v>99</v>
      </c>
      <c r="B59" s="62">
        <v>143.523</v>
      </c>
      <c r="C59" s="62">
        <v>100.60299999999999</v>
      </c>
      <c r="D59" s="62">
        <v>502.89400000000001</v>
      </c>
      <c r="F59" s="62">
        <v>-218.899</v>
      </c>
      <c r="G59" s="62">
        <v>318.41692469999998</v>
      </c>
      <c r="H59" s="62">
        <v>343.89027867599998</v>
      </c>
      <c r="I59" s="62">
        <v>371.40150097007995</v>
      </c>
      <c r="J59" s="62">
        <v>389.97157601858402</v>
      </c>
      <c r="K59" s="62">
        <v>397.7710075389557</v>
      </c>
      <c r="N59" s="66"/>
      <c r="O59" s="86"/>
    </row>
    <row r="60" spans="1:20" s="66" customFormat="1" x14ac:dyDescent="0.2">
      <c r="A60" s="64" t="s">
        <v>92</v>
      </c>
      <c r="B60" s="65">
        <v>0.16411744123021471</v>
      </c>
      <c r="C60" s="65">
        <v>7.8614457595954049E-2</v>
      </c>
      <c r="D60" s="65">
        <v>0.30844842274805129</v>
      </c>
      <c r="E60" s="65"/>
      <c r="F60" s="65">
        <v>0.14265688418736688</v>
      </c>
      <c r="G60" s="65">
        <v>0.18</v>
      </c>
      <c r="H60" s="65">
        <v>0.18</v>
      </c>
      <c r="I60" s="65">
        <v>0.18</v>
      </c>
      <c r="J60" s="65">
        <v>0.18</v>
      </c>
      <c r="K60" s="65">
        <v>0.18</v>
      </c>
      <c r="N60" s="87"/>
      <c r="O60" s="87"/>
    </row>
    <row r="62" spans="1:20" s="12" customFormat="1" x14ac:dyDescent="0.2">
      <c r="A62" s="12" t="s">
        <v>209</v>
      </c>
      <c r="L62" s="73"/>
      <c r="N62" s="12" t="s">
        <v>314</v>
      </c>
      <c r="R62" s="12" t="s">
        <v>328</v>
      </c>
    </row>
    <row r="63" spans="1:20" x14ac:dyDescent="0.2">
      <c r="A63" s="1" t="s">
        <v>210</v>
      </c>
      <c r="B63" s="39"/>
      <c r="C63" s="39"/>
      <c r="D63" s="39"/>
      <c r="N63" s="1" t="s">
        <v>315</v>
      </c>
      <c r="R63" t="s">
        <v>329</v>
      </c>
      <c r="T63" s="62">
        <v>520.80340463625612</v>
      </c>
    </row>
    <row r="64" spans="1:20" x14ac:dyDescent="0.2">
      <c r="A64" t="s">
        <v>211</v>
      </c>
      <c r="B64">
        <v>128.148</v>
      </c>
      <c r="C64">
        <v>215.92500000000001</v>
      </c>
      <c r="D64">
        <v>237.012</v>
      </c>
      <c r="G64">
        <v>257.15801999999996</v>
      </c>
      <c r="H64">
        <v>277.73066159999996</v>
      </c>
      <c r="I64">
        <v>299.949114528</v>
      </c>
      <c r="J64">
        <v>314.9465702544</v>
      </c>
      <c r="K64">
        <v>321.24550165948801</v>
      </c>
      <c r="N64" t="s">
        <v>316</v>
      </c>
      <c r="O64" s="124">
        <v>0.3</v>
      </c>
      <c r="R64" t="s">
        <v>330</v>
      </c>
      <c r="T64">
        <v>3</v>
      </c>
    </row>
    <row r="65" spans="1:20" s="66" customFormat="1" x14ac:dyDescent="0.2">
      <c r="A65" s="64" t="s">
        <v>300</v>
      </c>
      <c r="B65" s="75">
        <v>53.485730359948491</v>
      </c>
      <c r="C65" s="75">
        <v>61.586749561030274</v>
      </c>
      <c r="D65" s="75">
        <v>53.060250895639655</v>
      </c>
      <c r="G65" s="75">
        <v>53.060250895639655</v>
      </c>
      <c r="H65" s="75">
        <v>53.060250895639655</v>
      </c>
      <c r="I65" s="75">
        <v>53.060250895639655</v>
      </c>
      <c r="J65" s="75">
        <v>53.060250895639655</v>
      </c>
      <c r="K65" s="75">
        <v>53.060250895639655</v>
      </c>
      <c r="N65" t="s">
        <v>317</v>
      </c>
      <c r="O65" s="124">
        <v>0.7</v>
      </c>
      <c r="R65" s="66" t="s">
        <v>331</v>
      </c>
      <c r="T65" s="66">
        <v>1562.4102139087684</v>
      </c>
    </row>
    <row r="66" spans="1:20" x14ac:dyDescent="0.2">
      <c r="A66" t="s">
        <v>212</v>
      </c>
      <c r="B66">
        <v>3.9489999999999998</v>
      </c>
      <c r="C66">
        <v>5.0339999999999998</v>
      </c>
      <c r="D66">
        <v>17.704999999999998</v>
      </c>
      <c r="G66">
        <v>19.209924999999995</v>
      </c>
      <c r="H66">
        <v>20.746718999999999</v>
      </c>
      <c r="I66">
        <v>22.406456519999995</v>
      </c>
      <c r="J66">
        <v>23.526779345999998</v>
      </c>
      <c r="K66">
        <v>23.997314932920002</v>
      </c>
    </row>
    <row r="67" spans="1:20" s="66" customFormat="1" x14ac:dyDescent="0.2">
      <c r="A67" s="64" t="s">
        <v>301</v>
      </c>
      <c r="B67" s="75">
        <v>2.1764442082184501</v>
      </c>
      <c r="C67" s="75">
        <v>2.0812963004916063</v>
      </c>
      <c r="D67" s="75">
        <v>5.709771417413485</v>
      </c>
      <c r="G67" s="75">
        <v>5.709771417413485</v>
      </c>
      <c r="H67" s="75">
        <v>5.709771417413485</v>
      </c>
      <c r="I67" s="75">
        <v>5.709771417413485</v>
      </c>
      <c r="J67" s="75">
        <v>5.709771417413485</v>
      </c>
      <c r="K67" s="75">
        <v>5.709771417413485</v>
      </c>
      <c r="N67" s="1" t="s">
        <v>318</v>
      </c>
      <c r="R67" s="66" t="s">
        <v>332</v>
      </c>
      <c r="T67" s="82">
        <v>9.8668609754804493</v>
      </c>
    </row>
    <row r="68" spans="1:20" x14ac:dyDescent="0.2">
      <c r="A68" t="s">
        <v>213</v>
      </c>
      <c r="B68">
        <v>7.0490000000000004</v>
      </c>
      <c r="C68">
        <v>8.6809999999999992</v>
      </c>
      <c r="D68">
        <v>14.993</v>
      </c>
      <c r="G68">
        <v>16.267404999999997</v>
      </c>
      <c r="H68">
        <v>17.568797399999998</v>
      </c>
      <c r="I68">
        <v>18.974301191999999</v>
      </c>
      <c r="J68">
        <v>19.9230162516</v>
      </c>
      <c r="K68">
        <v>20.321476576632001</v>
      </c>
      <c r="N68" t="s">
        <v>319</v>
      </c>
      <c r="O68" s="80">
        <v>5.2999999999999999E-2</v>
      </c>
      <c r="R68" t="s">
        <v>327</v>
      </c>
      <c r="T68" s="79">
        <v>6.0225000000000001E-2</v>
      </c>
    </row>
    <row r="69" spans="1:20" x14ac:dyDescent="0.2">
      <c r="A69" s="64" t="s">
        <v>302</v>
      </c>
      <c r="B69" s="65">
        <v>8.0604770192358281E-3</v>
      </c>
      <c r="C69" s="65">
        <v>6.7836158602673589E-3</v>
      </c>
      <c r="D69" s="65">
        <v>9.1959084862049106E-3</v>
      </c>
      <c r="G69" s="65">
        <v>9.1959084862049106E-3</v>
      </c>
      <c r="H69" s="65">
        <v>9.1959084862049106E-3</v>
      </c>
      <c r="I69" s="65">
        <v>9.1959084862049106E-3</v>
      </c>
      <c r="J69" s="65">
        <v>9.1959084862049106E-3</v>
      </c>
      <c r="K69" s="65">
        <v>9.1959084862049106E-3</v>
      </c>
      <c r="N69" t="s">
        <v>320</v>
      </c>
      <c r="O69" s="80">
        <v>0.25</v>
      </c>
      <c r="R69" s="66" t="s">
        <v>333</v>
      </c>
      <c r="T69" s="77">
        <v>0.03</v>
      </c>
    </row>
    <row r="70" spans="1:20" x14ac:dyDescent="0.2">
      <c r="N70" s="99" t="s">
        <v>321</v>
      </c>
      <c r="O70" s="123">
        <v>3.9750000000000001E-2</v>
      </c>
      <c r="R70" t="s">
        <v>331</v>
      </c>
      <c r="T70">
        <v>336.24042364747271</v>
      </c>
    </row>
    <row r="71" spans="1:20" x14ac:dyDescent="0.2">
      <c r="A71" s="1" t="s">
        <v>295</v>
      </c>
      <c r="B71" s="39">
        <v>1061.2360000000001</v>
      </c>
      <c r="C71" s="39">
        <v>1335.7860000000001</v>
      </c>
      <c r="D71" s="39">
        <v>1480.3119999999999</v>
      </c>
    </row>
    <row r="72" spans="1:20" x14ac:dyDescent="0.2">
      <c r="A72" s="64" t="s">
        <v>296</v>
      </c>
      <c r="B72" s="71">
        <v>0.82405233143240519</v>
      </c>
      <c r="C72" s="71">
        <v>0.95801348419582177</v>
      </c>
      <c r="D72" s="71">
        <v>1.1013887612881608</v>
      </c>
      <c r="N72" s="1" t="s">
        <v>322</v>
      </c>
      <c r="R72" s="1" t="s">
        <v>337</v>
      </c>
    </row>
    <row r="73" spans="1:20" x14ac:dyDescent="0.2">
      <c r="N73" t="s">
        <v>323</v>
      </c>
      <c r="O73" s="124">
        <v>2.5000000000000001E-2</v>
      </c>
      <c r="R73">
        <v>1166.2854731402138</v>
      </c>
    </row>
    <row r="74" spans="1:20" x14ac:dyDescent="0.2">
      <c r="A74" s="1" t="s">
        <v>214</v>
      </c>
      <c r="N74" t="s">
        <v>324</v>
      </c>
      <c r="O74" s="124">
        <v>5.5E-2</v>
      </c>
    </row>
    <row r="75" spans="1:20" x14ac:dyDescent="0.2">
      <c r="A75" t="s">
        <v>215</v>
      </c>
      <c r="B75" s="69">
        <v>152.649</v>
      </c>
      <c r="C75" s="69">
        <v>234.29900000000001</v>
      </c>
      <c r="D75" s="69">
        <v>161.441</v>
      </c>
      <c r="G75">
        <v>175.16348499999998</v>
      </c>
      <c r="H75">
        <v>189.1765638</v>
      </c>
      <c r="I75">
        <v>204.31068890399999</v>
      </c>
      <c r="J75">
        <v>214.52622334920002</v>
      </c>
      <c r="K75">
        <v>218.81674781618403</v>
      </c>
      <c r="N75" t="s">
        <v>325</v>
      </c>
      <c r="O75">
        <v>0.8</v>
      </c>
    </row>
    <row r="76" spans="1:20" s="66" customFormat="1" x14ac:dyDescent="0.2">
      <c r="A76" s="64" t="s">
        <v>303</v>
      </c>
      <c r="B76" s="75">
        <v>84.130674079599444</v>
      </c>
      <c r="C76" s="75">
        <v>96.870409596520233</v>
      </c>
      <c r="D76" s="75">
        <v>52.063891973942418</v>
      </c>
      <c r="G76" s="75">
        <v>52.063891973942418</v>
      </c>
      <c r="H76" s="75">
        <v>52.063891973942418</v>
      </c>
      <c r="I76" s="75">
        <v>52.063891973942418</v>
      </c>
      <c r="J76" s="75">
        <v>52.063891973942418</v>
      </c>
      <c r="K76" s="75">
        <v>52.063891973942418</v>
      </c>
      <c r="N76" s="99" t="s">
        <v>322</v>
      </c>
      <c r="O76" s="122">
        <v>6.9000000000000006E-2</v>
      </c>
    </row>
    <row r="77" spans="1:20" x14ac:dyDescent="0.2">
      <c r="A77" t="s">
        <v>216</v>
      </c>
      <c r="B77" s="69">
        <v>6.8159999999999998</v>
      </c>
      <c r="C77" s="69">
        <v>14.137</v>
      </c>
      <c r="D77" s="69">
        <v>14.284000000000001</v>
      </c>
      <c r="G77">
        <v>15.498139999999999</v>
      </c>
      <c r="H77">
        <v>16.7379912</v>
      </c>
      <c r="I77">
        <v>18.077030496000003</v>
      </c>
      <c r="J77">
        <v>18.980882020800003</v>
      </c>
      <c r="K77">
        <v>19.360499661216004</v>
      </c>
    </row>
    <row r="78" spans="1:20" x14ac:dyDescent="0.2">
      <c r="A78" s="64" t="s">
        <v>92</v>
      </c>
      <c r="B78" s="65">
        <v>7.7940433200611994E-3</v>
      </c>
      <c r="C78" s="65">
        <v>1.1047111786268824E-2</v>
      </c>
      <c r="D78" s="65">
        <v>8.7610456090809682E-3</v>
      </c>
      <c r="G78" s="65">
        <v>8.7610456090809682E-3</v>
      </c>
      <c r="H78" s="65">
        <v>8.7610456090809682E-3</v>
      </c>
      <c r="I78" s="65">
        <v>8.7610456090809682E-3</v>
      </c>
      <c r="J78" s="65">
        <v>8.7610456090809682E-3</v>
      </c>
      <c r="K78" s="65">
        <v>8.7610456090809682E-3</v>
      </c>
      <c r="N78" t="s">
        <v>327</v>
      </c>
      <c r="O78" s="122">
        <v>6.0225000000000001E-2</v>
      </c>
    </row>
    <row r="79" spans="1:20" x14ac:dyDescent="0.2">
      <c r="A79" t="s">
        <v>217</v>
      </c>
      <c r="B79" s="69">
        <v>13.951000000000001</v>
      </c>
      <c r="C79" s="69">
        <v>34.89</v>
      </c>
      <c r="D79" s="69">
        <v>61.332000000000001</v>
      </c>
      <c r="G79">
        <v>66.545219999999986</v>
      </c>
      <c r="H79">
        <v>71.868837599999992</v>
      </c>
      <c r="I79">
        <v>77.618344608000001</v>
      </c>
      <c r="J79">
        <v>81.499261838400002</v>
      </c>
      <c r="K79">
        <v>83.12924707516801</v>
      </c>
      <c r="O79" s="80"/>
    </row>
    <row r="80" spans="1:20" x14ac:dyDescent="0.2">
      <c r="A80" s="64" t="s">
        <v>92</v>
      </c>
      <c r="B80" s="65">
        <v>1.59528606746147E-2</v>
      </c>
      <c r="C80" s="65">
        <v>2.7264181242337076E-2</v>
      </c>
      <c r="D80" s="65">
        <v>3.7617785585000972E-2</v>
      </c>
      <c r="G80" s="65">
        <v>3.7617785585000972E-2</v>
      </c>
      <c r="H80" s="65">
        <v>3.7617785585000972E-2</v>
      </c>
      <c r="I80" s="65">
        <v>3.7617785585000972E-2</v>
      </c>
      <c r="J80" s="65">
        <v>3.7617785585000972E-2</v>
      </c>
      <c r="K80" s="65">
        <v>3.7617785585000972E-2</v>
      </c>
    </row>
    <row r="81" spans="1:15" x14ac:dyDescent="0.2">
      <c r="N81" s="66" t="s">
        <v>6</v>
      </c>
      <c r="O81" s="85">
        <v>1205.3105445354131</v>
      </c>
    </row>
    <row r="82" spans="1:15" x14ac:dyDescent="0.2">
      <c r="A82" s="64" t="s">
        <v>309</v>
      </c>
      <c r="B82">
        <v>243.93</v>
      </c>
      <c r="C82">
        <v>381.75</v>
      </c>
      <c r="D82">
        <v>481.92</v>
      </c>
      <c r="N82" s="66" t="s">
        <v>339</v>
      </c>
      <c r="O82" s="66">
        <v>148.6</v>
      </c>
    </row>
    <row r="83" spans="1:15" x14ac:dyDescent="0.2">
      <c r="A83" s="64" t="s">
        <v>312</v>
      </c>
      <c r="B83">
        <v>0.22792296982891527</v>
      </c>
      <c r="C83">
        <v>0.28579449747332958</v>
      </c>
      <c r="D83">
        <v>0.32555123216601817</v>
      </c>
      <c r="N83" s="66" t="s">
        <v>338</v>
      </c>
      <c r="O83" s="66">
        <v>41.1</v>
      </c>
    </row>
    <row r="84" spans="1:15" x14ac:dyDescent="0.2">
      <c r="A84" t="s">
        <v>310</v>
      </c>
      <c r="B84">
        <v>826.3</v>
      </c>
      <c r="C84">
        <v>954</v>
      </c>
      <c r="D84">
        <v>998.4</v>
      </c>
      <c r="N84" s="66" t="s">
        <v>78</v>
      </c>
      <c r="O84" s="86">
        <v>1097.8105445354131</v>
      </c>
    </row>
    <row r="85" spans="1:15" x14ac:dyDescent="0.2">
      <c r="A85" s="64" t="s">
        <v>313</v>
      </c>
      <c r="B85">
        <v>0.77207703017108464</v>
      </c>
      <c r="C85">
        <v>0.71420550252667037</v>
      </c>
      <c r="D85">
        <v>0.67444876783398189</v>
      </c>
      <c r="N85" s="87" t="s">
        <v>340</v>
      </c>
      <c r="O85" s="87">
        <v>10.5356098323936</v>
      </c>
    </row>
    <row r="86" spans="1:15" x14ac:dyDescent="0.2">
      <c r="A86" s="64" t="s">
        <v>311</v>
      </c>
      <c r="B86">
        <v>1070.23</v>
      </c>
      <c r="C86">
        <v>1335.75</v>
      </c>
      <c r="D86">
        <v>1480.32</v>
      </c>
    </row>
    <row r="88" spans="1:15" x14ac:dyDescent="0.2">
      <c r="A88" s="1" t="s">
        <v>307</v>
      </c>
      <c r="B88">
        <v>-34.269999999999982</v>
      </c>
      <c r="C88">
        <v>-53.686000000000007</v>
      </c>
      <c r="D88">
        <v>32.652999999999992</v>
      </c>
      <c r="G88">
        <v>35.428504999999973</v>
      </c>
      <c r="H88">
        <v>38.262785399999927</v>
      </c>
      <c r="I88">
        <v>41.323808232000033</v>
      </c>
      <c r="J88">
        <v>43.389998643599995</v>
      </c>
      <c r="K88">
        <v>44.257798616471973</v>
      </c>
    </row>
  </sheetData>
  <mergeCells count="5">
    <mergeCell ref="B4:D4"/>
    <mergeCell ref="E4:E5"/>
    <mergeCell ref="F4:F5"/>
    <mergeCell ref="G4:K4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FBFF-6072-4E09-93F0-DF2DC5C39426}">
  <dimension ref="A1:T19"/>
  <sheetViews>
    <sheetView zoomScale="87" workbookViewId="0">
      <pane xSplit="2" topLeftCell="C1" activePane="topRight" state="frozen"/>
      <selection pane="topRight" activeCell="I7" sqref="I7"/>
    </sheetView>
  </sheetViews>
  <sheetFormatPr baseColWidth="10" defaultColWidth="8.83203125" defaultRowHeight="15" x14ac:dyDescent="0.2"/>
  <cols>
    <col min="1" max="1" width="29" customWidth="1"/>
    <col min="2" max="2" width="7" bestFit="1" customWidth="1"/>
    <col min="4" max="4" width="16.6640625" bestFit="1" customWidth="1"/>
    <col min="9" max="9" width="9.6640625" customWidth="1"/>
  </cols>
  <sheetData>
    <row r="1" spans="1:20" s="7" customFormat="1" ht="48" x14ac:dyDescent="0.2">
      <c r="A1" s="5" t="s">
        <v>10</v>
      </c>
      <c r="B1" s="6" t="s">
        <v>58</v>
      </c>
      <c r="C1" s="6" t="s">
        <v>11</v>
      </c>
      <c r="D1" s="6" t="s">
        <v>43</v>
      </c>
      <c r="E1" s="8" t="s">
        <v>3</v>
      </c>
      <c r="F1" s="8" t="s">
        <v>67</v>
      </c>
      <c r="G1" s="8" t="s">
        <v>59</v>
      </c>
      <c r="H1" s="8" t="s">
        <v>60</v>
      </c>
      <c r="I1" s="8" t="s">
        <v>6</v>
      </c>
      <c r="J1" s="8" t="s">
        <v>61</v>
      </c>
      <c r="K1" s="8" t="s">
        <v>62</v>
      </c>
      <c r="L1" s="8" t="s">
        <v>63</v>
      </c>
      <c r="M1" s="8" t="s">
        <v>64</v>
      </c>
      <c r="N1" s="9" t="s">
        <v>65</v>
      </c>
      <c r="O1" s="10" t="s">
        <v>66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</row>
    <row r="2" spans="1:20" x14ac:dyDescent="0.2">
      <c r="A2" t="s">
        <v>2</v>
      </c>
      <c r="B2" t="s">
        <v>22</v>
      </c>
      <c r="C2" t="s">
        <v>41</v>
      </c>
      <c r="D2" t="s">
        <v>42</v>
      </c>
      <c r="E2">
        <v>8.4700000000000006</v>
      </c>
      <c r="F2">
        <v>11.37</v>
      </c>
      <c r="G2" s="11">
        <f>E2/F2</f>
        <v>0.74494283201407219</v>
      </c>
      <c r="H2">
        <v>834.34</v>
      </c>
      <c r="I2">
        <f>H2+J2-K2</f>
        <v>941.84</v>
      </c>
      <c r="J2">
        <v>148.6</v>
      </c>
      <c r="K2">
        <v>41.1</v>
      </c>
      <c r="L2">
        <v>1534.4</v>
      </c>
      <c r="M2">
        <v>1630.4</v>
      </c>
      <c r="N2">
        <v>1279.7</v>
      </c>
      <c r="O2">
        <v>310.7</v>
      </c>
      <c r="P2">
        <v>384.2</v>
      </c>
      <c r="Q2">
        <v>285.10000000000002</v>
      </c>
      <c r="R2">
        <v>85.1</v>
      </c>
      <c r="S2">
        <v>203.4</v>
      </c>
      <c r="T2">
        <v>157</v>
      </c>
    </row>
    <row r="3" spans="1:20" x14ac:dyDescent="0.2">
      <c r="I3">
        <f>I2/L2</f>
        <v>0.6138164754953076</v>
      </c>
    </row>
    <row r="4" spans="1:20" s="3" customFormat="1" x14ac:dyDescent="0.2">
      <c r="A4" s="3" t="s">
        <v>68</v>
      </c>
    </row>
    <row r="5" spans="1:20" x14ac:dyDescent="0.2">
      <c r="A5" s="2" t="s">
        <v>24</v>
      </c>
      <c r="B5" t="s">
        <v>44</v>
      </c>
      <c r="C5" t="s">
        <v>29</v>
      </c>
      <c r="D5" t="s">
        <v>38</v>
      </c>
      <c r="E5">
        <v>20.78</v>
      </c>
      <c r="F5">
        <v>24.75</v>
      </c>
      <c r="G5" s="11">
        <f t="shared" ref="G5:G11" si="0">E5/F5</f>
        <v>0.83959595959595967</v>
      </c>
      <c r="H5">
        <v>3295.07</v>
      </c>
      <c r="I5">
        <f>H5+J5-K5</f>
        <v>3663.57</v>
      </c>
      <c r="J5">
        <v>405.3</v>
      </c>
      <c r="K5">
        <v>36.799999999999997</v>
      </c>
      <c r="L5">
        <v>4523.8999999999996</v>
      </c>
      <c r="M5">
        <v>4747.8999999999996</v>
      </c>
      <c r="N5">
        <v>4149.2</v>
      </c>
      <c r="O5">
        <v>1057.3</v>
      </c>
      <c r="P5">
        <v>1179.2</v>
      </c>
      <c r="Q5">
        <v>840.9</v>
      </c>
      <c r="R5">
        <v>583</v>
      </c>
      <c r="S5">
        <v>757.7</v>
      </c>
      <c r="T5">
        <v>514.1</v>
      </c>
    </row>
    <row r="6" spans="1:20" x14ac:dyDescent="0.2">
      <c r="A6" s="2" t="s">
        <v>25</v>
      </c>
      <c r="B6" t="s">
        <v>46</v>
      </c>
      <c r="C6" t="s">
        <v>28</v>
      </c>
      <c r="D6" t="s">
        <v>39</v>
      </c>
      <c r="E6">
        <v>2.96</v>
      </c>
      <c r="F6">
        <v>4.5599999999999996</v>
      </c>
      <c r="G6" s="11">
        <f t="shared" si="0"/>
        <v>0.64912280701754388</v>
      </c>
      <c r="H6">
        <v>252.98</v>
      </c>
      <c r="I6">
        <f t="shared" ref="I6:I11" si="1">H6+J6-K6</f>
        <v>435.78</v>
      </c>
      <c r="J6">
        <v>208.7</v>
      </c>
      <c r="K6">
        <v>25.9</v>
      </c>
      <c r="L6">
        <v>1225.7</v>
      </c>
      <c r="M6">
        <v>1381.3</v>
      </c>
      <c r="N6">
        <v>1151.5999999999999</v>
      </c>
      <c r="O6">
        <v>175.2</v>
      </c>
      <c r="P6">
        <v>237.3</v>
      </c>
      <c r="Q6">
        <v>171.1</v>
      </c>
      <c r="R6">
        <v>91.2</v>
      </c>
      <c r="S6">
        <v>150.9</v>
      </c>
      <c r="T6">
        <v>77.2</v>
      </c>
    </row>
    <row r="7" spans="1:20" x14ac:dyDescent="0.2">
      <c r="A7" s="2" t="s">
        <v>26</v>
      </c>
      <c r="B7" t="s">
        <v>47</v>
      </c>
      <c r="C7" t="s">
        <v>28</v>
      </c>
      <c r="D7" t="s">
        <v>39</v>
      </c>
      <c r="E7">
        <v>3.01</v>
      </c>
      <c r="F7">
        <v>3.76</v>
      </c>
      <c r="G7" s="11">
        <f t="shared" si="0"/>
        <v>0.80053191489361697</v>
      </c>
      <c r="H7">
        <v>210.83</v>
      </c>
      <c r="I7">
        <f t="shared" si="1"/>
        <v>295.63000000000005</v>
      </c>
      <c r="J7">
        <v>86.2</v>
      </c>
      <c r="K7">
        <v>1.4</v>
      </c>
      <c r="L7">
        <v>739.99</v>
      </c>
      <c r="M7">
        <v>700.7</v>
      </c>
      <c r="N7">
        <v>759.7</v>
      </c>
      <c r="O7">
        <v>136.30000000000001</v>
      </c>
      <c r="P7">
        <v>120.39</v>
      </c>
      <c r="Q7">
        <v>136.79</v>
      </c>
      <c r="R7">
        <v>70.099999999999994</v>
      </c>
      <c r="S7">
        <v>57.65</v>
      </c>
      <c r="T7">
        <v>69.22</v>
      </c>
    </row>
    <row r="8" spans="1:20" x14ac:dyDescent="0.2">
      <c r="A8" s="2" t="s">
        <v>27</v>
      </c>
      <c r="B8" t="s">
        <v>48</v>
      </c>
      <c r="C8" t="s">
        <v>28</v>
      </c>
      <c r="D8" t="s">
        <v>39</v>
      </c>
      <c r="E8">
        <v>3.66</v>
      </c>
      <c r="F8">
        <v>3.92</v>
      </c>
      <c r="G8" s="11">
        <f t="shared" si="0"/>
        <v>0.93367346938775519</v>
      </c>
      <c r="H8">
        <v>732.66</v>
      </c>
      <c r="I8">
        <f t="shared" si="1"/>
        <v>679.16</v>
      </c>
      <c r="J8">
        <v>13.8</v>
      </c>
      <c r="K8">
        <v>67.3</v>
      </c>
      <c r="L8">
        <v>731.85</v>
      </c>
      <c r="M8">
        <v>720.67</v>
      </c>
      <c r="N8">
        <v>665.43</v>
      </c>
      <c r="O8">
        <v>174.26</v>
      </c>
      <c r="P8">
        <v>174.23</v>
      </c>
      <c r="Q8">
        <v>145.44999999999999</v>
      </c>
      <c r="R8">
        <v>118</v>
      </c>
      <c r="S8">
        <v>117.03</v>
      </c>
      <c r="T8">
        <v>83.83</v>
      </c>
    </row>
    <row r="9" spans="1:20" x14ac:dyDescent="0.2">
      <c r="A9" s="2" t="s">
        <v>30</v>
      </c>
      <c r="B9" t="s">
        <v>49</v>
      </c>
      <c r="C9" t="s">
        <v>29</v>
      </c>
      <c r="D9" t="s">
        <v>39</v>
      </c>
      <c r="E9">
        <v>6.53</v>
      </c>
      <c r="F9">
        <v>11.94</v>
      </c>
      <c r="G9" s="11">
        <f t="shared" si="0"/>
        <v>0.54690117252931325</v>
      </c>
      <c r="H9">
        <v>1016.93</v>
      </c>
      <c r="I9">
        <f t="shared" si="1"/>
        <v>2152.9299999999998</v>
      </c>
      <c r="J9">
        <v>1161</v>
      </c>
      <c r="K9">
        <v>25</v>
      </c>
      <c r="L9">
        <v>2224.1999999999998</v>
      </c>
      <c r="M9">
        <v>2630</v>
      </c>
      <c r="N9">
        <v>2425.6</v>
      </c>
      <c r="O9">
        <v>540.70000000000005</v>
      </c>
      <c r="P9">
        <v>656.2</v>
      </c>
      <c r="Q9">
        <v>741.9</v>
      </c>
      <c r="R9">
        <v>105.3</v>
      </c>
      <c r="S9">
        <v>217.8</v>
      </c>
      <c r="T9">
        <v>474.6</v>
      </c>
    </row>
    <row r="10" spans="1:20" x14ac:dyDescent="0.2">
      <c r="A10" s="2" t="s">
        <v>31</v>
      </c>
      <c r="B10" t="s">
        <v>50</v>
      </c>
      <c r="C10" t="s">
        <v>29</v>
      </c>
      <c r="D10" t="s">
        <v>39</v>
      </c>
      <c r="E10">
        <v>9.1300000000000008</v>
      </c>
      <c r="F10">
        <v>16.18</v>
      </c>
      <c r="G10" s="11">
        <f t="shared" si="0"/>
        <v>0.56427688504326334</v>
      </c>
      <c r="H10">
        <v>3580.68</v>
      </c>
      <c r="I10">
        <f t="shared" si="1"/>
        <v>4732.68</v>
      </c>
      <c r="J10">
        <v>1345</v>
      </c>
      <c r="K10">
        <v>193</v>
      </c>
      <c r="L10">
        <v>5454.3</v>
      </c>
      <c r="M10">
        <v>4146.5</v>
      </c>
      <c r="N10">
        <v>2647.6</v>
      </c>
      <c r="O10">
        <v>1353.9</v>
      </c>
      <c r="P10">
        <v>1164.3</v>
      </c>
      <c r="Q10">
        <v>683.6</v>
      </c>
      <c r="R10">
        <v>334.9</v>
      </c>
      <c r="S10">
        <v>432.9</v>
      </c>
      <c r="T10">
        <v>199.5</v>
      </c>
    </row>
    <row r="11" spans="1:20" x14ac:dyDescent="0.2">
      <c r="A11" s="2" t="s">
        <v>37</v>
      </c>
      <c r="B11" t="s">
        <v>51</v>
      </c>
      <c r="C11" t="s">
        <v>29</v>
      </c>
      <c r="D11" t="s">
        <v>39</v>
      </c>
      <c r="E11">
        <v>6.31</v>
      </c>
      <c r="F11">
        <v>9.41</v>
      </c>
      <c r="G11" s="11">
        <f t="shared" si="0"/>
        <v>0.67056323060573853</v>
      </c>
      <c r="H11">
        <v>1333.06</v>
      </c>
      <c r="I11">
        <f t="shared" si="1"/>
        <v>1136.96</v>
      </c>
      <c r="J11">
        <v>27.2</v>
      </c>
      <c r="K11">
        <v>223.3</v>
      </c>
      <c r="L11">
        <v>1466.9</v>
      </c>
      <c r="M11">
        <v>1617.5</v>
      </c>
      <c r="N11">
        <v>1601.8</v>
      </c>
      <c r="O11">
        <v>251.9</v>
      </c>
      <c r="P11">
        <v>3620</v>
      </c>
      <c r="Q11">
        <v>365.1</v>
      </c>
      <c r="R11">
        <v>131.80000000000001</v>
      </c>
      <c r="S11">
        <v>253.9</v>
      </c>
      <c r="T11">
        <v>282.10000000000002</v>
      </c>
    </row>
    <row r="12" spans="1:20" s="3" customFormat="1" x14ac:dyDescent="0.2">
      <c r="A12" s="3" t="s">
        <v>69</v>
      </c>
    </row>
    <row r="13" spans="1:20" x14ac:dyDescent="0.2">
      <c r="A13" s="1" t="s">
        <v>33</v>
      </c>
      <c r="B13" t="s">
        <v>52</v>
      </c>
      <c r="C13" t="s">
        <v>29</v>
      </c>
      <c r="D13" t="s">
        <v>40</v>
      </c>
      <c r="E13">
        <v>10.85</v>
      </c>
      <c r="F13">
        <v>12.27</v>
      </c>
      <c r="G13" s="11">
        <f t="shared" ref="G13:G18" si="2">E13/F13</f>
        <v>0.88427057864710679</v>
      </c>
      <c r="H13">
        <v>12.27</v>
      </c>
      <c r="I13">
        <f t="shared" ref="I13:I18" si="3">H13+J13-K13</f>
        <v>8.6699999999999946</v>
      </c>
      <c r="J13">
        <v>53.5</v>
      </c>
      <c r="K13">
        <v>57.1</v>
      </c>
      <c r="L13">
        <v>1495.8</v>
      </c>
      <c r="M13">
        <v>1585.4</v>
      </c>
      <c r="N13">
        <v>1387.4</v>
      </c>
      <c r="O13">
        <v>213.45</v>
      </c>
      <c r="P13">
        <v>214.93</v>
      </c>
      <c r="Q13">
        <v>167.92</v>
      </c>
      <c r="R13">
        <v>65.48</v>
      </c>
      <c r="S13">
        <v>73.84</v>
      </c>
      <c r="T13">
        <v>52.2</v>
      </c>
    </row>
    <row r="14" spans="1:20" x14ac:dyDescent="0.2">
      <c r="A14" s="1" t="s">
        <v>34</v>
      </c>
      <c r="B14" t="s">
        <v>53</v>
      </c>
      <c r="C14" t="s">
        <v>29</v>
      </c>
      <c r="D14" t="s">
        <v>40</v>
      </c>
      <c r="E14">
        <v>11.9</v>
      </c>
      <c r="F14">
        <v>13.56</v>
      </c>
      <c r="G14" s="11">
        <f t="shared" si="2"/>
        <v>0.8775811209439528</v>
      </c>
      <c r="H14">
        <v>13.56</v>
      </c>
      <c r="I14">
        <f t="shared" si="3"/>
        <v>55.56</v>
      </c>
      <c r="J14">
        <v>47.8</v>
      </c>
      <c r="K14">
        <v>5.8</v>
      </c>
      <c r="L14">
        <v>274.8</v>
      </c>
      <c r="M14">
        <v>292.95</v>
      </c>
      <c r="N14">
        <v>320.01</v>
      </c>
      <c r="O14">
        <v>81.45</v>
      </c>
      <c r="P14">
        <v>87.9</v>
      </c>
      <c r="Q14">
        <v>72.239999999999995</v>
      </c>
      <c r="R14">
        <v>43.26</v>
      </c>
      <c r="S14">
        <v>51.71</v>
      </c>
      <c r="T14">
        <v>41.8</v>
      </c>
    </row>
    <row r="15" spans="1:20" x14ac:dyDescent="0.2">
      <c r="A15" s="1" t="s">
        <v>32</v>
      </c>
      <c r="B15" t="s">
        <v>54</v>
      </c>
      <c r="C15" t="s">
        <v>29</v>
      </c>
      <c r="D15" t="s">
        <v>40</v>
      </c>
      <c r="E15">
        <v>69.89</v>
      </c>
      <c r="F15">
        <v>79.069999999999993</v>
      </c>
      <c r="G15" s="11">
        <f t="shared" si="2"/>
        <v>0.88390034146958396</v>
      </c>
      <c r="H15">
        <v>79.069999999999993</v>
      </c>
      <c r="I15">
        <f t="shared" si="3"/>
        <v>790.06999999999994</v>
      </c>
      <c r="J15">
        <v>752</v>
      </c>
      <c r="K15">
        <v>41</v>
      </c>
      <c r="L15">
        <v>1410.3</v>
      </c>
      <c r="M15">
        <v>1435.8</v>
      </c>
      <c r="N15">
        <v>1242.2</v>
      </c>
      <c r="O15">
        <v>386.7</v>
      </c>
      <c r="P15">
        <v>452.8</v>
      </c>
      <c r="Q15">
        <v>239.4</v>
      </c>
      <c r="R15">
        <v>155.4</v>
      </c>
      <c r="S15">
        <v>225.2</v>
      </c>
      <c r="T15">
        <v>25</v>
      </c>
    </row>
    <row r="16" spans="1:20" x14ac:dyDescent="0.2">
      <c r="A16" s="1" t="s">
        <v>36</v>
      </c>
      <c r="B16" t="s">
        <v>55</v>
      </c>
      <c r="C16" t="s">
        <v>29</v>
      </c>
      <c r="D16" t="s">
        <v>40</v>
      </c>
      <c r="E16">
        <v>27.11</v>
      </c>
      <c r="F16">
        <v>30.45</v>
      </c>
      <c r="G16" s="11">
        <f t="shared" si="2"/>
        <v>0.89031198686371105</v>
      </c>
      <c r="H16">
        <v>30.45</v>
      </c>
      <c r="I16">
        <f t="shared" si="3"/>
        <v>417.45000000000005</v>
      </c>
      <c r="J16">
        <v>849</v>
      </c>
      <c r="K16">
        <v>462</v>
      </c>
      <c r="L16">
        <v>2557.6999999999998</v>
      </c>
      <c r="M16">
        <v>2424.6999999999998</v>
      </c>
      <c r="N16">
        <v>2066.1</v>
      </c>
      <c r="O16">
        <v>307.60000000000002</v>
      </c>
      <c r="P16">
        <v>286.3</v>
      </c>
      <c r="Q16">
        <v>231.8</v>
      </c>
      <c r="R16">
        <v>202.4</v>
      </c>
      <c r="S16">
        <v>181.3</v>
      </c>
      <c r="T16">
        <v>110.9</v>
      </c>
    </row>
    <row r="17" spans="1:20" x14ac:dyDescent="0.2">
      <c r="A17" s="1" t="s">
        <v>35</v>
      </c>
      <c r="B17" t="s">
        <v>45</v>
      </c>
      <c r="C17" t="s">
        <v>29</v>
      </c>
      <c r="D17" t="s">
        <v>40</v>
      </c>
      <c r="E17">
        <v>10.76</v>
      </c>
      <c r="F17">
        <v>13.05</v>
      </c>
      <c r="G17" s="11">
        <f t="shared" si="2"/>
        <v>0.82452107279693476</v>
      </c>
      <c r="H17">
        <v>13.05</v>
      </c>
      <c r="I17">
        <f t="shared" si="3"/>
        <v>221.45</v>
      </c>
      <c r="J17">
        <v>540.6</v>
      </c>
      <c r="K17">
        <v>332.2</v>
      </c>
      <c r="L17">
        <v>1391.84</v>
      </c>
      <c r="M17">
        <v>1289.73</v>
      </c>
      <c r="N17">
        <v>873.1</v>
      </c>
      <c r="O17">
        <v>308.3</v>
      </c>
      <c r="P17">
        <v>270</v>
      </c>
      <c r="Q17">
        <v>116.5</v>
      </c>
      <c r="R17">
        <v>131.1</v>
      </c>
      <c r="S17">
        <v>105.9</v>
      </c>
      <c r="T17">
        <v>-26.1</v>
      </c>
    </row>
    <row r="18" spans="1:20" x14ac:dyDescent="0.2">
      <c r="A18" s="1" t="s">
        <v>56</v>
      </c>
      <c r="B18" t="s">
        <v>57</v>
      </c>
      <c r="C18" t="s">
        <v>29</v>
      </c>
      <c r="D18" t="s">
        <v>40</v>
      </c>
      <c r="E18">
        <v>5.07</v>
      </c>
      <c r="F18">
        <v>8.92</v>
      </c>
      <c r="G18" s="11">
        <f t="shared" si="2"/>
        <v>0.56838565022421528</v>
      </c>
      <c r="H18">
        <v>8.92</v>
      </c>
      <c r="I18">
        <f t="shared" si="3"/>
        <v>123.22</v>
      </c>
      <c r="J18">
        <v>161.4</v>
      </c>
      <c r="K18">
        <v>47.1</v>
      </c>
      <c r="L18">
        <v>756.2</v>
      </c>
      <c r="M18">
        <v>782.3</v>
      </c>
      <c r="N18">
        <v>737.7</v>
      </c>
      <c r="O18">
        <v>72.58</v>
      </c>
      <c r="P18">
        <v>81.209999999999994</v>
      </c>
      <c r="Q18">
        <v>63.11</v>
      </c>
      <c r="R18">
        <v>13.71</v>
      </c>
      <c r="S18">
        <v>20.43</v>
      </c>
      <c r="T18">
        <v>-4.22</v>
      </c>
    </row>
    <row r="19" spans="1:20" x14ac:dyDescent="0.2">
      <c r="A19" s="1"/>
      <c r="B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8521-8788-4C37-BE5E-2E23AB8D6B90}">
  <dimension ref="A1:W38"/>
  <sheetViews>
    <sheetView showGridLines="0" zoomScale="114" workbookViewId="0">
      <selection activeCell="E28" sqref="E28"/>
    </sheetView>
  </sheetViews>
  <sheetFormatPr baseColWidth="10" defaultColWidth="8.83203125" defaultRowHeight="15" x14ac:dyDescent="0.2"/>
  <cols>
    <col min="1" max="1" width="27" customWidth="1"/>
    <col min="3" max="3" width="10.5" customWidth="1"/>
    <col min="6" max="6" width="9.6640625" customWidth="1"/>
    <col min="7" max="7" width="1.6640625" customWidth="1"/>
    <col min="8" max="10" width="8.83203125" bestFit="1" customWidth="1"/>
    <col min="11" max="12" width="0.83203125" customWidth="1"/>
    <col min="13" max="15" width="8.83203125" bestFit="1" customWidth="1"/>
    <col min="16" max="17" width="0.83203125" customWidth="1"/>
    <col min="18" max="19" width="8.83203125" bestFit="1" customWidth="1"/>
    <col min="20" max="20" width="9" bestFit="1" customWidth="1"/>
    <col min="21" max="21" width="0.83203125" customWidth="1"/>
  </cols>
  <sheetData>
    <row r="1" spans="1:23" ht="22" x14ac:dyDescent="0.3">
      <c r="A1" s="14" t="s">
        <v>2</v>
      </c>
    </row>
    <row r="2" spans="1:23" ht="16" x14ac:dyDescent="0.2">
      <c r="A2" s="4" t="s">
        <v>0</v>
      </c>
    </row>
    <row r="3" spans="1:23" x14ac:dyDescent="0.2">
      <c r="A3" s="15" t="s">
        <v>1</v>
      </c>
    </row>
    <row r="5" spans="1:23" x14ac:dyDescent="0.2">
      <c r="C5" s="128" t="s">
        <v>3</v>
      </c>
      <c r="D5" s="128" t="s">
        <v>4</v>
      </c>
      <c r="E5" s="128" t="s">
        <v>5</v>
      </c>
      <c r="F5" s="128" t="s">
        <v>6</v>
      </c>
      <c r="H5" s="17" t="s">
        <v>7</v>
      </c>
      <c r="I5" s="17"/>
      <c r="J5" s="17"/>
      <c r="K5" s="18"/>
      <c r="L5" s="19"/>
      <c r="M5" s="17"/>
      <c r="N5" s="17"/>
      <c r="O5" s="17"/>
      <c r="P5" s="18"/>
      <c r="Q5" s="17"/>
      <c r="R5" s="19"/>
      <c r="S5" s="17"/>
      <c r="T5" s="17"/>
      <c r="V5" s="128" t="s">
        <v>8</v>
      </c>
      <c r="W5" s="128" t="s">
        <v>9</v>
      </c>
    </row>
    <row r="6" spans="1:23" ht="30" x14ac:dyDescent="0.2">
      <c r="A6" s="20" t="s">
        <v>10</v>
      </c>
      <c r="B6" s="20" t="s">
        <v>12</v>
      </c>
      <c r="C6" s="129"/>
      <c r="D6" s="129"/>
      <c r="E6" s="129"/>
      <c r="F6" s="129"/>
      <c r="G6" s="16"/>
      <c r="H6" s="20" t="s">
        <v>13</v>
      </c>
      <c r="I6" s="20" t="s">
        <v>14</v>
      </c>
      <c r="J6" s="20" t="s">
        <v>15</v>
      </c>
      <c r="K6" s="21"/>
      <c r="L6" s="21"/>
      <c r="M6" s="20" t="s">
        <v>16</v>
      </c>
      <c r="N6" s="20" t="s">
        <v>17</v>
      </c>
      <c r="O6" s="20" t="s">
        <v>18</v>
      </c>
      <c r="P6" s="21"/>
      <c r="Q6" s="21"/>
      <c r="R6" s="20" t="s">
        <v>19</v>
      </c>
      <c r="S6" s="20" t="s">
        <v>20</v>
      </c>
      <c r="T6" s="20" t="s">
        <v>21</v>
      </c>
      <c r="U6" s="16"/>
      <c r="V6" s="129"/>
      <c r="W6" s="129"/>
    </row>
    <row r="7" spans="1:23" x14ac:dyDescent="0.2">
      <c r="A7" s="1" t="s">
        <v>23</v>
      </c>
      <c r="B7" t="s">
        <v>22</v>
      </c>
      <c r="C7">
        <v>8.4700000000000006</v>
      </c>
      <c r="D7" s="11">
        <v>0.74494283201407219</v>
      </c>
      <c r="E7">
        <v>834.34</v>
      </c>
      <c r="F7">
        <v>941.84</v>
      </c>
      <c r="H7" s="22">
        <f>$F7/'Comp Plugs'!L2</f>
        <v>0.6138164754953076</v>
      </c>
      <c r="I7" s="22">
        <f>$F7/'Comp Plugs'!M2</f>
        <v>0.57767419038272816</v>
      </c>
      <c r="J7" s="22">
        <f>$F7/'Comp Plugs'!N2</f>
        <v>0.73598499648355087</v>
      </c>
      <c r="K7" s="23"/>
      <c r="L7" s="23"/>
      <c r="M7" s="22">
        <f>$F7/'Comp Plugs'!O2</f>
        <v>3.0313485677502414</v>
      </c>
      <c r="N7" s="22">
        <f>$F7/'Comp Plugs'!P2</f>
        <v>2.4514315460697556</v>
      </c>
      <c r="O7" s="22">
        <f>$F7/'Comp Plugs'!Q2</f>
        <v>3.3035426166257453</v>
      </c>
      <c r="P7" s="23"/>
      <c r="Q7" s="23"/>
      <c r="R7" s="22">
        <f>$F7/'Comp Plugs'!R2</f>
        <v>11.067450058754408</v>
      </c>
      <c r="S7" s="22">
        <f>$F7/'Comp Plugs'!S2</f>
        <v>4.6304818092428714</v>
      </c>
      <c r="T7" s="22">
        <f>$F7/'Comp Plugs'!T2</f>
        <v>5.9989808917197456</v>
      </c>
      <c r="V7" s="22">
        <f>F7/'Comp Plugs'!L2</f>
        <v>0.6138164754953076</v>
      </c>
      <c r="W7" s="22">
        <f>'Comp Plugs'!J2/Comps!F7</f>
        <v>0.15777626773124945</v>
      </c>
    </row>
    <row r="9" spans="1:23" s="12" customFormat="1" x14ac:dyDescent="0.2">
      <c r="A9" s="12" t="s">
        <v>341</v>
      </c>
    </row>
    <row r="10" spans="1:23" x14ac:dyDescent="0.2">
      <c r="A10" s="1" t="s">
        <v>24</v>
      </c>
      <c r="B10" t="s">
        <v>44</v>
      </c>
      <c r="C10">
        <v>20.78</v>
      </c>
      <c r="D10" s="11">
        <f>'Comp Plugs'!G5</f>
        <v>0.83959595959595967</v>
      </c>
      <c r="E10" s="26">
        <v>3295.07</v>
      </c>
      <c r="F10" s="26">
        <f>'Comp Plugs'!I5</f>
        <v>3663.57</v>
      </c>
      <c r="H10" s="22">
        <f>$F10/'Comp Plugs'!L5</f>
        <v>0.8098255929618251</v>
      </c>
      <c r="I10" s="22">
        <f>$F10/'Comp Plugs'!M5</f>
        <v>0.77161903157185296</v>
      </c>
      <c r="J10" s="22">
        <f>$F10/'Comp Plugs'!N5</f>
        <v>0.88295816060927412</v>
      </c>
      <c r="K10" s="22"/>
      <c r="L10" s="22"/>
      <c r="M10" s="22">
        <f>$F10/'Comp Plugs'!O5</f>
        <v>3.4650241180365082</v>
      </c>
      <c r="N10" s="22">
        <f>$F10/'Comp Plugs'!P5</f>
        <v>3.1068266621438263</v>
      </c>
      <c r="O10" s="22">
        <f>$F10/'Comp Plugs'!Q5</f>
        <v>4.3567249375668933</v>
      </c>
      <c r="P10" s="22"/>
      <c r="Q10" s="22"/>
      <c r="R10" s="22">
        <f>$F10/'Comp Plugs'!R5</f>
        <v>6.2839965694682682</v>
      </c>
      <c r="S10" s="22">
        <f>$F10/'Comp Plugs'!S5</f>
        <v>4.8351194404117726</v>
      </c>
      <c r="T10" s="22">
        <f>$F10/'Comp Plugs'!T5</f>
        <v>7.126181676716592</v>
      </c>
      <c r="U10" s="22"/>
      <c r="V10" s="22">
        <f>F10/'Comp Plugs'!L5</f>
        <v>0.8098255929618251</v>
      </c>
      <c r="W10" s="22">
        <f>'Comp Plugs'!J5/Comps!F10</f>
        <v>0.11062979552731352</v>
      </c>
    </row>
    <row r="11" spans="1:23" x14ac:dyDescent="0.2">
      <c r="A11" s="1" t="s">
        <v>25</v>
      </c>
      <c r="B11" t="s">
        <v>46</v>
      </c>
      <c r="C11">
        <v>2.96</v>
      </c>
      <c r="D11" s="11">
        <f>'Comp Plugs'!G6</f>
        <v>0.64912280701754388</v>
      </c>
      <c r="E11" s="26">
        <v>252.98</v>
      </c>
      <c r="F11" s="26">
        <f>'Comp Plugs'!I6</f>
        <v>435.78</v>
      </c>
      <c r="H11" s="22">
        <f>$F11/'Comp Plugs'!L6</f>
        <v>0.35553561230317365</v>
      </c>
      <c r="I11" s="22">
        <f>$F11/'Comp Plugs'!M6</f>
        <v>0.31548541229276766</v>
      </c>
      <c r="J11" s="22">
        <f>$F11/'Comp Plugs'!N6</f>
        <v>0.37841264327891627</v>
      </c>
      <c r="K11" s="22"/>
      <c r="L11" s="22"/>
      <c r="M11" s="22">
        <f>$F11/'Comp Plugs'!O6</f>
        <v>2.4873287671232878</v>
      </c>
      <c r="N11" s="22">
        <f>$F11/'Comp Plugs'!P6</f>
        <v>1.8364096080910237</v>
      </c>
      <c r="O11" s="22">
        <f>$F11/'Comp Plugs'!Q6</f>
        <v>2.5469316189362945</v>
      </c>
      <c r="P11" s="22"/>
      <c r="Q11" s="22"/>
      <c r="R11" s="22">
        <f>$F11/'Comp Plugs'!R6</f>
        <v>4.7782894736842101</v>
      </c>
      <c r="S11" s="22">
        <f>$F11/'Comp Plugs'!S6</f>
        <v>2.887872763419483</v>
      </c>
      <c r="T11" s="22">
        <f>$F11/'Comp Plugs'!T6</f>
        <v>5.6448186528497404</v>
      </c>
      <c r="U11" s="22"/>
      <c r="V11" s="22">
        <f>F11/'Comp Plugs'!L6</f>
        <v>0.35553561230317365</v>
      </c>
      <c r="W11" s="22">
        <f>'Comp Plugs'!J6/Comps!F11</f>
        <v>0.47891137730047273</v>
      </c>
    </row>
    <row r="12" spans="1:23" x14ac:dyDescent="0.2">
      <c r="A12" s="1" t="s">
        <v>26</v>
      </c>
      <c r="B12" t="s">
        <v>47</v>
      </c>
      <c r="C12">
        <v>3.01</v>
      </c>
      <c r="D12" s="11">
        <f>'Comp Plugs'!G7</f>
        <v>0.80053191489361697</v>
      </c>
      <c r="E12" s="26">
        <v>210.83</v>
      </c>
      <c r="F12" s="26">
        <f>'Comp Plugs'!I7</f>
        <v>295.63000000000005</v>
      </c>
      <c r="H12" s="22">
        <f>$F12/'Comp Plugs'!L7</f>
        <v>0.3995053987216044</v>
      </c>
      <c r="I12" s="22">
        <f>$F12/'Comp Plugs'!M7</f>
        <v>0.42190666476380767</v>
      </c>
      <c r="J12" s="22">
        <f>$F12/'Comp Plugs'!N7</f>
        <v>0.38914045017770177</v>
      </c>
      <c r="K12" s="22"/>
      <c r="L12" s="22"/>
      <c r="M12" s="22">
        <f>$F12/'Comp Plugs'!O7</f>
        <v>2.1689655172413795</v>
      </c>
      <c r="N12" s="22">
        <f>$F12/'Comp Plugs'!P7</f>
        <v>2.455602624802725</v>
      </c>
      <c r="O12" s="22">
        <f>$F12/'Comp Plugs'!Q7</f>
        <v>2.1611959938592009</v>
      </c>
      <c r="P12" s="22"/>
      <c r="Q12" s="22"/>
      <c r="R12" s="22">
        <f>$F12/'Comp Plugs'!R7</f>
        <v>4.2172610556348085</v>
      </c>
      <c r="S12" s="22">
        <f>$F12/'Comp Plugs'!S7</f>
        <v>5.1280138768430197</v>
      </c>
      <c r="T12" s="22">
        <f>$F12/'Comp Plugs'!T7</f>
        <v>4.2708754695174811</v>
      </c>
      <c r="U12" s="22"/>
      <c r="V12" s="22">
        <f>F12/'Comp Plugs'!L7</f>
        <v>0.3995053987216044</v>
      </c>
      <c r="W12" s="22">
        <f>'Comp Plugs'!J7/Comps!F12</f>
        <v>0.29158069208131782</v>
      </c>
    </row>
    <row r="13" spans="1:23" x14ac:dyDescent="0.2">
      <c r="A13" s="1" t="s">
        <v>27</v>
      </c>
      <c r="B13" t="s">
        <v>48</v>
      </c>
      <c r="C13">
        <v>3.66</v>
      </c>
      <c r="D13" s="11">
        <f>'Comp Plugs'!G8</f>
        <v>0.93367346938775519</v>
      </c>
      <c r="E13" s="26">
        <v>732.66</v>
      </c>
      <c r="F13" s="26">
        <f>'Comp Plugs'!I8</f>
        <v>679.16</v>
      </c>
      <c r="H13" s="22">
        <f>$F13/'Comp Plugs'!L8</f>
        <v>0.92800437248069956</v>
      </c>
      <c r="I13" s="22">
        <f>$F13/'Comp Plugs'!M8</f>
        <v>0.94240082145781012</v>
      </c>
      <c r="J13" s="22">
        <f>$F13/'Comp Plugs'!N8</f>
        <v>1.0206332747246143</v>
      </c>
      <c r="K13" s="22"/>
      <c r="L13" s="22"/>
      <c r="M13" s="22">
        <f>$F13/'Comp Plugs'!O8</f>
        <v>3.8973946975783313</v>
      </c>
      <c r="N13" s="22">
        <f>$F13/'Comp Plugs'!P8</f>
        <v>3.8980657751248349</v>
      </c>
      <c r="O13" s="22">
        <f>$F13/'Comp Plugs'!Q8</f>
        <v>4.6693709178411824</v>
      </c>
      <c r="P13" s="22"/>
      <c r="Q13" s="22"/>
      <c r="R13" s="22">
        <f>$F13/'Comp Plugs'!R8</f>
        <v>5.7555932203389828</v>
      </c>
      <c r="S13" s="22">
        <f>$F13/'Comp Plugs'!S8</f>
        <v>5.8032982995813036</v>
      </c>
      <c r="T13" s="22">
        <f>$F13/'Comp Plugs'!T8</f>
        <v>8.1016342598115223</v>
      </c>
      <c r="U13" s="22"/>
      <c r="V13" s="22">
        <f>F13/'Comp Plugs'!L8</f>
        <v>0.92800437248069956</v>
      </c>
      <c r="W13" s="22">
        <f>'Comp Plugs'!J8/Comps!F13</f>
        <v>2.0319217857353203E-2</v>
      </c>
    </row>
    <row r="14" spans="1:23" x14ac:dyDescent="0.2">
      <c r="A14" s="1" t="s">
        <v>30</v>
      </c>
      <c r="B14" t="s">
        <v>49</v>
      </c>
      <c r="C14">
        <v>6.53</v>
      </c>
      <c r="D14" s="11">
        <f>'Comp Plugs'!G9</f>
        <v>0.54690117252931325</v>
      </c>
      <c r="E14" s="26">
        <v>1016.93</v>
      </c>
      <c r="F14" s="26">
        <f>'Comp Plugs'!I9</f>
        <v>2152.9299999999998</v>
      </c>
      <c r="H14" s="22">
        <f>$F14/'Comp Plugs'!L9</f>
        <v>0.96795701825375413</v>
      </c>
      <c r="I14" s="22">
        <f>$F14/'Comp Plugs'!M9</f>
        <v>0.81860456273764248</v>
      </c>
      <c r="J14" s="22">
        <f>$F14/'Comp Plugs'!N9</f>
        <v>0.88758657651715034</v>
      </c>
      <c r="K14" s="22"/>
      <c r="L14" s="22"/>
      <c r="M14" s="22">
        <f>$F14/'Comp Plugs'!O9</f>
        <v>3.9817458849639351</v>
      </c>
      <c r="N14" s="22">
        <f>$F14/'Comp Plugs'!P9</f>
        <v>3.2809052118256625</v>
      </c>
      <c r="O14" s="22">
        <f>$F14/'Comp Plugs'!Q9</f>
        <v>2.9019140045828276</v>
      </c>
      <c r="P14" s="22"/>
      <c r="Q14" s="22"/>
      <c r="R14" s="22">
        <f>$F14/'Comp Plugs'!R9</f>
        <v>20.445679012345678</v>
      </c>
      <c r="S14" s="22">
        <f>$F14/'Comp Plugs'!S9</f>
        <v>9.8848943985307614</v>
      </c>
      <c r="T14" s="22">
        <f>$F14/'Comp Plugs'!T9</f>
        <v>4.5363042562157601</v>
      </c>
      <c r="U14" s="22"/>
      <c r="V14" s="22">
        <f>F14/'Comp Plugs'!L9</f>
        <v>0.96795701825375413</v>
      </c>
      <c r="W14" s="22">
        <f>'Comp Plugs'!J9/Comps!F14</f>
        <v>0.53926509454557281</v>
      </c>
    </row>
    <row r="15" spans="1:23" x14ac:dyDescent="0.2">
      <c r="A15" s="1" t="s">
        <v>31</v>
      </c>
      <c r="B15" t="s">
        <v>50</v>
      </c>
      <c r="C15">
        <v>9.1300000000000008</v>
      </c>
      <c r="D15" s="11">
        <f>'Comp Plugs'!G10</f>
        <v>0.56427688504326334</v>
      </c>
      <c r="E15" s="26">
        <v>3580.68</v>
      </c>
      <c r="F15" s="26">
        <f>'Comp Plugs'!I10</f>
        <v>4732.68</v>
      </c>
      <c r="H15" s="22">
        <f>$F15/'Comp Plugs'!L10</f>
        <v>0.86769704636708656</v>
      </c>
      <c r="I15" s="22">
        <f>$F15/'Comp Plugs'!M10</f>
        <v>1.1413674183045943</v>
      </c>
      <c r="J15" s="22">
        <f>$F15/'Comp Plugs'!N10</f>
        <v>1.7875358815531048</v>
      </c>
      <c r="K15" s="22"/>
      <c r="L15" s="22"/>
      <c r="M15" s="22">
        <f>$F15/'Comp Plugs'!O10</f>
        <v>3.4955905162862839</v>
      </c>
      <c r="N15" s="22">
        <f>$F15/'Comp Plugs'!P10</f>
        <v>4.0648286524091732</v>
      </c>
      <c r="O15" s="22">
        <f>$F15/'Comp Plugs'!Q10</f>
        <v>6.9231714452896433</v>
      </c>
      <c r="P15" s="22"/>
      <c r="Q15" s="22"/>
      <c r="R15" s="22">
        <f>$F15/'Comp Plugs'!R10</f>
        <v>14.131621379516275</v>
      </c>
      <c r="S15" s="22">
        <f>$F15/'Comp Plugs'!S10</f>
        <v>10.932501732501734</v>
      </c>
      <c r="T15" s="22">
        <f>$F15/'Comp Plugs'!T10</f>
        <v>23.722706766917295</v>
      </c>
      <c r="U15" s="22"/>
      <c r="V15" s="22">
        <f>F15/'Comp Plugs'!L10</f>
        <v>0.86769704636708656</v>
      </c>
      <c r="W15" s="22">
        <f>'Comp Plugs'!J10/Comps!F15</f>
        <v>0.28419415637651391</v>
      </c>
    </row>
    <row r="16" spans="1:23" x14ac:dyDescent="0.2">
      <c r="A16" s="1" t="s">
        <v>37</v>
      </c>
      <c r="B16" t="s">
        <v>51</v>
      </c>
      <c r="C16">
        <v>6.31</v>
      </c>
      <c r="D16" s="11">
        <f>'Comp Plugs'!G11</f>
        <v>0.67056323060573853</v>
      </c>
      <c r="E16" s="26">
        <v>1333.06</v>
      </c>
      <c r="F16" s="26">
        <f>'Comp Plugs'!I11</f>
        <v>1136.96</v>
      </c>
      <c r="H16" s="22">
        <f>$F16/'Comp Plugs'!L11</f>
        <v>0.77507669234439969</v>
      </c>
      <c r="I16" s="22">
        <f>$F16/'Comp Plugs'!M11</f>
        <v>0.70291190108191659</v>
      </c>
      <c r="J16" s="22">
        <f>$F16/'Comp Plugs'!N11</f>
        <v>0.70980147334248977</v>
      </c>
      <c r="K16" s="22"/>
      <c r="L16" s="22"/>
      <c r="M16" s="22">
        <f>$F16/'Comp Plugs'!O11</f>
        <v>4.5135371179039305</v>
      </c>
      <c r="N16" s="22">
        <f>$F16/'Comp Plugs'!P11</f>
        <v>0.31407734806629833</v>
      </c>
      <c r="O16" s="22">
        <f>$F16/'Comp Plugs'!Q11</f>
        <v>3.1141057244590522</v>
      </c>
      <c r="P16" s="22"/>
      <c r="Q16" s="22"/>
      <c r="R16" s="22">
        <f>$F16/'Comp Plugs'!R11</f>
        <v>8.6264036418816392</v>
      </c>
      <c r="S16" s="22">
        <f>$F16/'Comp Plugs'!S11</f>
        <v>4.4779834580543518</v>
      </c>
      <c r="T16" s="22">
        <f>$F16/'Comp Plugs'!T11</f>
        <v>4.0303438496986885</v>
      </c>
      <c r="U16" s="22"/>
      <c r="V16" s="22">
        <f>F16/'Comp Plugs'!L11</f>
        <v>0.77507669234439969</v>
      </c>
      <c r="W16" s="22">
        <f>'Comp Plugs'!J11/Comps!F16</f>
        <v>2.3923444976076555E-2</v>
      </c>
    </row>
    <row r="17" spans="1:23" x14ac:dyDescent="0.2">
      <c r="A17" s="1"/>
      <c r="D17" s="11"/>
      <c r="E17" s="26"/>
      <c r="F17" s="2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">
      <c r="A18" s="2" t="s">
        <v>70</v>
      </c>
      <c r="B18" s="2"/>
      <c r="C18" s="2"/>
      <c r="D18" s="24"/>
      <c r="E18" s="27"/>
      <c r="F18" s="27"/>
      <c r="G18" s="2"/>
      <c r="H18" s="25">
        <f>AVERAGE(H10:H16)</f>
        <v>0.72908596191893482</v>
      </c>
      <c r="I18" s="25">
        <f t="shared" ref="I18:J18" si="0">AVERAGE(I10:I16)</f>
        <v>0.73061368745862743</v>
      </c>
      <c r="J18" s="25">
        <f t="shared" si="0"/>
        <v>0.86515263717189306</v>
      </c>
      <c r="K18" s="25"/>
      <c r="L18" s="25"/>
      <c r="M18" s="25">
        <f t="shared" ref="M18:O18" si="1">AVERAGE(M10:M16)</f>
        <v>3.4299409455905225</v>
      </c>
      <c r="N18" s="25">
        <f t="shared" si="1"/>
        <v>2.7081022689233634</v>
      </c>
      <c r="O18" s="25">
        <f t="shared" si="1"/>
        <v>3.8104878060764418</v>
      </c>
      <c r="P18" s="25"/>
      <c r="Q18" s="25"/>
      <c r="R18" s="25">
        <f t="shared" ref="R18:T18" si="2">AVERAGE(R10:R16)</f>
        <v>9.1769777646956943</v>
      </c>
      <c r="S18" s="25">
        <f t="shared" si="2"/>
        <v>6.2785262813346332</v>
      </c>
      <c r="T18" s="25">
        <f t="shared" si="2"/>
        <v>8.2046949902467254</v>
      </c>
      <c r="U18" s="25"/>
      <c r="V18" s="25">
        <f t="shared" ref="V18:W18" si="3">AVERAGE(V10:V16)</f>
        <v>0.72908596191893482</v>
      </c>
      <c r="W18" s="25">
        <f t="shared" si="3"/>
        <v>0.2498319683806601</v>
      </c>
    </row>
    <row r="19" spans="1:23" x14ac:dyDescent="0.2">
      <c r="A19" s="2" t="s">
        <v>71</v>
      </c>
      <c r="B19" s="2"/>
      <c r="C19" s="2"/>
      <c r="D19" s="24"/>
      <c r="E19" s="27"/>
      <c r="F19" s="27"/>
      <c r="G19" s="2"/>
      <c r="H19" s="25">
        <f>MEDIAN(H10:H16)</f>
        <v>0.8098255929618251</v>
      </c>
      <c r="I19" s="25">
        <f t="shared" ref="I19:J19" si="4">MEDIAN(I10:I16)</f>
        <v>0.77161903157185296</v>
      </c>
      <c r="J19" s="25">
        <f t="shared" si="4"/>
        <v>0.88295816060927412</v>
      </c>
      <c r="K19" s="25"/>
      <c r="L19" s="25"/>
      <c r="M19" s="25">
        <f t="shared" ref="M19:O19" si="5">MEDIAN(M10:M16)</f>
        <v>3.4955905162862839</v>
      </c>
      <c r="N19" s="25">
        <f t="shared" si="5"/>
        <v>3.1068266621438263</v>
      </c>
      <c r="O19" s="25">
        <f t="shared" si="5"/>
        <v>3.1141057244590522</v>
      </c>
      <c r="P19" s="25"/>
      <c r="Q19" s="25"/>
      <c r="R19" s="25">
        <f t="shared" ref="R19:T19" si="6">MEDIAN(R10:R16)</f>
        <v>6.2839965694682682</v>
      </c>
      <c r="S19" s="25">
        <f t="shared" si="6"/>
        <v>5.1280138768430197</v>
      </c>
      <c r="T19" s="25">
        <f t="shared" si="6"/>
        <v>5.6448186528497404</v>
      </c>
      <c r="U19" s="25"/>
      <c r="V19" s="25">
        <f t="shared" ref="V19:W19" si="7">MEDIAN(V10:V16)</f>
        <v>0.8098255929618251</v>
      </c>
      <c r="W19" s="25">
        <f t="shared" si="7"/>
        <v>0.28419415637651391</v>
      </c>
    </row>
    <row r="20" spans="1:23" x14ac:dyDescent="0.2">
      <c r="A20" s="1"/>
      <c r="D20" s="11"/>
      <c r="E20" s="26"/>
      <c r="F20" s="2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 s="12" customFormat="1" x14ac:dyDescent="0.2">
      <c r="A21" s="12" t="s">
        <v>69</v>
      </c>
      <c r="E21" s="28"/>
      <c r="F21" s="2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">
      <c r="A22" s="1" t="s">
        <v>33</v>
      </c>
      <c r="B22" t="s">
        <v>52</v>
      </c>
      <c r="C22">
        <v>10.85</v>
      </c>
      <c r="D22" s="11">
        <f>'Comp Plugs'!G13</f>
        <v>0.88427057864710679</v>
      </c>
      <c r="E22" s="26">
        <v>12.27</v>
      </c>
      <c r="F22" s="26">
        <f>'Comp Plugs'!I13</f>
        <v>8.6699999999999946</v>
      </c>
      <c r="H22" s="22">
        <f>$F22/'Comp Plugs'!L13</f>
        <v>5.7962294424388251E-3</v>
      </c>
      <c r="I22" s="22">
        <f>$F22/'Comp Plugs'!M13</f>
        <v>5.4686514444304236E-3</v>
      </c>
      <c r="J22" s="22">
        <f>$F22/'Comp Plugs'!N13</f>
        <v>6.2490990341646201E-3</v>
      </c>
      <c r="K22" s="22"/>
      <c r="L22" s="22"/>
      <c r="M22" s="22">
        <f>$F22/'Comp Plugs'!O13</f>
        <v>4.0618411806043545E-2</v>
      </c>
      <c r="N22" s="22">
        <f>$F22/'Comp Plugs'!P13</f>
        <v>4.0338714930442443E-2</v>
      </c>
      <c r="O22" s="22">
        <f>$F22/'Comp Plugs'!Q13</f>
        <v>5.1631729394949949E-2</v>
      </c>
      <c r="P22" s="22"/>
      <c r="Q22" s="22"/>
      <c r="R22" s="22">
        <f>$F22/'Comp Plugs'!R13</f>
        <v>0.13240684178375067</v>
      </c>
      <c r="S22" s="22">
        <f>$F22/'Comp Plugs'!S13</f>
        <v>0.11741603466955572</v>
      </c>
      <c r="T22" s="22">
        <f>$F22/'Comp Plugs'!T13</f>
        <v>0.1660919540229884</v>
      </c>
      <c r="U22" s="22"/>
      <c r="V22" s="22">
        <f>F22/'Comp Plugs'!L13</f>
        <v>5.7962294424388251E-3</v>
      </c>
      <c r="W22" s="22">
        <f>'Comp Plugs'!J13/Comps!F22</f>
        <v>6.1707035755478703</v>
      </c>
    </row>
    <row r="23" spans="1:23" x14ac:dyDescent="0.2">
      <c r="A23" s="1" t="s">
        <v>34</v>
      </c>
      <c r="B23" t="s">
        <v>53</v>
      </c>
      <c r="C23">
        <v>11.9</v>
      </c>
      <c r="D23" s="11">
        <f>'Comp Plugs'!G14</f>
        <v>0.8775811209439528</v>
      </c>
      <c r="E23" s="26">
        <v>13.56</v>
      </c>
      <c r="F23" s="26">
        <f>'Comp Plugs'!I14</f>
        <v>55.56</v>
      </c>
      <c r="H23" s="22">
        <f>$F23/'Comp Plugs'!L14</f>
        <v>0.20218340611353711</v>
      </c>
      <c r="I23" s="22">
        <f>$F23/'Comp Plugs'!M14</f>
        <v>0.18965693804403483</v>
      </c>
      <c r="J23" s="22">
        <f>$F23/'Comp Plugs'!N14</f>
        <v>0.17361957438830039</v>
      </c>
      <c r="K23" s="22"/>
      <c r="L23" s="22"/>
      <c r="M23" s="22">
        <f>$F23/'Comp Plugs'!O14</f>
        <v>0.68213627992633519</v>
      </c>
      <c r="N23" s="22">
        <f>$F23/'Comp Plugs'!P14</f>
        <v>0.63208191126279867</v>
      </c>
      <c r="O23" s="22">
        <f>$F23/'Comp Plugs'!Q14</f>
        <v>0.76910299003322269</v>
      </c>
      <c r="P23" s="22"/>
      <c r="Q23" s="22"/>
      <c r="R23" s="22">
        <f>$F23/'Comp Plugs'!R14</f>
        <v>1.2843273231622747</v>
      </c>
      <c r="S23" s="22">
        <f>$F23/'Comp Plugs'!S14</f>
        <v>1.0744536840069618</v>
      </c>
      <c r="T23" s="22">
        <f>$F23/'Comp Plugs'!T14</f>
        <v>1.3291866028708135</v>
      </c>
      <c r="U23" s="22"/>
      <c r="V23" s="22">
        <f>F23/'Comp Plugs'!L14</f>
        <v>0.20218340611353711</v>
      </c>
      <c r="W23" s="22">
        <f>'Comp Plugs'!J14/Comps!F23</f>
        <v>0.86033117350611943</v>
      </c>
    </row>
    <row r="24" spans="1:23" x14ac:dyDescent="0.2">
      <c r="A24" s="1" t="s">
        <v>32</v>
      </c>
      <c r="B24" t="s">
        <v>54</v>
      </c>
      <c r="C24">
        <v>69.89</v>
      </c>
      <c r="D24" s="11">
        <f>'Comp Plugs'!G15</f>
        <v>0.88390034146958396</v>
      </c>
      <c r="E24" s="26">
        <v>79.069999999999993</v>
      </c>
      <c r="F24" s="26">
        <f>'Comp Plugs'!I15</f>
        <v>790.06999999999994</v>
      </c>
      <c r="H24" s="22">
        <f>$F24/'Comp Plugs'!L15</f>
        <v>0.5602141388357087</v>
      </c>
      <c r="I24" s="22">
        <f>$F24/'Comp Plugs'!M15</f>
        <v>0.55026466081626968</v>
      </c>
      <c r="J24" s="22">
        <f>$F24/'Comp Plugs'!N15</f>
        <v>0.63602479471904683</v>
      </c>
      <c r="K24" s="22"/>
      <c r="L24" s="22"/>
      <c r="M24" s="22">
        <f>$F24/'Comp Plugs'!O15</f>
        <v>2.043108352728213</v>
      </c>
      <c r="N24" s="22">
        <f>$F24/'Comp Plugs'!P15</f>
        <v>1.7448542402826854</v>
      </c>
      <c r="O24" s="22">
        <f>$F24/'Comp Plugs'!Q15</f>
        <v>3.3002088554720128</v>
      </c>
      <c r="P24" s="22"/>
      <c r="Q24" s="22"/>
      <c r="R24" s="22">
        <f>$F24/'Comp Plugs'!R15</f>
        <v>5.0841055341055332</v>
      </c>
      <c r="S24" s="22">
        <f>$F24/'Comp Plugs'!S15</f>
        <v>3.508303730017762</v>
      </c>
      <c r="T24" s="22">
        <f>$F24/'Comp Plugs'!T15</f>
        <v>31.602799999999998</v>
      </c>
      <c r="U24" s="22"/>
      <c r="V24" s="22">
        <f>F24/'Comp Plugs'!L15</f>
        <v>0.5602141388357087</v>
      </c>
      <c r="W24" s="22">
        <f>'Comp Plugs'!J15/Comps!F24</f>
        <v>0.95181439619274244</v>
      </c>
    </row>
    <row r="25" spans="1:23" x14ac:dyDescent="0.2">
      <c r="A25" s="1" t="s">
        <v>36</v>
      </c>
      <c r="B25" t="s">
        <v>55</v>
      </c>
      <c r="C25">
        <v>27.11</v>
      </c>
      <c r="D25" s="11">
        <f>'Comp Plugs'!G16</f>
        <v>0.89031198686371105</v>
      </c>
      <c r="E25" s="26">
        <v>30.45</v>
      </c>
      <c r="F25" s="26">
        <f>'Comp Plugs'!I16</f>
        <v>417.45000000000005</v>
      </c>
      <c r="H25" s="22">
        <f>$F25/'Comp Plugs'!L16</f>
        <v>0.16321304296829187</v>
      </c>
      <c r="I25" s="22">
        <f>$F25/'Comp Plugs'!M16</f>
        <v>0.17216562873757582</v>
      </c>
      <c r="J25" s="22">
        <f>$F25/'Comp Plugs'!N16</f>
        <v>0.2020473355597503</v>
      </c>
      <c r="K25" s="22"/>
      <c r="L25" s="22"/>
      <c r="M25" s="22">
        <f>$F25/'Comp Plugs'!O16</f>
        <v>1.3571196358907673</v>
      </c>
      <c r="N25" s="22">
        <f>$F25/'Comp Plugs'!P16</f>
        <v>1.458085923856095</v>
      </c>
      <c r="O25" s="22">
        <f>$F25/'Comp Plugs'!Q16</f>
        <v>1.8009059534081104</v>
      </c>
      <c r="P25" s="22"/>
      <c r="Q25" s="22"/>
      <c r="R25" s="22">
        <f>$F25/'Comp Plugs'!R16</f>
        <v>2.0625</v>
      </c>
      <c r="S25" s="22">
        <f>$F25/'Comp Plugs'!S16</f>
        <v>2.3025372311086598</v>
      </c>
      <c r="T25" s="22">
        <f>$F25/'Comp Plugs'!T16</f>
        <v>3.7642019837691616</v>
      </c>
      <c r="U25" s="22"/>
      <c r="V25" s="22">
        <f>F25/'Comp Plugs'!L16</f>
        <v>0.16321304296829187</v>
      </c>
      <c r="W25" s="22">
        <f>'Comp Plugs'!J16/Comps!F25</f>
        <v>2.0337765001796622</v>
      </c>
    </row>
    <row r="26" spans="1:23" x14ac:dyDescent="0.2">
      <c r="A26" s="1" t="s">
        <v>35</v>
      </c>
      <c r="B26" t="s">
        <v>45</v>
      </c>
      <c r="C26">
        <v>10.76</v>
      </c>
      <c r="D26" s="11">
        <f>'Comp Plugs'!G17</f>
        <v>0.82452107279693476</v>
      </c>
      <c r="E26" s="26">
        <v>13.05</v>
      </c>
      <c r="F26" s="26">
        <f>'Comp Plugs'!I17</f>
        <v>221.45</v>
      </c>
      <c r="H26" s="22">
        <f>$F26/'Comp Plugs'!L17</f>
        <v>0.15910593171628923</v>
      </c>
      <c r="I26" s="22">
        <f>$F26/'Comp Plugs'!M17</f>
        <v>0.17170260442108037</v>
      </c>
      <c r="J26" s="22">
        <f>$F26/'Comp Plugs'!N17</f>
        <v>0.25363646775856141</v>
      </c>
      <c r="K26" s="22"/>
      <c r="L26" s="22"/>
      <c r="M26" s="22">
        <f>$F26/'Comp Plugs'!O17</f>
        <v>0.71829386960752506</v>
      </c>
      <c r="N26" s="22">
        <f>$F26/'Comp Plugs'!P17</f>
        <v>0.82018518518518513</v>
      </c>
      <c r="O26" s="22">
        <f>$F26/'Comp Plugs'!Q17</f>
        <v>1.9008583690987124</v>
      </c>
      <c r="P26" s="22"/>
      <c r="Q26" s="22"/>
      <c r="R26" s="22">
        <f>$F26/'Comp Plugs'!R17</f>
        <v>1.6891685736079329</v>
      </c>
      <c r="S26" s="22">
        <f>$F26/'Comp Plugs'!S17</f>
        <v>2.0911237016052877</v>
      </c>
      <c r="T26" s="22">
        <f>$F26/'Comp Plugs'!T17</f>
        <v>-8.4846743295019156</v>
      </c>
      <c r="U26" s="22"/>
      <c r="V26" s="22">
        <f>F26/'Comp Plugs'!L17</f>
        <v>0.15910593171628923</v>
      </c>
      <c r="W26" s="22">
        <f>'Comp Plugs'!J17/Comps!F26</f>
        <v>2.4411831113118088</v>
      </c>
    </row>
    <row r="27" spans="1:23" x14ac:dyDescent="0.2">
      <c r="A27" s="1" t="s">
        <v>56</v>
      </c>
      <c r="B27" t="s">
        <v>57</v>
      </c>
      <c r="C27">
        <v>5.07</v>
      </c>
      <c r="D27" s="11">
        <f>'Comp Plugs'!G18</f>
        <v>0.56838565022421528</v>
      </c>
      <c r="E27" s="26">
        <v>8.92</v>
      </c>
      <c r="F27" s="26">
        <f>'Comp Plugs'!I18</f>
        <v>123.22</v>
      </c>
      <c r="H27" s="22">
        <f>$F27/'Comp Plugs'!L18</f>
        <v>0.16294631049986774</v>
      </c>
      <c r="I27" s="22">
        <f>$F27/'Comp Plugs'!M18</f>
        <v>0.15750990668541481</v>
      </c>
      <c r="J27" s="22">
        <f>$F27/'Comp Plugs'!N18</f>
        <v>0.16703266910668293</v>
      </c>
      <c r="K27" s="22"/>
      <c r="L27" s="22"/>
      <c r="M27" s="22">
        <f>$F27/'Comp Plugs'!O18</f>
        <v>1.6977128685588316</v>
      </c>
      <c r="N27" s="22">
        <f>$F27/'Comp Plugs'!P18</f>
        <v>1.5173008250215492</v>
      </c>
      <c r="O27" s="22">
        <f>$F27/'Comp Plugs'!Q18</f>
        <v>1.9524639518301379</v>
      </c>
      <c r="P27" s="22"/>
      <c r="Q27" s="22"/>
      <c r="R27" s="22">
        <f>$F27/'Comp Plugs'!R18</f>
        <v>8.9876002917578397</v>
      </c>
      <c r="S27" s="22">
        <f>$F27/'Comp Plugs'!S18</f>
        <v>6.0313264806656877</v>
      </c>
      <c r="T27" s="22">
        <f>$F27/'Comp Plugs'!T18</f>
        <v>-29.199052132701425</v>
      </c>
      <c r="U27" s="22"/>
      <c r="V27" s="22">
        <f>F27/'Comp Plugs'!L18</f>
        <v>0.16294631049986774</v>
      </c>
      <c r="W27" s="22">
        <f>'Comp Plugs'!J18/Comps!F27</f>
        <v>1.3098522967050803</v>
      </c>
    </row>
    <row r="29" spans="1:23" x14ac:dyDescent="0.2">
      <c r="A29" s="2" t="s">
        <v>70</v>
      </c>
      <c r="B29" s="2"/>
      <c r="C29" s="2"/>
      <c r="D29" s="24"/>
      <c r="E29" s="2"/>
      <c r="F29" s="2"/>
      <c r="G29" s="2"/>
      <c r="H29" s="25">
        <f>AVERAGE(H21:H27)</f>
        <v>0.20890984326268894</v>
      </c>
      <c r="I29" s="25">
        <f t="shared" ref="I29:J29" si="8">AVERAGE(I21:I27)</f>
        <v>0.20779473169146767</v>
      </c>
      <c r="J29" s="25">
        <f t="shared" si="8"/>
        <v>0.23976832342775112</v>
      </c>
      <c r="K29" s="25"/>
      <c r="L29" s="25"/>
      <c r="M29" s="25">
        <f t="shared" ref="M29:O29" si="9">AVERAGE(M21:M27)</f>
        <v>1.0898315697529526</v>
      </c>
      <c r="N29" s="25">
        <f t="shared" si="9"/>
        <v>1.0354744667564593</v>
      </c>
      <c r="O29" s="25">
        <f t="shared" si="9"/>
        <v>1.6291953082061912</v>
      </c>
      <c r="P29" s="25"/>
      <c r="Q29" s="25"/>
      <c r="R29" s="25">
        <f t="shared" ref="R29:T29" si="10">AVERAGE(R21:R27)</f>
        <v>3.2066847607362221</v>
      </c>
      <c r="S29" s="25">
        <f t="shared" si="10"/>
        <v>2.5208601436789859</v>
      </c>
      <c r="T29" s="25">
        <f t="shared" si="10"/>
        <v>-0.13690765359006227</v>
      </c>
      <c r="U29" s="25"/>
      <c r="V29" s="25">
        <f t="shared" ref="V29:W29" si="11">AVERAGE(V21:V27)</f>
        <v>0.20890984326268894</v>
      </c>
      <c r="W29" s="25">
        <f t="shared" si="11"/>
        <v>2.2946101755738808</v>
      </c>
    </row>
    <row r="30" spans="1:23" x14ac:dyDescent="0.2">
      <c r="A30" s="2" t="s">
        <v>71</v>
      </c>
      <c r="B30" s="2"/>
      <c r="C30" s="2"/>
      <c r="D30" s="24"/>
      <c r="E30" s="2"/>
      <c r="F30" s="2"/>
      <c r="G30" s="2"/>
      <c r="H30" s="25">
        <f>MEDIAN(H21:H27)</f>
        <v>0.1630796767340798</v>
      </c>
      <c r="I30" s="25">
        <f t="shared" ref="I30:J30" si="12">MEDIAN(I21:I27)</f>
        <v>0.17193411657932811</v>
      </c>
      <c r="J30" s="25">
        <f t="shared" si="12"/>
        <v>0.18783345497402534</v>
      </c>
      <c r="K30" s="25"/>
      <c r="L30" s="25"/>
      <c r="M30" s="25">
        <f t="shared" ref="M30:O30" si="13">MEDIAN(M21:M27)</f>
        <v>1.0377067527491461</v>
      </c>
      <c r="N30" s="25">
        <f t="shared" si="13"/>
        <v>1.1391355545206401</v>
      </c>
      <c r="O30" s="25">
        <f t="shared" si="13"/>
        <v>1.8508821612534114</v>
      </c>
      <c r="P30" s="25"/>
      <c r="Q30" s="25"/>
      <c r="R30" s="25">
        <f t="shared" ref="R30:T30" si="14">MEDIAN(R21:R27)</f>
        <v>1.8758342868039666</v>
      </c>
      <c r="S30" s="25">
        <f t="shared" si="14"/>
        <v>2.1968304663569738</v>
      </c>
      <c r="T30" s="25">
        <f t="shared" si="14"/>
        <v>0.74763927844690092</v>
      </c>
      <c r="U30" s="25"/>
      <c r="V30" s="25">
        <f t="shared" ref="V30:W30" si="15">MEDIAN(V21:V27)</f>
        <v>0.1630796767340798</v>
      </c>
      <c r="W30" s="25">
        <f t="shared" si="15"/>
        <v>1.6718143984423712</v>
      </c>
    </row>
    <row r="32" spans="1:23" s="12" customFormat="1" x14ac:dyDescent="0.2">
      <c r="A32" s="12" t="s">
        <v>72</v>
      </c>
      <c r="E32" s="28"/>
      <c r="F32" s="28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4" spans="1:23" x14ac:dyDescent="0.2">
      <c r="A34" s="2" t="s">
        <v>70</v>
      </c>
      <c r="B34" s="2"/>
      <c r="C34" s="2"/>
      <c r="D34" s="24"/>
      <c r="E34" s="27"/>
      <c r="F34" s="27"/>
      <c r="G34" s="2"/>
      <c r="H34" s="25">
        <f>AVERAGE(H10:H16,H22:H27)</f>
        <v>0.48900467638528278</v>
      </c>
      <c r="I34" s="25">
        <f t="shared" ref="I34:W34" si="16">AVERAGE(I10:I16,I22:I27)</f>
        <v>0.48931263095070743</v>
      </c>
      <c r="J34" s="25">
        <f t="shared" si="16"/>
        <v>0.57651372313613514</v>
      </c>
      <c r="K34" s="25"/>
      <c r="L34" s="25"/>
      <c r="M34" s="25">
        <f t="shared" si="16"/>
        <v>2.3498904644347212</v>
      </c>
      <c r="N34" s="25">
        <f t="shared" si="16"/>
        <v>1.9361202063847924</v>
      </c>
      <c r="O34" s="25">
        <f t="shared" si="16"/>
        <v>2.8037374224440184</v>
      </c>
      <c r="P34" s="25"/>
      <c r="Q34" s="25"/>
      <c r="R34" s="25">
        <f t="shared" si="16"/>
        <v>6.4214579167143988</v>
      </c>
      <c r="S34" s="25">
        <f t="shared" si="16"/>
        <v>4.5442188331858731</v>
      </c>
      <c r="T34" s="25">
        <f t="shared" si="16"/>
        <v>4.3547245392451304</v>
      </c>
      <c r="U34" s="25"/>
      <c r="V34" s="25">
        <f t="shared" si="16"/>
        <v>0.48900467638528278</v>
      </c>
      <c r="W34" s="25">
        <f t="shared" si="16"/>
        <v>1.1935757563159928</v>
      </c>
    </row>
    <row r="35" spans="1:23" x14ac:dyDescent="0.2">
      <c r="A35" s="2" t="s">
        <v>71</v>
      </c>
      <c r="B35" s="2"/>
      <c r="C35" s="2"/>
      <c r="D35" s="24"/>
      <c r="E35" s="27"/>
      <c r="F35" s="27"/>
      <c r="G35" s="2"/>
      <c r="H35" s="25">
        <f>MEDIAN(H10:H16,H22:H27)</f>
        <v>0.3995053987216044</v>
      </c>
      <c r="I35" s="25">
        <f t="shared" ref="I35:W35" si="17">MEDIAN(I10:I16,I22:I27)</f>
        <v>0.42190666476380767</v>
      </c>
      <c r="J35" s="25">
        <f t="shared" si="17"/>
        <v>0.38914045017770177</v>
      </c>
      <c r="K35" s="25"/>
      <c r="L35" s="25"/>
      <c r="M35" s="25">
        <f t="shared" si="17"/>
        <v>2.1689655172413795</v>
      </c>
      <c r="N35" s="25">
        <f t="shared" si="17"/>
        <v>1.7448542402826854</v>
      </c>
      <c r="O35" s="25">
        <f t="shared" si="17"/>
        <v>2.5469316189362945</v>
      </c>
      <c r="P35" s="25"/>
      <c r="Q35" s="25"/>
      <c r="R35" s="25">
        <f t="shared" si="17"/>
        <v>5.0841055341055332</v>
      </c>
      <c r="S35" s="25">
        <f t="shared" si="17"/>
        <v>4.4779834580543518</v>
      </c>
      <c r="T35" s="25">
        <f t="shared" si="17"/>
        <v>4.2708754695174811</v>
      </c>
      <c r="U35" s="25"/>
      <c r="V35" s="25">
        <f t="shared" si="17"/>
        <v>0.3995053987216044</v>
      </c>
      <c r="W35" s="25">
        <f t="shared" si="17"/>
        <v>0.53926509454557281</v>
      </c>
    </row>
    <row r="37" spans="1:23" x14ac:dyDescent="0.2">
      <c r="A37" s="2" t="s">
        <v>73</v>
      </c>
      <c r="B37" s="2"/>
      <c r="C37" s="2"/>
      <c r="D37" s="24"/>
      <c r="E37" s="27"/>
      <c r="F37" s="27"/>
      <c r="G37" s="2"/>
      <c r="H37" s="25">
        <f>MAX(H10:H16,H22:H27)</f>
        <v>0.96795701825375413</v>
      </c>
      <c r="I37" s="25">
        <f t="shared" ref="I37:W37" si="18">MAX(I10:I16,I22:I27)</f>
        <v>1.1413674183045943</v>
      </c>
      <c r="J37" s="25">
        <f t="shared" si="18"/>
        <v>1.7875358815531048</v>
      </c>
      <c r="K37" s="25">
        <f t="shared" si="18"/>
        <v>0</v>
      </c>
      <c r="L37" s="25">
        <f t="shared" si="18"/>
        <v>0</v>
      </c>
      <c r="M37" s="25">
        <f t="shared" si="18"/>
        <v>4.5135371179039305</v>
      </c>
      <c r="N37" s="25">
        <f t="shared" si="18"/>
        <v>4.0648286524091732</v>
      </c>
      <c r="O37" s="25">
        <f t="shared" si="18"/>
        <v>6.9231714452896433</v>
      </c>
      <c r="P37" s="25">
        <f t="shared" si="18"/>
        <v>0</v>
      </c>
      <c r="Q37" s="25">
        <f t="shared" si="18"/>
        <v>0</v>
      </c>
      <c r="R37" s="25">
        <f t="shared" si="18"/>
        <v>20.445679012345678</v>
      </c>
      <c r="S37" s="25">
        <f t="shared" si="18"/>
        <v>10.932501732501734</v>
      </c>
      <c r="T37" s="25">
        <f t="shared" si="18"/>
        <v>31.602799999999998</v>
      </c>
      <c r="U37" s="25">
        <f t="shared" si="18"/>
        <v>0</v>
      </c>
      <c r="V37" s="25">
        <f t="shared" si="18"/>
        <v>0.96795701825375413</v>
      </c>
      <c r="W37" s="25">
        <f t="shared" si="18"/>
        <v>6.1707035755478703</v>
      </c>
    </row>
    <row r="38" spans="1:23" x14ac:dyDescent="0.2">
      <c r="A38" s="2" t="s">
        <v>74</v>
      </c>
      <c r="B38" s="2"/>
      <c r="C38" s="2"/>
      <c r="D38" s="24"/>
      <c r="E38" s="27"/>
      <c r="F38" s="27"/>
      <c r="G38" s="2"/>
      <c r="H38" s="25">
        <f>MIN(H10:H16,H22:H27)</f>
        <v>5.7962294424388251E-3</v>
      </c>
      <c r="I38" s="25">
        <f t="shared" ref="I38:W38" si="19">MIN(I10:I16,I22:I27)</f>
        <v>5.4686514444304236E-3</v>
      </c>
      <c r="J38" s="25">
        <f t="shared" si="19"/>
        <v>6.2490990341646201E-3</v>
      </c>
      <c r="K38" s="25">
        <f t="shared" si="19"/>
        <v>0</v>
      </c>
      <c r="L38" s="25">
        <f t="shared" si="19"/>
        <v>0</v>
      </c>
      <c r="M38" s="25">
        <f t="shared" si="19"/>
        <v>4.0618411806043545E-2</v>
      </c>
      <c r="N38" s="25">
        <f t="shared" si="19"/>
        <v>4.0338714930442443E-2</v>
      </c>
      <c r="O38" s="25">
        <f t="shared" si="19"/>
        <v>5.1631729394949949E-2</v>
      </c>
      <c r="P38" s="25">
        <f t="shared" si="19"/>
        <v>0</v>
      </c>
      <c r="Q38" s="25">
        <f t="shared" si="19"/>
        <v>0</v>
      </c>
      <c r="R38" s="25">
        <f t="shared" si="19"/>
        <v>0.13240684178375067</v>
      </c>
      <c r="S38" s="25">
        <f t="shared" si="19"/>
        <v>0.11741603466955572</v>
      </c>
      <c r="T38" s="25">
        <f t="shared" si="19"/>
        <v>-29.199052132701425</v>
      </c>
      <c r="U38" s="25">
        <f t="shared" si="19"/>
        <v>0</v>
      </c>
      <c r="V38" s="25">
        <f t="shared" si="19"/>
        <v>5.7962294424388251E-3</v>
      </c>
      <c r="W38" s="25">
        <f t="shared" si="19"/>
        <v>2.0319217857353203E-2</v>
      </c>
    </row>
  </sheetData>
  <mergeCells count="6">
    <mergeCell ref="W5:W6"/>
    <mergeCell ref="C5:C6"/>
    <mergeCell ref="D5:D6"/>
    <mergeCell ref="E5:E6"/>
    <mergeCell ref="F5:F6"/>
    <mergeCell ref="V5:V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7CE6-19D3-4D28-9EE3-837D76F4D096}">
  <dimension ref="A1:T62"/>
  <sheetViews>
    <sheetView tabSelected="1" topLeftCell="A9" zoomScale="150" workbookViewId="0">
      <selection activeCell="D63" sqref="D63"/>
    </sheetView>
  </sheetViews>
  <sheetFormatPr baseColWidth="10" defaultColWidth="8.83203125" defaultRowHeight="15" x14ac:dyDescent="0.2"/>
  <cols>
    <col min="1" max="1" width="21.6640625" customWidth="1"/>
    <col min="2" max="4" width="9.33203125" bestFit="1" customWidth="1"/>
    <col min="5" max="6" width="9.5" customWidth="1"/>
    <col min="14" max="14" width="25.1640625" bestFit="1" customWidth="1"/>
    <col min="15" max="15" width="12.83203125" bestFit="1" customWidth="1"/>
    <col min="20" max="20" width="12.83203125" bestFit="1" customWidth="1"/>
  </cols>
  <sheetData>
    <row r="1" spans="1:12" x14ac:dyDescent="0.2">
      <c r="A1" t="s">
        <v>86</v>
      </c>
    </row>
    <row r="3" spans="1:12" x14ac:dyDescent="0.2">
      <c r="B3" s="125" t="s">
        <v>87</v>
      </c>
      <c r="C3" s="125"/>
      <c r="D3" s="125"/>
      <c r="E3" s="126" t="s">
        <v>100</v>
      </c>
      <c r="F3" s="126" t="s">
        <v>101</v>
      </c>
      <c r="G3" s="125" t="s">
        <v>293</v>
      </c>
      <c r="H3" s="125"/>
      <c r="I3" s="125"/>
      <c r="J3" s="125"/>
      <c r="K3" s="125"/>
      <c r="L3" s="126" t="s">
        <v>294</v>
      </c>
    </row>
    <row r="4" spans="1:12" x14ac:dyDescent="0.2">
      <c r="B4" s="70">
        <v>44197</v>
      </c>
      <c r="C4" s="70">
        <v>44562</v>
      </c>
      <c r="D4" s="70">
        <v>44927</v>
      </c>
      <c r="E4" s="126"/>
      <c r="F4" s="126"/>
      <c r="G4" s="70">
        <v>45292</v>
      </c>
      <c r="H4" s="70">
        <v>45658</v>
      </c>
      <c r="I4" s="70">
        <v>46023</v>
      </c>
      <c r="J4" s="70">
        <v>46388</v>
      </c>
      <c r="K4" s="70">
        <v>46753</v>
      </c>
      <c r="L4" s="126"/>
    </row>
    <row r="5" spans="1:12" s="12" customFormat="1" x14ac:dyDescent="0.2">
      <c r="A5" s="12" t="s">
        <v>88</v>
      </c>
      <c r="L5" s="73"/>
    </row>
    <row r="6" spans="1:12" s="63" customFormat="1" x14ac:dyDescent="0.2">
      <c r="A6" s="63" t="s">
        <v>89</v>
      </c>
      <c r="B6" s="63">
        <f>Income!E7</f>
        <v>874.51400000000001</v>
      </c>
      <c r="C6" s="63">
        <f>Income!D7</f>
        <v>1279.701</v>
      </c>
      <c r="D6" s="63">
        <f>Income!C7</f>
        <v>1630.3989999999999</v>
      </c>
      <c r="E6" s="74">
        <f>((D6/B6)^(1/3))-1</f>
        <v>0.23076662618061206</v>
      </c>
      <c r="F6" s="63">
        <f>Income!B7</f>
        <v>1534.444</v>
      </c>
      <c r="G6" s="63">
        <f>D6*(1+G7)</f>
        <v>1768.9829149999998</v>
      </c>
      <c r="H6" s="63">
        <f>G6*(1+H7)</f>
        <v>1910.5015481999999</v>
      </c>
      <c r="I6" s="63">
        <f t="shared" ref="I6:K6" si="0">H6*(1+I7)</f>
        <v>2063.3416720559999</v>
      </c>
      <c r="J6" s="63">
        <f t="shared" si="0"/>
        <v>2166.5087556588001</v>
      </c>
      <c r="K6" s="63">
        <f t="shared" si="0"/>
        <v>2209.8389307719763</v>
      </c>
      <c r="L6" s="74">
        <f>((K6/G6)^(1/5))-1</f>
        <v>4.5508086828474292E-2</v>
      </c>
    </row>
    <row r="7" spans="1:12" s="66" customFormat="1" x14ac:dyDescent="0.2">
      <c r="A7" s="64" t="s">
        <v>90</v>
      </c>
      <c r="B7" s="65"/>
      <c r="C7" s="65">
        <f>(C6-B6)/C6</f>
        <v>0.31662630567609151</v>
      </c>
      <c r="D7" s="65">
        <f>(D6-C6)/D6</f>
        <v>0.21509949405022935</v>
      </c>
      <c r="E7" s="65"/>
      <c r="F7" s="65"/>
      <c r="G7" s="65">
        <v>8.5000000000000006E-2</v>
      </c>
      <c r="H7" s="72">
        <v>0.08</v>
      </c>
      <c r="I7" s="72">
        <v>0.08</v>
      </c>
      <c r="J7" s="72">
        <v>0.05</v>
      </c>
      <c r="K7" s="72">
        <v>0.02</v>
      </c>
    </row>
    <row r="8" spans="1:12" x14ac:dyDescent="0.2">
      <c r="A8" t="s">
        <v>91</v>
      </c>
      <c r="B8" s="62">
        <f>Income!E9</f>
        <v>662.26599999999996</v>
      </c>
      <c r="C8" s="62">
        <f>Income!D9</f>
        <v>882.82</v>
      </c>
      <c r="D8">
        <f>Income!C9</f>
        <v>1131.8009999999999</v>
      </c>
      <c r="F8" s="62">
        <f>Income!B9</f>
        <v>1108.01</v>
      </c>
      <c r="G8">
        <f>G9*G6</f>
        <v>1228.0040849999998</v>
      </c>
      <c r="H8">
        <f t="shared" ref="H8:K8" si="1">H9*H6</f>
        <v>1326.2444117999999</v>
      </c>
      <c r="I8">
        <f t="shared" si="1"/>
        <v>1432.3439647439998</v>
      </c>
      <c r="J8">
        <f t="shared" si="1"/>
        <v>1503.9611629812</v>
      </c>
      <c r="K8">
        <f t="shared" si="1"/>
        <v>1534.0403862408241</v>
      </c>
    </row>
    <row r="9" spans="1:12" s="66" customFormat="1" x14ac:dyDescent="0.2">
      <c r="A9" s="64" t="s">
        <v>92</v>
      </c>
      <c r="B9" s="67">
        <f>B8/B6</f>
        <v>0.75729605243598153</v>
      </c>
      <c r="C9" s="67">
        <f t="shared" ref="C9:F9" si="2">C8/C6</f>
        <v>0.68986427298251707</v>
      </c>
      <c r="D9" s="67">
        <f t="shared" si="2"/>
        <v>0.69418651508005091</v>
      </c>
      <c r="E9" s="67"/>
      <c r="F9" s="67">
        <f t="shared" si="2"/>
        <v>0.7220921714966464</v>
      </c>
      <c r="G9" s="67">
        <v>0.69418651508005091</v>
      </c>
      <c r="H9" s="67">
        <v>0.69418651508005091</v>
      </c>
      <c r="I9" s="67">
        <v>0.69418651508005091</v>
      </c>
      <c r="J9" s="67">
        <v>0.69418651508005091</v>
      </c>
      <c r="K9" s="67">
        <v>0.69418651508005091</v>
      </c>
      <c r="L9" s="68"/>
    </row>
    <row r="10" spans="1:12" s="1" customFormat="1" x14ac:dyDescent="0.2">
      <c r="A10" s="1" t="s">
        <v>93</v>
      </c>
      <c r="B10" s="63">
        <f>B6-B8</f>
        <v>212.24800000000005</v>
      </c>
      <c r="C10" s="63">
        <f t="shared" ref="C10:F10" si="3">C6-C8</f>
        <v>396.88099999999997</v>
      </c>
      <c r="D10" s="1">
        <f t="shared" si="3"/>
        <v>498.59799999999996</v>
      </c>
      <c r="E10" s="11">
        <f>((D10/B10)^(1/3))-1</f>
        <v>0.32933868048057291</v>
      </c>
      <c r="F10" s="63">
        <f t="shared" si="3"/>
        <v>426.43399999999997</v>
      </c>
      <c r="G10" s="63">
        <f>G6-G8</f>
        <v>540.97883000000002</v>
      </c>
      <c r="H10" s="63">
        <f t="shared" ref="H10:K10" si="4">H6-H8</f>
        <v>584.25713640000004</v>
      </c>
      <c r="I10" s="63">
        <f t="shared" si="4"/>
        <v>630.9977073120001</v>
      </c>
      <c r="J10" s="63">
        <f t="shared" si="4"/>
        <v>662.54759267760005</v>
      </c>
      <c r="K10" s="63">
        <f t="shared" si="4"/>
        <v>675.79854453115217</v>
      </c>
      <c r="L10" s="74">
        <f>((K10/G10)^(1/5))-1</f>
        <v>4.5508086828474292E-2</v>
      </c>
    </row>
    <row r="11" spans="1:12" s="66" customFormat="1" x14ac:dyDescent="0.2">
      <c r="A11" s="64" t="s">
        <v>94</v>
      </c>
      <c r="B11" s="65">
        <f>B10/B6</f>
        <v>0.24270394756401847</v>
      </c>
      <c r="C11" s="65">
        <f t="shared" ref="C11:D11" si="5">C10/C6</f>
        <v>0.31013572701748299</v>
      </c>
      <c r="D11" s="65">
        <f t="shared" si="5"/>
        <v>0.30581348491994903</v>
      </c>
      <c r="E11" s="65"/>
      <c r="F11" s="65">
        <f>F10/F6</f>
        <v>0.27790782850335366</v>
      </c>
      <c r="G11" s="65">
        <f t="shared" ref="G11" si="6">G10/G6</f>
        <v>0.30581348491994909</v>
      </c>
      <c r="H11" s="65">
        <f t="shared" ref="H11" si="7">H10/H6</f>
        <v>0.30581348491994909</v>
      </c>
      <c r="I11" s="65">
        <f t="shared" ref="I11" si="8">I10/I6</f>
        <v>0.30581348491994909</v>
      </c>
      <c r="J11" s="65">
        <f t="shared" ref="J11" si="9">J10/J6</f>
        <v>0.30581348491994909</v>
      </c>
      <c r="K11" s="65">
        <f t="shared" ref="K11" si="10">K10/K6</f>
        <v>0.30581348491994909</v>
      </c>
    </row>
    <row r="12" spans="1:12" x14ac:dyDescent="0.2">
      <c r="A12" t="s">
        <v>95</v>
      </c>
      <c r="B12" s="62">
        <f>Income!E15</f>
        <v>82.921000000000006</v>
      </c>
      <c r="C12" s="62">
        <f>Income!D15</f>
        <v>111.76</v>
      </c>
      <c r="D12">
        <f>Income!C15</f>
        <v>114.354</v>
      </c>
      <c r="F12" s="62">
        <f>Income!B15</f>
        <v>115.723</v>
      </c>
      <c r="G12" s="62">
        <f>G13*G6</f>
        <v>124.07409</v>
      </c>
      <c r="H12" s="62">
        <f t="shared" ref="H12:K12" si="11">H13*H6</f>
        <v>134.0000172</v>
      </c>
      <c r="I12" s="62">
        <f t="shared" si="11"/>
        <v>144.720018576</v>
      </c>
      <c r="J12" s="62">
        <f t="shared" si="11"/>
        <v>151.9560195048</v>
      </c>
      <c r="K12" s="62">
        <f t="shared" si="11"/>
        <v>154.99513989489603</v>
      </c>
    </row>
    <row r="13" spans="1:12" s="66" customFormat="1" x14ac:dyDescent="0.2">
      <c r="A13" s="64" t="s">
        <v>92</v>
      </c>
      <c r="B13" s="67">
        <f>B12/B6</f>
        <v>9.4819522614846649E-2</v>
      </c>
      <c r="C13" s="67">
        <f t="shared" ref="C13:F13" si="12">C12/C6</f>
        <v>8.7332900419707413E-2</v>
      </c>
      <c r="D13" s="67">
        <f t="shared" si="12"/>
        <v>7.0138659309776322E-2</v>
      </c>
      <c r="E13" s="67"/>
      <c r="F13" s="67">
        <f t="shared" si="12"/>
        <v>7.5416893676145888E-2</v>
      </c>
      <c r="G13" s="67">
        <v>7.0138659309776322E-2</v>
      </c>
      <c r="H13" s="67">
        <v>7.0138659309776322E-2</v>
      </c>
      <c r="I13" s="67">
        <v>7.0138659309776322E-2</v>
      </c>
      <c r="J13" s="67">
        <v>7.0138659309776322E-2</v>
      </c>
      <c r="K13" s="67">
        <v>7.0138659309776322E-2</v>
      </c>
      <c r="L13" s="68"/>
    </row>
    <row r="14" spans="1:12" s="1" customFormat="1" x14ac:dyDescent="0.2">
      <c r="A14" s="1" t="s">
        <v>96</v>
      </c>
      <c r="B14" s="63">
        <f>B10-B12</f>
        <v>129.32700000000006</v>
      </c>
      <c r="C14" s="63">
        <f t="shared" ref="C14:D14" si="13">C10-C12</f>
        <v>285.12099999999998</v>
      </c>
      <c r="D14" s="1">
        <f t="shared" si="13"/>
        <v>384.24399999999997</v>
      </c>
      <c r="E14" s="11">
        <f>((D14/B14)^(1/3))-1</f>
        <v>0.43760408150414243</v>
      </c>
      <c r="F14" s="63">
        <f>F10-F12</f>
        <v>310.71099999999996</v>
      </c>
      <c r="G14" s="63">
        <f>G10-G12</f>
        <v>416.90474</v>
      </c>
      <c r="H14" s="63">
        <f t="shared" ref="H14:K14" si="14">H10-H12</f>
        <v>450.25711920000003</v>
      </c>
      <c r="I14" s="63">
        <f t="shared" si="14"/>
        <v>486.27768873600007</v>
      </c>
      <c r="J14" s="63">
        <f t="shared" si="14"/>
        <v>510.59157317280005</v>
      </c>
      <c r="K14" s="63">
        <f t="shared" si="14"/>
        <v>520.80340463625612</v>
      </c>
      <c r="L14" s="74">
        <f>((K14/G14)^(1/5))-1</f>
        <v>4.5508086828474292E-2</v>
      </c>
    </row>
    <row r="15" spans="1:12" s="66" customFormat="1" x14ac:dyDescent="0.2">
      <c r="A15" s="64" t="s">
        <v>94</v>
      </c>
      <c r="B15" s="65">
        <f>B14/B6</f>
        <v>0.14788442494917184</v>
      </c>
      <c r="C15" s="65">
        <f t="shared" ref="C15:D15" si="15">C14/C6</f>
        <v>0.22280282659777556</v>
      </c>
      <c r="D15" s="65">
        <f t="shared" si="15"/>
        <v>0.23567482561017272</v>
      </c>
      <c r="E15" s="65"/>
      <c r="F15" s="65">
        <f>F14/F6</f>
        <v>0.20249093482720776</v>
      </c>
      <c r="G15" s="65">
        <f t="shared" ref="G15:K15" si="16">G14/G6</f>
        <v>0.23567482561017275</v>
      </c>
      <c r="H15" s="65">
        <f t="shared" si="16"/>
        <v>0.23567482561017275</v>
      </c>
      <c r="I15" s="65">
        <f t="shared" si="16"/>
        <v>0.23567482561017278</v>
      </c>
      <c r="J15" s="65">
        <f t="shared" si="16"/>
        <v>0.23567482561017275</v>
      </c>
      <c r="K15" s="65">
        <f t="shared" si="16"/>
        <v>0.23567482561017275</v>
      </c>
    </row>
    <row r="16" spans="1:12" x14ac:dyDescent="0.2">
      <c r="A16" t="s">
        <v>97</v>
      </c>
      <c r="B16" s="62">
        <f>Income!E10</f>
        <v>133.37700000000001</v>
      </c>
      <c r="C16" s="62">
        <f>Income!D10</f>
        <v>128.108</v>
      </c>
      <c r="D16">
        <f>Income!C10</f>
        <v>180.886</v>
      </c>
      <c r="F16" s="62">
        <f>Income!B10</f>
        <v>225.649</v>
      </c>
      <c r="G16" s="62">
        <f>G17*G6</f>
        <v>196.26130999999998</v>
      </c>
      <c r="H16" s="62">
        <f t="shared" ref="H16:K16" si="17">H17*H6</f>
        <v>211.9622148</v>
      </c>
      <c r="I16" s="62">
        <f t="shared" si="17"/>
        <v>228.91919198399998</v>
      </c>
      <c r="J16" s="62">
        <f t="shared" si="17"/>
        <v>240.3651515832</v>
      </c>
      <c r="K16" s="62">
        <f t="shared" si="17"/>
        <v>245.17245461486402</v>
      </c>
    </row>
    <row r="17" spans="1:15" s="66" customFormat="1" x14ac:dyDescent="0.2">
      <c r="A17" s="64" t="s">
        <v>92</v>
      </c>
      <c r="B17" s="67">
        <f>B16/B6</f>
        <v>0.15251556864727153</v>
      </c>
      <c r="C17" s="67">
        <f t="shared" ref="C17:D17" si="18">C16/C6</f>
        <v>0.10010775954695668</v>
      </c>
      <c r="D17" s="67">
        <f t="shared" si="18"/>
        <v>0.11094584822488238</v>
      </c>
      <c r="E17" s="67"/>
      <c r="F17" s="67">
        <f>F16/F6</f>
        <v>0.14705587170336618</v>
      </c>
      <c r="G17" s="67">
        <v>0.11094584822488238</v>
      </c>
      <c r="H17" s="67">
        <v>0.11094584822488238</v>
      </c>
      <c r="I17" s="67">
        <v>0.11094584822488238</v>
      </c>
      <c r="J17" s="67">
        <v>0.11094584822488238</v>
      </c>
      <c r="K17" s="67">
        <v>0.11094584822488238</v>
      </c>
      <c r="L17" s="68"/>
    </row>
    <row r="18" spans="1:15" s="1" customFormat="1" x14ac:dyDescent="0.2">
      <c r="A18" s="1" t="s">
        <v>98</v>
      </c>
      <c r="B18" s="63">
        <f>Income!E17</f>
        <v>-4.05</v>
      </c>
      <c r="C18" s="63">
        <f>Income!D17</f>
        <v>157.01300000000001</v>
      </c>
      <c r="D18" s="1">
        <f>Income!C17</f>
        <v>203.358</v>
      </c>
      <c r="E18" s="11">
        <f>((D18/B18)^(1/3))-1</f>
        <v>-4.6892272932456152</v>
      </c>
      <c r="F18" s="63">
        <f>Income!B17</f>
        <v>85.061999999999998</v>
      </c>
      <c r="G18" s="63">
        <f>G14-G16</f>
        <v>220.64343000000002</v>
      </c>
      <c r="H18" s="63">
        <f t="shared" ref="H18:K18" si="19">H14-H16</f>
        <v>238.29490440000004</v>
      </c>
      <c r="I18" s="63">
        <f t="shared" si="19"/>
        <v>257.35849675200006</v>
      </c>
      <c r="J18" s="63">
        <f t="shared" si="19"/>
        <v>270.22642158960002</v>
      </c>
      <c r="K18" s="63">
        <f t="shared" si="19"/>
        <v>275.6309500213921</v>
      </c>
      <c r="L18" s="74">
        <f>((K18/G18)^(1/5))-1</f>
        <v>4.5508086828474292E-2</v>
      </c>
    </row>
    <row r="19" spans="1:15" s="66" customFormat="1" x14ac:dyDescent="0.2">
      <c r="A19" s="64" t="s">
        <v>94</v>
      </c>
      <c r="B19" s="65">
        <f>B18/B6</f>
        <v>-4.6311436980997446E-3</v>
      </c>
      <c r="C19" s="65">
        <f t="shared" ref="C19:D19" si="20">C18/C6</f>
        <v>0.12269506705081891</v>
      </c>
      <c r="D19" s="65">
        <f t="shared" si="20"/>
        <v>0.12472897738529036</v>
      </c>
      <c r="E19" s="65"/>
      <c r="F19" s="65">
        <f>F18/F6</f>
        <v>5.5435063123841596E-2</v>
      </c>
      <c r="G19" s="65">
        <f t="shared" ref="G19:K19" si="21">G18/G6</f>
        <v>0.12472897738529037</v>
      </c>
      <c r="H19" s="65">
        <f t="shared" si="21"/>
        <v>0.12472897738529037</v>
      </c>
      <c r="I19" s="65">
        <f t="shared" si="21"/>
        <v>0.12472897738529039</v>
      </c>
      <c r="J19" s="65">
        <f t="shared" si="21"/>
        <v>0.12472897738529036</v>
      </c>
      <c r="K19" s="65">
        <f t="shared" si="21"/>
        <v>0.12472897738529037</v>
      </c>
    </row>
    <row r="20" spans="1:15" x14ac:dyDescent="0.2">
      <c r="A20" t="s">
        <v>299</v>
      </c>
      <c r="B20">
        <v>-14.4</v>
      </c>
      <c r="C20">
        <v>5.4</v>
      </c>
      <c r="D20">
        <v>29.9</v>
      </c>
      <c r="F20">
        <v>22.7</v>
      </c>
      <c r="G20" s="7">
        <f>G18*0.25</f>
        <v>55.160857500000006</v>
      </c>
      <c r="H20" s="7">
        <f t="shared" ref="H20:K20" si="22">H18*0.25</f>
        <v>59.573726100000009</v>
      </c>
      <c r="I20" s="7">
        <f t="shared" si="22"/>
        <v>64.339624188000016</v>
      </c>
      <c r="J20" s="7">
        <f t="shared" si="22"/>
        <v>67.556605397400006</v>
      </c>
      <c r="K20" s="7">
        <f t="shared" si="22"/>
        <v>68.907737505348024</v>
      </c>
      <c r="L20" s="7"/>
    </row>
    <row r="21" spans="1:15" s="63" customFormat="1" x14ac:dyDescent="0.2">
      <c r="A21" s="63" t="s">
        <v>298</v>
      </c>
      <c r="B21" s="63">
        <f t="shared" ref="B21" si="23">B18-B20</f>
        <v>10.350000000000001</v>
      </c>
      <c r="C21" s="63">
        <f t="shared" ref="C21" si="24">C18-C20</f>
        <v>151.613</v>
      </c>
      <c r="D21" s="63">
        <f t="shared" ref="D21" si="25">D18-D20</f>
        <v>173.458</v>
      </c>
      <c r="G21" s="63">
        <f t="shared" ref="G21:K21" si="26">G18-G20</f>
        <v>165.4825725</v>
      </c>
      <c r="H21" s="63">
        <f t="shared" si="26"/>
        <v>178.72117830000002</v>
      </c>
      <c r="I21" s="63">
        <f t="shared" si="26"/>
        <v>193.01887256400005</v>
      </c>
      <c r="J21" s="63">
        <f t="shared" si="26"/>
        <v>202.66981619220002</v>
      </c>
      <c r="K21" s="63">
        <f t="shared" si="26"/>
        <v>206.72321251604407</v>
      </c>
      <c r="L21" s="74">
        <f>((K21/G21)^(1/5))-1</f>
        <v>4.5508086828474292E-2</v>
      </c>
    </row>
    <row r="22" spans="1:15" s="66" customFormat="1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5" x14ac:dyDescent="0.2">
      <c r="A23" t="s">
        <v>304</v>
      </c>
      <c r="B23" s="62">
        <f t="shared" ref="B23:D23" si="27">B16</f>
        <v>133.37700000000001</v>
      </c>
      <c r="C23" s="62">
        <f t="shared" si="27"/>
        <v>128.108</v>
      </c>
      <c r="D23" s="62">
        <f t="shared" si="27"/>
        <v>180.886</v>
      </c>
      <c r="F23" s="62"/>
      <c r="G23" s="62">
        <f>G16</f>
        <v>196.26130999999998</v>
      </c>
      <c r="H23" s="62">
        <f t="shared" ref="H23:K23" si="28">H16</f>
        <v>211.9622148</v>
      </c>
      <c r="I23" s="62">
        <f t="shared" si="28"/>
        <v>228.91919198399998</v>
      </c>
      <c r="J23" s="62">
        <f t="shared" si="28"/>
        <v>240.3651515832</v>
      </c>
      <c r="K23" s="62">
        <f t="shared" si="28"/>
        <v>245.17245461486402</v>
      </c>
    </row>
    <row r="24" spans="1:15" x14ac:dyDescent="0.2">
      <c r="A24" t="s">
        <v>305</v>
      </c>
      <c r="B24" s="62">
        <f t="shared" ref="B24:D24" si="29">B33</f>
        <v>143.523</v>
      </c>
      <c r="C24" s="62">
        <f t="shared" si="29"/>
        <v>100.60299999999999</v>
      </c>
      <c r="D24" s="62">
        <f t="shared" si="29"/>
        <v>502.89400000000001</v>
      </c>
      <c r="F24" s="62"/>
      <c r="G24" s="62">
        <f>G33</f>
        <v>318.41692469999998</v>
      </c>
      <c r="H24" s="62">
        <f t="shared" ref="H24:K24" si="30">H33</f>
        <v>343.89027867599998</v>
      </c>
      <c r="I24" s="62">
        <f t="shared" si="30"/>
        <v>371.40150097007995</v>
      </c>
      <c r="J24" s="62">
        <f t="shared" si="30"/>
        <v>389.97157601858402</v>
      </c>
      <c r="K24" s="62">
        <f t="shared" si="30"/>
        <v>397.7710075389557</v>
      </c>
    </row>
    <row r="25" spans="1:15" x14ac:dyDescent="0.2">
      <c r="A25" t="s">
        <v>306</v>
      </c>
      <c r="B25" s="76">
        <f t="shared" ref="B25:D25" si="31">B62</f>
        <v>-34.269999999999982</v>
      </c>
      <c r="C25" s="76">
        <f t="shared" si="31"/>
        <v>-53.686000000000007</v>
      </c>
      <c r="D25" s="76">
        <f t="shared" si="31"/>
        <v>32.652999999999992</v>
      </c>
      <c r="E25" s="7"/>
      <c r="F25" s="76"/>
      <c r="G25" s="76">
        <f>G62</f>
        <v>35.428504999999973</v>
      </c>
      <c r="H25" s="76">
        <f t="shared" ref="H25:K25" si="32">H62</f>
        <v>38.262785399999927</v>
      </c>
      <c r="I25" s="76">
        <f t="shared" si="32"/>
        <v>41.323808232000033</v>
      </c>
      <c r="J25" s="76">
        <f t="shared" si="32"/>
        <v>43.389998643599995</v>
      </c>
      <c r="K25" s="76">
        <f t="shared" si="32"/>
        <v>44.257798616471973</v>
      </c>
      <c r="L25" s="7"/>
    </row>
    <row r="26" spans="1:15" x14ac:dyDescent="0.2">
      <c r="A26" s="63" t="s">
        <v>308</v>
      </c>
      <c r="B26" s="63">
        <f t="shared" ref="B26:D26" si="33">B21+B23-B24-B25</f>
        <v>34.47399999999999</v>
      </c>
      <c r="C26" s="63">
        <f t="shared" si="33"/>
        <v>232.804</v>
      </c>
      <c r="D26" s="63">
        <f t="shared" si="33"/>
        <v>-181.203</v>
      </c>
      <c r="F26" s="62"/>
      <c r="G26" s="63">
        <f>G21+G23-G24-G25</f>
        <v>7.8984528000000296</v>
      </c>
      <c r="H26" s="63">
        <f t="shared" ref="H26:K26" si="34">H21+H23-H24-H25</f>
        <v>8.530329024000082</v>
      </c>
      <c r="I26" s="63">
        <f t="shared" si="34"/>
        <v>9.2127553459200726</v>
      </c>
      <c r="J26" s="63">
        <f t="shared" si="34"/>
        <v>9.6733931132159796</v>
      </c>
      <c r="K26" s="63">
        <f t="shared" si="34"/>
        <v>9.8668609754804493</v>
      </c>
    </row>
    <row r="27" spans="1:15" x14ac:dyDescent="0.2">
      <c r="A27" s="63"/>
      <c r="B27" s="63"/>
      <c r="C27" s="63"/>
      <c r="D27" s="63"/>
      <c r="F27" s="62"/>
      <c r="G27" s="63"/>
      <c r="H27" s="63"/>
      <c r="I27" s="63"/>
      <c r="J27" s="63"/>
      <c r="K27" s="63"/>
    </row>
    <row r="28" spans="1:15" s="66" customFormat="1" x14ac:dyDescent="0.2">
      <c r="A28" s="64" t="s">
        <v>327</v>
      </c>
      <c r="B28" s="65">
        <f>O53</f>
        <v>6.0225000000000001E-2</v>
      </c>
      <c r="C28" s="65"/>
      <c r="D28" s="65"/>
      <c r="E28" s="65"/>
      <c r="F28" s="65"/>
      <c r="G28" s="65"/>
      <c r="H28" s="65"/>
      <c r="I28" s="65"/>
      <c r="J28" s="65"/>
      <c r="K28" s="65"/>
    </row>
    <row r="29" spans="1:15" s="66" customFormat="1" x14ac:dyDescent="0.2">
      <c r="A29" s="64" t="s">
        <v>334</v>
      </c>
      <c r="B29" s="65"/>
      <c r="C29" s="65"/>
      <c r="D29" s="65"/>
      <c r="E29" s="65"/>
      <c r="F29" s="65"/>
      <c r="G29" s="83">
        <v>0.5</v>
      </c>
      <c r="H29" s="83">
        <v>1.5</v>
      </c>
      <c r="I29" s="83">
        <v>2.5</v>
      </c>
      <c r="J29" s="83">
        <v>3.5</v>
      </c>
      <c r="K29" s="83">
        <v>4.5</v>
      </c>
    </row>
    <row r="30" spans="1:15" s="66" customFormat="1" x14ac:dyDescent="0.2">
      <c r="A30" s="64" t="s">
        <v>335</v>
      </c>
      <c r="B30" s="65"/>
      <c r="C30" s="65"/>
      <c r="D30" s="65"/>
      <c r="E30" s="65"/>
      <c r="F30" s="65"/>
      <c r="G30" s="84">
        <f>1/((1+$B$28)^(G29-0.05))</f>
        <v>0.9740267444124876</v>
      </c>
      <c r="H30" s="84">
        <f t="shared" ref="H30:K30" si="35">1/((1+$B$28)^(H29-0.05))</f>
        <v>0.91869814842367192</v>
      </c>
      <c r="I30" s="84">
        <f t="shared" si="35"/>
        <v>0.86651243691072355</v>
      </c>
      <c r="J30" s="84">
        <f t="shared" si="35"/>
        <v>0.81729108152583041</v>
      </c>
      <c r="K30" s="84">
        <f t="shared" si="35"/>
        <v>0.77086569504193025</v>
      </c>
      <c r="N30" s="66" t="s">
        <v>6</v>
      </c>
      <c r="O30" s="85">
        <f>SUM(G31:L31)</f>
        <v>1205.3105445354131</v>
      </c>
    </row>
    <row r="31" spans="1:15" s="66" customFormat="1" x14ac:dyDescent="0.2">
      <c r="A31" s="64" t="s">
        <v>336</v>
      </c>
      <c r="B31" s="65"/>
      <c r="C31" s="65"/>
      <c r="D31" s="65"/>
      <c r="E31" s="65"/>
      <c r="F31" s="65"/>
      <c r="G31" s="84">
        <f>G26*G30</f>
        <v>7.6933042666797258</v>
      </c>
      <c r="H31" s="84">
        <f t="shared" ref="H31:K31" si="36">H26*H30</f>
        <v>7.8367974797935833</v>
      </c>
      <c r="I31" s="84">
        <f t="shared" si="36"/>
        <v>7.9829670854554982</v>
      </c>
      <c r="J31" s="84">
        <f t="shared" si="36"/>
        <v>7.9059779195248074</v>
      </c>
      <c r="K31" s="84">
        <f t="shared" si="36"/>
        <v>7.6060246437458341</v>
      </c>
      <c r="L31">
        <f>R47</f>
        <v>1166.2854731402138</v>
      </c>
      <c r="N31" s="66" t="s">
        <v>339</v>
      </c>
      <c r="O31" s="66">
        <f>'Comp Plugs'!J2</f>
        <v>148.6</v>
      </c>
    </row>
    <row r="32" spans="1:15" s="66" customFormat="1" x14ac:dyDescent="0.2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N32" s="66" t="s">
        <v>338</v>
      </c>
      <c r="O32" s="66">
        <f>'Comp Plugs'!K2</f>
        <v>41.1</v>
      </c>
    </row>
    <row r="33" spans="1:20" x14ac:dyDescent="0.2">
      <c r="A33" t="s">
        <v>99</v>
      </c>
      <c r="B33" s="62">
        <f>-CF!E28</f>
        <v>143.523</v>
      </c>
      <c r="C33" s="62">
        <f>-CF!F28</f>
        <v>100.60299999999999</v>
      </c>
      <c r="D33" s="62">
        <f>-CF!G28</f>
        <v>502.89400000000001</v>
      </c>
      <c r="F33" s="62">
        <f>CF!B28</f>
        <v>-218.899</v>
      </c>
      <c r="G33" s="62">
        <f>G34*G6</f>
        <v>318.41692469999998</v>
      </c>
      <c r="H33" s="62">
        <f>H34*H6</f>
        <v>343.89027867599998</v>
      </c>
      <c r="I33" s="62">
        <f>I34*I6</f>
        <v>371.40150097007995</v>
      </c>
      <c r="J33" s="62">
        <f>J34*J6</f>
        <v>389.97157601858402</v>
      </c>
      <c r="K33" s="62">
        <f>K34*K6</f>
        <v>397.7710075389557</v>
      </c>
      <c r="N33" s="66" t="s">
        <v>78</v>
      </c>
      <c r="O33" s="86">
        <f>O30-O31+O32</f>
        <v>1097.8105445354131</v>
      </c>
    </row>
    <row r="34" spans="1:20" s="66" customFormat="1" x14ac:dyDescent="0.2">
      <c r="A34" s="64" t="s">
        <v>92</v>
      </c>
      <c r="B34" s="65">
        <f>B33/B6</f>
        <v>0.16411744123021471</v>
      </c>
      <c r="C34" s="65">
        <f>C33/C6</f>
        <v>7.8614457595954049E-2</v>
      </c>
      <c r="D34" s="65">
        <f>D33/D6</f>
        <v>0.30844842274805129</v>
      </c>
      <c r="E34" s="65">
        <f>AVERAGE(B34:D34)</f>
        <v>0.18372677385807334</v>
      </c>
      <c r="F34" s="65">
        <f>-F33/F6</f>
        <v>0.14265688418736688</v>
      </c>
      <c r="G34" s="65">
        <v>0.18</v>
      </c>
      <c r="H34" s="65">
        <v>0.18</v>
      </c>
      <c r="I34" s="65">
        <v>0.18</v>
      </c>
      <c r="J34" s="65">
        <v>0.18</v>
      </c>
      <c r="K34" s="65">
        <v>0.18</v>
      </c>
      <c r="N34" s="87" t="s">
        <v>340</v>
      </c>
      <c r="O34" s="87">
        <f>O33/104.2</f>
        <v>10.5356098323936</v>
      </c>
    </row>
    <row r="36" spans="1:20" s="12" customFormat="1" x14ac:dyDescent="0.2">
      <c r="A36" s="12" t="s">
        <v>209</v>
      </c>
      <c r="L36" s="73"/>
      <c r="N36" s="12" t="s">
        <v>314</v>
      </c>
      <c r="R36" s="12" t="s">
        <v>328</v>
      </c>
    </row>
    <row r="37" spans="1:20" x14ac:dyDescent="0.2">
      <c r="A37" s="1" t="s">
        <v>210</v>
      </c>
      <c r="B37" s="39"/>
      <c r="C37" s="39"/>
      <c r="D37" s="39"/>
      <c r="N37" t="s">
        <v>315</v>
      </c>
      <c r="R37" t="s">
        <v>329</v>
      </c>
      <c r="T37" s="62">
        <f>K14</f>
        <v>520.80340463625612</v>
      </c>
    </row>
    <row r="38" spans="1:20" x14ac:dyDescent="0.2">
      <c r="A38" t="s">
        <v>211</v>
      </c>
      <c r="B38">
        <f>BS!B15</f>
        <v>128.148</v>
      </c>
      <c r="C38">
        <f>BS!C15</f>
        <v>215.92500000000001</v>
      </c>
      <c r="D38">
        <f>BS!D15</f>
        <v>237.012</v>
      </c>
      <c r="G38">
        <f>G39/365*G6</f>
        <v>257.15801999999996</v>
      </c>
      <c r="H38">
        <f>H39/365*H6</f>
        <v>277.73066159999996</v>
      </c>
      <c r="I38">
        <f>I39/365*I6</f>
        <v>299.949114528</v>
      </c>
      <c r="J38">
        <f>J39/365*J6</f>
        <v>314.9465702544</v>
      </c>
      <c r="K38">
        <f>K39/365*K6</f>
        <v>321.24550165948801</v>
      </c>
      <c r="N38" t="s">
        <v>316</v>
      </c>
      <c r="O38" s="77">
        <v>0.3</v>
      </c>
      <c r="R38" t="s">
        <v>330</v>
      </c>
      <c r="T38">
        <f>3</f>
        <v>3</v>
      </c>
    </row>
    <row r="39" spans="1:20" s="66" customFormat="1" x14ac:dyDescent="0.2">
      <c r="A39" s="64" t="s">
        <v>300</v>
      </c>
      <c r="B39" s="75">
        <f>B38/B6*365</f>
        <v>53.485730359948491</v>
      </c>
      <c r="C39" s="75">
        <f>C38/C6*365</f>
        <v>61.586749561030274</v>
      </c>
      <c r="D39" s="75">
        <f>D38/D6*365</f>
        <v>53.060250895639655</v>
      </c>
      <c r="G39" s="75">
        <v>53.060250895639655</v>
      </c>
      <c r="H39" s="75">
        <v>53.060250895639655</v>
      </c>
      <c r="I39" s="75">
        <v>53.060250895639655</v>
      </c>
      <c r="J39" s="75">
        <v>53.060250895639655</v>
      </c>
      <c r="K39" s="75">
        <v>53.060250895639655</v>
      </c>
      <c r="N39" s="66" t="s">
        <v>317</v>
      </c>
      <c r="O39" s="72">
        <v>0.7</v>
      </c>
      <c r="R39" s="66" t="s">
        <v>331</v>
      </c>
      <c r="T39" s="66">
        <f>T37*T38</f>
        <v>1562.4102139087684</v>
      </c>
    </row>
    <row r="40" spans="1:20" x14ac:dyDescent="0.2">
      <c r="A40" t="s">
        <v>212</v>
      </c>
      <c r="B40">
        <f>BS!B18</f>
        <v>3.9489999999999998</v>
      </c>
      <c r="C40">
        <f>BS!C18</f>
        <v>5.0339999999999998</v>
      </c>
      <c r="D40">
        <f>BS!D18</f>
        <v>17.704999999999998</v>
      </c>
      <c r="G40">
        <f>G41/365*G8</f>
        <v>19.209924999999995</v>
      </c>
      <c r="H40">
        <f>H41/365*H8</f>
        <v>20.746718999999999</v>
      </c>
      <c r="I40">
        <f>I41/365*I8</f>
        <v>22.406456519999995</v>
      </c>
      <c r="J40">
        <f>J41/365*J8</f>
        <v>23.526779345999998</v>
      </c>
      <c r="K40">
        <f>K41/365*K8</f>
        <v>23.997314932920002</v>
      </c>
    </row>
    <row r="41" spans="1:20" s="66" customFormat="1" x14ac:dyDescent="0.2">
      <c r="A41" s="64" t="s">
        <v>301</v>
      </c>
      <c r="B41" s="75">
        <f>B40/B8*365</f>
        <v>2.1764442082184501</v>
      </c>
      <c r="C41" s="75">
        <f>C40/C8*365</f>
        <v>2.0812963004916063</v>
      </c>
      <c r="D41" s="75">
        <f>D40/D8*365</f>
        <v>5.709771417413485</v>
      </c>
      <c r="G41" s="75">
        <v>5.709771417413485</v>
      </c>
      <c r="H41" s="75">
        <v>5.709771417413485</v>
      </c>
      <c r="I41" s="75">
        <v>5.709771417413485</v>
      </c>
      <c r="J41" s="75">
        <v>5.709771417413485</v>
      </c>
      <c r="K41" s="75">
        <v>5.709771417413485</v>
      </c>
      <c r="N41" s="66" t="s">
        <v>318</v>
      </c>
      <c r="R41" s="66" t="s">
        <v>332</v>
      </c>
      <c r="T41" s="82">
        <f>K26</f>
        <v>9.8668609754804493</v>
      </c>
    </row>
    <row r="42" spans="1:20" x14ac:dyDescent="0.2">
      <c r="A42" t="s">
        <v>213</v>
      </c>
      <c r="B42">
        <f>BS!B20</f>
        <v>7.0490000000000004</v>
      </c>
      <c r="C42">
        <f>BS!C20</f>
        <v>8.6809999999999992</v>
      </c>
      <c r="D42">
        <f>BS!D20</f>
        <v>14.993</v>
      </c>
      <c r="G42">
        <f>G43*G6</f>
        <v>16.267404999999997</v>
      </c>
      <c r="H42">
        <f>H43*H6</f>
        <v>17.568797399999998</v>
      </c>
      <c r="I42">
        <f>I43*I6</f>
        <v>18.974301191999999</v>
      </c>
      <c r="J42">
        <f>J43*J6</f>
        <v>19.9230162516</v>
      </c>
      <c r="K42">
        <f>K43*K6</f>
        <v>20.321476576632001</v>
      </c>
      <c r="N42" t="s">
        <v>319</v>
      </c>
      <c r="O42" s="78">
        <v>5.2999999999999999E-2</v>
      </c>
      <c r="R42" t="s">
        <v>327</v>
      </c>
      <c r="T42" s="79">
        <f>O53</f>
        <v>6.0225000000000001E-2</v>
      </c>
    </row>
    <row r="43" spans="1:20" x14ac:dyDescent="0.2">
      <c r="A43" s="64" t="s">
        <v>302</v>
      </c>
      <c r="B43" s="65">
        <f>B42/B6</f>
        <v>8.0604770192358281E-3</v>
      </c>
      <c r="C43" s="65">
        <f>C42/C6</f>
        <v>6.7836158602673589E-3</v>
      </c>
      <c r="D43" s="65">
        <f>D42/D6</f>
        <v>9.1959084862049106E-3</v>
      </c>
      <c r="G43" s="65">
        <v>9.1959084862049106E-3</v>
      </c>
      <c r="H43" s="65">
        <v>9.1959084862049106E-3</v>
      </c>
      <c r="I43" s="65">
        <v>9.1959084862049106E-3</v>
      </c>
      <c r="J43" s="65">
        <v>9.1959084862049106E-3</v>
      </c>
      <c r="K43" s="65">
        <v>9.1959084862049106E-3</v>
      </c>
      <c r="N43" s="66" t="s">
        <v>320</v>
      </c>
      <c r="O43" s="77">
        <v>0.25</v>
      </c>
      <c r="R43" s="66" t="s">
        <v>333</v>
      </c>
      <c r="T43" s="77">
        <v>0.03</v>
      </c>
    </row>
    <row r="44" spans="1:20" x14ac:dyDescent="0.2">
      <c r="N44" t="s">
        <v>321</v>
      </c>
      <c r="O44" s="81">
        <f>O42*(1-O43)</f>
        <v>3.9750000000000001E-2</v>
      </c>
      <c r="R44" t="s">
        <v>331</v>
      </c>
      <c r="T44">
        <f>T41*(1+T43)/(T42-T43)</f>
        <v>336.24042364747271</v>
      </c>
    </row>
    <row r="45" spans="1:20" x14ac:dyDescent="0.2">
      <c r="A45" s="1" t="s">
        <v>295</v>
      </c>
      <c r="B45" s="39">
        <v>1061.2360000000001</v>
      </c>
      <c r="C45" s="39">
        <v>1335.7860000000001</v>
      </c>
      <c r="D45" s="39">
        <v>1480.3119999999999</v>
      </c>
    </row>
    <row r="46" spans="1:20" x14ac:dyDescent="0.2">
      <c r="A46" s="64" t="s">
        <v>296</v>
      </c>
      <c r="B46" s="71">
        <f>B6/B45</f>
        <v>0.82405233143240519</v>
      </c>
      <c r="C46" s="71">
        <f>C6/C45</f>
        <v>0.95801348419582177</v>
      </c>
      <c r="D46" s="71">
        <f>D6/D45</f>
        <v>1.1013887612881608</v>
      </c>
      <c r="N46" t="s">
        <v>322</v>
      </c>
      <c r="R46" s="1" t="s">
        <v>337</v>
      </c>
    </row>
    <row r="47" spans="1:20" x14ac:dyDescent="0.2">
      <c r="N47" t="s">
        <v>323</v>
      </c>
      <c r="O47" s="78">
        <v>2.5000000000000001E-2</v>
      </c>
      <c r="R47">
        <f>T39*(1/((1+O53)^5))</f>
        <v>1166.2854731402138</v>
      </c>
    </row>
    <row r="48" spans="1:20" x14ac:dyDescent="0.2">
      <c r="A48" s="1" t="s">
        <v>214</v>
      </c>
      <c r="N48" t="s">
        <v>324</v>
      </c>
      <c r="O48" s="78">
        <v>5.5E-2</v>
      </c>
    </row>
    <row r="49" spans="1:15" x14ac:dyDescent="0.2">
      <c r="A49" t="s">
        <v>215</v>
      </c>
      <c r="B49" s="69">
        <f>BS!B43</f>
        <v>152.649</v>
      </c>
      <c r="C49" s="69">
        <f>BS!C43</f>
        <v>234.29900000000001</v>
      </c>
      <c r="D49" s="69">
        <f>BS!D43</f>
        <v>161.441</v>
      </c>
      <c r="G49">
        <f>G50/365*G8</f>
        <v>175.16348499999998</v>
      </c>
      <c r="H49">
        <f>H50/365*H8</f>
        <v>189.1765638</v>
      </c>
      <c r="I49">
        <f>I50/365*I8</f>
        <v>204.31068890399999</v>
      </c>
      <c r="J49">
        <f>J50/365*J8</f>
        <v>214.52622334920002</v>
      </c>
      <c r="K49">
        <f>K50/365*K8</f>
        <v>218.81674781618403</v>
      </c>
      <c r="N49" t="s">
        <v>325</v>
      </c>
      <c r="O49">
        <v>0.8</v>
      </c>
    </row>
    <row r="50" spans="1:15" s="66" customFormat="1" x14ac:dyDescent="0.2">
      <c r="A50" s="64" t="s">
        <v>303</v>
      </c>
      <c r="B50" s="75">
        <f>B49/B8*365</f>
        <v>84.130674079599444</v>
      </c>
      <c r="C50" s="75">
        <f>C49/C8*365</f>
        <v>96.870409596520233</v>
      </c>
      <c r="D50" s="75">
        <f>D49/D8*365</f>
        <v>52.063891973942418</v>
      </c>
      <c r="G50" s="75">
        <v>52.063891973942418</v>
      </c>
      <c r="H50" s="75">
        <v>52.063891973942418</v>
      </c>
      <c r="I50" s="75">
        <v>52.063891973942418</v>
      </c>
      <c r="J50" s="75">
        <v>52.063891973942418</v>
      </c>
      <c r="K50" s="75">
        <v>52.063891973942418</v>
      </c>
      <c r="N50" s="66" t="s">
        <v>326</v>
      </c>
    </row>
    <row r="51" spans="1:15" x14ac:dyDescent="0.2">
      <c r="A51" t="s">
        <v>216</v>
      </c>
      <c r="B51" s="69">
        <f>BS!B46</f>
        <v>6.8159999999999998</v>
      </c>
      <c r="C51" s="69">
        <f>BS!C46</f>
        <v>14.137</v>
      </c>
      <c r="D51" s="69">
        <f>BS!D46</f>
        <v>14.284000000000001</v>
      </c>
      <c r="G51">
        <f>G52*G6</f>
        <v>15.498139999999999</v>
      </c>
      <c r="H51">
        <f>H52*H6</f>
        <v>16.7379912</v>
      </c>
      <c r="I51">
        <f>I52*I6</f>
        <v>18.077030496000003</v>
      </c>
      <c r="J51">
        <f>J52*J6</f>
        <v>18.980882020800003</v>
      </c>
      <c r="K51">
        <f>K52*K6</f>
        <v>19.360499661216004</v>
      </c>
      <c r="N51" t="s">
        <v>322</v>
      </c>
      <c r="O51" s="80">
        <f>O47+O49*(O48)+O50</f>
        <v>6.9000000000000006E-2</v>
      </c>
    </row>
    <row r="52" spans="1:15" x14ac:dyDescent="0.2">
      <c r="A52" s="64" t="s">
        <v>92</v>
      </c>
      <c r="B52" s="65">
        <f>B51/B6</f>
        <v>7.7940433200611994E-3</v>
      </c>
      <c r="C52" s="65">
        <f>C51/C6</f>
        <v>1.1047111786268824E-2</v>
      </c>
      <c r="D52" s="65">
        <f>D51/D6</f>
        <v>8.7610456090809682E-3</v>
      </c>
      <c r="G52" s="65">
        <v>8.7610456090809682E-3</v>
      </c>
      <c r="H52" s="65">
        <v>8.7610456090809682E-3</v>
      </c>
      <c r="I52" s="65">
        <v>8.7610456090809682E-3</v>
      </c>
      <c r="J52" s="65">
        <v>8.7610456090809682E-3</v>
      </c>
      <c r="K52" s="65">
        <v>8.7610456090809682E-3</v>
      </c>
    </row>
    <row r="53" spans="1:15" x14ac:dyDescent="0.2">
      <c r="A53" t="s">
        <v>217</v>
      </c>
      <c r="B53" s="69">
        <f>BS!B47</f>
        <v>13.951000000000001</v>
      </c>
      <c r="C53" s="69">
        <f>BS!C47</f>
        <v>34.89</v>
      </c>
      <c r="D53" s="69">
        <f>BS!D47</f>
        <v>61.332000000000001</v>
      </c>
      <c r="G53">
        <f>G54*G6</f>
        <v>66.545219999999986</v>
      </c>
      <c r="H53">
        <f>H54*H6</f>
        <v>71.868837599999992</v>
      </c>
      <c r="I53">
        <f>I54*I6</f>
        <v>77.618344608000001</v>
      </c>
      <c r="J53">
        <f>J54*J6</f>
        <v>81.499261838400002</v>
      </c>
      <c r="K53">
        <f>K54*K6</f>
        <v>83.12924707516801</v>
      </c>
      <c r="N53" t="s">
        <v>327</v>
      </c>
      <c r="O53" s="79">
        <f>O38*O44+O51*O39</f>
        <v>6.0225000000000001E-2</v>
      </c>
    </row>
    <row r="54" spans="1:15" x14ac:dyDescent="0.2">
      <c r="A54" s="64" t="s">
        <v>92</v>
      </c>
      <c r="B54" s="65">
        <f>B53/B6</f>
        <v>1.59528606746147E-2</v>
      </c>
      <c r="C54" s="65">
        <f>C53/C6</f>
        <v>2.7264181242337076E-2</v>
      </c>
      <c r="D54" s="65">
        <f>D53/D6</f>
        <v>3.7617785585000972E-2</v>
      </c>
      <c r="G54" s="65">
        <v>3.7617785585000972E-2</v>
      </c>
      <c r="H54" s="65">
        <v>3.7617785585000972E-2</v>
      </c>
      <c r="I54" s="65">
        <v>3.7617785585000972E-2</v>
      </c>
      <c r="J54" s="65">
        <v>3.7617785585000972E-2</v>
      </c>
      <c r="K54" s="65">
        <v>3.7617785585000972E-2</v>
      </c>
    </row>
    <row r="56" spans="1:15" x14ac:dyDescent="0.2">
      <c r="A56" s="64" t="s">
        <v>309</v>
      </c>
      <c r="B56">
        <v>243.93</v>
      </c>
      <c r="C56">
        <v>381.75</v>
      </c>
      <c r="D56">
        <v>481.92</v>
      </c>
    </row>
    <row r="57" spans="1:15" x14ac:dyDescent="0.2">
      <c r="A57" s="64" t="s">
        <v>312</v>
      </c>
      <c r="B57">
        <f>B56/B60</f>
        <v>0.22792296982891527</v>
      </c>
      <c r="C57">
        <f t="shared" ref="C57:D57" si="37">C56/C60</f>
        <v>0.28579449747332958</v>
      </c>
      <c r="D57">
        <f t="shared" si="37"/>
        <v>0.32555123216601817</v>
      </c>
    </row>
    <row r="58" spans="1:15" x14ac:dyDescent="0.2">
      <c r="A58" t="s">
        <v>310</v>
      </c>
      <c r="B58">
        <v>826.3</v>
      </c>
      <c r="C58">
        <v>954</v>
      </c>
      <c r="D58">
        <v>998.4</v>
      </c>
    </row>
    <row r="59" spans="1:15" x14ac:dyDescent="0.2">
      <c r="A59" s="64" t="s">
        <v>313</v>
      </c>
      <c r="B59">
        <f>B58/B60</f>
        <v>0.77207703017108464</v>
      </c>
      <c r="C59">
        <f t="shared" ref="C59:D59" si="38">C58/C60</f>
        <v>0.71420550252667037</v>
      </c>
      <c r="D59">
        <f t="shared" si="38"/>
        <v>0.67444876783398189</v>
      </c>
    </row>
    <row r="60" spans="1:15" x14ac:dyDescent="0.2">
      <c r="A60" s="64" t="s">
        <v>311</v>
      </c>
      <c r="B60">
        <v>1070.23</v>
      </c>
      <c r="C60">
        <v>1335.75</v>
      </c>
      <c r="D60">
        <v>1480.32</v>
      </c>
    </row>
    <row r="62" spans="1:15" x14ac:dyDescent="0.2">
      <c r="A62" s="1" t="s">
        <v>307</v>
      </c>
      <c r="B62">
        <f t="shared" ref="B62" si="39">SUM(B38,B40,B42)-SUM(B49,B51,B53)</f>
        <v>-34.269999999999982</v>
      </c>
      <c r="C62" s="69">
        <f>SUM(C38,C40,C42)-SUM(C49,C51,C53)</f>
        <v>-53.686000000000007</v>
      </c>
      <c r="D62" s="69">
        <f>SUM(D38,D40,D42)-SUM(D49,D51,D53)</f>
        <v>32.652999999999992</v>
      </c>
      <c r="G62">
        <f>SUM(G38,G40,G42)-SUM(G49,G51,G53)</f>
        <v>35.428504999999973</v>
      </c>
      <c r="H62">
        <f t="shared" ref="H62:K62" si="40">SUM(H38,H40,H42)-SUM(H49,H51,H53)</f>
        <v>38.262785399999927</v>
      </c>
      <c r="I62">
        <f t="shared" si="40"/>
        <v>41.323808232000033</v>
      </c>
      <c r="J62">
        <f t="shared" si="40"/>
        <v>43.389998643599995</v>
      </c>
      <c r="K62">
        <f t="shared" si="40"/>
        <v>44.257798616471973</v>
      </c>
    </row>
  </sheetData>
  <mergeCells count="5">
    <mergeCell ref="B3:D3"/>
    <mergeCell ref="E3:E4"/>
    <mergeCell ref="F3:F4"/>
    <mergeCell ref="G3:K3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C722-DA8F-495F-8DF1-F5E8491E6B60}">
  <dimension ref="B2"/>
  <sheetViews>
    <sheetView workbookViewId="0">
      <selection activeCell="B3" sqref="B3"/>
    </sheetView>
  </sheetViews>
  <sheetFormatPr baseColWidth="10" defaultColWidth="8.83203125" defaultRowHeight="15" x14ac:dyDescent="0.2"/>
  <sheetData>
    <row r="2" spans="2:2" x14ac:dyDescent="0.2">
      <c r="B2" t="s">
        <v>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5532-8EE9-432F-A036-659FB31F26BA}">
  <dimension ref="A1:D90"/>
  <sheetViews>
    <sheetView topLeftCell="A6" zoomScale="125" workbookViewId="0">
      <selection activeCell="B39" sqref="B39:D39"/>
    </sheetView>
  </sheetViews>
  <sheetFormatPr baseColWidth="10" defaultColWidth="9.1640625" defaultRowHeight="15" outlineLevelRow="3" x14ac:dyDescent="0.2"/>
  <cols>
    <col min="1" max="1" width="52.5" customWidth="1"/>
    <col min="2" max="4" width="8" customWidth="1"/>
  </cols>
  <sheetData>
    <row r="1" spans="1:4" ht="15" customHeight="1" x14ac:dyDescent="0.2">
      <c r="A1" s="59" t="s">
        <v>164</v>
      </c>
    </row>
    <row r="2" spans="1:4" ht="15" customHeight="1" x14ac:dyDescent="0.2">
      <c r="A2" s="60" t="s">
        <v>165</v>
      </c>
    </row>
    <row r="3" spans="1:4" ht="15" customHeight="1" x14ac:dyDescent="0.2">
      <c r="A3" s="61"/>
      <c r="B3" s="61"/>
      <c r="C3" s="61"/>
      <c r="D3" s="61"/>
    </row>
    <row r="4" spans="1:4" ht="15" customHeight="1" x14ac:dyDescent="0.2"/>
    <row r="5" spans="1:4" ht="15" customHeight="1" x14ac:dyDescent="0.2">
      <c r="A5" s="32" t="s">
        <v>23</v>
      </c>
      <c r="B5" s="32"/>
      <c r="C5" s="32"/>
      <c r="D5" s="32"/>
    </row>
    <row r="6" spans="1:4" ht="15" customHeight="1" x14ac:dyDescent="0.2">
      <c r="A6" s="32" t="s">
        <v>102</v>
      </c>
      <c r="B6" s="32"/>
      <c r="C6" s="32"/>
      <c r="D6" s="32"/>
    </row>
    <row r="7" spans="1:4" ht="15" customHeight="1" x14ac:dyDescent="0.2">
      <c r="A7" s="32" t="s">
        <v>103</v>
      </c>
      <c r="B7" s="32"/>
      <c r="C7" s="32"/>
      <c r="D7" s="32"/>
    </row>
    <row r="8" spans="1:4" ht="15" customHeight="1" x14ac:dyDescent="0.2">
      <c r="A8" s="32"/>
      <c r="B8" s="32" t="s">
        <v>107</v>
      </c>
      <c r="C8" s="32" t="s">
        <v>106</v>
      </c>
      <c r="D8" s="32" t="s">
        <v>105</v>
      </c>
    </row>
    <row r="9" spans="1:4" ht="15" customHeight="1" x14ac:dyDescent="0.2">
      <c r="A9" s="42" t="s">
        <v>218</v>
      </c>
      <c r="B9" s="42"/>
      <c r="C9" s="42"/>
      <c r="D9" s="42"/>
    </row>
    <row r="10" spans="1:4" ht="15" customHeight="1" x14ac:dyDescent="0.2">
      <c r="A10" s="45" t="s">
        <v>219</v>
      </c>
      <c r="B10" s="45"/>
      <c r="C10" s="45"/>
      <c r="D10" s="45"/>
    </row>
    <row r="11" spans="1:4" ht="15" customHeight="1" outlineLevel="1" x14ac:dyDescent="0.2">
      <c r="A11" s="46" t="s">
        <v>220</v>
      </c>
      <c r="B11" s="35">
        <v>111.91800000000001</v>
      </c>
      <c r="C11" s="35">
        <v>99.144999999999996</v>
      </c>
      <c r="D11" s="35">
        <v>41.098999999999997</v>
      </c>
    </row>
    <row r="12" spans="1:4" ht="15" customHeight="1" outlineLevel="2" x14ac:dyDescent="0.2">
      <c r="A12" s="47" t="s">
        <v>221</v>
      </c>
      <c r="B12" s="44">
        <v>111.91800000000001</v>
      </c>
      <c r="C12" s="44">
        <v>88.861999999999995</v>
      </c>
      <c r="D12" s="44">
        <v>33.353999999999999</v>
      </c>
    </row>
    <row r="13" spans="1:4" ht="15" customHeight="1" outlineLevel="2" x14ac:dyDescent="0.2">
      <c r="A13" s="38" t="s">
        <v>222</v>
      </c>
      <c r="B13" s="39">
        <v>0</v>
      </c>
      <c r="C13" s="39">
        <v>10.282999999999999</v>
      </c>
      <c r="D13" s="39">
        <v>7.7450000000000001</v>
      </c>
    </row>
    <row r="14" spans="1:4" ht="15" customHeight="1" outlineLevel="1" x14ac:dyDescent="0.2">
      <c r="A14" s="36" t="s">
        <v>223</v>
      </c>
      <c r="B14" s="37">
        <v>128.148</v>
      </c>
      <c r="C14" s="37">
        <v>215.92500000000001</v>
      </c>
      <c r="D14" s="37">
        <v>237.012</v>
      </c>
    </row>
    <row r="15" spans="1:4" ht="15" customHeight="1" outlineLevel="2" x14ac:dyDescent="0.2">
      <c r="A15" s="49" t="s">
        <v>224</v>
      </c>
      <c r="B15" s="35">
        <v>128.148</v>
      </c>
      <c r="C15" s="35">
        <v>215.92500000000001</v>
      </c>
      <c r="D15" s="35">
        <v>237.012</v>
      </c>
    </row>
    <row r="16" spans="1:4" ht="15" customHeight="1" outlineLevel="3" x14ac:dyDescent="0.2">
      <c r="A16" s="43" t="s">
        <v>225</v>
      </c>
      <c r="B16" s="44">
        <v>128.36500000000001</v>
      </c>
      <c r="C16" s="44">
        <v>216.34399999999999</v>
      </c>
      <c r="D16" s="44">
        <v>237.24799999999999</v>
      </c>
    </row>
    <row r="17" spans="1:4" ht="15" customHeight="1" outlineLevel="3" x14ac:dyDescent="0.2">
      <c r="A17" s="41" t="s">
        <v>226</v>
      </c>
      <c r="B17" s="48">
        <v>-0.217</v>
      </c>
      <c r="C17" s="48">
        <v>-0.41899999999999998</v>
      </c>
      <c r="D17" s="48">
        <v>-0.23599999999999999</v>
      </c>
    </row>
    <row r="18" spans="1:4" ht="15" customHeight="1" outlineLevel="1" x14ac:dyDescent="0.2">
      <c r="A18" s="36" t="s">
        <v>178</v>
      </c>
      <c r="B18" s="37">
        <v>3.9489999999999998</v>
      </c>
      <c r="C18" s="37">
        <v>5.0339999999999998</v>
      </c>
      <c r="D18" s="37">
        <v>17.704999999999998</v>
      </c>
    </row>
    <row r="19" spans="1:4" ht="15" customHeight="1" outlineLevel="2" x14ac:dyDescent="0.2">
      <c r="A19" s="38" t="s">
        <v>227</v>
      </c>
      <c r="B19" s="39">
        <v>3.9489999999999998</v>
      </c>
      <c r="C19" s="39">
        <v>5.0339999999999998</v>
      </c>
      <c r="D19" s="39">
        <v>17.704999999999998</v>
      </c>
    </row>
    <row r="20" spans="1:4" ht="15" customHeight="1" outlineLevel="1" x14ac:dyDescent="0.2">
      <c r="A20" s="36" t="s">
        <v>228</v>
      </c>
      <c r="B20" s="37">
        <v>7.0490000000000004</v>
      </c>
      <c r="C20" s="37">
        <v>8.6809999999999992</v>
      </c>
      <c r="D20" s="37">
        <v>14.993</v>
      </c>
    </row>
    <row r="21" spans="1:4" ht="15" customHeight="1" outlineLevel="2" x14ac:dyDescent="0.2">
      <c r="A21" s="38" t="s">
        <v>229</v>
      </c>
      <c r="B21" s="39">
        <v>6.7519999999999998</v>
      </c>
      <c r="C21" s="39">
        <v>8.6430000000000007</v>
      </c>
      <c r="D21" s="39">
        <v>14.64</v>
      </c>
    </row>
    <row r="22" spans="1:4" ht="15" customHeight="1" outlineLevel="2" x14ac:dyDescent="0.2">
      <c r="A22" s="47" t="s">
        <v>230</v>
      </c>
      <c r="B22" s="44">
        <v>0.29699999999999999</v>
      </c>
      <c r="C22" s="44">
        <v>3.7999999999999999E-2</v>
      </c>
      <c r="D22" s="44">
        <v>0.35299999999999998</v>
      </c>
    </row>
    <row r="23" spans="1:4" ht="15" customHeight="1" outlineLevel="1" x14ac:dyDescent="0.2">
      <c r="A23" s="31" t="s">
        <v>231</v>
      </c>
      <c r="B23" s="39">
        <v>251.06399999999999</v>
      </c>
      <c r="C23" s="39">
        <v>328.78500000000003</v>
      </c>
      <c r="D23" s="39">
        <v>310.80900000000003</v>
      </c>
    </row>
    <row r="24" spans="1:4" ht="15" customHeight="1" outlineLevel="1" x14ac:dyDescent="0.2">
      <c r="A24" s="36" t="s">
        <v>232</v>
      </c>
      <c r="B24" s="37">
        <v>808.90300000000002</v>
      </c>
      <c r="C24" s="37">
        <v>925.88199999999995</v>
      </c>
      <c r="D24" s="37">
        <v>1093.1479999999999</v>
      </c>
    </row>
    <row r="25" spans="1:4" ht="15" customHeight="1" outlineLevel="2" x14ac:dyDescent="0.2">
      <c r="A25" s="49" t="s">
        <v>233</v>
      </c>
      <c r="B25" s="35">
        <v>1297.6279999999999</v>
      </c>
      <c r="C25" s="35">
        <v>1455.538</v>
      </c>
      <c r="D25" s="35">
        <v>1742.4680000000001</v>
      </c>
    </row>
    <row r="26" spans="1:4" ht="15" customHeight="1" outlineLevel="3" x14ac:dyDescent="0.2">
      <c r="A26" s="43" t="s">
        <v>234</v>
      </c>
      <c r="B26" s="44">
        <v>30.045000000000002</v>
      </c>
      <c r="C26" s="44">
        <v>34.298000000000002</v>
      </c>
      <c r="D26" s="44">
        <v>37.887999999999998</v>
      </c>
    </row>
    <row r="27" spans="1:4" ht="15" customHeight="1" outlineLevel="3" x14ac:dyDescent="0.2">
      <c r="A27" s="41" t="s">
        <v>235</v>
      </c>
      <c r="B27" s="39">
        <v>10.551</v>
      </c>
      <c r="C27" s="39">
        <v>11.792999999999999</v>
      </c>
      <c r="D27" s="39">
        <v>14.076000000000001</v>
      </c>
    </row>
    <row r="28" spans="1:4" ht="15" customHeight="1" outlineLevel="3" x14ac:dyDescent="0.2">
      <c r="A28" s="43" t="s">
        <v>236</v>
      </c>
      <c r="B28" s="33"/>
      <c r="C28" s="33"/>
      <c r="D28" s="44">
        <v>52.649000000000001</v>
      </c>
    </row>
    <row r="29" spans="1:4" ht="15" customHeight="1" outlineLevel="3" x14ac:dyDescent="0.2">
      <c r="A29" s="41" t="s">
        <v>237</v>
      </c>
      <c r="B29" s="39">
        <v>1256.623</v>
      </c>
      <c r="C29" s="39">
        <v>1406.3</v>
      </c>
      <c r="D29" s="39">
        <v>1559.2719999999999</v>
      </c>
    </row>
    <row r="30" spans="1:4" ht="15" customHeight="1" outlineLevel="3" x14ac:dyDescent="0.2">
      <c r="A30" s="43" t="s">
        <v>238</v>
      </c>
      <c r="B30" s="44">
        <v>0.40899999999999997</v>
      </c>
      <c r="C30" s="44">
        <v>3.1469999999999998</v>
      </c>
      <c r="D30" s="44">
        <v>78.582999999999998</v>
      </c>
    </row>
    <row r="31" spans="1:4" ht="15" customHeight="1" outlineLevel="2" x14ac:dyDescent="0.2">
      <c r="A31" s="38" t="s">
        <v>239</v>
      </c>
      <c r="B31" s="39">
        <v>488.72500000000002</v>
      </c>
      <c r="C31" s="39">
        <v>529.65599999999995</v>
      </c>
      <c r="D31" s="39">
        <v>649.32000000000005</v>
      </c>
    </row>
    <row r="32" spans="1:4" ht="15" customHeight="1" outlineLevel="1" x14ac:dyDescent="0.2">
      <c r="A32" s="36" t="s">
        <v>240</v>
      </c>
      <c r="B32" s="45"/>
      <c r="C32" s="37">
        <v>79.968999999999994</v>
      </c>
      <c r="D32" s="37">
        <v>74.239000000000004</v>
      </c>
    </row>
    <row r="33" spans="1:4" ht="15" customHeight="1" outlineLevel="2" x14ac:dyDescent="0.2">
      <c r="A33" s="38" t="s">
        <v>133</v>
      </c>
      <c r="B33" s="39">
        <v>0</v>
      </c>
      <c r="C33" s="39">
        <v>23.623999999999999</v>
      </c>
      <c r="D33" s="39">
        <v>23.623999999999999</v>
      </c>
    </row>
    <row r="34" spans="1:4" ht="15" customHeight="1" outlineLevel="2" x14ac:dyDescent="0.2">
      <c r="A34" s="47" t="s">
        <v>241</v>
      </c>
      <c r="B34" s="33"/>
      <c r="C34" s="44">
        <v>56.344999999999999</v>
      </c>
      <c r="D34" s="44">
        <v>50.615000000000002</v>
      </c>
    </row>
    <row r="35" spans="1:4" ht="15" customHeight="1" outlineLevel="1" x14ac:dyDescent="0.2">
      <c r="A35" s="31" t="s">
        <v>242</v>
      </c>
      <c r="B35" s="42"/>
      <c r="C35" s="42"/>
      <c r="D35" s="42"/>
    </row>
    <row r="36" spans="1:4" ht="15" customHeight="1" outlineLevel="1" x14ac:dyDescent="0.2">
      <c r="A36" s="36" t="s">
        <v>243</v>
      </c>
      <c r="B36" s="37">
        <v>1.2689999999999999</v>
      </c>
      <c r="C36" s="37">
        <v>1.1499999999999999</v>
      </c>
      <c r="D36" s="37">
        <v>2.1160000000000001</v>
      </c>
    </row>
    <row r="37" spans="1:4" ht="15" customHeight="1" outlineLevel="2" x14ac:dyDescent="0.2">
      <c r="A37" s="38" t="s">
        <v>244</v>
      </c>
      <c r="B37" s="42"/>
      <c r="C37" s="42"/>
      <c r="D37" s="42"/>
    </row>
    <row r="38" spans="1:4" ht="15" customHeight="1" outlineLevel="2" x14ac:dyDescent="0.2">
      <c r="A38" s="47" t="s">
        <v>245</v>
      </c>
      <c r="B38" s="44">
        <v>1.2689999999999999</v>
      </c>
      <c r="C38" s="44">
        <v>1.1499999999999999</v>
      </c>
      <c r="D38" s="44">
        <v>2.1160000000000001</v>
      </c>
    </row>
    <row r="39" spans="1:4" ht="15" customHeight="1" outlineLevel="1" x14ac:dyDescent="0.2">
      <c r="A39" s="31" t="s">
        <v>246</v>
      </c>
      <c r="B39" s="39">
        <v>1061.2360000000001</v>
      </c>
      <c r="C39" s="39">
        <v>1335.7860000000001</v>
      </c>
      <c r="D39" s="39">
        <v>1480.3119999999999</v>
      </c>
    </row>
    <row r="40" spans="1:4" ht="15" customHeight="1" x14ac:dyDescent="0.2">
      <c r="A40" s="45" t="s">
        <v>247</v>
      </c>
      <c r="B40" s="45"/>
      <c r="C40" s="45"/>
      <c r="D40" s="45"/>
    </row>
    <row r="41" spans="1:4" ht="15" customHeight="1" outlineLevel="1" x14ac:dyDescent="0.2">
      <c r="A41" s="46" t="s">
        <v>248</v>
      </c>
      <c r="B41" s="34"/>
      <c r="C41" s="34"/>
      <c r="D41" s="34"/>
    </row>
    <row r="42" spans="1:4" ht="15" customHeight="1" outlineLevel="2" x14ac:dyDescent="0.2">
      <c r="A42" s="47" t="s">
        <v>249</v>
      </c>
      <c r="B42" s="52">
        <v>0.36899999999999999</v>
      </c>
      <c r="C42" s="52">
        <v>0.85399999999999998</v>
      </c>
      <c r="D42" s="52">
        <v>34.091999999999999</v>
      </c>
    </row>
    <row r="43" spans="1:4" ht="15" customHeight="1" outlineLevel="2" x14ac:dyDescent="0.2">
      <c r="A43" s="38" t="s">
        <v>179</v>
      </c>
      <c r="B43" s="55">
        <v>152.649</v>
      </c>
      <c r="C43" s="55">
        <v>234.29900000000001</v>
      </c>
      <c r="D43" s="55">
        <v>161.441</v>
      </c>
    </row>
    <row r="44" spans="1:4" ht="15" customHeight="1" outlineLevel="2" x14ac:dyDescent="0.2">
      <c r="A44" s="47" t="s">
        <v>250</v>
      </c>
      <c r="B44" s="33"/>
      <c r="C44" s="33"/>
      <c r="D44" s="33"/>
    </row>
    <row r="45" spans="1:4" ht="15" customHeight="1" outlineLevel="2" x14ac:dyDescent="0.2">
      <c r="A45" s="49" t="s">
        <v>251</v>
      </c>
      <c r="B45" s="54">
        <v>20.766999999999999</v>
      </c>
      <c r="C45" s="54">
        <v>49.027000000000001</v>
      </c>
      <c r="D45" s="54">
        <v>75.616</v>
      </c>
    </row>
    <row r="46" spans="1:4" ht="15" customHeight="1" outlineLevel="3" x14ac:dyDescent="0.2">
      <c r="A46" s="43" t="s">
        <v>252</v>
      </c>
      <c r="B46" s="52">
        <v>6.8159999999999998</v>
      </c>
      <c r="C46" s="52">
        <v>14.137</v>
      </c>
      <c r="D46" s="52">
        <v>14.284000000000001</v>
      </c>
    </row>
    <row r="47" spans="1:4" ht="15" customHeight="1" outlineLevel="3" x14ac:dyDescent="0.2">
      <c r="A47" s="41" t="s">
        <v>253</v>
      </c>
      <c r="B47" s="55">
        <v>13.951000000000001</v>
      </c>
      <c r="C47" s="55">
        <v>34.89</v>
      </c>
      <c r="D47" s="55">
        <v>61.332000000000001</v>
      </c>
    </row>
    <row r="48" spans="1:4" ht="15" customHeight="1" outlineLevel="2" x14ac:dyDescent="0.2">
      <c r="A48" s="47" t="s">
        <v>254</v>
      </c>
      <c r="B48" s="52">
        <v>173.785</v>
      </c>
      <c r="C48" s="52">
        <v>284.18</v>
      </c>
      <c r="D48" s="52">
        <v>271.149</v>
      </c>
    </row>
    <row r="49" spans="1:4" ht="15" customHeight="1" outlineLevel="1" x14ac:dyDescent="0.2">
      <c r="A49" s="46" t="s">
        <v>255</v>
      </c>
      <c r="B49" s="34"/>
      <c r="C49" s="34"/>
      <c r="D49" s="34"/>
    </row>
    <row r="50" spans="1:4" ht="15" customHeight="1" outlineLevel="2" x14ac:dyDescent="0.2">
      <c r="A50" s="40" t="s">
        <v>256</v>
      </c>
      <c r="B50" s="56">
        <v>9.7000000000000003E-2</v>
      </c>
      <c r="C50" s="56">
        <v>32.308</v>
      </c>
      <c r="D50" s="56">
        <v>114.486</v>
      </c>
    </row>
    <row r="51" spans="1:4" ht="15" customHeight="1" outlineLevel="3" x14ac:dyDescent="0.2">
      <c r="A51" s="41" t="s">
        <v>257</v>
      </c>
      <c r="B51" s="55">
        <v>0</v>
      </c>
      <c r="C51" s="55">
        <v>30</v>
      </c>
      <c r="D51" s="55">
        <v>45</v>
      </c>
    </row>
    <row r="52" spans="1:4" ht="15" customHeight="1" outlineLevel="3" x14ac:dyDescent="0.2">
      <c r="A52" s="43" t="s">
        <v>258</v>
      </c>
      <c r="B52" s="52">
        <v>9.7000000000000003E-2</v>
      </c>
      <c r="C52" s="52">
        <v>2.3079999999999998</v>
      </c>
      <c r="D52" s="52">
        <v>69.486000000000004</v>
      </c>
    </row>
    <row r="53" spans="1:4" ht="15" customHeight="1" outlineLevel="2" x14ac:dyDescent="0.2">
      <c r="A53" s="38" t="s">
        <v>259</v>
      </c>
      <c r="B53" s="55">
        <v>61.052</v>
      </c>
      <c r="C53" s="55">
        <v>65.265000000000001</v>
      </c>
      <c r="D53" s="55">
        <v>93.105000000000004</v>
      </c>
    </row>
    <row r="54" spans="1:4" ht="15" customHeight="1" outlineLevel="2" x14ac:dyDescent="0.2">
      <c r="A54" s="40" t="s">
        <v>260</v>
      </c>
      <c r="B54" s="56">
        <v>0</v>
      </c>
      <c r="C54" s="56">
        <v>0</v>
      </c>
      <c r="D54" s="56">
        <v>3.18</v>
      </c>
    </row>
    <row r="55" spans="1:4" ht="15" customHeight="1" outlineLevel="3" x14ac:dyDescent="0.2">
      <c r="A55" s="41" t="s">
        <v>261</v>
      </c>
      <c r="B55" s="55">
        <v>0</v>
      </c>
      <c r="C55" s="55">
        <v>0</v>
      </c>
      <c r="D55" s="55">
        <v>3.18</v>
      </c>
    </row>
    <row r="56" spans="1:4" ht="15" customHeight="1" outlineLevel="2" x14ac:dyDescent="0.2">
      <c r="A56" s="47" t="s">
        <v>262</v>
      </c>
      <c r="B56" s="52">
        <v>234.934</v>
      </c>
      <c r="C56" s="52">
        <v>381.75299999999999</v>
      </c>
      <c r="D56" s="52">
        <v>481.92</v>
      </c>
    </row>
    <row r="57" spans="1:4" ht="15" customHeight="1" outlineLevel="1" x14ac:dyDescent="0.2">
      <c r="A57" s="46" t="s">
        <v>263</v>
      </c>
      <c r="B57" s="34"/>
      <c r="C57" s="34"/>
      <c r="D57" s="34"/>
    </row>
    <row r="58" spans="1:4" ht="15" customHeight="1" outlineLevel="2" x14ac:dyDescent="0.2">
      <c r="A58" s="40" t="s">
        <v>264</v>
      </c>
      <c r="B58" s="37">
        <v>0</v>
      </c>
      <c r="C58" s="37">
        <v>0</v>
      </c>
      <c r="D58" s="37">
        <v>0</v>
      </c>
    </row>
    <row r="59" spans="1:4" ht="15" customHeight="1" outlineLevel="3" x14ac:dyDescent="0.2">
      <c r="A59" s="41" t="s">
        <v>265</v>
      </c>
      <c r="B59" s="39">
        <v>0</v>
      </c>
      <c r="C59" s="39">
        <v>0</v>
      </c>
      <c r="D59" s="39">
        <v>0</v>
      </c>
    </row>
    <row r="60" spans="1:4" ht="15" customHeight="1" outlineLevel="2" x14ac:dyDescent="0.2">
      <c r="A60" s="40" t="s">
        <v>266</v>
      </c>
      <c r="B60" s="37">
        <v>826.30200000000002</v>
      </c>
      <c r="C60" s="37">
        <v>954.03300000000002</v>
      </c>
      <c r="D60" s="37">
        <v>998.39200000000005</v>
      </c>
    </row>
    <row r="61" spans="1:4" ht="15" customHeight="1" outlineLevel="3" x14ac:dyDescent="0.2">
      <c r="A61" s="41" t="s">
        <v>267</v>
      </c>
      <c r="B61" s="39">
        <v>0.10299999999999999</v>
      </c>
      <c r="C61" s="39">
        <v>0.114</v>
      </c>
      <c r="D61" s="39">
        <v>0.109</v>
      </c>
    </row>
    <row r="62" spans="1:4" ht="15" customHeight="1" outlineLevel="3" x14ac:dyDescent="0.2">
      <c r="A62" s="43" t="s">
        <v>268</v>
      </c>
      <c r="B62" s="44">
        <v>844.82899999999995</v>
      </c>
      <c r="C62" s="44">
        <v>970.51900000000001</v>
      </c>
      <c r="D62" s="44">
        <v>929.24900000000002</v>
      </c>
    </row>
    <row r="63" spans="1:4" ht="15" customHeight="1" outlineLevel="3" x14ac:dyDescent="0.2">
      <c r="A63" s="41" t="s">
        <v>269</v>
      </c>
      <c r="B63" s="48">
        <v>-18.63</v>
      </c>
      <c r="C63" s="48">
        <v>-16.600000000000001</v>
      </c>
      <c r="D63" s="39">
        <v>69.034000000000006</v>
      </c>
    </row>
    <row r="64" spans="1:4" ht="15" customHeight="1" outlineLevel="2" x14ac:dyDescent="0.2">
      <c r="A64" s="47" t="s">
        <v>270</v>
      </c>
      <c r="B64" s="44">
        <v>826.30200000000002</v>
      </c>
      <c r="C64" s="44">
        <v>954.03300000000002</v>
      </c>
      <c r="D64" s="44">
        <v>998.39200000000005</v>
      </c>
    </row>
    <row r="65" spans="1:4" ht="15" customHeight="1" outlineLevel="2" x14ac:dyDescent="0.2">
      <c r="A65" s="38" t="s">
        <v>271</v>
      </c>
      <c r="B65" s="39">
        <v>826.30200000000002</v>
      </c>
      <c r="C65" s="39">
        <v>954.03300000000002</v>
      </c>
      <c r="D65" s="39">
        <v>998.39200000000005</v>
      </c>
    </row>
    <row r="66" spans="1:4" ht="15" customHeight="1" outlineLevel="1" x14ac:dyDescent="0.2">
      <c r="A66" s="51" t="s">
        <v>272</v>
      </c>
      <c r="B66" s="44">
        <v>1061.2360000000001</v>
      </c>
      <c r="C66" s="44">
        <v>1335.7860000000001</v>
      </c>
      <c r="D66" s="44">
        <v>1480.3119999999999</v>
      </c>
    </row>
    <row r="67" spans="1:4" ht="15" customHeight="1" x14ac:dyDescent="0.2">
      <c r="A67" s="34" t="s">
        <v>148</v>
      </c>
      <c r="B67" s="34"/>
      <c r="C67" s="34"/>
      <c r="D67" s="34"/>
    </row>
    <row r="68" spans="1:4" ht="15" customHeight="1" outlineLevel="1" x14ac:dyDescent="0.2">
      <c r="A68" s="51" t="s">
        <v>273</v>
      </c>
      <c r="B68" s="52">
        <v>7.9884399999999998</v>
      </c>
      <c r="C68" s="52">
        <v>8.3310700000000004</v>
      </c>
      <c r="D68" s="52">
        <v>9.1191300000000002</v>
      </c>
    </row>
    <row r="69" spans="1:4" ht="15" customHeight="1" outlineLevel="1" x14ac:dyDescent="0.2">
      <c r="A69" s="31" t="s">
        <v>274</v>
      </c>
      <c r="B69" s="55">
        <v>7.9884430000000002</v>
      </c>
      <c r="C69" s="55">
        <v>7.632746</v>
      </c>
      <c r="D69" s="55">
        <v>8.4410419999999995</v>
      </c>
    </row>
    <row r="70" spans="1:4" ht="15" customHeight="1" x14ac:dyDescent="0.2">
      <c r="A70" s="33" t="s">
        <v>158</v>
      </c>
      <c r="B70" s="33"/>
      <c r="C70" s="33"/>
      <c r="D70" s="33"/>
    </row>
    <row r="71" spans="1:4" ht="15" customHeight="1" x14ac:dyDescent="0.2">
      <c r="A71" s="42" t="s">
        <v>275</v>
      </c>
      <c r="B71" s="39">
        <v>77.278999999999996</v>
      </c>
      <c r="C71" s="39">
        <v>44.604999999999997</v>
      </c>
      <c r="D71" s="39">
        <v>39.659999999999997</v>
      </c>
    </row>
    <row r="72" spans="1:4" ht="15" customHeight="1" x14ac:dyDescent="0.2">
      <c r="A72" s="33" t="s">
        <v>276</v>
      </c>
      <c r="B72" s="44">
        <v>826.76800000000003</v>
      </c>
      <c r="C72" s="44">
        <v>987.19500000000005</v>
      </c>
      <c r="D72" s="44">
        <v>1146.97</v>
      </c>
    </row>
    <row r="73" spans="1:4" ht="15" customHeight="1" x14ac:dyDescent="0.2">
      <c r="A73" s="42" t="s">
        <v>277</v>
      </c>
      <c r="B73" s="39">
        <v>0.46600000000000003</v>
      </c>
      <c r="C73" s="39">
        <v>33.161999999999999</v>
      </c>
      <c r="D73" s="39">
        <v>148.578</v>
      </c>
    </row>
    <row r="74" spans="1:4" ht="15" customHeight="1" x14ac:dyDescent="0.2">
      <c r="A74" s="33" t="s">
        <v>278</v>
      </c>
      <c r="B74" s="50">
        <v>-111.452</v>
      </c>
      <c r="C74" s="50">
        <v>-65.983000000000004</v>
      </c>
      <c r="D74" s="44">
        <v>107.479</v>
      </c>
    </row>
    <row r="75" spans="1:4" ht="15" customHeight="1" x14ac:dyDescent="0.2">
      <c r="A75" s="34" t="s">
        <v>279</v>
      </c>
      <c r="B75" s="34"/>
      <c r="C75" s="34"/>
      <c r="D75" s="34"/>
    </row>
    <row r="76" spans="1:4" ht="15" customHeight="1" outlineLevel="1" x14ac:dyDescent="0.2">
      <c r="A76" s="51" t="s">
        <v>280</v>
      </c>
      <c r="B76" s="52">
        <v>1.5317609999999999</v>
      </c>
      <c r="C76" s="52">
        <v>1.6216759999999999</v>
      </c>
      <c r="D76" s="52">
        <v>3.1613530000000001</v>
      </c>
    </row>
    <row r="77" spans="1:4" ht="15" customHeight="1" outlineLevel="1" x14ac:dyDescent="0.2">
      <c r="A77" s="31" t="s">
        <v>281</v>
      </c>
      <c r="B77" s="55">
        <v>44.323521</v>
      </c>
      <c r="C77" s="55">
        <v>49.068745</v>
      </c>
      <c r="D77" s="55">
        <v>50.699860999999999</v>
      </c>
    </row>
    <row r="78" spans="1:4" ht="15" customHeight="1" outlineLevel="1" x14ac:dyDescent="0.2">
      <c r="A78" s="51" t="s">
        <v>282</v>
      </c>
      <c r="B78" s="52">
        <v>53.087820000000001</v>
      </c>
      <c r="C78" s="52">
        <v>69.780334999999994</v>
      </c>
      <c r="D78" s="52">
        <v>54.493065000000001</v>
      </c>
    </row>
    <row r="79" spans="1:4" ht="15" customHeight="1" x14ac:dyDescent="0.2">
      <c r="A79" s="34" t="s">
        <v>283</v>
      </c>
      <c r="B79" s="34"/>
      <c r="C79" s="34"/>
      <c r="D79" s="34"/>
    </row>
    <row r="80" spans="1:4" ht="15" customHeight="1" outlineLevel="1" x14ac:dyDescent="0.2">
      <c r="A80" s="51" t="s">
        <v>160</v>
      </c>
      <c r="B80" s="52">
        <v>8.4088700000000003</v>
      </c>
      <c r="C80" s="52">
        <v>17.285990000000002</v>
      </c>
      <c r="D80" s="52">
        <v>11.4155</v>
      </c>
    </row>
    <row r="81" spans="1:4" ht="15" customHeight="1" x14ac:dyDescent="0.2">
      <c r="A81" s="42" t="s">
        <v>284</v>
      </c>
      <c r="B81" s="42"/>
      <c r="C81" s="42"/>
      <c r="D81" s="42"/>
    </row>
    <row r="82" spans="1:4" ht="15" customHeight="1" x14ac:dyDescent="0.2">
      <c r="A82" s="45" t="s">
        <v>285</v>
      </c>
      <c r="B82" s="56">
        <v>0.48699999999999999</v>
      </c>
      <c r="C82" s="56">
        <v>3.3260000000000001</v>
      </c>
      <c r="D82" s="56">
        <v>61.960999999999999</v>
      </c>
    </row>
    <row r="83" spans="1:4" ht="15" customHeight="1" outlineLevel="1" x14ac:dyDescent="0.2">
      <c r="A83" s="31" t="s">
        <v>286</v>
      </c>
      <c r="B83" s="55">
        <v>0.38900000000000001</v>
      </c>
      <c r="C83" s="55">
        <v>0.91200000000000003</v>
      </c>
      <c r="D83" s="55">
        <v>20.399000000000001</v>
      </c>
    </row>
    <row r="84" spans="1:4" ht="15" customHeight="1" outlineLevel="1" x14ac:dyDescent="0.2">
      <c r="A84" s="51" t="s">
        <v>287</v>
      </c>
      <c r="B84" s="52">
        <v>9.8000000000000004E-2</v>
      </c>
      <c r="C84" s="52">
        <v>0.56999999999999995</v>
      </c>
      <c r="D84" s="52">
        <v>20.321999999999999</v>
      </c>
    </row>
    <row r="85" spans="1:4" ht="15" customHeight="1" outlineLevel="1" x14ac:dyDescent="0.2">
      <c r="A85" s="31" t="s">
        <v>288</v>
      </c>
      <c r="B85" s="42"/>
      <c r="C85" s="55">
        <v>0.52600000000000002</v>
      </c>
      <c r="D85" s="55">
        <v>19.193999999999999</v>
      </c>
    </row>
    <row r="86" spans="1:4" ht="15" customHeight="1" outlineLevel="1" x14ac:dyDescent="0.2">
      <c r="A86" s="51" t="s">
        <v>289</v>
      </c>
      <c r="B86" s="33"/>
      <c r="C86" s="52">
        <v>0.53300000000000003</v>
      </c>
      <c r="D86" s="52">
        <v>1.2250000000000001</v>
      </c>
    </row>
    <row r="87" spans="1:4" ht="15" customHeight="1" outlineLevel="1" x14ac:dyDescent="0.2">
      <c r="A87" s="31" t="s">
        <v>290</v>
      </c>
      <c r="B87" s="42"/>
      <c r="C87" s="55">
        <v>0.46300000000000002</v>
      </c>
      <c r="D87" s="55">
        <v>0.82099999999999995</v>
      </c>
    </row>
    <row r="88" spans="1:4" ht="15" customHeight="1" outlineLevel="1" x14ac:dyDescent="0.2">
      <c r="A88" s="51" t="s">
        <v>291</v>
      </c>
      <c r="B88" s="33"/>
      <c r="C88" s="52">
        <v>0.32200000000000001</v>
      </c>
      <c r="D88" s="33"/>
    </row>
    <row r="89" spans="1:4" ht="15" customHeight="1" x14ac:dyDescent="0.2">
      <c r="A89" s="42" t="s">
        <v>292</v>
      </c>
      <c r="B89" s="55">
        <v>0</v>
      </c>
      <c r="C89" s="55">
        <v>0</v>
      </c>
      <c r="D89" s="55">
        <v>17.062999999999999</v>
      </c>
    </row>
    <row r="90" spans="1:4" ht="15" customHeight="1" x14ac:dyDescent="0.2">
      <c r="A90" s="58" t="s">
        <v>163</v>
      </c>
    </row>
  </sheetData>
  <sortState xmlns:xlrd2="http://schemas.microsoft.com/office/spreadsheetml/2017/richdata2" columnSort="1" ref="B1:D90">
    <sortCondition ref="B8:D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AE0B-F0D6-47D7-ABFA-383205BF874E}">
  <dimension ref="A1:K57"/>
  <sheetViews>
    <sheetView topLeftCell="A7" zoomScale="109" workbookViewId="0">
      <selection activeCell="K56" sqref="K56"/>
    </sheetView>
  </sheetViews>
  <sheetFormatPr baseColWidth="10" defaultColWidth="8.83203125" defaultRowHeight="15" x14ac:dyDescent="0.2"/>
  <cols>
    <col min="1" max="1" width="51.6640625" bestFit="1" customWidth="1"/>
  </cols>
  <sheetData>
    <row r="1" spans="1:11" x14ac:dyDescent="0.2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">
      <c r="A2" s="32" t="s">
        <v>102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">
      <c r="A3" s="32" t="s">
        <v>103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2">
      <c r="A4" s="32"/>
      <c r="B4" s="32" t="s">
        <v>104</v>
      </c>
      <c r="C4" s="32" t="s">
        <v>105</v>
      </c>
      <c r="D4" s="32" t="s">
        <v>106</v>
      </c>
      <c r="E4" s="32" t="s">
        <v>107</v>
      </c>
      <c r="F4" s="32" t="s">
        <v>108</v>
      </c>
      <c r="G4" s="32" t="s">
        <v>109</v>
      </c>
      <c r="H4" s="32" t="s">
        <v>110</v>
      </c>
      <c r="I4" s="32" t="s">
        <v>111</v>
      </c>
      <c r="J4" s="32" t="s">
        <v>112</v>
      </c>
      <c r="K4" s="32" t="s">
        <v>113</v>
      </c>
    </row>
    <row r="5" spans="1:11" x14ac:dyDescent="0.2">
      <c r="A5" s="32"/>
      <c r="B5" s="32" t="s">
        <v>114</v>
      </c>
      <c r="C5" s="32"/>
      <c r="D5" s="32"/>
      <c r="E5" s="32"/>
      <c r="F5" s="32"/>
      <c r="G5" s="32"/>
      <c r="H5" s="32"/>
      <c r="I5" s="32"/>
      <c r="J5" s="32"/>
      <c r="K5" s="32"/>
    </row>
    <row r="6" spans="1:11" x14ac:dyDescent="0.2">
      <c r="A6" s="33" t="s">
        <v>115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x14ac:dyDescent="0.2">
      <c r="A7" s="34" t="s">
        <v>116</v>
      </c>
      <c r="B7" s="35">
        <v>1534.444</v>
      </c>
      <c r="C7" s="35">
        <v>1630.3989999999999</v>
      </c>
      <c r="D7" s="35">
        <v>1279.701</v>
      </c>
      <c r="E7" s="35">
        <v>874.51400000000001</v>
      </c>
      <c r="F7" s="35">
        <v>789.23199999999997</v>
      </c>
      <c r="G7" s="35">
        <v>2052.3139999999999</v>
      </c>
      <c r="H7" s="35">
        <v>1705.1769999999999</v>
      </c>
      <c r="I7" s="35">
        <v>983.71100000000001</v>
      </c>
      <c r="J7" s="35">
        <v>438.76652100000001</v>
      </c>
      <c r="K7" s="35">
        <v>571.46400900000003</v>
      </c>
    </row>
    <row r="8" spans="1:11" x14ac:dyDescent="0.2">
      <c r="A8" s="36" t="s">
        <v>117</v>
      </c>
      <c r="B8" s="37">
        <v>1333.6590000000001</v>
      </c>
      <c r="C8" s="37">
        <v>1312.6869999999999</v>
      </c>
      <c r="D8" s="37">
        <v>1010.928</v>
      </c>
      <c r="E8" s="37">
        <v>795.64300000000003</v>
      </c>
      <c r="F8" s="37">
        <v>737.56899999999996</v>
      </c>
      <c r="G8" s="37">
        <v>1615.66</v>
      </c>
      <c r="H8" s="37">
        <v>1359.33</v>
      </c>
      <c r="I8" s="37">
        <v>871.29700000000003</v>
      </c>
      <c r="J8" s="37">
        <v>449.52817099999999</v>
      </c>
      <c r="K8" s="37">
        <v>535.31782799999996</v>
      </c>
    </row>
    <row r="9" spans="1:11" x14ac:dyDescent="0.2">
      <c r="A9" s="38" t="s">
        <v>118</v>
      </c>
      <c r="B9" s="39">
        <v>1108.01</v>
      </c>
      <c r="C9" s="39">
        <v>1131.8009999999999</v>
      </c>
      <c r="D9" s="39">
        <v>882.82</v>
      </c>
      <c r="E9" s="39">
        <v>662.26599999999996</v>
      </c>
      <c r="F9" s="39">
        <v>584.279</v>
      </c>
      <c r="G9" s="39">
        <v>1470.356</v>
      </c>
      <c r="H9" s="39">
        <v>1270.577</v>
      </c>
      <c r="I9" s="39">
        <v>813.82299999999998</v>
      </c>
      <c r="J9" s="39">
        <v>404.140241</v>
      </c>
      <c r="K9" s="39">
        <v>483.33758399999999</v>
      </c>
    </row>
    <row r="10" spans="1:11" x14ac:dyDescent="0.2">
      <c r="A10" s="40" t="s">
        <v>119</v>
      </c>
      <c r="B10" s="37">
        <v>225.649</v>
      </c>
      <c r="C10" s="37">
        <v>180.886</v>
      </c>
      <c r="D10" s="37">
        <v>128.108</v>
      </c>
      <c r="E10" s="37">
        <v>133.37700000000001</v>
      </c>
      <c r="F10" s="37">
        <v>153.29</v>
      </c>
      <c r="G10" s="37">
        <v>145.304</v>
      </c>
      <c r="H10" s="37">
        <v>88.753</v>
      </c>
      <c r="I10" s="37">
        <v>57.473999999999997</v>
      </c>
      <c r="J10" s="37">
        <v>45.387929999999997</v>
      </c>
      <c r="K10" s="37">
        <v>51.980243999999999</v>
      </c>
    </row>
    <row r="11" spans="1:11" x14ac:dyDescent="0.2">
      <c r="A11" s="41" t="s">
        <v>120</v>
      </c>
      <c r="B11" s="42"/>
      <c r="C11" s="39">
        <v>175.18600000000001</v>
      </c>
      <c r="D11" s="39">
        <v>128.108</v>
      </c>
      <c r="E11" s="39">
        <v>133.37700000000001</v>
      </c>
      <c r="F11" s="39">
        <v>153.29</v>
      </c>
      <c r="G11" s="39">
        <v>145.304</v>
      </c>
      <c r="H11" s="39">
        <v>87.837999999999994</v>
      </c>
      <c r="I11" s="39">
        <v>55.328000000000003</v>
      </c>
      <c r="J11" s="39">
        <v>43.241678999999998</v>
      </c>
      <c r="K11" s="39">
        <v>49.833993</v>
      </c>
    </row>
    <row r="12" spans="1:11" x14ac:dyDescent="0.2">
      <c r="A12" s="43" t="s">
        <v>121</v>
      </c>
      <c r="B12" s="33"/>
      <c r="C12" s="44">
        <v>5.7</v>
      </c>
      <c r="D12" s="44">
        <v>0</v>
      </c>
      <c r="E12" s="44">
        <v>0</v>
      </c>
      <c r="F12" s="44">
        <v>0</v>
      </c>
      <c r="G12" s="44">
        <v>0</v>
      </c>
      <c r="H12" s="44">
        <v>0.3</v>
      </c>
      <c r="I12" s="44">
        <v>0.3</v>
      </c>
      <c r="J12" s="44">
        <v>0.3</v>
      </c>
      <c r="K12" s="44">
        <v>0.3</v>
      </c>
    </row>
    <row r="13" spans="1:11" x14ac:dyDescent="0.2">
      <c r="A13" s="41" t="s">
        <v>122</v>
      </c>
      <c r="B13" s="42"/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0.61499999999999999</v>
      </c>
      <c r="I13" s="39">
        <v>1.8460000000000001</v>
      </c>
      <c r="J13" s="39">
        <v>1.8462510000000001</v>
      </c>
      <c r="K13" s="39">
        <v>1.8462510000000001</v>
      </c>
    </row>
    <row r="14" spans="1:11" x14ac:dyDescent="0.2">
      <c r="A14" s="45" t="s">
        <v>123</v>
      </c>
      <c r="B14" s="37">
        <v>200.785</v>
      </c>
      <c r="C14" s="37">
        <v>317.71199999999999</v>
      </c>
      <c r="D14" s="37">
        <v>268.77300000000002</v>
      </c>
      <c r="E14" s="37">
        <v>78.870999999999995</v>
      </c>
      <c r="F14" s="37">
        <v>51.662999999999997</v>
      </c>
      <c r="G14" s="37">
        <v>436.654</v>
      </c>
      <c r="H14" s="37">
        <v>345.84699999999998</v>
      </c>
      <c r="I14" s="37">
        <v>112.414</v>
      </c>
      <c r="J14" s="37">
        <v>-10.761649999999999</v>
      </c>
      <c r="K14" s="37">
        <v>36.146180999999999</v>
      </c>
    </row>
    <row r="15" spans="1:11" x14ac:dyDescent="0.2">
      <c r="A15" s="46" t="s">
        <v>124</v>
      </c>
      <c r="B15" s="35">
        <v>115.723</v>
      </c>
      <c r="C15" s="35">
        <v>114.354</v>
      </c>
      <c r="D15" s="35">
        <v>111.76</v>
      </c>
      <c r="E15" s="35">
        <v>82.921000000000006</v>
      </c>
      <c r="F15" s="35">
        <v>86.768000000000001</v>
      </c>
      <c r="G15" s="35">
        <v>105.07599999999999</v>
      </c>
      <c r="H15" s="35">
        <v>53.957999999999998</v>
      </c>
      <c r="I15" s="35">
        <v>49.215000000000003</v>
      </c>
      <c r="J15" s="35">
        <v>26.613123000000002</v>
      </c>
      <c r="K15" s="35">
        <v>27.36974</v>
      </c>
    </row>
    <row r="16" spans="1:11" x14ac:dyDescent="0.2">
      <c r="A16" s="47" t="s">
        <v>125</v>
      </c>
      <c r="B16" s="44">
        <v>115.723</v>
      </c>
      <c r="C16" s="44">
        <v>114.354</v>
      </c>
      <c r="D16" s="44">
        <v>111.76</v>
      </c>
      <c r="E16" s="44">
        <v>82.921000000000006</v>
      </c>
      <c r="F16" s="44">
        <v>86.768000000000001</v>
      </c>
      <c r="G16" s="44">
        <v>105.07599999999999</v>
      </c>
      <c r="H16" s="44">
        <v>53.957999999999998</v>
      </c>
      <c r="I16" s="44">
        <v>49.215000000000003</v>
      </c>
      <c r="J16" s="44">
        <v>26.613123000000002</v>
      </c>
      <c r="K16" s="44">
        <v>27.36974</v>
      </c>
    </row>
    <row r="17" spans="1:11" x14ac:dyDescent="0.2">
      <c r="A17" s="34" t="s">
        <v>126</v>
      </c>
      <c r="B17" s="35">
        <v>85.061999999999998</v>
      </c>
      <c r="C17" s="35">
        <v>203.358</v>
      </c>
      <c r="D17" s="35">
        <v>157.01300000000001</v>
      </c>
      <c r="E17" s="35">
        <v>-4.05</v>
      </c>
      <c r="F17" s="35">
        <v>-35.104999999999997</v>
      </c>
      <c r="G17" s="35">
        <v>331.57799999999997</v>
      </c>
      <c r="H17" s="35">
        <v>291.88900000000001</v>
      </c>
      <c r="I17" s="35">
        <v>63.198999999999998</v>
      </c>
      <c r="J17" s="35">
        <v>-37.374769999999998</v>
      </c>
      <c r="K17" s="35">
        <v>8.7764399999999991</v>
      </c>
    </row>
    <row r="18" spans="1:11" x14ac:dyDescent="0.2">
      <c r="A18" s="36" t="s">
        <v>127</v>
      </c>
      <c r="B18" s="37">
        <v>-22.256</v>
      </c>
      <c r="C18" s="37">
        <v>-80.11</v>
      </c>
      <c r="D18" s="37">
        <v>-89.298000000000002</v>
      </c>
      <c r="E18" s="37">
        <v>-63.773000000000003</v>
      </c>
      <c r="F18" s="37">
        <v>-59.01</v>
      </c>
      <c r="G18" s="37">
        <v>-107.52800000000001</v>
      </c>
      <c r="H18" s="37">
        <v>-59.883000000000003</v>
      </c>
      <c r="I18" s="37">
        <v>-40.110999999999997</v>
      </c>
      <c r="J18" s="37">
        <v>-22.849740000000001</v>
      </c>
      <c r="K18" s="37">
        <v>-21.765910000000002</v>
      </c>
    </row>
    <row r="19" spans="1:11" x14ac:dyDescent="0.2">
      <c r="A19" s="38" t="s">
        <v>128</v>
      </c>
      <c r="B19" s="48">
        <v>-22.256</v>
      </c>
      <c r="C19" s="48">
        <v>-80.11</v>
      </c>
      <c r="D19" s="48">
        <v>-89.298000000000002</v>
      </c>
      <c r="E19" s="48">
        <v>-63.773000000000003</v>
      </c>
      <c r="F19" s="48">
        <v>-59.01</v>
      </c>
      <c r="G19" s="48">
        <v>-107.52800000000001</v>
      </c>
      <c r="H19" s="48">
        <v>-59.883000000000003</v>
      </c>
      <c r="I19" s="48">
        <v>-40.110999999999997</v>
      </c>
      <c r="J19" s="48">
        <v>-22.849740000000001</v>
      </c>
      <c r="K19" s="48">
        <v>-21.765910000000002</v>
      </c>
    </row>
    <row r="20" spans="1:11" x14ac:dyDescent="0.2">
      <c r="A20" s="36" t="s">
        <v>129</v>
      </c>
      <c r="B20" s="37">
        <v>7.4550000000000001</v>
      </c>
      <c r="C20" s="37">
        <v>5.3079999999999998</v>
      </c>
      <c r="D20" s="37">
        <v>1.605</v>
      </c>
      <c r="E20" s="37">
        <v>0.61399999999999999</v>
      </c>
      <c r="F20" s="37">
        <v>2.383</v>
      </c>
      <c r="G20" s="37">
        <v>7.141</v>
      </c>
      <c r="H20" s="37">
        <v>6.8890000000000002</v>
      </c>
      <c r="I20" s="37">
        <v>7.3470000000000004</v>
      </c>
      <c r="J20" s="37">
        <v>20.386695</v>
      </c>
      <c r="K20" s="37">
        <v>21.641454</v>
      </c>
    </row>
    <row r="21" spans="1:11" x14ac:dyDescent="0.2">
      <c r="A21" s="38" t="s">
        <v>130</v>
      </c>
      <c r="B21" s="39">
        <v>7.4550000000000001</v>
      </c>
      <c r="C21" s="39">
        <v>5.3079999999999998</v>
      </c>
      <c r="D21" s="39">
        <v>1.605</v>
      </c>
      <c r="E21" s="39">
        <v>0.61399999999999999</v>
      </c>
      <c r="F21" s="39">
        <v>2.383</v>
      </c>
      <c r="G21" s="39">
        <v>7.141</v>
      </c>
      <c r="H21" s="39">
        <v>6.8890000000000002</v>
      </c>
      <c r="I21" s="39">
        <v>7.3470000000000004</v>
      </c>
      <c r="J21" s="39">
        <v>20.386695</v>
      </c>
      <c r="K21" s="39">
        <v>21.641454</v>
      </c>
    </row>
    <row r="22" spans="1:11" x14ac:dyDescent="0.2">
      <c r="A22" s="36" t="s">
        <v>131</v>
      </c>
      <c r="B22" s="37">
        <v>-1.28</v>
      </c>
      <c r="C22" s="37">
        <v>2.4380000000000002</v>
      </c>
      <c r="D22" s="37">
        <v>58.723999999999997</v>
      </c>
      <c r="E22" s="37">
        <v>0</v>
      </c>
      <c r="F22" s="37">
        <v>38.002000000000002</v>
      </c>
      <c r="G22" s="37">
        <v>3.4049999999999998</v>
      </c>
      <c r="H22" s="37">
        <v>0</v>
      </c>
      <c r="I22" s="37">
        <v>0</v>
      </c>
      <c r="J22" s="37">
        <v>0.50776900000000003</v>
      </c>
      <c r="K22" s="37">
        <v>36.609332000000002</v>
      </c>
    </row>
    <row r="23" spans="1:11" x14ac:dyDescent="0.2">
      <c r="A23" s="49" t="s">
        <v>132</v>
      </c>
      <c r="B23" s="34"/>
      <c r="C23" s="35">
        <v>0</v>
      </c>
      <c r="D23" s="35">
        <v>57.454000000000001</v>
      </c>
      <c r="E23" s="35">
        <v>0</v>
      </c>
      <c r="F23" s="35">
        <v>38.002000000000002</v>
      </c>
      <c r="G23" s="35">
        <v>3.4049999999999998</v>
      </c>
      <c r="H23" s="35">
        <v>0</v>
      </c>
      <c r="I23" s="35">
        <v>0</v>
      </c>
      <c r="J23" s="35">
        <v>7.4825739999999996</v>
      </c>
      <c r="K23" s="35">
        <v>36.609332000000002</v>
      </c>
    </row>
    <row r="24" spans="1:11" x14ac:dyDescent="0.2">
      <c r="A24" s="43" t="s">
        <v>133</v>
      </c>
      <c r="B24" s="44">
        <v>0</v>
      </c>
      <c r="C24" s="44">
        <v>0</v>
      </c>
      <c r="D24" s="44">
        <v>0</v>
      </c>
      <c r="E24" s="44">
        <v>0</v>
      </c>
      <c r="F24" s="44">
        <v>9.4019999999999992</v>
      </c>
      <c r="G24" s="44">
        <v>3.4049999999999998</v>
      </c>
      <c r="H24" s="44">
        <v>0</v>
      </c>
      <c r="I24" s="44">
        <v>0</v>
      </c>
      <c r="J24" s="44">
        <v>1.1771480000000001</v>
      </c>
      <c r="K24" s="44">
        <v>0</v>
      </c>
    </row>
    <row r="25" spans="1:11" x14ac:dyDescent="0.2">
      <c r="A25" s="41" t="s">
        <v>134</v>
      </c>
      <c r="B25" s="42"/>
      <c r="C25" s="39">
        <v>0</v>
      </c>
      <c r="D25" s="39">
        <v>57.454000000000001</v>
      </c>
      <c r="E25" s="39">
        <v>0</v>
      </c>
      <c r="F25" s="39">
        <v>28.6</v>
      </c>
      <c r="G25" s="42"/>
      <c r="H25" s="39">
        <v>0</v>
      </c>
      <c r="I25" s="39">
        <v>0</v>
      </c>
      <c r="J25" s="39">
        <v>6.3054259999999998</v>
      </c>
      <c r="K25" s="39">
        <v>36.609332000000002</v>
      </c>
    </row>
    <row r="26" spans="1:11" x14ac:dyDescent="0.2">
      <c r="A26" s="40" t="s">
        <v>135</v>
      </c>
      <c r="B26" s="37">
        <v>1.28</v>
      </c>
      <c r="C26" s="37">
        <v>-2.4380000000000002</v>
      </c>
      <c r="D26" s="37">
        <v>-1.27</v>
      </c>
      <c r="E26" s="45"/>
      <c r="F26" s="45"/>
      <c r="G26" s="45"/>
      <c r="H26" s="45"/>
      <c r="I26" s="45"/>
      <c r="J26" s="45"/>
      <c r="K26" s="45"/>
    </row>
    <row r="27" spans="1:11" x14ac:dyDescent="0.2">
      <c r="A27" s="41" t="s">
        <v>136</v>
      </c>
      <c r="B27" s="39">
        <v>1.28</v>
      </c>
      <c r="C27" s="48">
        <v>-2.4380000000000002</v>
      </c>
      <c r="D27" s="48">
        <v>-1.27</v>
      </c>
      <c r="E27" s="42"/>
      <c r="F27" s="42"/>
      <c r="G27" s="42"/>
      <c r="H27" s="42"/>
      <c r="I27" s="42"/>
      <c r="J27" s="42"/>
      <c r="K27" s="42"/>
    </row>
    <row r="28" spans="1:11" x14ac:dyDescent="0.2">
      <c r="A28" s="40" t="s">
        <v>137</v>
      </c>
      <c r="B28" s="45"/>
      <c r="C28" s="45"/>
      <c r="D28" s="45"/>
      <c r="E28" s="45"/>
      <c r="F28" s="45"/>
      <c r="G28" s="45"/>
      <c r="H28" s="37">
        <v>0</v>
      </c>
      <c r="I28" s="37">
        <v>0</v>
      </c>
      <c r="J28" s="37">
        <v>-6.9748049999999999</v>
      </c>
      <c r="K28" s="45"/>
    </row>
    <row r="29" spans="1:11" x14ac:dyDescent="0.2">
      <c r="A29" s="41" t="s">
        <v>138</v>
      </c>
      <c r="B29" s="42"/>
      <c r="C29" s="42"/>
      <c r="D29" s="42"/>
      <c r="E29" s="42"/>
      <c r="F29" s="42"/>
      <c r="G29" s="42"/>
      <c r="H29" s="39">
        <v>0</v>
      </c>
      <c r="I29" s="39">
        <v>0</v>
      </c>
      <c r="J29" s="48">
        <v>-6.9748049999999999</v>
      </c>
      <c r="K29" s="42"/>
    </row>
    <row r="30" spans="1:11" x14ac:dyDescent="0.2">
      <c r="A30" s="45" t="s">
        <v>139</v>
      </c>
      <c r="B30" s="37">
        <v>56.631</v>
      </c>
      <c r="C30" s="37">
        <v>115.502</v>
      </c>
      <c r="D30" s="37">
        <v>7.3860000000000001</v>
      </c>
      <c r="E30" s="37">
        <v>-68.436999999999998</v>
      </c>
      <c r="F30" s="37">
        <v>-134.5</v>
      </c>
      <c r="G30" s="37">
        <v>213.50399999999999</v>
      </c>
      <c r="H30" s="37">
        <v>225.11699999999999</v>
      </c>
      <c r="I30" s="37">
        <v>15.741</v>
      </c>
      <c r="J30" s="37">
        <v>-81.118977999999998</v>
      </c>
      <c r="K30" s="37">
        <v>-71.240253999999993</v>
      </c>
    </row>
    <row r="31" spans="1:11" x14ac:dyDescent="0.2">
      <c r="A31" s="46" t="s">
        <v>140</v>
      </c>
      <c r="B31" s="35">
        <v>22.716999999999999</v>
      </c>
      <c r="C31" s="35">
        <v>29.867999999999999</v>
      </c>
      <c r="D31" s="35">
        <v>5.3559999999999999</v>
      </c>
      <c r="E31" s="35">
        <v>-14.252000000000001</v>
      </c>
      <c r="F31" s="35">
        <v>-27.48</v>
      </c>
      <c r="G31" s="35">
        <v>50.494</v>
      </c>
      <c r="H31" s="35">
        <v>51.255000000000003</v>
      </c>
      <c r="I31" s="35">
        <v>3.1280000000000001</v>
      </c>
      <c r="J31" s="35">
        <v>-27.971582000000001</v>
      </c>
      <c r="K31" s="35">
        <v>-25.38757</v>
      </c>
    </row>
    <row r="32" spans="1:11" x14ac:dyDescent="0.2">
      <c r="A32" s="47" t="s">
        <v>141</v>
      </c>
      <c r="B32" s="33"/>
      <c r="C32" s="44">
        <v>2.028</v>
      </c>
      <c r="D32" s="44">
        <v>1.143</v>
      </c>
      <c r="E32" s="44">
        <v>3.5999999999999997E-2</v>
      </c>
      <c r="F32" s="50">
        <v>-27.103999999999999</v>
      </c>
      <c r="G32" s="44">
        <v>47.09</v>
      </c>
      <c r="H32" s="44">
        <v>1.5509999999999999</v>
      </c>
      <c r="I32" s="50">
        <v>-0.30199999999999999</v>
      </c>
      <c r="J32" s="44">
        <v>0</v>
      </c>
      <c r="K32" s="50">
        <v>-1.0924370000000001</v>
      </c>
    </row>
    <row r="33" spans="1:11" x14ac:dyDescent="0.2">
      <c r="A33" s="38" t="s">
        <v>142</v>
      </c>
      <c r="B33" s="42"/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8">
        <v>-22.176577999999999</v>
      </c>
    </row>
    <row r="34" spans="1:11" x14ac:dyDescent="0.2">
      <c r="A34" s="47" t="s">
        <v>143</v>
      </c>
      <c r="B34" s="33"/>
      <c r="C34" s="44">
        <v>27.84</v>
      </c>
      <c r="D34" s="44">
        <v>4.2130000000000001</v>
      </c>
      <c r="E34" s="50">
        <v>-14.288</v>
      </c>
      <c r="F34" s="50">
        <v>-0.376</v>
      </c>
      <c r="G34" s="44">
        <v>3.4039999999999999</v>
      </c>
      <c r="H34" s="44">
        <v>49.704000000000001</v>
      </c>
      <c r="I34" s="44">
        <v>3.43</v>
      </c>
      <c r="J34" s="50">
        <v>-27.971582000000001</v>
      </c>
      <c r="K34" s="50">
        <v>-0.35049400000000003</v>
      </c>
    </row>
    <row r="35" spans="1:11" x14ac:dyDescent="0.2">
      <c r="A35" s="38" t="s">
        <v>144</v>
      </c>
      <c r="B35" s="42"/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8">
        <v>-1.7680610000000001</v>
      </c>
    </row>
    <row r="36" spans="1:11" x14ac:dyDescent="0.2">
      <c r="A36" s="33" t="s">
        <v>145</v>
      </c>
      <c r="B36" s="44">
        <v>33.914000000000001</v>
      </c>
      <c r="C36" s="44">
        <v>85.634</v>
      </c>
      <c r="D36" s="44">
        <v>2.0299999999999998</v>
      </c>
      <c r="E36" s="50">
        <v>-54.185000000000002</v>
      </c>
      <c r="F36" s="50">
        <v>-107.02</v>
      </c>
      <c r="G36" s="44">
        <v>163.01</v>
      </c>
      <c r="H36" s="44">
        <v>173.86199999999999</v>
      </c>
      <c r="I36" s="44">
        <v>12.613</v>
      </c>
      <c r="J36" s="50">
        <v>-53.147396000000001</v>
      </c>
      <c r="K36" s="50">
        <v>-45.852684000000004</v>
      </c>
    </row>
    <row r="37" spans="1:11" x14ac:dyDescent="0.2">
      <c r="A37" s="34" t="s">
        <v>146</v>
      </c>
      <c r="B37" s="35">
        <v>33.914000000000001</v>
      </c>
      <c r="C37" s="35">
        <v>85.634</v>
      </c>
      <c r="D37" s="35">
        <v>2.0299999999999998</v>
      </c>
      <c r="E37" s="35">
        <v>-54.185000000000002</v>
      </c>
      <c r="F37" s="35">
        <v>-107.02</v>
      </c>
      <c r="G37" s="35">
        <v>163.01</v>
      </c>
      <c r="H37" s="35">
        <v>173.86199999999999</v>
      </c>
      <c r="I37" s="35">
        <v>12.613</v>
      </c>
      <c r="J37" s="35">
        <v>-53.147396000000001</v>
      </c>
      <c r="K37" s="35">
        <v>-45.852684000000004</v>
      </c>
    </row>
    <row r="38" spans="1:11" x14ac:dyDescent="0.2">
      <c r="A38" s="51" t="s">
        <v>147</v>
      </c>
      <c r="B38" s="44">
        <v>33.914000000000001</v>
      </c>
      <c r="C38" s="44">
        <v>85.634</v>
      </c>
      <c r="D38" s="44">
        <v>2.0299999999999998</v>
      </c>
      <c r="E38" s="50">
        <v>-54.185000000000002</v>
      </c>
      <c r="F38" s="50">
        <v>-107.02</v>
      </c>
      <c r="G38" s="44">
        <v>163.01</v>
      </c>
      <c r="H38" s="44">
        <v>173.86199999999999</v>
      </c>
      <c r="I38" s="44">
        <v>12.613</v>
      </c>
      <c r="J38" s="50">
        <v>-53.147396000000001</v>
      </c>
      <c r="K38" s="50">
        <v>-45.852684000000004</v>
      </c>
    </row>
    <row r="39" spans="1:11" x14ac:dyDescent="0.2">
      <c r="A39" s="34" t="s">
        <v>148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x14ac:dyDescent="0.2">
      <c r="A40" s="51" t="s">
        <v>149</v>
      </c>
      <c r="B40" s="52">
        <v>0.31060300000000002</v>
      </c>
      <c r="C40" s="52">
        <v>0.77009099999999997</v>
      </c>
      <c r="D40" s="52">
        <v>0.40337800000000001</v>
      </c>
      <c r="E40" s="53">
        <v>-0.52783599999999997</v>
      </c>
      <c r="F40" s="53">
        <v>-0.79757400000000001</v>
      </c>
      <c r="G40" s="52">
        <v>1.5941540000000001</v>
      </c>
      <c r="H40" s="52">
        <v>1.997358</v>
      </c>
      <c r="I40" s="52">
        <v>0.15848899999999999</v>
      </c>
      <c r="J40" s="53">
        <v>-0.65633900000000001</v>
      </c>
      <c r="K40" s="53">
        <v>-0.24357200000000001</v>
      </c>
    </row>
    <row r="41" spans="1:11" x14ac:dyDescent="0.2">
      <c r="A41" s="46" t="s">
        <v>150</v>
      </c>
      <c r="B41" s="54">
        <v>0.3034</v>
      </c>
      <c r="C41" s="54">
        <v>0.75780000000000003</v>
      </c>
      <c r="D41" s="54">
        <v>1.9199999999999998E-2</v>
      </c>
      <c r="E41" s="54">
        <v>-0.52780000000000005</v>
      </c>
      <c r="F41" s="54">
        <v>-1.0613999999999999</v>
      </c>
      <c r="G41" s="54">
        <v>1.6224000000000001</v>
      </c>
      <c r="H41" s="54">
        <v>2.0832000000000002</v>
      </c>
      <c r="I41" s="54">
        <v>0.17</v>
      </c>
      <c r="J41" s="54">
        <v>-0.66080000000000005</v>
      </c>
      <c r="K41" s="54">
        <v>-0.55220000000000002</v>
      </c>
    </row>
    <row r="42" spans="1:11" x14ac:dyDescent="0.2">
      <c r="A42" s="47" t="s">
        <v>151</v>
      </c>
      <c r="B42" s="52">
        <v>106.303</v>
      </c>
      <c r="C42" s="52">
        <v>113.004</v>
      </c>
      <c r="D42" s="52">
        <v>105.86799999999999</v>
      </c>
      <c r="E42" s="52">
        <v>102.655</v>
      </c>
      <c r="F42" s="52">
        <v>100.82899999999999</v>
      </c>
      <c r="G42" s="52">
        <v>100.47199999999999</v>
      </c>
      <c r="H42" s="52">
        <v>83.46</v>
      </c>
      <c r="I42" s="52">
        <v>76.370999999999995</v>
      </c>
      <c r="J42" s="52">
        <v>80.433949999999996</v>
      </c>
      <c r="K42" s="52">
        <v>83.039854000000005</v>
      </c>
    </row>
    <row r="43" spans="1:11" x14ac:dyDescent="0.2">
      <c r="A43" s="38" t="s">
        <v>152</v>
      </c>
      <c r="B43" s="55">
        <v>104.52432</v>
      </c>
      <c r="C43" s="55">
        <v>109.48328100000001</v>
      </c>
      <c r="D43" s="55">
        <v>114.51500799999999</v>
      </c>
      <c r="E43" s="55">
        <v>103.43717700000001</v>
      </c>
      <c r="F43" s="55">
        <v>100.91277700000001</v>
      </c>
      <c r="G43" s="55">
        <v>100.624099</v>
      </c>
      <c r="H43" s="55">
        <v>100.19012600000001</v>
      </c>
      <c r="I43" s="55">
        <v>83.039854000000005</v>
      </c>
      <c r="J43" s="55">
        <v>80.433949999999996</v>
      </c>
      <c r="K43" s="55">
        <v>83.039854000000005</v>
      </c>
    </row>
    <row r="44" spans="1:11" x14ac:dyDescent="0.2">
      <c r="A44" s="36" t="s">
        <v>153</v>
      </c>
      <c r="B44" s="56">
        <v>0.30149999999999999</v>
      </c>
      <c r="C44" s="56">
        <v>0.755</v>
      </c>
      <c r="D44" s="56">
        <v>1.9E-2</v>
      </c>
      <c r="E44" s="56">
        <v>-0.52780000000000005</v>
      </c>
      <c r="F44" s="56">
        <v>-1.0613999999999999</v>
      </c>
      <c r="G44" s="56">
        <v>1.5711999999999999</v>
      </c>
      <c r="H44" s="56">
        <v>1.9974000000000001</v>
      </c>
      <c r="I44" s="56">
        <v>0.16</v>
      </c>
      <c r="J44" s="56">
        <v>-0.66080000000000005</v>
      </c>
      <c r="K44" s="56">
        <v>-0.55220000000000002</v>
      </c>
    </row>
    <row r="45" spans="1:11" x14ac:dyDescent="0.2">
      <c r="A45" s="38" t="s">
        <v>154</v>
      </c>
      <c r="B45" s="55">
        <v>106.303</v>
      </c>
      <c r="C45" s="55">
        <v>113.416</v>
      </c>
      <c r="D45" s="55">
        <v>106.93899999999999</v>
      </c>
      <c r="E45" s="55">
        <v>102.655</v>
      </c>
      <c r="F45" s="55">
        <v>100.82899999999999</v>
      </c>
      <c r="G45" s="55">
        <v>103.75</v>
      </c>
      <c r="H45" s="55">
        <v>87.046000000000006</v>
      </c>
      <c r="I45" s="55">
        <v>79.582999999999998</v>
      </c>
      <c r="J45" s="55">
        <v>80.433949999999996</v>
      </c>
      <c r="K45" s="55">
        <v>83.039854000000005</v>
      </c>
    </row>
    <row r="46" spans="1:11" x14ac:dyDescent="0.2">
      <c r="A46" s="47" t="s">
        <v>152</v>
      </c>
      <c r="B46" s="52">
        <v>104.52432</v>
      </c>
      <c r="C46" s="52">
        <v>109.48328100000001</v>
      </c>
      <c r="D46" s="52">
        <v>114.51500799999999</v>
      </c>
      <c r="E46" s="52">
        <v>103.43717700000001</v>
      </c>
      <c r="F46" s="52">
        <v>100.91277700000001</v>
      </c>
      <c r="G46" s="52">
        <v>100.624099</v>
      </c>
      <c r="H46" s="52">
        <v>100.19012600000001</v>
      </c>
      <c r="I46" s="52">
        <v>83.039854000000005</v>
      </c>
      <c r="J46" s="52">
        <v>80.433949999999996</v>
      </c>
      <c r="K46" s="52">
        <v>83.039854000000005</v>
      </c>
    </row>
    <row r="47" spans="1:11" x14ac:dyDescent="0.2">
      <c r="A47" s="31" t="s">
        <v>155</v>
      </c>
      <c r="B47" s="42"/>
      <c r="C47" s="55">
        <v>80.224000000000004</v>
      </c>
      <c r="D47" s="55">
        <v>81.313000000000002</v>
      </c>
      <c r="E47" s="55">
        <v>82.213999999999999</v>
      </c>
      <c r="F47" s="55">
        <v>79.257000000000005</v>
      </c>
      <c r="G47" s="55">
        <v>75.033000000000001</v>
      </c>
      <c r="H47" s="55">
        <v>73.643000000000001</v>
      </c>
      <c r="I47" s="55">
        <v>63.744999999999997</v>
      </c>
      <c r="J47" s="55">
        <v>85.459000000000003</v>
      </c>
      <c r="K47" s="42"/>
    </row>
    <row r="48" spans="1:11" x14ac:dyDescent="0.2">
      <c r="A48" s="45" t="s">
        <v>156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</row>
    <row r="49" spans="1:11" x14ac:dyDescent="0.2">
      <c r="A49" s="46" t="s">
        <v>156</v>
      </c>
      <c r="B49" s="35">
        <v>310.71100000000001</v>
      </c>
      <c r="C49" s="35">
        <v>384.24400000000003</v>
      </c>
      <c r="D49" s="35">
        <v>285.12099999999998</v>
      </c>
      <c r="E49" s="35">
        <v>129.327</v>
      </c>
      <c r="F49" s="35">
        <v>118.185</v>
      </c>
      <c r="G49" s="35">
        <v>476.88200000000001</v>
      </c>
      <c r="H49" s="35">
        <v>380.642</v>
      </c>
      <c r="I49" s="35">
        <v>120.673</v>
      </c>
      <c r="J49" s="35">
        <v>8.0131599999999992</v>
      </c>
      <c r="K49" s="35">
        <v>60.756680000000003</v>
      </c>
    </row>
    <row r="50" spans="1:11" x14ac:dyDescent="0.2">
      <c r="A50" s="47" t="s">
        <v>157</v>
      </c>
      <c r="B50" s="44">
        <v>85.061999999999998</v>
      </c>
      <c r="C50" s="44">
        <v>203.358</v>
      </c>
      <c r="D50" s="44">
        <v>157.01300000000001</v>
      </c>
      <c r="E50" s="50">
        <v>-4.05</v>
      </c>
      <c r="F50" s="50">
        <v>-35.104999999999997</v>
      </c>
      <c r="G50" s="44">
        <v>331.57799999999997</v>
      </c>
      <c r="H50" s="44">
        <v>291.88900000000001</v>
      </c>
      <c r="I50" s="44">
        <v>63.198999999999998</v>
      </c>
      <c r="J50" s="50">
        <v>-37.374769999999998</v>
      </c>
      <c r="K50" s="44">
        <v>8.7764399999999991</v>
      </c>
    </row>
    <row r="51" spans="1:11" x14ac:dyDescent="0.2">
      <c r="A51" s="38" t="s">
        <v>119</v>
      </c>
      <c r="B51" s="39">
        <v>225.649</v>
      </c>
      <c r="C51" s="39">
        <v>180.886</v>
      </c>
      <c r="D51" s="39">
        <v>128.108</v>
      </c>
      <c r="E51" s="39">
        <v>133.37700000000001</v>
      </c>
      <c r="F51" s="39">
        <v>153.29</v>
      </c>
      <c r="G51" s="39">
        <v>145.304</v>
      </c>
      <c r="H51" s="39">
        <v>88.753</v>
      </c>
      <c r="I51" s="39">
        <v>57.473999999999997</v>
      </c>
      <c r="J51" s="39">
        <v>45.387929999999997</v>
      </c>
      <c r="K51" s="39">
        <v>51.980243999999999</v>
      </c>
    </row>
    <row r="52" spans="1:11" x14ac:dyDescent="0.2">
      <c r="A52" s="33" t="s">
        <v>158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 x14ac:dyDescent="0.2">
      <c r="A53" s="42" t="s">
        <v>159</v>
      </c>
      <c r="B53" s="55">
        <v>26.9</v>
      </c>
      <c r="C53" s="55">
        <v>6.6</v>
      </c>
      <c r="D53" s="55">
        <v>0.7</v>
      </c>
      <c r="E53" s="55">
        <v>0.3</v>
      </c>
      <c r="F53" s="55">
        <v>0.3</v>
      </c>
      <c r="G53" s="55">
        <v>0.4</v>
      </c>
      <c r="H53" s="55">
        <v>1.7</v>
      </c>
      <c r="I53" s="55">
        <v>1.4</v>
      </c>
      <c r="J53" s="55">
        <v>1.4</v>
      </c>
      <c r="K53" s="55">
        <v>1.4</v>
      </c>
    </row>
    <row r="54" spans="1:11" x14ac:dyDescent="0.2">
      <c r="A54" s="33" t="s">
        <v>160</v>
      </c>
      <c r="B54" s="52">
        <v>12.25764</v>
      </c>
      <c r="C54" s="52">
        <v>11.4155</v>
      </c>
      <c r="D54" s="52">
        <v>17.285990000000002</v>
      </c>
      <c r="E54" s="52">
        <v>8.4088700000000003</v>
      </c>
      <c r="F54" s="52">
        <v>6.6429999999999998</v>
      </c>
      <c r="G54" s="52">
        <v>5.6764799999999997</v>
      </c>
      <c r="H54" s="52">
        <v>161.56448</v>
      </c>
      <c r="I54" s="52">
        <v>7.4963100000000003</v>
      </c>
      <c r="J54" s="52">
        <v>1.049282</v>
      </c>
      <c r="K54" s="52">
        <v>0.74329400000000001</v>
      </c>
    </row>
    <row r="55" spans="1:11" x14ac:dyDescent="0.2">
      <c r="A55" s="42" t="s">
        <v>161</v>
      </c>
      <c r="B55" s="42"/>
      <c r="C55" s="57">
        <v>-0.1</v>
      </c>
      <c r="D55" s="57">
        <v>-0.3</v>
      </c>
      <c r="E55" s="42"/>
      <c r="F55" s="42"/>
      <c r="G55" s="42"/>
      <c r="H55" s="42"/>
      <c r="I55" s="42"/>
      <c r="J55" s="42"/>
      <c r="K55" s="42"/>
    </row>
    <row r="56" spans="1:11" x14ac:dyDescent="0.2">
      <c r="A56" s="33" t="s">
        <v>162</v>
      </c>
      <c r="B56" s="52">
        <v>40.114072</v>
      </c>
      <c r="C56" s="52">
        <v>25.859292</v>
      </c>
      <c r="D56" s="52">
        <v>72.515569999999997</v>
      </c>
      <c r="E56" s="33"/>
      <c r="F56" s="33"/>
      <c r="G56" s="52">
        <v>23.650141999999999</v>
      </c>
      <c r="H56" s="52">
        <v>22.768160999999999</v>
      </c>
      <c r="I56" s="52">
        <v>19.871673000000001</v>
      </c>
      <c r="J56" s="33"/>
      <c r="K56" s="33"/>
    </row>
    <row r="57" spans="1:11" x14ac:dyDescent="0.2">
      <c r="A57" s="58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ED0-E787-4A03-9F7B-50E087290D6A}">
  <dimension ref="A1:K55"/>
  <sheetViews>
    <sheetView topLeftCell="A8" workbookViewId="0">
      <selection activeCell="A2" sqref="A2"/>
    </sheetView>
  </sheetViews>
  <sheetFormatPr baseColWidth="10" defaultColWidth="9.1640625" defaultRowHeight="15" outlineLevelRow="3" x14ac:dyDescent="0.2"/>
  <cols>
    <col min="1" max="1" width="52.5" customWidth="1"/>
    <col min="2" max="2" width="7.83203125" customWidth="1"/>
    <col min="3" max="11" width="8" customWidth="1"/>
  </cols>
  <sheetData>
    <row r="1" spans="1:11" ht="15" customHeight="1" x14ac:dyDescent="0.2">
      <c r="A1" s="59" t="s">
        <v>164</v>
      </c>
    </row>
    <row r="2" spans="1:11" ht="15" customHeight="1" x14ac:dyDescent="0.2">
      <c r="A2" s="60" t="s">
        <v>165</v>
      </c>
    </row>
    <row r="3" spans="1:11" ht="15" customHeight="1" x14ac:dyDescent="0.2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1" ht="15" customHeight="1" x14ac:dyDescent="0.2"/>
    <row r="5" spans="1:11" ht="15" customHeight="1" x14ac:dyDescent="0.2">
      <c r="A5" s="32" t="s">
        <v>23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15" customHeight="1" x14ac:dyDescent="0.2">
      <c r="A6" s="32" t="s">
        <v>102</v>
      </c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ht="15" customHeight="1" x14ac:dyDescent="0.2">
      <c r="A7" s="32" t="s">
        <v>103</v>
      </c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1" ht="15" customHeight="1" x14ac:dyDescent="0.2">
      <c r="A8" s="32"/>
      <c r="B8" s="32" t="s">
        <v>104</v>
      </c>
      <c r="C8" s="32" t="s">
        <v>105</v>
      </c>
      <c r="D8" s="32" t="s">
        <v>106</v>
      </c>
      <c r="E8" s="32" t="s">
        <v>107</v>
      </c>
      <c r="F8" s="32" t="s">
        <v>108</v>
      </c>
      <c r="G8" s="32" t="s">
        <v>109</v>
      </c>
      <c r="H8" s="32" t="s">
        <v>110</v>
      </c>
      <c r="I8" s="32" t="s">
        <v>111</v>
      </c>
      <c r="J8" s="32" t="s">
        <v>112</v>
      </c>
      <c r="K8" s="32" t="s">
        <v>113</v>
      </c>
    </row>
    <row r="9" spans="1:11" ht="15" customHeight="1" x14ac:dyDescent="0.2">
      <c r="A9" s="32"/>
      <c r="B9" s="32" t="s">
        <v>114</v>
      </c>
      <c r="C9" s="32"/>
      <c r="D9" s="32"/>
      <c r="E9" s="32"/>
      <c r="F9" s="32"/>
      <c r="G9" s="32"/>
      <c r="H9" s="32"/>
      <c r="I9" s="32"/>
      <c r="J9" s="32"/>
      <c r="K9" s="32"/>
    </row>
    <row r="10" spans="1:11" ht="15" customHeight="1" x14ac:dyDescent="0.2">
      <c r="A10" s="33" t="s">
        <v>166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 ht="15" customHeight="1" x14ac:dyDescent="0.2">
      <c r="A11" s="34" t="s">
        <v>167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ht="15" customHeight="1" outlineLevel="1" x14ac:dyDescent="0.2">
      <c r="A12" s="51" t="s">
        <v>168</v>
      </c>
      <c r="B12" s="52">
        <v>33.914000000000001</v>
      </c>
      <c r="C12" s="52">
        <v>85.634</v>
      </c>
      <c r="D12" s="52">
        <v>2.0299999999999998</v>
      </c>
      <c r="E12" s="53">
        <v>-54.185000000000002</v>
      </c>
      <c r="F12" s="53">
        <v>-107.02</v>
      </c>
      <c r="G12" s="52">
        <v>163.01</v>
      </c>
      <c r="H12" s="52">
        <v>173.86199999999999</v>
      </c>
      <c r="I12" s="52">
        <v>12.613</v>
      </c>
      <c r="J12" s="53">
        <v>-53.147396000000001</v>
      </c>
      <c r="K12" s="53">
        <v>-45.852684000000004</v>
      </c>
    </row>
    <row r="13" spans="1:11" ht="15" customHeight="1" outlineLevel="1" x14ac:dyDescent="0.2">
      <c r="A13" s="46" t="s">
        <v>169</v>
      </c>
      <c r="B13" s="54">
        <v>186.92699999999999</v>
      </c>
      <c r="C13" s="54">
        <v>180.886</v>
      </c>
      <c r="D13" s="54">
        <v>128.108</v>
      </c>
      <c r="E13" s="54">
        <v>133.37700000000001</v>
      </c>
      <c r="F13" s="54">
        <v>153.29</v>
      </c>
      <c r="G13" s="54">
        <v>145.304</v>
      </c>
      <c r="H13" s="54">
        <v>88.753</v>
      </c>
      <c r="I13" s="54">
        <v>57.473999999999997</v>
      </c>
      <c r="J13" s="54">
        <v>43.541679000000002</v>
      </c>
      <c r="K13" s="54">
        <v>50.133992999999997</v>
      </c>
    </row>
    <row r="14" spans="1:11" ht="15" customHeight="1" outlineLevel="2" x14ac:dyDescent="0.2">
      <c r="A14" s="47" t="s">
        <v>170</v>
      </c>
      <c r="B14" s="33"/>
      <c r="C14" s="52">
        <v>175.18600000000001</v>
      </c>
      <c r="D14" s="52">
        <v>128.108</v>
      </c>
      <c r="E14" s="52">
        <v>133.37700000000001</v>
      </c>
      <c r="F14" s="52">
        <v>153.29</v>
      </c>
      <c r="G14" s="33"/>
      <c r="H14" s="33"/>
      <c r="I14" s="52">
        <v>55.328000000000003</v>
      </c>
      <c r="J14" s="52">
        <v>43.241678999999998</v>
      </c>
      <c r="K14" s="52">
        <v>49.833993</v>
      </c>
    </row>
    <row r="15" spans="1:11" ht="15" customHeight="1" outlineLevel="2" x14ac:dyDescent="0.2">
      <c r="A15" s="38" t="s">
        <v>171</v>
      </c>
      <c r="B15" s="42"/>
      <c r="C15" s="55">
        <v>5.7</v>
      </c>
      <c r="D15" s="42"/>
      <c r="E15" s="42"/>
      <c r="F15" s="42"/>
      <c r="G15" s="42"/>
      <c r="H15" s="42"/>
      <c r="I15" s="55">
        <v>2.1459999999999999</v>
      </c>
      <c r="J15" s="55">
        <v>0.3</v>
      </c>
      <c r="K15" s="55">
        <v>0.3</v>
      </c>
    </row>
    <row r="16" spans="1:11" ht="15" customHeight="1" outlineLevel="1" x14ac:dyDescent="0.2">
      <c r="A16" s="36" t="s">
        <v>172</v>
      </c>
      <c r="B16" s="56">
        <v>19.3</v>
      </c>
      <c r="C16" s="56">
        <v>27.84</v>
      </c>
      <c r="D16" s="56">
        <v>4.2130000000000001</v>
      </c>
      <c r="E16" s="56">
        <v>-14.288</v>
      </c>
      <c r="F16" s="56">
        <v>-27.701000000000001</v>
      </c>
      <c r="G16" s="56">
        <v>48.758000000000003</v>
      </c>
      <c r="H16" s="56">
        <v>49.704000000000001</v>
      </c>
      <c r="I16" s="56">
        <v>3.43</v>
      </c>
      <c r="J16" s="56">
        <v>-27.971582000000001</v>
      </c>
      <c r="K16" s="56">
        <v>-23.94464</v>
      </c>
    </row>
    <row r="17" spans="1:11" ht="15" customHeight="1" outlineLevel="2" x14ac:dyDescent="0.2">
      <c r="A17" s="38" t="s">
        <v>173</v>
      </c>
      <c r="B17" s="55">
        <v>19.3</v>
      </c>
      <c r="C17" s="55">
        <v>27.84</v>
      </c>
      <c r="D17" s="55">
        <v>4.2130000000000001</v>
      </c>
      <c r="E17" s="57">
        <v>-14.288</v>
      </c>
      <c r="F17" s="57">
        <v>-27.701000000000001</v>
      </c>
      <c r="G17" s="55">
        <v>48.758000000000003</v>
      </c>
      <c r="H17" s="55">
        <v>49.704000000000001</v>
      </c>
      <c r="I17" s="55">
        <v>3.43</v>
      </c>
      <c r="J17" s="57">
        <v>-27.971582000000001</v>
      </c>
      <c r="K17" s="57">
        <v>-23.94464</v>
      </c>
    </row>
    <row r="18" spans="1:11" ht="15" customHeight="1" outlineLevel="1" x14ac:dyDescent="0.2">
      <c r="A18" s="51" t="s">
        <v>174</v>
      </c>
      <c r="B18" s="52">
        <v>72.230999999999995</v>
      </c>
      <c r="C18" s="52">
        <v>90.396000000000001</v>
      </c>
      <c r="D18" s="52">
        <v>181.374</v>
      </c>
      <c r="E18" s="52">
        <v>76.989000000000004</v>
      </c>
      <c r="F18" s="52">
        <v>106.22799999999999</v>
      </c>
      <c r="G18" s="52">
        <v>119.483</v>
      </c>
      <c r="H18" s="52">
        <v>65.105000000000004</v>
      </c>
      <c r="I18" s="52">
        <v>51.726999999999997</v>
      </c>
      <c r="J18" s="52">
        <v>28.417424</v>
      </c>
      <c r="K18" s="52">
        <v>62.573762000000002</v>
      </c>
    </row>
    <row r="19" spans="1:11" ht="15" customHeight="1" outlineLevel="1" x14ac:dyDescent="0.2">
      <c r="A19" s="31" t="s">
        <v>175</v>
      </c>
      <c r="B19" s="55">
        <v>312.37200000000001</v>
      </c>
      <c r="C19" s="55">
        <v>384.75599999999997</v>
      </c>
      <c r="D19" s="55">
        <v>315.72500000000002</v>
      </c>
      <c r="E19" s="55">
        <v>141.893</v>
      </c>
      <c r="F19" s="55">
        <v>124.797</v>
      </c>
      <c r="G19" s="55">
        <v>476.55500000000001</v>
      </c>
      <c r="H19" s="55">
        <v>377.42399999999998</v>
      </c>
      <c r="I19" s="55">
        <v>125.244</v>
      </c>
      <c r="J19" s="57">
        <v>-9.1598749999999995</v>
      </c>
      <c r="K19" s="55">
        <v>42.910431000000003</v>
      </c>
    </row>
    <row r="20" spans="1:11" ht="15" customHeight="1" outlineLevel="1" x14ac:dyDescent="0.2">
      <c r="A20" s="36" t="s">
        <v>176</v>
      </c>
      <c r="B20" s="56">
        <v>55.119</v>
      </c>
      <c r="C20" s="56">
        <v>-10.013999999999999</v>
      </c>
      <c r="D20" s="56">
        <v>-15.295999999999999</v>
      </c>
      <c r="E20" s="56">
        <v>12.821</v>
      </c>
      <c r="F20" s="56">
        <v>14.327</v>
      </c>
      <c r="G20" s="56">
        <v>-21.265000000000001</v>
      </c>
      <c r="H20" s="56">
        <v>15.654999999999999</v>
      </c>
      <c r="I20" s="56">
        <v>-15.987</v>
      </c>
      <c r="J20" s="56">
        <v>19.817481999999998</v>
      </c>
      <c r="K20" s="56">
        <v>38.320290999999997</v>
      </c>
    </row>
    <row r="21" spans="1:11" ht="15" customHeight="1" outlineLevel="2" x14ac:dyDescent="0.2">
      <c r="A21" s="38" t="s">
        <v>177</v>
      </c>
      <c r="B21" s="55">
        <v>49.411000000000001</v>
      </c>
      <c r="C21" s="57">
        <v>-12.407999999999999</v>
      </c>
      <c r="D21" s="57">
        <v>-66.900000000000006</v>
      </c>
      <c r="E21" s="57">
        <v>-43.741999999999997</v>
      </c>
      <c r="F21" s="55">
        <v>127.491</v>
      </c>
      <c r="G21" s="57">
        <v>-10.177</v>
      </c>
      <c r="H21" s="57">
        <v>-3.3</v>
      </c>
      <c r="I21" s="57">
        <v>-84.477000000000004</v>
      </c>
      <c r="J21" s="57">
        <v>-24.888086999999999</v>
      </c>
      <c r="K21" s="55">
        <v>67.348445999999996</v>
      </c>
    </row>
    <row r="22" spans="1:11" ht="15" customHeight="1" outlineLevel="2" x14ac:dyDescent="0.2">
      <c r="A22" s="47" t="s">
        <v>178</v>
      </c>
      <c r="B22" s="53">
        <v>-0.26100000000000001</v>
      </c>
      <c r="C22" s="53">
        <v>-6.0170000000000003</v>
      </c>
      <c r="D22" s="52">
        <v>0.124</v>
      </c>
      <c r="E22" s="53">
        <v>-1.22</v>
      </c>
      <c r="F22" s="53">
        <v>-0.29299999999999998</v>
      </c>
      <c r="G22" s="52">
        <v>3.9169999999999998</v>
      </c>
      <c r="H22" s="53">
        <v>-0.16800000000000001</v>
      </c>
      <c r="I22" s="53">
        <v>-1.472</v>
      </c>
      <c r="J22" s="52">
        <v>3.859165</v>
      </c>
      <c r="K22" s="53">
        <v>-0.62249399999999999</v>
      </c>
    </row>
    <row r="23" spans="1:11" ht="15" customHeight="1" outlineLevel="2" x14ac:dyDescent="0.2">
      <c r="A23" s="38" t="s">
        <v>179</v>
      </c>
      <c r="B23" s="57">
        <v>-13.523</v>
      </c>
      <c r="C23" s="57">
        <v>-11.429</v>
      </c>
      <c r="D23" s="55">
        <v>27.428000000000001</v>
      </c>
      <c r="E23" s="55">
        <v>51.764000000000003</v>
      </c>
      <c r="F23" s="57">
        <v>-95.697000000000003</v>
      </c>
      <c r="G23" s="57">
        <v>-25.242000000000001</v>
      </c>
      <c r="H23" s="55">
        <v>9.7200000000000006</v>
      </c>
      <c r="I23" s="55">
        <v>64.227999999999994</v>
      </c>
      <c r="J23" s="55">
        <v>37.047562999999997</v>
      </c>
      <c r="K23" s="57">
        <v>-23.889408</v>
      </c>
    </row>
    <row r="24" spans="1:11" ht="15" customHeight="1" outlineLevel="2" x14ac:dyDescent="0.2">
      <c r="A24" s="47" t="s">
        <v>180</v>
      </c>
      <c r="B24" s="52">
        <v>23.11</v>
      </c>
      <c r="C24" s="52">
        <v>26.814</v>
      </c>
      <c r="D24" s="52">
        <v>22.954999999999998</v>
      </c>
      <c r="E24" s="52">
        <v>1.246</v>
      </c>
      <c r="F24" s="53">
        <v>-18.920999999999999</v>
      </c>
      <c r="G24" s="52">
        <v>13.271000000000001</v>
      </c>
      <c r="H24" s="52">
        <v>10.614000000000001</v>
      </c>
      <c r="I24" s="52">
        <v>2.8980000000000001</v>
      </c>
      <c r="J24" s="52">
        <v>4.4238309999999998</v>
      </c>
      <c r="K24" s="53">
        <v>-6.6064559999999997</v>
      </c>
    </row>
    <row r="25" spans="1:11" ht="15" customHeight="1" outlineLevel="2" x14ac:dyDescent="0.2">
      <c r="A25" s="38" t="s">
        <v>181</v>
      </c>
      <c r="B25" s="57">
        <v>-3.6179999999999999</v>
      </c>
      <c r="C25" s="57">
        <v>-6.9740000000000002</v>
      </c>
      <c r="D25" s="55">
        <v>1.097</v>
      </c>
      <c r="E25" s="55">
        <v>4.7729999999999997</v>
      </c>
      <c r="F25" s="55">
        <v>1.7470000000000001</v>
      </c>
      <c r="G25" s="57">
        <v>-3.0339999999999998</v>
      </c>
      <c r="H25" s="57">
        <v>-1.2110000000000001</v>
      </c>
      <c r="I25" s="55">
        <v>2.8359999999999999</v>
      </c>
      <c r="J25" s="57">
        <v>-0.62499000000000005</v>
      </c>
      <c r="K25" s="55">
        <v>2.0902029999999998</v>
      </c>
    </row>
    <row r="26" spans="1:11" ht="15" customHeight="1" outlineLevel="1" x14ac:dyDescent="0.2">
      <c r="A26" s="51" t="s">
        <v>182</v>
      </c>
      <c r="B26" s="52">
        <v>367.49099999999999</v>
      </c>
      <c r="C26" s="52">
        <v>374.74200000000002</v>
      </c>
      <c r="D26" s="52">
        <v>300.42899999999997</v>
      </c>
      <c r="E26" s="52">
        <v>154.714</v>
      </c>
      <c r="F26" s="52">
        <v>139.124</v>
      </c>
      <c r="G26" s="52">
        <v>455.29</v>
      </c>
      <c r="H26" s="52">
        <v>393.07900000000001</v>
      </c>
      <c r="I26" s="52">
        <v>109.25700000000001</v>
      </c>
      <c r="J26" s="52">
        <v>10.657607</v>
      </c>
      <c r="K26" s="52">
        <v>81.230722</v>
      </c>
    </row>
    <row r="27" spans="1:11" ht="15" customHeight="1" x14ac:dyDescent="0.2">
      <c r="A27" s="34" t="s">
        <v>183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5" customHeight="1" outlineLevel="1" x14ac:dyDescent="0.2">
      <c r="A28" s="36" t="s">
        <v>184</v>
      </c>
      <c r="B28" s="37">
        <v>-218.899</v>
      </c>
      <c r="C28" s="37">
        <v>-370.86900000000003</v>
      </c>
      <c r="D28" s="37">
        <v>-319.68299999999999</v>
      </c>
      <c r="E28" s="37">
        <v>-143.523</v>
      </c>
      <c r="F28" s="37">
        <v>-100.60299999999999</v>
      </c>
      <c r="G28" s="37">
        <v>-502.89400000000001</v>
      </c>
      <c r="H28" s="37">
        <v>-284.197</v>
      </c>
      <c r="I28" s="37">
        <v>-285.89100000000002</v>
      </c>
      <c r="J28" s="37">
        <v>-42.831884000000002</v>
      </c>
      <c r="K28" s="37">
        <v>-62.855418</v>
      </c>
    </row>
    <row r="29" spans="1:11" ht="15" customHeight="1" outlineLevel="2" x14ac:dyDescent="0.2">
      <c r="A29" s="38" t="s">
        <v>185</v>
      </c>
      <c r="B29" s="48">
        <v>-218.899</v>
      </c>
      <c r="C29" s="48">
        <v>-370.86900000000003</v>
      </c>
      <c r="D29" s="48">
        <v>-319.68299999999999</v>
      </c>
      <c r="E29" s="48">
        <v>-143.523</v>
      </c>
      <c r="F29" s="48">
        <v>-100.60299999999999</v>
      </c>
      <c r="G29" s="48">
        <v>-502.89400000000001</v>
      </c>
      <c r="H29" s="48">
        <v>-284.197</v>
      </c>
      <c r="I29" s="48">
        <v>-285.89100000000002</v>
      </c>
      <c r="J29" s="48">
        <v>-42.831884000000002</v>
      </c>
      <c r="K29" s="48">
        <v>-62.855418</v>
      </c>
    </row>
    <row r="30" spans="1:11" ht="15" customHeight="1" outlineLevel="1" x14ac:dyDescent="0.2">
      <c r="A30" s="51" t="s">
        <v>186</v>
      </c>
      <c r="B30" s="50">
        <v>-43.253</v>
      </c>
      <c r="C30" s="50">
        <v>-22.215</v>
      </c>
      <c r="D30" s="50">
        <v>-38.639000000000003</v>
      </c>
      <c r="E30" s="44">
        <v>0</v>
      </c>
      <c r="F30" s="44">
        <v>0</v>
      </c>
      <c r="G30" s="44">
        <v>0</v>
      </c>
      <c r="H30" s="33"/>
      <c r="I30" s="33"/>
      <c r="J30" s="33"/>
      <c r="K30" s="33"/>
    </row>
    <row r="31" spans="1:11" ht="15" customHeight="1" outlineLevel="1" x14ac:dyDescent="0.2">
      <c r="A31" s="31" t="s">
        <v>187</v>
      </c>
      <c r="B31" s="39">
        <v>8.8330000000000002</v>
      </c>
      <c r="C31" s="39">
        <v>8.9570000000000007</v>
      </c>
      <c r="D31" s="39">
        <v>8.577</v>
      </c>
      <c r="E31" s="39">
        <v>39.231000000000002</v>
      </c>
      <c r="F31" s="39">
        <v>6.3860000000000001</v>
      </c>
      <c r="G31" s="39">
        <v>7.5949999999999998</v>
      </c>
      <c r="H31" s="39">
        <v>3.593</v>
      </c>
      <c r="I31" s="39">
        <v>4.4219999999999997</v>
      </c>
      <c r="J31" s="39">
        <v>1.1442000000000001</v>
      </c>
      <c r="K31" s="39">
        <v>7.9045000000000004E-2</v>
      </c>
    </row>
    <row r="32" spans="1:11" ht="15" customHeight="1" outlineLevel="1" x14ac:dyDescent="0.2">
      <c r="A32" s="51" t="s">
        <v>188</v>
      </c>
      <c r="B32" s="50">
        <v>-253.31899999999999</v>
      </c>
      <c r="C32" s="50">
        <v>-384.12700000000001</v>
      </c>
      <c r="D32" s="50">
        <v>-349.745</v>
      </c>
      <c r="E32" s="50">
        <v>-104.292</v>
      </c>
      <c r="F32" s="50">
        <v>-94.216999999999999</v>
      </c>
      <c r="G32" s="50">
        <v>-495.29899999999998</v>
      </c>
      <c r="H32" s="50">
        <v>-280.60399999999998</v>
      </c>
      <c r="I32" s="50">
        <v>-281.46899999999999</v>
      </c>
      <c r="J32" s="50">
        <v>-41.687683999999997</v>
      </c>
      <c r="K32" s="50">
        <v>-62.776373</v>
      </c>
    </row>
    <row r="33" spans="1:11" ht="15" customHeight="1" x14ac:dyDescent="0.2">
      <c r="A33" s="34" t="s">
        <v>189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5" customHeight="1" outlineLevel="1" x14ac:dyDescent="0.2">
      <c r="A34" s="36" t="s">
        <v>190</v>
      </c>
      <c r="B34" s="56">
        <v>-79.763999999999996</v>
      </c>
      <c r="C34" s="56">
        <v>-51.738</v>
      </c>
      <c r="D34" s="56">
        <v>0.96299999999999997</v>
      </c>
      <c r="E34" s="56">
        <v>4.0170000000000003</v>
      </c>
      <c r="F34" s="56">
        <v>0</v>
      </c>
      <c r="G34" s="56">
        <v>1.1639999999999999</v>
      </c>
      <c r="H34" s="56">
        <v>0.247</v>
      </c>
      <c r="I34" s="56">
        <v>170.40100000000001</v>
      </c>
      <c r="J34" s="56">
        <v>0</v>
      </c>
      <c r="K34" s="56">
        <v>0</v>
      </c>
    </row>
    <row r="35" spans="1:11" ht="15" customHeight="1" outlineLevel="2" x14ac:dyDescent="0.2">
      <c r="A35" s="38" t="s">
        <v>191</v>
      </c>
      <c r="B35" s="57">
        <v>-79.763999999999996</v>
      </c>
      <c r="C35" s="57">
        <v>-51.738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</row>
    <row r="36" spans="1:11" ht="15" customHeight="1" outlineLevel="2" x14ac:dyDescent="0.2">
      <c r="A36" s="40" t="s">
        <v>192</v>
      </c>
      <c r="B36" s="56">
        <v>0</v>
      </c>
      <c r="C36" s="56">
        <v>0</v>
      </c>
      <c r="D36" s="56">
        <v>0.96299999999999997</v>
      </c>
      <c r="E36" s="56">
        <v>4.0170000000000003</v>
      </c>
      <c r="F36" s="56">
        <v>0</v>
      </c>
      <c r="G36" s="56">
        <v>1.1639999999999999</v>
      </c>
      <c r="H36" s="56">
        <v>0.247</v>
      </c>
      <c r="I36" s="56">
        <v>170.40100000000001</v>
      </c>
      <c r="J36" s="56">
        <v>0</v>
      </c>
      <c r="K36" s="56">
        <v>0</v>
      </c>
    </row>
    <row r="37" spans="1:11" ht="15" customHeight="1" outlineLevel="3" x14ac:dyDescent="0.2">
      <c r="A37" s="41" t="s">
        <v>193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170.40100000000001</v>
      </c>
      <c r="J37" s="55">
        <v>0</v>
      </c>
      <c r="K37" s="55">
        <v>0</v>
      </c>
    </row>
    <row r="38" spans="1:11" ht="15" customHeight="1" outlineLevel="3" x14ac:dyDescent="0.2">
      <c r="A38" s="43" t="s">
        <v>194</v>
      </c>
      <c r="B38" s="52">
        <v>0</v>
      </c>
      <c r="C38" s="52">
        <v>0</v>
      </c>
      <c r="D38" s="52">
        <v>0.96299999999999997</v>
      </c>
      <c r="E38" s="52">
        <v>4.0170000000000003</v>
      </c>
      <c r="F38" s="52">
        <v>0</v>
      </c>
      <c r="G38" s="52">
        <v>1.1639999999999999</v>
      </c>
      <c r="H38" s="52">
        <v>0.247</v>
      </c>
      <c r="I38" s="52">
        <v>0</v>
      </c>
      <c r="J38" s="52">
        <v>0</v>
      </c>
      <c r="K38" s="52">
        <v>0</v>
      </c>
    </row>
    <row r="39" spans="1:11" ht="15" customHeight="1" outlineLevel="1" x14ac:dyDescent="0.2">
      <c r="A39" s="46" t="s">
        <v>195</v>
      </c>
      <c r="B39" s="54">
        <v>-28.204999999999998</v>
      </c>
      <c r="C39" s="54">
        <v>9.1579999999999995</v>
      </c>
      <c r="D39" s="54">
        <v>29.175999999999998</v>
      </c>
      <c r="E39" s="54">
        <v>0</v>
      </c>
      <c r="F39" s="54">
        <v>-130.03</v>
      </c>
      <c r="G39" s="54">
        <v>59.728000000000002</v>
      </c>
      <c r="H39" s="54">
        <v>-5.3</v>
      </c>
      <c r="I39" s="54">
        <v>-108.154</v>
      </c>
      <c r="J39" s="54">
        <v>-41.295302</v>
      </c>
      <c r="K39" s="54">
        <v>-13.063454999999999</v>
      </c>
    </row>
    <row r="40" spans="1:11" ht="15" customHeight="1" outlineLevel="2" x14ac:dyDescent="0.2">
      <c r="A40" s="40" t="s">
        <v>196</v>
      </c>
      <c r="B40" s="56">
        <v>-28.204999999999998</v>
      </c>
      <c r="C40" s="56">
        <v>9.1579999999999995</v>
      </c>
      <c r="D40" s="56">
        <v>29.175999999999998</v>
      </c>
      <c r="E40" s="56">
        <v>0</v>
      </c>
      <c r="F40" s="56">
        <v>-130.03</v>
      </c>
      <c r="G40" s="56">
        <v>59.728000000000002</v>
      </c>
      <c r="H40" s="56">
        <v>-5.3</v>
      </c>
      <c r="I40" s="56">
        <v>-108.154</v>
      </c>
      <c r="J40" s="56">
        <v>-41.295302</v>
      </c>
      <c r="K40" s="56">
        <v>-13.063454999999999</v>
      </c>
    </row>
    <row r="41" spans="1:11" ht="15" customHeight="1" outlineLevel="3" x14ac:dyDescent="0.2">
      <c r="A41" s="41" t="s">
        <v>197</v>
      </c>
      <c r="B41" s="55">
        <v>0</v>
      </c>
      <c r="C41" s="55">
        <v>28.821000000000002</v>
      </c>
      <c r="D41" s="55">
        <v>29.175999999999998</v>
      </c>
      <c r="E41" s="55">
        <v>0</v>
      </c>
      <c r="F41" s="55">
        <v>0</v>
      </c>
      <c r="G41" s="55">
        <v>110</v>
      </c>
      <c r="H41" s="55">
        <v>75.646000000000001</v>
      </c>
      <c r="I41" s="55">
        <v>58.392000000000003</v>
      </c>
      <c r="J41" s="55">
        <v>0</v>
      </c>
      <c r="K41" s="55">
        <v>60.718299999999999</v>
      </c>
    </row>
    <row r="42" spans="1:11" ht="15" customHeight="1" outlineLevel="3" x14ac:dyDescent="0.2">
      <c r="A42" s="43" t="s">
        <v>198</v>
      </c>
      <c r="B42" s="53">
        <v>-28.204999999999998</v>
      </c>
      <c r="C42" s="53">
        <v>-19.663</v>
      </c>
      <c r="D42" s="52">
        <v>0</v>
      </c>
      <c r="E42" s="52">
        <v>0</v>
      </c>
      <c r="F42" s="53">
        <v>-130.03</v>
      </c>
      <c r="G42" s="53">
        <v>-50.271999999999998</v>
      </c>
      <c r="H42" s="53">
        <v>-80.945999999999998</v>
      </c>
      <c r="I42" s="53">
        <v>-166.54599999999999</v>
      </c>
      <c r="J42" s="53">
        <v>-41.295302</v>
      </c>
      <c r="K42" s="53">
        <v>-73.781755000000004</v>
      </c>
    </row>
    <row r="43" spans="1:11" ht="15" customHeight="1" outlineLevel="1" x14ac:dyDescent="0.2">
      <c r="A43" s="46" t="s">
        <v>174</v>
      </c>
      <c r="B43" s="54">
        <v>-1.43</v>
      </c>
      <c r="C43" s="54">
        <v>-3.5430000000000001</v>
      </c>
      <c r="D43" s="54">
        <v>-3.879</v>
      </c>
      <c r="E43" s="54">
        <v>-11.292999999999999</v>
      </c>
      <c r="F43" s="54">
        <v>4.859</v>
      </c>
      <c r="G43" s="54">
        <v>-4.5469999999999997</v>
      </c>
      <c r="H43" s="54">
        <v>1.329</v>
      </c>
      <c r="I43" s="54">
        <v>0.318</v>
      </c>
      <c r="J43" s="54">
        <v>171.750201</v>
      </c>
      <c r="K43" s="54">
        <v>-2.152209</v>
      </c>
    </row>
    <row r="44" spans="1:11" ht="15" customHeight="1" outlineLevel="2" x14ac:dyDescent="0.2">
      <c r="A44" s="47" t="s">
        <v>199</v>
      </c>
      <c r="B44" s="53">
        <v>-1.43</v>
      </c>
      <c r="C44" s="53">
        <v>-3.5430000000000001</v>
      </c>
      <c r="D44" s="53">
        <v>-3.879</v>
      </c>
      <c r="E44" s="53">
        <v>-11.292999999999999</v>
      </c>
      <c r="F44" s="53">
        <v>-1.962</v>
      </c>
      <c r="G44" s="53">
        <v>-4.5469999999999997</v>
      </c>
      <c r="H44" s="53">
        <v>-4.4950000000000001</v>
      </c>
      <c r="I44" s="53">
        <v>-3.8069999999999999</v>
      </c>
      <c r="J44" s="53">
        <v>-42.801400000000001</v>
      </c>
      <c r="K44" s="53">
        <v>-6.2573420000000004</v>
      </c>
    </row>
    <row r="45" spans="1:11" ht="15" customHeight="1" outlineLevel="2" x14ac:dyDescent="0.2">
      <c r="A45" s="38" t="s">
        <v>200</v>
      </c>
      <c r="B45" s="55">
        <v>0</v>
      </c>
      <c r="C45" s="55">
        <v>0</v>
      </c>
      <c r="D45" s="55">
        <v>0</v>
      </c>
      <c r="E45" s="55">
        <v>0</v>
      </c>
      <c r="F45" s="55">
        <v>6.8209999999999997</v>
      </c>
      <c r="G45" s="55">
        <v>0</v>
      </c>
      <c r="H45" s="55">
        <v>5.8239999999999998</v>
      </c>
      <c r="I45" s="55">
        <v>4.125</v>
      </c>
      <c r="J45" s="55">
        <v>214.55160100000001</v>
      </c>
      <c r="K45" s="55">
        <v>4.1051330000000004</v>
      </c>
    </row>
    <row r="46" spans="1:11" ht="15" customHeight="1" outlineLevel="1" x14ac:dyDescent="0.2">
      <c r="A46" s="51" t="s">
        <v>201</v>
      </c>
      <c r="B46" s="53">
        <v>-109.399</v>
      </c>
      <c r="C46" s="53">
        <v>-46.122999999999998</v>
      </c>
      <c r="D46" s="52">
        <v>26.26</v>
      </c>
      <c r="E46" s="53">
        <v>-7.2759999999999998</v>
      </c>
      <c r="F46" s="53">
        <v>-125.17100000000001</v>
      </c>
      <c r="G46" s="52">
        <v>56.344999999999999</v>
      </c>
      <c r="H46" s="53">
        <v>-3.7240000000000002</v>
      </c>
      <c r="I46" s="52">
        <v>62.564999999999998</v>
      </c>
      <c r="J46" s="52">
        <v>130.31535600000001</v>
      </c>
      <c r="K46" s="53">
        <v>-15.215664</v>
      </c>
    </row>
    <row r="47" spans="1:11" ht="15" customHeight="1" x14ac:dyDescent="0.2">
      <c r="A47" s="34" t="s">
        <v>202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ht="15" customHeight="1" outlineLevel="1" x14ac:dyDescent="0.2">
      <c r="A48" s="51" t="s">
        <v>203</v>
      </c>
      <c r="B48" s="52">
        <v>4.7729999999999997</v>
      </c>
      <c r="C48" s="53">
        <v>-55.508000000000003</v>
      </c>
      <c r="D48" s="53">
        <v>-23.056000000000001</v>
      </c>
      <c r="E48" s="52">
        <v>43.146000000000001</v>
      </c>
      <c r="F48" s="53">
        <v>-80.263999999999996</v>
      </c>
      <c r="G48" s="52">
        <v>16.335999999999999</v>
      </c>
      <c r="H48" s="52">
        <v>108.751</v>
      </c>
      <c r="I48" s="53">
        <v>-109.64700000000001</v>
      </c>
      <c r="J48" s="52">
        <v>99.285279000000003</v>
      </c>
      <c r="K48" s="52">
        <v>3.2386849999999998</v>
      </c>
    </row>
    <row r="49" spans="1:11" ht="15" customHeight="1" outlineLevel="1" x14ac:dyDescent="0.2">
      <c r="A49" s="46" t="s">
        <v>204</v>
      </c>
      <c r="B49" s="54">
        <v>148.59200000000001</v>
      </c>
      <c r="C49" s="54">
        <v>3.8730000000000002</v>
      </c>
      <c r="D49" s="54">
        <v>-19.254000000000001</v>
      </c>
      <c r="E49" s="54">
        <v>11.191000000000001</v>
      </c>
      <c r="F49" s="54">
        <v>38.521000000000001</v>
      </c>
      <c r="G49" s="54">
        <v>-47.603999999999999</v>
      </c>
      <c r="H49" s="54">
        <v>108.88200000000001</v>
      </c>
      <c r="I49" s="54">
        <v>-176.63399999999999</v>
      </c>
      <c r="J49" s="54">
        <v>-32.174280000000003</v>
      </c>
      <c r="K49" s="54">
        <v>18.375299999999999</v>
      </c>
    </row>
    <row r="50" spans="1:11" ht="15" customHeight="1" outlineLevel="2" x14ac:dyDescent="0.2">
      <c r="A50" s="47" t="s">
        <v>205</v>
      </c>
      <c r="B50" s="52">
        <v>1.3978159999999999</v>
      </c>
      <c r="C50" s="52">
        <v>3.4148999999999999E-2</v>
      </c>
      <c r="D50" s="53">
        <v>-0.18004700000000001</v>
      </c>
      <c r="E50" s="52">
        <v>0.109016</v>
      </c>
      <c r="F50" s="52">
        <v>0.38204300000000002</v>
      </c>
      <c r="G50" s="53">
        <v>-0.45883400000000002</v>
      </c>
      <c r="H50" s="52">
        <v>1.250856</v>
      </c>
      <c r="I50" s="53">
        <v>-2.2194940000000001</v>
      </c>
      <c r="J50" s="53">
        <v>-0.400009</v>
      </c>
      <c r="K50" s="52">
        <v>0.22128300000000001</v>
      </c>
    </row>
    <row r="51" spans="1:11" ht="15" customHeight="1" outlineLevel="2" x14ac:dyDescent="0.2">
      <c r="A51" s="38" t="s">
        <v>206</v>
      </c>
      <c r="B51" s="55">
        <v>16.122440999999998</v>
      </c>
      <c r="C51" s="55">
        <v>0.407501</v>
      </c>
      <c r="D51" s="57">
        <v>-1.7362249999999999</v>
      </c>
      <c r="E51" s="55">
        <v>1.345872</v>
      </c>
      <c r="F51" s="55">
        <v>5.1697280000000001</v>
      </c>
      <c r="G51" s="57">
        <v>-4.0785220000000004</v>
      </c>
      <c r="H51" s="55">
        <v>10.153051</v>
      </c>
      <c r="I51" s="57">
        <v>-11.009395</v>
      </c>
      <c r="J51" s="42"/>
      <c r="K51" s="42"/>
    </row>
    <row r="52" spans="1:11" ht="15" customHeight="1" x14ac:dyDescent="0.2">
      <c r="A52" s="33" t="s">
        <v>158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 ht="15" customHeight="1" x14ac:dyDescent="0.2">
      <c r="A53" s="42" t="s">
        <v>207</v>
      </c>
      <c r="B53" s="42"/>
      <c r="C53" s="55">
        <v>4.5640000000000001</v>
      </c>
      <c r="D53" s="55">
        <v>0.46700000000000003</v>
      </c>
      <c r="E53" s="55">
        <v>7.1999999999999995E-2</v>
      </c>
      <c r="F53" s="55">
        <v>2.2069999999999999</v>
      </c>
      <c r="G53" s="55">
        <v>6.4329999999999998</v>
      </c>
      <c r="H53" s="55">
        <v>5.0679999999999996</v>
      </c>
      <c r="I53" s="55">
        <v>3.9660000000000002</v>
      </c>
      <c r="J53" s="55">
        <v>18.248687</v>
      </c>
      <c r="K53" s="55">
        <v>20.531410000000001</v>
      </c>
    </row>
    <row r="54" spans="1:11" ht="15" customHeight="1" x14ac:dyDescent="0.2">
      <c r="A54" s="33" t="s">
        <v>208</v>
      </c>
      <c r="B54" s="33"/>
      <c r="C54" s="52">
        <v>1.1100000000000001</v>
      </c>
      <c r="D54" s="52">
        <v>0.129</v>
      </c>
      <c r="E54" s="52">
        <v>0.19600000000000001</v>
      </c>
      <c r="F54" s="52">
        <v>1.786</v>
      </c>
      <c r="G54" s="52">
        <v>1.018</v>
      </c>
      <c r="H54" s="52">
        <v>0</v>
      </c>
      <c r="I54" s="52">
        <v>0</v>
      </c>
      <c r="J54" s="52">
        <v>2.8969999999999998E-3</v>
      </c>
      <c r="K54" s="52">
        <v>1.2951729999999999</v>
      </c>
    </row>
    <row r="55" spans="1:11" ht="15" customHeight="1" x14ac:dyDescent="0.2">
      <c r="A55" s="58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569D-C151-4D10-AD1C-A91B76252C66}">
  <dimension ref="A1:H8"/>
  <sheetViews>
    <sheetView zoomScale="105" workbookViewId="0">
      <selection activeCell="E12" sqref="E12"/>
    </sheetView>
  </sheetViews>
  <sheetFormatPr baseColWidth="10" defaultColWidth="8.83203125" defaultRowHeight="15" x14ac:dyDescent="0.2"/>
  <cols>
    <col min="1" max="1" width="11.83203125" customWidth="1"/>
    <col min="4" max="4" width="12.83203125" customWidth="1"/>
    <col min="5" max="5" width="8.33203125" bestFit="1" customWidth="1"/>
    <col min="6" max="6" width="10.5" customWidth="1"/>
    <col min="7" max="7" width="10.33203125" customWidth="1"/>
    <col min="8" max="8" width="10.6640625" customWidth="1"/>
  </cols>
  <sheetData>
    <row r="1" spans="1:8" ht="22" x14ac:dyDescent="0.3">
      <c r="A1" s="14" t="s">
        <v>2</v>
      </c>
    </row>
    <row r="2" spans="1:8" ht="16" x14ac:dyDescent="0.2">
      <c r="A2" s="4" t="s">
        <v>75</v>
      </c>
    </row>
    <row r="3" spans="1:8" x14ac:dyDescent="0.2">
      <c r="A3" s="15" t="s">
        <v>1</v>
      </c>
    </row>
    <row r="5" spans="1:8" s="12" customFormat="1" ht="30" x14ac:dyDescent="0.2">
      <c r="B5" s="29" t="s">
        <v>82</v>
      </c>
      <c r="C5" s="29" t="s">
        <v>83</v>
      </c>
      <c r="D5" s="29" t="s">
        <v>76</v>
      </c>
      <c r="E5" s="29" t="s">
        <v>77</v>
      </c>
      <c r="F5" s="29" t="s">
        <v>78</v>
      </c>
      <c r="G5" s="29" t="s">
        <v>84</v>
      </c>
      <c r="H5" s="29" t="s">
        <v>79</v>
      </c>
    </row>
    <row r="6" spans="1:8" x14ac:dyDescent="0.2">
      <c r="A6" t="s">
        <v>85</v>
      </c>
      <c r="B6" s="26">
        <f>'Comp Plugs'!L2</f>
        <v>1534.4</v>
      </c>
      <c r="C6" s="22">
        <f>Comps!H19</f>
        <v>0.8098255929618251</v>
      </c>
      <c r="D6" s="26">
        <f>C6*B6</f>
        <v>1242.5963898406246</v>
      </c>
      <c r="E6">
        <v>-107.5</v>
      </c>
      <c r="F6" s="26">
        <f>D6+E6</f>
        <v>1135.0963898406246</v>
      </c>
      <c r="G6">
        <v>108.9</v>
      </c>
      <c r="H6" s="30">
        <f>F6/G6</f>
        <v>10.423290999454771</v>
      </c>
    </row>
    <row r="7" spans="1:8" x14ac:dyDescent="0.2">
      <c r="A7" t="s">
        <v>80</v>
      </c>
      <c r="B7" s="26">
        <f>'Comp Plugs'!O2</f>
        <v>310.7</v>
      </c>
      <c r="C7" s="22">
        <f>Comps!M19</f>
        <v>3.4955905162862839</v>
      </c>
      <c r="D7" s="26">
        <f t="shared" ref="D7:D8" si="0">C7*B7</f>
        <v>1086.0799734101483</v>
      </c>
      <c r="E7">
        <v>-107.5</v>
      </c>
      <c r="F7" s="26">
        <f t="shared" ref="F7:F8" si="1">D7+E7</f>
        <v>978.57997341014834</v>
      </c>
      <c r="G7">
        <v>108.9</v>
      </c>
      <c r="H7" s="30">
        <f t="shared" ref="H7:H8" si="2">F7/G7</f>
        <v>8.986041996420095</v>
      </c>
    </row>
    <row r="8" spans="1:8" x14ac:dyDescent="0.2">
      <c r="A8" t="s">
        <v>81</v>
      </c>
      <c r="B8" s="26">
        <f>'Comp Plugs'!R2</f>
        <v>85.1</v>
      </c>
      <c r="C8" s="22">
        <f>Comps!R19</f>
        <v>6.2839965694682682</v>
      </c>
      <c r="D8" s="26">
        <f t="shared" si="0"/>
        <v>534.76810806174956</v>
      </c>
      <c r="E8">
        <v>-107.5</v>
      </c>
      <c r="F8" s="26">
        <f t="shared" si="1"/>
        <v>427.26810806174956</v>
      </c>
      <c r="G8">
        <v>108.9</v>
      </c>
      <c r="H8" s="30">
        <f t="shared" si="2"/>
        <v>3.923490432155643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342c2fd-5339-4b54-8027-d4b76eb363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C8F225D8340418B7AD505E630E627" ma:contentTypeVersion="8" ma:contentTypeDescription="Create a new document." ma:contentTypeScope="" ma:versionID="57269d44aa14cbeb1137b1cd9a985637">
  <xsd:schema xmlns:xsd="http://www.w3.org/2001/XMLSchema" xmlns:xs="http://www.w3.org/2001/XMLSchema" xmlns:p="http://schemas.microsoft.com/office/2006/metadata/properties" xmlns:ns3="0342c2fd-5339-4b54-8027-d4b76eb363bd" targetNamespace="http://schemas.microsoft.com/office/2006/metadata/properties" ma:root="true" ma:fieldsID="ada798b50ecaced9822b15227bda4952" ns3:_="">
    <xsd:import namespace="0342c2fd-5339-4b54-8027-d4b76eb36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2c2fd-5339-4b54-8027-d4b76eb363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FCA45F-83DA-4BD7-936E-9239E39B41A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0342c2fd-5339-4b54-8027-d4b76eb363bd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753698-3C86-4F69-AAC8-305FE50B1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DFA5E-DC48-414B-9671-3F2550B15A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2c2fd-5339-4b54-8027-d4b76eb36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DCF Output</vt:lpstr>
      <vt:lpstr>Comp Plugs</vt:lpstr>
      <vt:lpstr>Comps</vt:lpstr>
      <vt:lpstr>DCF</vt:lpstr>
      <vt:lpstr>Assumptions</vt:lpstr>
      <vt:lpstr>BS</vt:lpstr>
      <vt:lpstr>Income</vt:lpstr>
      <vt:lpstr>CF</vt:lpstr>
      <vt:lpstr>Comp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Anna</dc:creator>
  <cp:lastModifiedBy>Zhu, Anna</cp:lastModifiedBy>
  <dcterms:created xsi:type="dcterms:W3CDTF">2024-08-22T18:22:53Z</dcterms:created>
  <dcterms:modified xsi:type="dcterms:W3CDTF">2024-09-03T01:39:23Z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0x010100955C8F225D8340418B7AD505E630E627</vt:lpwstr>
  </property>
</Properties>
</file>