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k47/Desktop/China Paper/GPS2_China/Data and Scripts/"/>
    </mc:Choice>
  </mc:AlternateContent>
  <xr:revisionPtr revIDLastSave="0" documentId="8_{DF95DA74-6810-874D-BEDF-EA3A85A08CD6}" xr6:coauthVersionLast="47" xr6:coauthVersionMax="47" xr10:uidLastSave="{00000000-0000-0000-0000-000000000000}"/>
  <bookViews>
    <workbookView xWindow="0" yWindow="760" windowWidth="30240" windowHeight="17000" activeTab="5" xr2:uid="{00000000-000D-0000-FFFF-FFFF00000000}"/>
  </bookViews>
  <sheets>
    <sheet name="S1" sheetId="5" r:id="rId1"/>
    <sheet name="S2" sheetId="7" r:id="rId2"/>
    <sheet name="S3" sheetId="8" r:id="rId3"/>
    <sheet name="S4" sheetId="9" r:id="rId4"/>
    <sheet name="S5" sheetId="10" r:id="rId5"/>
    <sheet name="S6" sheetId="11" r:id="rId6"/>
    <sheet name="S7" sheetId="12" r:id="rId7"/>
    <sheet name="S8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Q10" i="8"/>
  <c r="Q11" i="8"/>
  <c r="Q12" i="8"/>
  <c r="Q4" i="8"/>
  <c r="P13" i="8"/>
  <c r="P5" i="8"/>
  <c r="P6" i="8"/>
  <c r="P7" i="8"/>
  <c r="P8" i="8"/>
  <c r="P10" i="8"/>
  <c r="P11" i="8"/>
  <c r="P12" i="8"/>
  <c r="P4" i="8"/>
  <c r="O5" i="8"/>
  <c r="O6" i="8"/>
  <c r="O7" i="8"/>
  <c r="O8" i="8"/>
  <c r="O10" i="8"/>
  <c r="O11" i="8"/>
  <c r="O12" i="8"/>
  <c r="O4" i="8"/>
  <c r="G13" i="8"/>
  <c r="G12" i="8"/>
  <c r="G5" i="8"/>
  <c r="G6" i="8"/>
  <c r="G7" i="8"/>
  <c r="G8" i="8"/>
  <c r="G9" i="8"/>
  <c r="G10" i="8"/>
  <c r="G11" i="8"/>
  <c r="G4" i="8"/>
  <c r="F11" i="7"/>
  <c r="F7" i="7"/>
  <c r="F6" i="7"/>
  <c r="F5" i="7"/>
  <c r="F4" i="7"/>
  <c r="L14" i="14"/>
  <c r="L13" i="14"/>
  <c r="L12" i="14"/>
  <c r="L11" i="14"/>
  <c r="L10" i="14"/>
  <c r="L9" i="14"/>
  <c r="L8" i="14"/>
  <c r="L7" i="14"/>
  <c r="L6" i="14"/>
  <c r="L5" i="14"/>
  <c r="L4" i="14"/>
  <c r="L3" i="14"/>
  <c r="K14" i="14"/>
  <c r="J14" i="14"/>
  <c r="I14" i="14"/>
  <c r="H14" i="14"/>
  <c r="F14" i="14"/>
  <c r="D14" i="14"/>
  <c r="C14" i="14"/>
  <c r="B14" i="14"/>
  <c r="K13" i="14"/>
  <c r="J13" i="14"/>
  <c r="I13" i="14"/>
  <c r="H13" i="14"/>
  <c r="F13" i="14"/>
  <c r="E13" i="14"/>
  <c r="D13" i="14"/>
  <c r="C13" i="14"/>
  <c r="B13" i="14"/>
  <c r="K12" i="14"/>
  <c r="J12" i="14"/>
  <c r="I12" i="14"/>
  <c r="H12" i="14"/>
  <c r="F12" i="14"/>
  <c r="D12" i="14"/>
  <c r="C12" i="14"/>
  <c r="K11" i="14"/>
  <c r="J11" i="14"/>
  <c r="I11" i="14"/>
  <c r="H11" i="14"/>
  <c r="F11" i="14"/>
  <c r="D11" i="14"/>
  <c r="B11" i="14"/>
  <c r="K10" i="14"/>
  <c r="J10" i="14"/>
  <c r="I10" i="14"/>
  <c r="H10" i="14"/>
  <c r="F10" i="14"/>
  <c r="D10" i="14"/>
  <c r="B10" i="14"/>
  <c r="K9" i="14"/>
  <c r="J9" i="14"/>
  <c r="I9" i="14"/>
  <c r="H9" i="14"/>
  <c r="F9" i="14"/>
  <c r="D9" i="14"/>
  <c r="B9" i="14"/>
  <c r="K8" i="14"/>
  <c r="J8" i="14"/>
  <c r="I8" i="14"/>
  <c r="H8" i="14"/>
  <c r="F8" i="14"/>
  <c r="D8" i="14"/>
  <c r="B8" i="14"/>
  <c r="K7" i="14"/>
  <c r="J7" i="14"/>
  <c r="I7" i="14"/>
  <c r="H7" i="14"/>
  <c r="F7" i="14"/>
  <c r="D7" i="14"/>
  <c r="B7" i="14"/>
  <c r="K6" i="14"/>
  <c r="J6" i="14"/>
  <c r="I6" i="14"/>
  <c r="H6" i="14"/>
  <c r="F6" i="14"/>
  <c r="D6" i="14"/>
  <c r="B6" i="14"/>
  <c r="K5" i="14"/>
  <c r="J5" i="14"/>
  <c r="I5" i="14"/>
  <c r="H5" i="14"/>
  <c r="F5" i="14"/>
  <c r="D5" i="14"/>
  <c r="B5" i="14"/>
  <c r="K4" i="14"/>
  <c r="J4" i="14"/>
  <c r="I4" i="14"/>
  <c r="H4" i="14"/>
  <c r="F4" i="14"/>
  <c r="D4" i="14"/>
  <c r="B4" i="14"/>
  <c r="K3" i="14"/>
  <c r="J3" i="14"/>
  <c r="I3" i="14"/>
  <c r="H3" i="14"/>
  <c r="F3" i="14"/>
  <c r="D3" i="14"/>
  <c r="B3" i="14"/>
  <c r="L14" i="12"/>
  <c r="L13" i="12"/>
  <c r="L12" i="12"/>
  <c r="L11" i="12"/>
  <c r="L10" i="12"/>
  <c r="L9" i="12"/>
  <c r="L8" i="12"/>
  <c r="L7" i="12"/>
  <c r="L6" i="12"/>
  <c r="L5" i="12"/>
  <c r="L4" i="12"/>
  <c r="L3" i="12"/>
  <c r="K14" i="12" l="1"/>
  <c r="J14" i="12"/>
  <c r="I14" i="12"/>
  <c r="H14" i="12"/>
  <c r="G14" i="12"/>
  <c r="F14" i="12"/>
  <c r="E14" i="12"/>
  <c r="D14" i="12"/>
  <c r="C14" i="12"/>
  <c r="B14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B11" i="12"/>
  <c r="K10" i="12"/>
  <c r="J10" i="12"/>
  <c r="I10" i="12"/>
  <c r="H10" i="12"/>
  <c r="G10" i="12"/>
  <c r="F10" i="12"/>
  <c r="E10" i="12"/>
  <c r="D10" i="12"/>
  <c r="C10" i="12"/>
  <c r="B10" i="12"/>
  <c r="K9" i="12"/>
  <c r="J9" i="12"/>
  <c r="I9" i="12"/>
  <c r="H9" i="12"/>
  <c r="G9" i="12"/>
  <c r="F9" i="12"/>
  <c r="E9" i="12"/>
  <c r="D9" i="12"/>
  <c r="C9" i="12"/>
  <c r="B9" i="12"/>
  <c r="K8" i="12"/>
  <c r="J8" i="12"/>
  <c r="I8" i="12"/>
  <c r="H8" i="12"/>
  <c r="G8" i="12"/>
  <c r="F8" i="12"/>
  <c r="E8" i="12"/>
  <c r="D8" i="12"/>
  <c r="C8" i="12"/>
  <c r="B8" i="12"/>
  <c r="K7" i="12"/>
  <c r="J7" i="12"/>
  <c r="I7" i="12"/>
  <c r="H7" i="12"/>
  <c r="G7" i="12"/>
  <c r="F7" i="12"/>
  <c r="E7" i="12"/>
  <c r="D7" i="12"/>
  <c r="C7" i="12"/>
  <c r="B7" i="12"/>
  <c r="K6" i="12"/>
  <c r="J6" i="12"/>
  <c r="I6" i="12"/>
  <c r="H6" i="12"/>
  <c r="G6" i="12"/>
  <c r="F6" i="12"/>
  <c r="E6" i="12"/>
  <c r="D6" i="12"/>
  <c r="C6" i="12"/>
  <c r="B6" i="12"/>
  <c r="K5" i="12"/>
  <c r="J5" i="12"/>
  <c r="I5" i="12"/>
  <c r="H5" i="12"/>
  <c r="G5" i="12"/>
  <c r="F5" i="12"/>
  <c r="E5" i="12"/>
  <c r="D5" i="12"/>
  <c r="C5" i="12"/>
  <c r="B5" i="12"/>
  <c r="K4" i="12"/>
  <c r="J4" i="12"/>
  <c r="I4" i="12"/>
  <c r="H4" i="12"/>
  <c r="G4" i="12"/>
  <c r="F4" i="12"/>
  <c r="E4" i="12"/>
  <c r="D4" i="12"/>
  <c r="C4" i="12"/>
  <c r="B4" i="12"/>
  <c r="K3" i="12"/>
  <c r="J3" i="12"/>
  <c r="I3" i="12"/>
  <c r="H3" i="12"/>
  <c r="G3" i="12"/>
  <c r="F3" i="12"/>
  <c r="E3" i="12"/>
  <c r="D3" i="12"/>
  <c r="C3" i="12"/>
  <c r="B3" i="12"/>
  <c r="AA14" i="10" l="1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B13" i="10"/>
  <c r="AB12" i="10"/>
  <c r="AB11" i="10"/>
  <c r="AB10" i="10"/>
  <c r="AB9" i="10"/>
  <c r="AB8" i="10"/>
  <c r="AB7" i="10"/>
  <c r="AB6" i="10"/>
  <c r="AB5" i="10"/>
  <c r="AB4" i="10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D13" i="9"/>
  <c r="AD12" i="9"/>
  <c r="AD11" i="9"/>
  <c r="AD10" i="9"/>
  <c r="AD9" i="9"/>
  <c r="AD8" i="9"/>
  <c r="AD7" i="9"/>
  <c r="AD6" i="9"/>
  <c r="AD5" i="9"/>
  <c r="AD4" i="9"/>
  <c r="AD14" i="9" l="1"/>
  <c r="AB14" i="10"/>
</calcChain>
</file>

<file path=xl/sharedStrings.xml><?xml version="1.0" encoding="utf-8"?>
<sst xmlns="http://schemas.openxmlformats.org/spreadsheetml/2006/main" count="168" uniqueCount="107">
  <si>
    <t>Year</t>
  </si>
  <si>
    <t>PCV13</t>
  </si>
  <si>
    <t>Total</t>
  </si>
  <si>
    <t>-</t>
  </si>
  <si>
    <t>AMO</t>
  </si>
  <si>
    <t>CFT</t>
  </si>
  <si>
    <t>TAX</t>
  </si>
  <si>
    <t>CFX</t>
  </si>
  <si>
    <t>MER</t>
  </si>
  <si>
    <t>PEN</t>
  </si>
  <si>
    <t>CHL</t>
  </si>
  <si>
    <t>CLI</t>
  </si>
  <si>
    <t>COT</t>
  </si>
  <si>
    <t>DOX</t>
  </si>
  <si>
    <t>ERY</t>
  </si>
  <si>
    <t>TET</t>
  </si>
  <si>
    <t>Pneumococcal lineages (GPSC)</t>
    <phoneticPr fontId="2" type="noConversion"/>
  </si>
  <si>
    <t>-</t>
    <phoneticPr fontId="2" type="noConversion"/>
  </si>
  <si>
    <t>18C</t>
  </si>
  <si>
    <t>19A</t>
  </si>
  <si>
    <t>19F</t>
  </si>
  <si>
    <t>23F</t>
  </si>
  <si>
    <t>6A</t>
  </si>
  <si>
    <t>6B</t>
  </si>
  <si>
    <t>7F</t>
  </si>
  <si>
    <t>9V</t>
  </si>
  <si>
    <t>15A</t>
  </si>
  <si>
    <t>15B</t>
  </si>
  <si>
    <t>15C</t>
  </si>
  <si>
    <t>16F</t>
  </si>
  <si>
    <t>18A</t>
  </si>
  <si>
    <t>18B</t>
  </si>
  <si>
    <t>23A</t>
  </si>
  <si>
    <t>35B</t>
  </si>
  <si>
    <t>35F</t>
  </si>
  <si>
    <t>6D</t>
  </si>
  <si>
    <t>9N</t>
  </si>
  <si>
    <t>non-PCV13 serotypes</t>
  </si>
  <si>
    <t>PCV13 serotypes</t>
  </si>
  <si>
    <t>Total</t>
    <phoneticPr fontId="2" type="noConversion"/>
  </si>
  <si>
    <t>Number of isolates</t>
  </si>
  <si>
    <t>2014 (n=92)</t>
    <phoneticPr fontId="2" type="noConversion"/>
  </si>
  <si>
    <t>2015 (n=75)</t>
    <phoneticPr fontId="2" type="noConversion"/>
  </si>
  <si>
    <t>2016 (n=68)</t>
    <phoneticPr fontId="2" type="noConversion"/>
  </si>
  <si>
    <t>2017 (n=96)</t>
    <phoneticPr fontId="2" type="noConversion"/>
  </si>
  <si>
    <t>2018 (n=22)</t>
    <phoneticPr fontId="2" type="noConversion"/>
  </si>
  <si>
    <t>2019 (n=8)</t>
    <phoneticPr fontId="2" type="noConversion"/>
  </si>
  <si>
    <t>2020 (n=14)</t>
    <phoneticPr fontId="2" type="noConversion"/>
  </si>
  <si>
    <t>Coverage (%)</t>
    <phoneticPr fontId="2" type="noConversion"/>
  </si>
  <si>
    <t>PCV13</t>
    <phoneticPr fontId="2" type="noConversion"/>
  </si>
  <si>
    <t>2021-2023 (n=43)*</t>
    <phoneticPr fontId="2" type="noConversion"/>
  </si>
  <si>
    <t>* The isolates of the last 3 years were grouped together due to the little number of isolates.</t>
    <phoneticPr fontId="2" type="noConversion"/>
  </si>
  <si>
    <t>Coverage of IPD isolates (%)</t>
    <phoneticPr fontId="2" type="noConversion"/>
  </si>
  <si>
    <t>Coverage of non-IPD isolates (%)</t>
    <phoneticPr fontId="2" type="noConversion"/>
  </si>
  <si>
    <t>†, NA, not applicable.</t>
    <phoneticPr fontId="2" type="noConversion"/>
  </si>
  <si>
    <t>2014  (n=92)</t>
    <phoneticPr fontId="2" type="noConversion"/>
  </si>
  <si>
    <t>2015  (n=75)</t>
    <phoneticPr fontId="2" type="noConversion"/>
  </si>
  <si>
    <t>2016  (n=68)</t>
    <phoneticPr fontId="2" type="noConversion"/>
  </si>
  <si>
    <t>2017  (n=96)</t>
    <phoneticPr fontId="2" type="noConversion"/>
  </si>
  <si>
    <t>2018  (n=22)</t>
    <phoneticPr fontId="2" type="noConversion"/>
  </si>
  <si>
    <t>2019  (n=8)</t>
    <phoneticPr fontId="2" type="noConversion"/>
  </si>
  <si>
    <t>2020  (n=14)</t>
    <phoneticPr fontId="2" type="noConversion"/>
  </si>
  <si>
    <t>2021  (n=16)</t>
    <phoneticPr fontId="2" type="noConversion"/>
  </si>
  <si>
    <t>2022  (n=17)</t>
    <phoneticPr fontId="2" type="noConversion"/>
  </si>
  <si>
    <t>2023  (n=10)</t>
    <phoneticPr fontId="2" type="noConversion"/>
  </si>
  <si>
    <t>2014  (n=17)</t>
    <phoneticPr fontId="2" type="noConversion"/>
  </si>
  <si>
    <t>2015  (n=24)</t>
    <phoneticPr fontId="2" type="noConversion"/>
  </si>
  <si>
    <t>2016  (n=13)</t>
    <phoneticPr fontId="2" type="noConversion"/>
  </si>
  <si>
    <t>2017  (n=18)</t>
    <phoneticPr fontId="2" type="noConversion"/>
  </si>
  <si>
    <t>2018  (n=20)</t>
    <phoneticPr fontId="2" type="noConversion"/>
  </si>
  <si>
    <t>2020  (n=12)</t>
    <phoneticPr fontId="2" type="noConversion"/>
  </si>
  <si>
    <t>2021  (n=14)</t>
    <phoneticPr fontId="2" type="noConversion"/>
  </si>
  <si>
    <t>2022  (n=9)</t>
    <phoneticPr fontId="2" type="noConversion"/>
  </si>
  <si>
    <t>2023  (n=4)</t>
    <phoneticPr fontId="2" type="noConversion"/>
  </si>
  <si>
    <t>2014  (n=73)</t>
    <phoneticPr fontId="2" type="noConversion"/>
  </si>
  <si>
    <t>2018  (n=2)</t>
    <phoneticPr fontId="2" type="noConversion"/>
  </si>
  <si>
    <t>2019  (n=0)</t>
    <phoneticPr fontId="2" type="noConversion"/>
  </si>
  <si>
    <t>2020  (n=2)</t>
    <phoneticPr fontId="2" type="noConversion"/>
  </si>
  <si>
    <t>2021  (n=2)</t>
    <phoneticPr fontId="2" type="noConversion"/>
  </si>
  <si>
    <t>2022  (n=7)</t>
    <phoneticPr fontId="2" type="noConversion"/>
  </si>
  <si>
    <t>2023  (n=6)</t>
    <phoneticPr fontId="2" type="noConversion"/>
  </si>
  <si>
    <t>2016  (n=55)</t>
    <phoneticPr fontId="2" type="noConversion"/>
  </si>
  <si>
    <t>Number of IPD isolates</t>
  </si>
  <si>
    <r>
      <t>PCV13</t>
    </r>
    <r>
      <rPr>
        <vertAlign val="superscript"/>
        <sz val="11"/>
        <color theme="1"/>
        <rFont val="Times New Roman"/>
        <family val="1"/>
      </rPr>
      <t xml:space="preserve"> </t>
    </r>
  </si>
  <si>
    <r>
      <t>Number of non-IPD isolates</t>
    </r>
    <r>
      <rPr>
        <vertAlign val="superscript"/>
        <sz val="11"/>
        <color theme="1"/>
        <rFont val="Times New Roman"/>
        <family val="1"/>
      </rPr>
      <t>*</t>
    </r>
  </si>
  <si>
    <r>
      <rPr>
        <vertAlign val="superscript"/>
        <sz val="11"/>
        <color theme="1"/>
        <rFont val="Times New Roman"/>
        <family val="1"/>
      </rPr>
      <t>*</t>
    </r>
    <r>
      <rPr>
        <sz val="11"/>
        <color theme="1"/>
        <rFont val="Times New Roman"/>
        <family val="1"/>
      </rPr>
      <t>, In addition to the IPD and non-IPD isolates, there are 11 strains classified as unknown. These strains were isolated from samples such as joint fluid, pus, etc.</t>
    </r>
  </si>
  <si>
    <t>^, One sample in 2015 has an "Indeterminable" COT resistance status, and so n = 23 for this cell.</t>
  </si>
  <si>
    <t>87.0%^</t>
  </si>
  <si>
    <t>2015  (n=49)</t>
  </si>
  <si>
    <t>2017  (n=75)</t>
  </si>
  <si>
    <r>
      <t xml:space="preserve">Table S1. Distribution of </t>
    </r>
    <r>
      <rPr>
        <b/>
        <i/>
        <sz val="11"/>
        <rFont val="Times New Roman"/>
        <family val="1"/>
      </rPr>
      <t>S. pneumoniae</t>
    </r>
    <r>
      <rPr>
        <b/>
        <sz val="11"/>
        <rFont val="Times New Roman"/>
        <family val="1"/>
      </rPr>
      <t xml:space="preserve"> isolates of PCV13 serotypes and non-PCV13 serotypes by year.</t>
    </r>
  </si>
  <si>
    <r>
      <t xml:space="preserve">Table S3.  The number of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strains covered by different vaccines (PCV7, PCV10, and PCV13) and their respective coverage percentages for invasive pneumococcal disease (IPD) and non-invasive pneumococcal disease (non-IPD) from 2014 to 2023.</t>
    </r>
  </si>
  <si>
    <r>
      <t xml:space="preserve">Table S4. Yearly number of IPD isolates of different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lineages</t>
    </r>
  </si>
  <si>
    <r>
      <t xml:space="preserve">Table S4. Yearly number of non-IPD isolates of different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lineages</t>
    </r>
  </si>
  <si>
    <r>
      <t xml:space="preserve">Table S6.  Non-susceptibility rates of 418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strains to various antibiotics from 2014 to 2023</t>
    </r>
  </si>
  <si>
    <r>
      <t xml:space="preserve">Table S7. Non-susceptibility rates of 139 strains of IPD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to various antibiotics from 2014 to 2023</t>
    </r>
  </si>
  <si>
    <r>
      <t xml:space="preserve">Table S8. Non-susceptibility rates of 271 strains of non-IPD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to various antibiotics from 2014 to 2023</t>
    </r>
  </si>
  <si>
    <t>PCV10 (GSK)</t>
  </si>
  <si>
    <t>PCV10 (SII)</t>
  </si>
  <si>
    <t>N/A</t>
  </si>
  <si>
    <t>Other</t>
  </si>
  <si>
    <r>
      <t xml:space="preserve">Table S2. Yearly number of strains from paediatric patients and coverage of </t>
    </r>
    <r>
      <rPr>
        <b/>
        <i/>
        <sz val="11"/>
        <color theme="1"/>
        <rFont val="Times New Roman"/>
        <family val="1"/>
      </rPr>
      <t>S. pneumoniae</t>
    </r>
    <r>
      <rPr>
        <b/>
        <sz val="11"/>
        <color theme="1"/>
        <rFont val="Times New Roman"/>
        <family val="1"/>
      </rPr>
      <t xml:space="preserve"> by PCV10 (SII), PCV10 (GSK), and PCV13</t>
    </r>
  </si>
  <si>
    <t>AMO*</t>
  </si>
  <si>
    <t>CFT*</t>
  </si>
  <si>
    <t>TAX*</t>
  </si>
  <si>
    <t>MER*</t>
  </si>
  <si>
    <t>* Marks antibiotics where Fisher's exact test of resistance between IPD and non-IPD cases gave p &lt; 0.05 after adjustment with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</si>
</sst>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_);[Red]\(0.00\)"/>
    <numFmt numFmtId="166" formatCode="0.0_);[Red]\(0.0\)"/>
    <numFmt numFmtId="167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3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0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quotePrefix="1" applyFont="1"/>
    <xf numFmtId="10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65" fontId="1" fillId="0" borderId="0" xfId="0" applyNumberFormat="1" applyFont="1"/>
    <xf numFmtId="166" fontId="1" fillId="0" borderId="0" xfId="0" applyNumberFormat="1" applyFont="1"/>
    <xf numFmtId="0" fontId="6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zoomScale="98" zoomScaleNormal="98" workbookViewId="0"/>
  </sheetViews>
  <sheetFormatPr baseColWidth="10" defaultColWidth="8.83203125" defaultRowHeight="14"/>
  <cols>
    <col min="1" max="1" width="8.83203125" style="25"/>
    <col min="2" max="28" width="4.1640625" style="25" customWidth="1"/>
    <col min="29" max="16384" width="8.83203125" style="25"/>
  </cols>
  <sheetData>
    <row r="1" spans="1:29">
      <c r="A1" s="26" t="s">
        <v>90</v>
      </c>
    </row>
    <row r="2" spans="1:29">
      <c r="A2" s="27"/>
      <c r="B2" s="48" t="s">
        <v>38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 t="s">
        <v>37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27"/>
    </row>
    <row r="3" spans="1:29">
      <c r="A3" s="29" t="s">
        <v>0</v>
      </c>
      <c r="B3" s="29">
        <v>1</v>
      </c>
      <c r="C3" s="29">
        <v>3</v>
      </c>
      <c r="D3" s="29">
        <v>4</v>
      </c>
      <c r="E3" s="29">
        <v>5</v>
      </c>
      <c r="F3" s="29" t="s">
        <v>22</v>
      </c>
      <c r="G3" s="29" t="s">
        <v>23</v>
      </c>
      <c r="H3" s="29" t="s">
        <v>24</v>
      </c>
      <c r="I3" s="29" t="s">
        <v>25</v>
      </c>
      <c r="J3" s="29">
        <v>14</v>
      </c>
      <c r="K3" s="29" t="s">
        <v>18</v>
      </c>
      <c r="L3" s="29" t="s">
        <v>19</v>
      </c>
      <c r="M3" s="29" t="s">
        <v>20</v>
      </c>
      <c r="N3" s="29" t="s">
        <v>21</v>
      </c>
      <c r="O3" s="29">
        <v>8</v>
      </c>
      <c r="P3" s="29">
        <v>27</v>
      </c>
      <c r="Q3" s="29">
        <v>34</v>
      </c>
      <c r="R3" s="29" t="s">
        <v>26</v>
      </c>
      <c r="S3" s="29" t="s">
        <v>27</v>
      </c>
      <c r="T3" s="29" t="s">
        <v>28</v>
      </c>
      <c r="U3" s="29" t="s">
        <v>29</v>
      </c>
      <c r="V3" s="29" t="s">
        <v>30</v>
      </c>
      <c r="W3" s="29" t="s">
        <v>31</v>
      </c>
      <c r="X3" s="29" t="s">
        <v>32</v>
      </c>
      <c r="Y3" s="29" t="s">
        <v>33</v>
      </c>
      <c r="Z3" s="29" t="s">
        <v>34</v>
      </c>
      <c r="AA3" s="29" t="s">
        <v>35</v>
      </c>
      <c r="AB3" s="29" t="s">
        <v>36</v>
      </c>
      <c r="AC3" s="29" t="s">
        <v>2</v>
      </c>
    </row>
    <row r="4" spans="1:29">
      <c r="A4" s="28">
        <v>2014</v>
      </c>
      <c r="B4" s="28"/>
      <c r="C4" s="28">
        <v>5</v>
      </c>
      <c r="D4" s="28"/>
      <c r="E4" s="28"/>
      <c r="F4" s="28">
        <v>4</v>
      </c>
      <c r="G4" s="28">
        <v>1</v>
      </c>
      <c r="H4" s="28"/>
      <c r="I4" s="28">
        <v>1</v>
      </c>
      <c r="J4" s="28">
        <v>6</v>
      </c>
      <c r="K4" s="28">
        <v>1</v>
      </c>
      <c r="L4" s="28">
        <v>40</v>
      </c>
      <c r="M4" s="28">
        <v>24</v>
      </c>
      <c r="N4" s="28">
        <v>5</v>
      </c>
      <c r="O4" s="28">
        <v>1</v>
      </c>
      <c r="P4" s="28"/>
      <c r="Q4" s="28"/>
      <c r="R4" s="28"/>
      <c r="S4" s="28"/>
      <c r="T4" s="28">
        <v>1</v>
      </c>
      <c r="U4" s="28"/>
      <c r="V4" s="28">
        <v>1</v>
      </c>
      <c r="W4" s="28"/>
      <c r="X4" s="28"/>
      <c r="Y4" s="28"/>
      <c r="Z4" s="28"/>
      <c r="AA4" s="28"/>
      <c r="AB4" s="28">
        <v>2</v>
      </c>
      <c r="AC4" s="28">
        <v>92</v>
      </c>
    </row>
    <row r="5" spans="1:29">
      <c r="A5" s="30">
        <v>2015</v>
      </c>
      <c r="B5" s="30">
        <v>1</v>
      </c>
      <c r="C5" s="30">
        <v>1</v>
      </c>
      <c r="D5" s="30"/>
      <c r="E5" s="30"/>
      <c r="F5" s="30">
        <v>2</v>
      </c>
      <c r="G5" s="30">
        <v>4</v>
      </c>
      <c r="H5" s="30"/>
      <c r="I5" s="30"/>
      <c r="J5" s="30">
        <v>8</v>
      </c>
      <c r="K5" s="30"/>
      <c r="L5" s="30">
        <v>24</v>
      </c>
      <c r="M5" s="30">
        <v>27</v>
      </c>
      <c r="N5" s="30">
        <v>3</v>
      </c>
      <c r="O5" s="30"/>
      <c r="P5" s="30"/>
      <c r="Q5" s="30"/>
      <c r="R5" s="30"/>
      <c r="S5" s="30"/>
      <c r="T5" s="30">
        <v>1</v>
      </c>
      <c r="U5" s="30"/>
      <c r="V5" s="30"/>
      <c r="W5" s="30"/>
      <c r="X5" s="30">
        <v>1</v>
      </c>
      <c r="Y5" s="30">
        <v>1</v>
      </c>
      <c r="Z5" s="30"/>
      <c r="AA5" s="30">
        <v>2</v>
      </c>
      <c r="AB5" s="30"/>
      <c r="AC5" s="30">
        <v>75</v>
      </c>
    </row>
    <row r="6" spans="1:29">
      <c r="A6" s="30">
        <v>2016</v>
      </c>
      <c r="B6" s="30"/>
      <c r="C6" s="30">
        <v>1</v>
      </c>
      <c r="D6" s="30">
        <v>2</v>
      </c>
      <c r="E6" s="30">
        <v>1</v>
      </c>
      <c r="F6" s="30">
        <v>2</v>
      </c>
      <c r="G6" s="30">
        <v>5</v>
      </c>
      <c r="H6" s="30"/>
      <c r="I6" s="30">
        <v>1</v>
      </c>
      <c r="J6" s="30">
        <v>2</v>
      </c>
      <c r="K6" s="30">
        <v>1</v>
      </c>
      <c r="L6" s="30">
        <v>17</v>
      </c>
      <c r="M6" s="30">
        <v>30</v>
      </c>
      <c r="N6" s="30">
        <v>3</v>
      </c>
      <c r="O6" s="30"/>
      <c r="P6" s="30"/>
      <c r="Q6" s="30"/>
      <c r="R6" s="30"/>
      <c r="S6" s="30">
        <v>1</v>
      </c>
      <c r="T6" s="30"/>
      <c r="U6" s="30"/>
      <c r="V6" s="30"/>
      <c r="W6" s="30">
        <v>1</v>
      </c>
      <c r="X6" s="30"/>
      <c r="Y6" s="30"/>
      <c r="Z6" s="30"/>
      <c r="AA6" s="30">
        <v>1</v>
      </c>
      <c r="AB6" s="30"/>
      <c r="AC6" s="30">
        <v>68</v>
      </c>
    </row>
    <row r="7" spans="1:29">
      <c r="A7" s="30">
        <v>2017</v>
      </c>
      <c r="B7" s="30"/>
      <c r="C7" s="30">
        <v>5</v>
      </c>
      <c r="D7" s="30">
        <v>1</v>
      </c>
      <c r="E7" s="30"/>
      <c r="F7" s="30"/>
      <c r="G7" s="30">
        <v>6</v>
      </c>
      <c r="H7" s="30">
        <v>1</v>
      </c>
      <c r="I7" s="30"/>
      <c r="J7" s="30">
        <v>4</v>
      </c>
      <c r="K7" s="30"/>
      <c r="L7" s="30">
        <v>15</v>
      </c>
      <c r="M7" s="30">
        <v>51</v>
      </c>
      <c r="N7" s="30">
        <v>4</v>
      </c>
      <c r="O7" s="30"/>
      <c r="P7" s="30">
        <v>1</v>
      </c>
      <c r="Q7" s="30">
        <v>1</v>
      </c>
      <c r="R7" s="30">
        <v>2</v>
      </c>
      <c r="S7" s="30"/>
      <c r="T7" s="30"/>
      <c r="U7" s="30">
        <v>1</v>
      </c>
      <c r="V7" s="30"/>
      <c r="W7" s="30"/>
      <c r="X7" s="30">
        <v>3</v>
      </c>
      <c r="Y7" s="30"/>
      <c r="Z7" s="30">
        <v>1</v>
      </c>
      <c r="AA7" s="30"/>
      <c r="AB7" s="30"/>
      <c r="AC7" s="30">
        <v>96</v>
      </c>
    </row>
    <row r="8" spans="1:29">
      <c r="A8" s="30">
        <v>2018</v>
      </c>
      <c r="B8" s="30"/>
      <c r="C8" s="30"/>
      <c r="D8" s="30"/>
      <c r="E8" s="30"/>
      <c r="F8" s="30"/>
      <c r="G8" s="30">
        <v>2</v>
      </c>
      <c r="H8" s="30"/>
      <c r="I8" s="30">
        <v>1</v>
      </c>
      <c r="J8" s="30">
        <v>6</v>
      </c>
      <c r="K8" s="30"/>
      <c r="L8" s="30">
        <v>1</v>
      </c>
      <c r="M8" s="30">
        <v>2</v>
      </c>
      <c r="N8" s="30">
        <v>10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>
        <v>22</v>
      </c>
    </row>
    <row r="9" spans="1:29">
      <c r="A9" s="30">
        <v>2019</v>
      </c>
      <c r="B9" s="30">
        <v>1</v>
      </c>
      <c r="C9" s="30"/>
      <c r="D9" s="30"/>
      <c r="E9" s="30"/>
      <c r="F9" s="30"/>
      <c r="G9" s="30">
        <v>2</v>
      </c>
      <c r="H9" s="30"/>
      <c r="I9" s="30"/>
      <c r="J9" s="30"/>
      <c r="K9" s="30"/>
      <c r="L9" s="30"/>
      <c r="M9" s="30">
        <v>2</v>
      </c>
      <c r="N9" s="30">
        <v>3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>
        <v>8</v>
      </c>
    </row>
    <row r="10" spans="1:29">
      <c r="A10" s="30">
        <v>2020</v>
      </c>
      <c r="B10" s="30"/>
      <c r="C10" s="30"/>
      <c r="D10" s="30"/>
      <c r="E10" s="30"/>
      <c r="F10" s="30">
        <v>1</v>
      </c>
      <c r="G10" s="30">
        <v>3</v>
      </c>
      <c r="H10" s="30"/>
      <c r="I10" s="30"/>
      <c r="J10" s="30">
        <v>1</v>
      </c>
      <c r="K10" s="30"/>
      <c r="L10" s="30">
        <v>1</v>
      </c>
      <c r="M10" s="30">
        <v>7</v>
      </c>
      <c r="N10" s="30">
        <v>1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>
        <v>14</v>
      </c>
    </row>
    <row r="11" spans="1:29">
      <c r="A11" s="30">
        <v>2021</v>
      </c>
      <c r="B11" s="30"/>
      <c r="C11" s="30"/>
      <c r="D11" s="30"/>
      <c r="E11" s="30"/>
      <c r="F11" s="30">
        <v>1</v>
      </c>
      <c r="G11" s="30">
        <v>2</v>
      </c>
      <c r="H11" s="30"/>
      <c r="I11" s="30">
        <v>1</v>
      </c>
      <c r="J11" s="30">
        <v>2</v>
      </c>
      <c r="K11" s="30">
        <v>1</v>
      </c>
      <c r="L11" s="30"/>
      <c r="M11" s="30">
        <v>4</v>
      </c>
      <c r="N11" s="30">
        <v>4</v>
      </c>
      <c r="O11" s="30"/>
      <c r="P11" s="30"/>
      <c r="Q11" s="30"/>
      <c r="R11" s="30"/>
      <c r="S11" s="30"/>
      <c r="T11" s="30"/>
      <c r="U11" s="30"/>
      <c r="V11" s="30"/>
      <c r="W11" s="30"/>
      <c r="X11" s="30">
        <v>1</v>
      </c>
      <c r="Y11" s="30"/>
      <c r="Z11" s="30"/>
      <c r="AA11" s="30"/>
      <c r="AB11" s="30"/>
      <c r="AC11" s="30">
        <v>16</v>
      </c>
    </row>
    <row r="12" spans="1:29">
      <c r="A12" s="30">
        <v>2022</v>
      </c>
      <c r="B12" s="30"/>
      <c r="C12" s="30"/>
      <c r="D12" s="30"/>
      <c r="E12" s="30"/>
      <c r="F12" s="30"/>
      <c r="G12" s="30">
        <v>5</v>
      </c>
      <c r="H12" s="30"/>
      <c r="I12" s="30"/>
      <c r="J12" s="30">
        <v>1</v>
      </c>
      <c r="K12" s="30"/>
      <c r="L12" s="30"/>
      <c r="M12" s="30">
        <v>9</v>
      </c>
      <c r="N12" s="30">
        <v>1</v>
      </c>
      <c r="O12" s="30"/>
      <c r="P12" s="30"/>
      <c r="Q12" s="30"/>
      <c r="R12" s="30"/>
      <c r="S12" s="30"/>
      <c r="T12" s="30"/>
      <c r="U12" s="30"/>
      <c r="V12" s="30"/>
      <c r="W12" s="30"/>
      <c r="X12" s="30">
        <v>1</v>
      </c>
      <c r="Y12" s="30"/>
      <c r="Z12" s="30"/>
      <c r="AA12" s="30"/>
      <c r="AB12" s="30"/>
      <c r="AC12" s="30">
        <v>17</v>
      </c>
    </row>
    <row r="13" spans="1:29">
      <c r="A13" s="29">
        <v>2023</v>
      </c>
      <c r="B13" s="29"/>
      <c r="C13" s="29">
        <v>2</v>
      </c>
      <c r="D13" s="29"/>
      <c r="E13" s="29"/>
      <c r="F13" s="29"/>
      <c r="G13" s="29">
        <v>1</v>
      </c>
      <c r="H13" s="29"/>
      <c r="I13" s="29"/>
      <c r="J13" s="29"/>
      <c r="K13" s="29">
        <v>1</v>
      </c>
      <c r="L13" s="29">
        <v>1</v>
      </c>
      <c r="M13" s="29">
        <v>4</v>
      </c>
      <c r="N13" s="29">
        <v>1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>
        <v>10</v>
      </c>
    </row>
    <row r="14" spans="1:29">
      <c r="A14" s="31" t="s">
        <v>2</v>
      </c>
      <c r="B14" s="31">
        <v>2</v>
      </c>
      <c r="C14" s="31">
        <v>14</v>
      </c>
      <c r="D14" s="31">
        <v>3</v>
      </c>
      <c r="E14" s="31">
        <v>1</v>
      </c>
      <c r="F14" s="31">
        <v>10</v>
      </c>
      <c r="G14" s="31">
        <v>31</v>
      </c>
      <c r="H14" s="31">
        <v>1</v>
      </c>
      <c r="I14" s="31">
        <v>4</v>
      </c>
      <c r="J14" s="31">
        <v>30</v>
      </c>
      <c r="K14" s="31">
        <v>4</v>
      </c>
      <c r="L14" s="31">
        <v>99</v>
      </c>
      <c r="M14" s="31">
        <v>160</v>
      </c>
      <c r="N14" s="31">
        <v>35</v>
      </c>
      <c r="O14" s="31">
        <v>1</v>
      </c>
      <c r="P14" s="31">
        <v>1</v>
      </c>
      <c r="Q14" s="31">
        <v>1</v>
      </c>
      <c r="R14" s="31">
        <v>2</v>
      </c>
      <c r="S14" s="31">
        <v>1</v>
      </c>
      <c r="T14" s="31">
        <v>2</v>
      </c>
      <c r="U14" s="31">
        <v>1</v>
      </c>
      <c r="V14" s="31">
        <v>1</v>
      </c>
      <c r="W14" s="31">
        <v>1</v>
      </c>
      <c r="X14" s="31">
        <v>6</v>
      </c>
      <c r="Y14" s="31">
        <v>1</v>
      </c>
      <c r="Z14" s="31">
        <v>1</v>
      </c>
      <c r="AA14" s="31">
        <v>3</v>
      </c>
      <c r="AB14" s="31">
        <v>2</v>
      </c>
      <c r="AC14" s="31">
        <v>418</v>
      </c>
    </row>
  </sheetData>
  <mergeCells count="2">
    <mergeCell ref="B2:N2"/>
    <mergeCell ref="O2:AB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160" workbookViewId="0">
      <selection activeCell="F4" sqref="F4"/>
    </sheetView>
  </sheetViews>
  <sheetFormatPr baseColWidth="10" defaultColWidth="8.83203125" defaultRowHeight="15"/>
  <cols>
    <col min="1" max="1" width="18.6640625" customWidth="1"/>
    <col min="2" max="4" width="12.83203125" customWidth="1"/>
    <col min="5" max="5" width="2.1640625" customWidth="1"/>
    <col min="6" max="8" width="12.1640625" customWidth="1"/>
  </cols>
  <sheetData>
    <row r="1" spans="1:11">
      <c r="A1" s="39" t="s">
        <v>101</v>
      </c>
    </row>
    <row r="2" spans="1:11">
      <c r="A2" s="50" t="s">
        <v>0</v>
      </c>
      <c r="B2" s="52" t="s">
        <v>40</v>
      </c>
      <c r="C2" s="52"/>
      <c r="D2" s="52"/>
      <c r="E2" s="53"/>
      <c r="F2" s="54" t="s">
        <v>48</v>
      </c>
      <c r="G2" s="54"/>
      <c r="H2" s="54"/>
    </row>
    <row r="3" spans="1:11">
      <c r="A3" s="51"/>
      <c r="B3" s="3" t="s">
        <v>98</v>
      </c>
      <c r="C3" s="3" t="s">
        <v>97</v>
      </c>
      <c r="D3" s="3" t="s">
        <v>1</v>
      </c>
      <c r="E3" s="2"/>
      <c r="F3" s="3" t="s">
        <v>98</v>
      </c>
      <c r="G3" s="3" t="s">
        <v>97</v>
      </c>
      <c r="H3" s="3" t="s">
        <v>49</v>
      </c>
    </row>
    <row r="4" spans="1:11">
      <c r="A4" s="2" t="s">
        <v>41</v>
      </c>
      <c r="B4" s="2">
        <v>81</v>
      </c>
      <c r="C4" s="2">
        <v>38</v>
      </c>
      <c r="D4" s="2">
        <v>87</v>
      </c>
      <c r="E4" s="2"/>
      <c r="F4" s="21">
        <f>(B4/92)*100</f>
        <v>88.043478260869563</v>
      </c>
      <c r="G4" s="21">
        <v>41.3</v>
      </c>
      <c r="H4" s="21">
        <v>94.6</v>
      </c>
      <c r="I4" s="15"/>
    </row>
    <row r="5" spans="1:11">
      <c r="A5" s="2" t="s">
        <v>42</v>
      </c>
      <c r="B5" s="2">
        <v>69</v>
      </c>
      <c r="C5" s="2">
        <v>43</v>
      </c>
      <c r="D5" s="2">
        <v>70</v>
      </c>
      <c r="E5" s="2"/>
      <c r="F5" s="21">
        <f>(B5/75)*100</f>
        <v>92</v>
      </c>
      <c r="G5" s="21">
        <v>57.3</v>
      </c>
      <c r="H5" s="21">
        <v>93.3</v>
      </c>
      <c r="I5" s="16"/>
    </row>
    <row r="6" spans="1:11">
      <c r="A6" s="2" t="s">
        <v>43</v>
      </c>
      <c r="B6" s="2">
        <v>61</v>
      </c>
      <c r="C6" s="2">
        <v>45</v>
      </c>
      <c r="D6" s="2">
        <v>65</v>
      </c>
      <c r="E6" s="2"/>
      <c r="F6" s="21">
        <f>(B6/68)*100</f>
        <v>89.705882352941174</v>
      </c>
      <c r="G6" s="21">
        <v>66.2</v>
      </c>
      <c r="H6" s="21">
        <v>95.6</v>
      </c>
      <c r="I6" s="16"/>
    </row>
    <row r="7" spans="1:11">
      <c r="A7" s="2" t="s">
        <v>44</v>
      </c>
      <c r="B7" s="2">
        <v>81</v>
      </c>
      <c r="C7" s="2">
        <v>67</v>
      </c>
      <c r="D7" s="2">
        <v>87</v>
      </c>
      <c r="E7" s="2"/>
      <c r="F7" s="21">
        <f>(B7/96)*100</f>
        <v>84.375</v>
      </c>
      <c r="G7" s="21">
        <v>69.8</v>
      </c>
      <c r="H7" s="20">
        <v>90.6</v>
      </c>
      <c r="I7" s="15"/>
    </row>
    <row r="8" spans="1:11">
      <c r="A8" s="2" t="s">
        <v>45</v>
      </c>
      <c r="B8" s="2">
        <v>22</v>
      </c>
      <c r="C8" s="2">
        <v>21</v>
      </c>
      <c r="D8" s="2">
        <v>22</v>
      </c>
      <c r="E8" s="2"/>
      <c r="F8" s="22">
        <v>100</v>
      </c>
      <c r="G8" s="21">
        <v>95.5</v>
      </c>
      <c r="H8" s="21">
        <v>95.5</v>
      </c>
      <c r="I8" s="16"/>
    </row>
    <row r="9" spans="1:11">
      <c r="A9" s="2" t="s">
        <v>46</v>
      </c>
      <c r="B9" s="2">
        <v>8</v>
      </c>
      <c r="C9" s="2">
        <v>8</v>
      </c>
      <c r="D9" s="2">
        <v>8</v>
      </c>
      <c r="E9" s="2"/>
      <c r="F9" s="22">
        <v>100</v>
      </c>
      <c r="G9" s="22">
        <v>100</v>
      </c>
      <c r="H9" s="22">
        <v>100</v>
      </c>
    </row>
    <row r="10" spans="1:11">
      <c r="A10" s="2" t="s">
        <v>47</v>
      </c>
      <c r="B10" s="2">
        <v>14</v>
      </c>
      <c r="C10" s="2">
        <v>12</v>
      </c>
      <c r="D10" s="2">
        <v>14</v>
      </c>
      <c r="E10" s="2"/>
      <c r="F10" s="22">
        <v>100</v>
      </c>
      <c r="G10" s="21">
        <v>85.7</v>
      </c>
      <c r="H10" s="22">
        <v>100</v>
      </c>
      <c r="I10" s="2"/>
      <c r="J10" s="2"/>
      <c r="K10" s="2"/>
    </row>
    <row r="11" spans="1:11">
      <c r="A11" s="3" t="s">
        <v>50</v>
      </c>
      <c r="B11" s="3">
        <v>37</v>
      </c>
      <c r="C11" s="3">
        <v>37</v>
      </c>
      <c r="D11" s="3">
        <v>41</v>
      </c>
      <c r="E11" s="3"/>
      <c r="F11" s="23">
        <f>(37/43)*100</f>
        <v>86.04651162790698</v>
      </c>
      <c r="G11" s="23">
        <v>86</v>
      </c>
      <c r="H11" s="23">
        <v>95.3</v>
      </c>
      <c r="I11" s="17"/>
      <c r="J11" s="17"/>
      <c r="K11" s="17"/>
    </row>
    <row r="12" spans="1:11">
      <c r="A12" s="11" t="s">
        <v>51</v>
      </c>
    </row>
  </sheetData>
  <mergeCells count="3">
    <mergeCell ref="A2:A3"/>
    <mergeCell ref="B2:E2"/>
    <mergeCell ref="F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topLeftCell="H1" zoomScale="188" workbookViewId="0">
      <selection activeCell="N16" sqref="N16"/>
    </sheetView>
  </sheetViews>
  <sheetFormatPr baseColWidth="10" defaultColWidth="8.83203125" defaultRowHeight="15"/>
  <cols>
    <col min="2" max="5" width="12.83203125" customWidth="1"/>
    <col min="6" max="6" width="1.5" customWidth="1"/>
    <col min="7" max="9" width="12.83203125" customWidth="1"/>
    <col min="10" max="10" width="1.6640625" customWidth="1"/>
    <col min="11" max="17" width="12.83203125" customWidth="1"/>
  </cols>
  <sheetData>
    <row r="1" spans="1:17">
      <c r="A1" s="40" t="s">
        <v>91</v>
      </c>
      <c r="C1" s="9"/>
    </row>
    <row r="2" spans="1:17">
      <c r="A2" s="50" t="s">
        <v>0</v>
      </c>
      <c r="B2" s="54" t="s">
        <v>82</v>
      </c>
      <c r="C2" s="54"/>
      <c r="D2" s="54"/>
      <c r="E2" s="54"/>
      <c r="F2" s="14"/>
      <c r="G2" s="54" t="s">
        <v>52</v>
      </c>
      <c r="H2" s="54"/>
      <c r="I2" s="54"/>
      <c r="J2" s="50"/>
      <c r="K2" s="54" t="s">
        <v>84</v>
      </c>
      <c r="L2" s="54"/>
      <c r="M2" s="54"/>
      <c r="N2" s="54"/>
      <c r="O2" s="54" t="s">
        <v>53</v>
      </c>
      <c r="P2" s="54"/>
      <c r="Q2" s="54"/>
    </row>
    <row r="3" spans="1:17">
      <c r="A3" s="51"/>
      <c r="B3" s="3" t="s">
        <v>98</v>
      </c>
      <c r="C3" s="3" t="s">
        <v>97</v>
      </c>
      <c r="D3" s="3" t="s">
        <v>1</v>
      </c>
      <c r="E3" s="3" t="s">
        <v>2</v>
      </c>
      <c r="F3" s="3"/>
      <c r="G3" s="3" t="s">
        <v>98</v>
      </c>
      <c r="H3" s="3" t="s">
        <v>97</v>
      </c>
      <c r="I3" s="3" t="s">
        <v>83</v>
      </c>
      <c r="J3" s="51"/>
      <c r="K3" s="3" t="s">
        <v>98</v>
      </c>
      <c r="L3" s="3" t="s">
        <v>97</v>
      </c>
      <c r="M3" s="3" t="s">
        <v>1</v>
      </c>
      <c r="N3" s="3" t="s">
        <v>2</v>
      </c>
      <c r="O3" s="3" t="s">
        <v>98</v>
      </c>
      <c r="P3" s="3" t="s">
        <v>97</v>
      </c>
      <c r="Q3" s="3" t="s">
        <v>49</v>
      </c>
    </row>
    <row r="4" spans="1:17">
      <c r="A4" s="2">
        <v>2014</v>
      </c>
      <c r="B4" s="2">
        <v>15</v>
      </c>
      <c r="C4" s="2">
        <v>11</v>
      </c>
      <c r="D4" s="2">
        <v>15</v>
      </c>
      <c r="E4" s="2">
        <v>17</v>
      </c>
      <c r="F4" s="2"/>
      <c r="G4" s="21">
        <f>(B4/E4)*100</f>
        <v>88.235294117647058</v>
      </c>
      <c r="H4" s="21">
        <v>64.705882352941174</v>
      </c>
      <c r="I4" s="21">
        <v>88.235294117647058</v>
      </c>
      <c r="J4" s="2"/>
      <c r="K4" s="2">
        <v>64</v>
      </c>
      <c r="L4" s="2">
        <v>27</v>
      </c>
      <c r="M4" s="2">
        <v>70</v>
      </c>
      <c r="N4" s="2">
        <v>73</v>
      </c>
      <c r="O4" s="21">
        <f>(K4/N4)*100</f>
        <v>87.671232876712324</v>
      </c>
      <c r="P4" s="21">
        <f>(L4/N4)*100</f>
        <v>36.986301369863014</v>
      </c>
      <c r="Q4" s="21">
        <f>(M4/N4)*100</f>
        <v>95.890410958904098</v>
      </c>
    </row>
    <row r="5" spans="1:17">
      <c r="A5" s="2">
        <v>2015</v>
      </c>
      <c r="B5" s="2">
        <v>19</v>
      </c>
      <c r="C5" s="2">
        <v>11</v>
      </c>
      <c r="D5" s="2">
        <v>19</v>
      </c>
      <c r="E5" s="2">
        <v>24</v>
      </c>
      <c r="F5" s="2"/>
      <c r="G5" s="21">
        <f t="shared" ref="G5:G12" si="0">(B5/E5)*100</f>
        <v>79.166666666666657</v>
      </c>
      <c r="H5" s="21">
        <v>45.833333333333329</v>
      </c>
      <c r="I5" s="21">
        <v>79.166666666666657</v>
      </c>
      <c r="J5" s="2"/>
      <c r="K5" s="2">
        <v>48</v>
      </c>
      <c r="L5" s="2">
        <v>30</v>
      </c>
      <c r="M5" s="2">
        <v>49</v>
      </c>
      <c r="N5" s="2">
        <v>49</v>
      </c>
      <c r="O5" s="21">
        <f t="shared" ref="O5:O12" si="1">(K5/N5)*100</f>
        <v>97.959183673469383</v>
      </c>
      <c r="P5" s="21">
        <f t="shared" ref="P5:P12" si="2">(L5/N5)*100</f>
        <v>61.224489795918366</v>
      </c>
      <c r="Q5" s="21">
        <f t="shared" ref="Q5:Q12" si="3">(M5/N5)*100</f>
        <v>100</v>
      </c>
    </row>
    <row r="6" spans="1:17">
      <c r="A6" s="2">
        <v>2016</v>
      </c>
      <c r="B6" s="2">
        <v>11</v>
      </c>
      <c r="C6" s="2">
        <v>10</v>
      </c>
      <c r="D6" s="2">
        <v>12</v>
      </c>
      <c r="E6" s="2">
        <v>13</v>
      </c>
      <c r="F6" s="2"/>
      <c r="G6" s="21">
        <f t="shared" si="0"/>
        <v>84.615384615384613</v>
      </c>
      <c r="H6" s="21">
        <v>76.923076923076934</v>
      </c>
      <c r="I6" s="21">
        <v>92.307692307692307</v>
      </c>
      <c r="J6" s="2"/>
      <c r="K6" s="2">
        <v>50</v>
      </c>
      <c r="L6" s="2">
        <v>35</v>
      </c>
      <c r="M6" s="2">
        <v>53</v>
      </c>
      <c r="N6" s="2">
        <v>55</v>
      </c>
      <c r="O6" s="21">
        <f t="shared" si="1"/>
        <v>90.909090909090907</v>
      </c>
      <c r="P6" s="21">
        <f t="shared" si="2"/>
        <v>63.636363636363633</v>
      </c>
      <c r="Q6" s="21">
        <f t="shared" si="3"/>
        <v>96.36363636363636</v>
      </c>
    </row>
    <row r="7" spans="1:17">
      <c r="A7" s="2">
        <v>2017</v>
      </c>
      <c r="B7" s="2">
        <v>13</v>
      </c>
      <c r="C7" s="2">
        <v>13</v>
      </c>
      <c r="D7" s="2">
        <v>14</v>
      </c>
      <c r="E7" s="2">
        <v>18</v>
      </c>
      <c r="F7" s="2"/>
      <c r="G7" s="21">
        <f t="shared" si="0"/>
        <v>72.222222222222214</v>
      </c>
      <c r="H7" s="21">
        <v>72.222222222222214</v>
      </c>
      <c r="I7" s="21">
        <v>77.777777777777786</v>
      </c>
      <c r="J7" s="2"/>
      <c r="K7" s="2">
        <v>66</v>
      </c>
      <c r="L7" s="2">
        <v>52</v>
      </c>
      <c r="M7" s="2">
        <v>71</v>
      </c>
      <c r="N7" s="2">
        <v>75</v>
      </c>
      <c r="O7" s="21">
        <f t="shared" si="1"/>
        <v>88</v>
      </c>
      <c r="P7" s="21">
        <f t="shared" si="2"/>
        <v>69.333333333333343</v>
      </c>
      <c r="Q7" s="21">
        <f t="shared" si="3"/>
        <v>94.666666666666671</v>
      </c>
    </row>
    <row r="8" spans="1:17">
      <c r="A8" s="2">
        <v>2018</v>
      </c>
      <c r="B8" s="2">
        <v>20</v>
      </c>
      <c r="C8" s="2">
        <v>19</v>
      </c>
      <c r="D8" s="2">
        <v>20</v>
      </c>
      <c r="E8" s="2">
        <v>20</v>
      </c>
      <c r="F8" s="2"/>
      <c r="G8" s="21">
        <f t="shared" si="0"/>
        <v>100</v>
      </c>
      <c r="H8" s="21">
        <v>95</v>
      </c>
      <c r="I8" s="22">
        <v>100</v>
      </c>
      <c r="J8" s="2"/>
      <c r="K8" s="2">
        <v>2</v>
      </c>
      <c r="L8" s="2">
        <v>2</v>
      </c>
      <c r="M8" s="2">
        <v>2</v>
      </c>
      <c r="N8" s="2">
        <v>2</v>
      </c>
      <c r="O8" s="21">
        <f t="shared" si="1"/>
        <v>100</v>
      </c>
      <c r="P8" s="21">
        <f t="shared" si="2"/>
        <v>100</v>
      </c>
      <c r="Q8" s="21">
        <f t="shared" si="3"/>
        <v>100</v>
      </c>
    </row>
    <row r="9" spans="1:17">
      <c r="A9" s="2">
        <v>2019</v>
      </c>
      <c r="B9" s="2">
        <v>8</v>
      </c>
      <c r="C9" s="2">
        <v>8</v>
      </c>
      <c r="D9" s="2">
        <v>8</v>
      </c>
      <c r="E9" s="2">
        <v>8</v>
      </c>
      <c r="F9" s="2"/>
      <c r="G9" s="21">
        <f t="shared" si="0"/>
        <v>100</v>
      </c>
      <c r="H9" s="22">
        <v>100</v>
      </c>
      <c r="I9" s="22">
        <v>100</v>
      </c>
      <c r="J9" s="2"/>
      <c r="K9" s="2">
        <v>0</v>
      </c>
      <c r="L9" s="2">
        <v>0</v>
      </c>
      <c r="M9" s="2">
        <v>0</v>
      </c>
      <c r="N9" s="2">
        <v>0</v>
      </c>
      <c r="O9" s="21" t="s">
        <v>99</v>
      </c>
      <c r="P9" s="21" t="s">
        <v>99</v>
      </c>
      <c r="Q9" s="21" t="s">
        <v>99</v>
      </c>
    </row>
    <row r="10" spans="1:17">
      <c r="A10" s="2">
        <v>2020</v>
      </c>
      <c r="B10" s="2">
        <v>12</v>
      </c>
      <c r="C10" s="2">
        <v>10</v>
      </c>
      <c r="D10" s="2">
        <v>12</v>
      </c>
      <c r="E10" s="2">
        <v>12</v>
      </c>
      <c r="F10" s="2"/>
      <c r="G10" s="21">
        <f t="shared" si="0"/>
        <v>100</v>
      </c>
      <c r="H10" s="21">
        <v>83.333333333333343</v>
      </c>
      <c r="I10" s="22">
        <v>100</v>
      </c>
      <c r="J10" s="2"/>
      <c r="K10" s="2">
        <v>2</v>
      </c>
      <c r="L10" s="2">
        <v>2</v>
      </c>
      <c r="M10" s="2">
        <v>2</v>
      </c>
      <c r="N10" s="2">
        <v>2</v>
      </c>
      <c r="O10" s="21">
        <f t="shared" si="1"/>
        <v>100</v>
      </c>
      <c r="P10" s="21">
        <f t="shared" si="2"/>
        <v>100</v>
      </c>
      <c r="Q10" s="21">
        <f t="shared" si="3"/>
        <v>100</v>
      </c>
    </row>
    <row r="11" spans="1:17">
      <c r="A11" s="2">
        <v>2021</v>
      </c>
      <c r="B11" s="2">
        <v>13</v>
      </c>
      <c r="C11" s="2">
        <v>12</v>
      </c>
      <c r="D11" s="2">
        <v>13</v>
      </c>
      <c r="E11" s="2">
        <v>14</v>
      </c>
      <c r="F11" s="2"/>
      <c r="G11" s="21">
        <f t="shared" si="0"/>
        <v>92.857142857142861</v>
      </c>
      <c r="H11" s="21">
        <v>85.714285714285708</v>
      </c>
      <c r="I11" s="21">
        <v>92.857142857142861</v>
      </c>
      <c r="J11" s="2"/>
      <c r="K11" s="2">
        <v>1</v>
      </c>
      <c r="L11" s="2">
        <v>2</v>
      </c>
      <c r="M11" s="2">
        <v>2</v>
      </c>
      <c r="N11" s="2">
        <v>2</v>
      </c>
      <c r="O11" s="21">
        <f t="shared" si="1"/>
        <v>50</v>
      </c>
      <c r="P11" s="21">
        <f t="shared" si="2"/>
        <v>100</v>
      </c>
      <c r="Q11" s="21">
        <f t="shared" si="3"/>
        <v>100</v>
      </c>
    </row>
    <row r="12" spans="1:17">
      <c r="A12" s="2">
        <v>2022</v>
      </c>
      <c r="B12" s="2">
        <v>9</v>
      </c>
      <c r="C12" s="2">
        <v>9</v>
      </c>
      <c r="D12" s="2">
        <v>9</v>
      </c>
      <c r="E12" s="2">
        <v>9</v>
      </c>
      <c r="F12" s="2"/>
      <c r="G12" s="21">
        <f t="shared" si="0"/>
        <v>100</v>
      </c>
      <c r="H12" s="22">
        <v>100</v>
      </c>
      <c r="I12" s="22">
        <v>100</v>
      </c>
      <c r="J12" s="2"/>
      <c r="K12" s="2">
        <v>6</v>
      </c>
      <c r="L12" s="2">
        <v>6</v>
      </c>
      <c r="M12" s="2">
        <v>6</v>
      </c>
      <c r="N12" s="2">
        <v>7</v>
      </c>
      <c r="O12" s="21">
        <f t="shared" si="1"/>
        <v>85.714285714285708</v>
      </c>
      <c r="P12" s="21">
        <f t="shared" si="2"/>
        <v>85.714285714285708</v>
      </c>
      <c r="Q12" s="21">
        <f t="shared" si="3"/>
        <v>85.714285714285708</v>
      </c>
    </row>
    <row r="13" spans="1:17">
      <c r="A13" s="3">
        <v>2023</v>
      </c>
      <c r="B13" s="3">
        <v>1</v>
      </c>
      <c r="C13" s="3">
        <v>2</v>
      </c>
      <c r="D13" s="3">
        <v>4</v>
      </c>
      <c r="E13" s="3">
        <v>4</v>
      </c>
      <c r="F13" s="3"/>
      <c r="G13" s="23">
        <f>(B13/E13)*100</f>
        <v>25</v>
      </c>
      <c r="H13" s="23">
        <v>50</v>
      </c>
      <c r="I13" s="24">
        <v>100</v>
      </c>
      <c r="J13" s="3"/>
      <c r="K13" s="3">
        <v>6</v>
      </c>
      <c r="L13" s="3">
        <v>5</v>
      </c>
      <c r="M13" s="3">
        <v>6</v>
      </c>
      <c r="N13" s="3">
        <v>6</v>
      </c>
      <c r="O13" s="23">
        <v>100</v>
      </c>
      <c r="P13" s="23">
        <f>(L13/N13)*100</f>
        <v>83.333333333333343</v>
      </c>
      <c r="Q13" s="23">
        <v>100</v>
      </c>
    </row>
    <row r="14" spans="1:17" ht="16">
      <c r="A14" s="25" t="s">
        <v>85</v>
      </c>
      <c r="G14" s="10"/>
      <c r="H14" s="10"/>
      <c r="I14" s="10"/>
      <c r="J14" s="9"/>
      <c r="O14" s="10"/>
      <c r="P14" s="10"/>
      <c r="Q14" s="10"/>
    </row>
    <row r="15" spans="1:17" s="25" customFormat="1" ht="14">
      <c r="A15" s="25" t="s">
        <v>54</v>
      </c>
      <c r="G15" s="21"/>
      <c r="H15" s="21"/>
      <c r="I15" s="21"/>
      <c r="J15" s="42"/>
      <c r="K15" s="42"/>
      <c r="L15" s="42"/>
      <c r="M15" s="42"/>
      <c r="N15" s="42"/>
      <c r="O15" s="43"/>
      <c r="P15" s="43"/>
      <c r="Q15" s="43"/>
    </row>
    <row r="16" spans="1:17" s="25" customFormat="1">
      <c r="A16"/>
    </row>
  </sheetData>
  <mergeCells count="6">
    <mergeCell ref="O2:Q2"/>
    <mergeCell ref="A2:A3"/>
    <mergeCell ref="B2:E2"/>
    <mergeCell ref="G2:I2"/>
    <mergeCell ref="J2:J3"/>
    <mergeCell ref="K2:N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zoomScale="125" workbookViewId="0">
      <selection activeCell="AD14" sqref="AD14"/>
    </sheetView>
  </sheetViews>
  <sheetFormatPr baseColWidth="10" defaultColWidth="8.83203125" defaultRowHeight="14"/>
  <cols>
    <col min="1" max="16384" width="8.83203125" style="25"/>
  </cols>
  <sheetData>
    <row r="1" spans="1:30">
      <c r="A1" s="39" t="s">
        <v>92</v>
      </c>
    </row>
    <row r="2" spans="1:30">
      <c r="A2" s="50" t="s">
        <v>0</v>
      </c>
      <c r="B2" s="54" t="s">
        <v>16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 spans="1:30">
      <c r="A3" s="51"/>
      <c r="B3" s="3">
        <v>1</v>
      </c>
      <c r="C3" s="3">
        <v>2</v>
      </c>
      <c r="D3" s="3">
        <v>4</v>
      </c>
      <c r="E3" s="3">
        <v>5</v>
      </c>
      <c r="F3" s="3">
        <v>6</v>
      </c>
      <c r="G3" s="3">
        <v>9</v>
      </c>
      <c r="H3" s="3">
        <v>10</v>
      </c>
      <c r="I3" s="3">
        <v>12</v>
      </c>
      <c r="J3" s="3">
        <v>13</v>
      </c>
      <c r="K3" s="3">
        <v>14</v>
      </c>
      <c r="L3" s="3">
        <v>16</v>
      </c>
      <c r="M3" s="3">
        <v>23</v>
      </c>
      <c r="N3" s="3">
        <v>24</v>
      </c>
      <c r="O3" s="3">
        <v>43</v>
      </c>
      <c r="P3" s="3">
        <v>47</v>
      </c>
      <c r="Q3" s="3">
        <v>63</v>
      </c>
      <c r="R3" s="3">
        <v>69</v>
      </c>
      <c r="S3" s="3">
        <v>107</v>
      </c>
      <c r="T3" s="3">
        <v>152</v>
      </c>
      <c r="U3" s="3">
        <v>162</v>
      </c>
      <c r="V3" s="3">
        <v>186</v>
      </c>
      <c r="W3" s="3">
        <v>230</v>
      </c>
      <c r="X3" s="3">
        <v>321</v>
      </c>
      <c r="Y3" s="3">
        <v>850</v>
      </c>
      <c r="Z3" s="3">
        <v>852</v>
      </c>
      <c r="AA3" s="3">
        <v>853</v>
      </c>
      <c r="AB3" s="3">
        <v>856</v>
      </c>
      <c r="AC3" s="3" t="s">
        <v>3</v>
      </c>
      <c r="AD3" s="3" t="s">
        <v>2</v>
      </c>
    </row>
    <row r="4" spans="1:30">
      <c r="A4" s="2">
        <v>2014</v>
      </c>
      <c r="B4" s="2">
        <v>3</v>
      </c>
      <c r="C4" s="2">
        <v>0</v>
      </c>
      <c r="D4" s="2">
        <v>6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2</v>
      </c>
      <c r="X4" s="2">
        <v>0</v>
      </c>
      <c r="Y4" s="2">
        <v>0</v>
      </c>
      <c r="Z4" s="2">
        <v>0</v>
      </c>
      <c r="AA4" s="2">
        <v>2</v>
      </c>
      <c r="AB4" s="2">
        <v>0</v>
      </c>
      <c r="AC4" s="2">
        <v>0</v>
      </c>
      <c r="AD4" s="2">
        <f t="shared" ref="AD4:AD14" si="0">SUM(B4:AC4)</f>
        <v>17</v>
      </c>
    </row>
    <row r="5" spans="1:30">
      <c r="A5" s="2">
        <v>2015</v>
      </c>
      <c r="B5" s="2">
        <v>8</v>
      </c>
      <c r="C5" s="2">
        <v>0</v>
      </c>
      <c r="D5" s="2">
        <v>2</v>
      </c>
      <c r="E5" s="2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2</v>
      </c>
      <c r="L5" s="2">
        <v>0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2</v>
      </c>
      <c r="AB5" s="2">
        <v>2</v>
      </c>
      <c r="AC5" s="2">
        <v>0</v>
      </c>
      <c r="AD5" s="2">
        <f t="shared" si="0"/>
        <v>24</v>
      </c>
    </row>
    <row r="6" spans="1:30">
      <c r="A6" s="2">
        <v>2016</v>
      </c>
      <c r="B6" s="2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f t="shared" si="0"/>
        <v>13</v>
      </c>
    </row>
    <row r="7" spans="1:30">
      <c r="A7" s="2">
        <v>2017</v>
      </c>
      <c r="B7" s="2">
        <v>6</v>
      </c>
      <c r="C7" s="2">
        <v>0</v>
      </c>
      <c r="D7" s="2">
        <v>2</v>
      </c>
      <c r="E7" s="2">
        <v>5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f t="shared" si="0"/>
        <v>18</v>
      </c>
    </row>
    <row r="8" spans="1:30">
      <c r="A8" s="2">
        <v>2018</v>
      </c>
      <c r="B8" s="2">
        <v>2</v>
      </c>
      <c r="C8" s="2">
        <v>0</v>
      </c>
      <c r="D8" s="2">
        <v>4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2</v>
      </c>
      <c r="L8" s="2">
        <v>3</v>
      </c>
      <c r="M8" s="2">
        <v>1</v>
      </c>
      <c r="N8" s="2">
        <v>2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2</v>
      </c>
      <c r="Z8" s="2">
        <v>1</v>
      </c>
      <c r="AA8" s="2">
        <v>0</v>
      </c>
      <c r="AB8" s="2">
        <v>0</v>
      </c>
      <c r="AC8" s="2">
        <v>0</v>
      </c>
      <c r="AD8" s="2">
        <f t="shared" si="0"/>
        <v>20</v>
      </c>
    </row>
    <row r="9" spans="1:30">
      <c r="A9" s="2">
        <v>2019</v>
      </c>
      <c r="B9" s="2">
        <v>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2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f t="shared" si="0"/>
        <v>8</v>
      </c>
    </row>
    <row r="10" spans="1:30">
      <c r="A10" s="2">
        <v>2020</v>
      </c>
      <c r="B10" s="2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2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f t="shared" si="0"/>
        <v>12</v>
      </c>
    </row>
    <row r="11" spans="1:30">
      <c r="A11" s="2">
        <v>2021</v>
      </c>
      <c r="B11" s="2">
        <v>4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18">
        <f t="shared" si="0"/>
        <v>13</v>
      </c>
    </row>
    <row r="12" spans="1:30">
      <c r="A12" s="2">
        <v>2022</v>
      </c>
      <c r="B12" s="2">
        <v>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18">
        <f t="shared" si="0"/>
        <v>10</v>
      </c>
    </row>
    <row r="13" spans="1:30">
      <c r="A13" s="2">
        <v>2023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f t="shared" si="0"/>
        <v>4</v>
      </c>
    </row>
    <row r="14" spans="1:30">
      <c r="A14" s="3" t="s">
        <v>2</v>
      </c>
      <c r="B14" s="3">
        <v>41</v>
      </c>
      <c r="C14" s="3">
        <f>SUM(C4:C13)</f>
        <v>1</v>
      </c>
      <c r="D14" s="3">
        <f t="shared" ref="D14:AC14" si="1">SUM(D4:D13)</f>
        <v>16</v>
      </c>
      <c r="E14" s="3">
        <f t="shared" si="1"/>
        <v>5</v>
      </c>
      <c r="F14" s="3">
        <f t="shared" si="1"/>
        <v>2</v>
      </c>
      <c r="G14" s="3">
        <f t="shared" si="1"/>
        <v>2</v>
      </c>
      <c r="H14" s="3">
        <f t="shared" si="1"/>
        <v>5</v>
      </c>
      <c r="I14" s="3">
        <f t="shared" si="1"/>
        <v>3</v>
      </c>
      <c r="J14" s="3">
        <f t="shared" si="1"/>
        <v>2</v>
      </c>
      <c r="K14" s="3">
        <f t="shared" si="1"/>
        <v>7</v>
      </c>
      <c r="L14" s="3">
        <f t="shared" si="1"/>
        <v>7</v>
      </c>
      <c r="M14" s="3">
        <f t="shared" si="1"/>
        <v>10</v>
      </c>
      <c r="N14" s="3">
        <f t="shared" si="1"/>
        <v>3</v>
      </c>
      <c r="O14" s="3">
        <f t="shared" si="1"/>
        <v>2</v>
      </c>
      <c r="P14" s="3">
        <f t="shared" si="1"/>
        <v>1</v>
      </c>
      <c r="Q14" s="3">
        <f t="shared" si="1"/>
        <v>1</v>
      </c>
      <c r="R14" s="3">
        <f t="shared" si="1"/>
        <v>1</v>
      </c>
      <c r="S14" s="3">
        <f t="shared" si="1"/>
        <v>1</v>
      </c>
      <c r="T14" s="3">
        <f t="shared" si="1"/>
        <v>1</v>
      </c>
      <c r="U14" s="3">
        <f t="shared" si="1"/>
        <v>1</v>
      </c>
      <c r="V14" s="3">
        <f t="shared" si="1"/>
        <v>1</v>
      </c>
      <c r="W14" s="3">
        <f t="shared" si="1"/>
        <v>3</v>
      </c>
      <c r="X14" s="3">
        <f t="shared" si="1"/>
        <v>8</v>
      </c>
      <c r="Y14" s="3">
        <f t="shared" si="1"/>
        <v>2</v>
      </c>
      <c r="Z14" s="3">
        <f t="shared" si="1"/>
        <v>5</v>
      </c>
      <c r="AA14" s="3">
        <f t="shared" si="1"/>
        <v>4</v>
      </c>
      <c r="AB14" s="3">
        <f t="shared" si="1"/>
        <v>3</v>
      </c>
      <c r="AC14" s="3">
        <f t="shared" si="1"/>
        <v>1</v>
      </c>
      <c r="AD14" s="3">
        <f t="shared" si="0"/>
        <v>139</v>
      </c>
    </row>
  </sheetData>
  <mergeCells count="2">
    <mergeCell ref="A2:A3"/>
    <mergeCell ref="B2:AD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"/>
  <sheetViews>
    <sheetView topLeftCell="O1" workbookViewId="0">
      <selection activeCell="Y6" sqref="Y6"/>
    </sheetView>
  </sheetViews>
  <sheetFormatPr baseColWidth="10" defaultColWidth="8.83203125" defaultRowHeight="14"/>
  <cols>
    <col min="1" max="16384" width="8.83203125" style="25"/>
  </cols>
  <sheetData>
    <row r="1" spans="1:28">
      <c r="A1" s="39" t="s">
        <v>93</v>
      </c>
    </row>
    <row r="2" spans="1:28">
      <c r="A2" s="50" t="s">
        <v>0</v>
      </c>
      <c r="B2" s="54" t="s">
        <v>16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>
      <c r="A3" s="51"/>
      <c r="B3" s="3">
        <v>1</v>
      </c>
      <c r="C3" s="3">
        <v>3</v>
      </c>
      <c r="D3" s="3">
        <v>4</v>
      </c>
      <c r="E3" s="3">
        <v>5</v>
      </c>
      <c r="F3" s="3">
        <v>8</v>
      </c>
      <c r="G3" s="3">
        <v>10</v>
      </c>
      <c r="H3" s="3">
        <v>12</v>
      </c>
      <c r="I3" s="3">
        <v>16</v>
      </c>
      <c r="J3" s="3">
        <v>23</v>
      </c>
      <c r="K3" s="3">
        <v>24</v>
      </c>
      <c r="L3" s="3">
        <v>32</v>
      </c>
      <c r="M3" s="3">
        <v>43</v>
      </c>
      <c r="N3" s="3">
        <v>45</v>
      </c>
      <c r="O3" s="3">
        <v>69</v>
      </c>
      <c r="P3" s="3">
        <v>107</v>
      </c>
      <c r="Q3" s="3">
        <v>152</v>
      </c>
      <c r="R3" s="3">
        <v>158</v>
      </c>
      <c r="S3" s="3">
        <v>162</v>
      </c>
      <c r="T3" s="3">
        <v>215</v>
      </c>
      <c r="U3" s="3">
        <v>224</v>
      </c>
      <c r="V3" s="3">
        <v>230</v>
      </c>
      <c r="W3" s="3">
        <v>248</v>
      </c>
      <c r="X3" s="3">
        <v>321</v>
      </c>
      <c r="Y3" s="3">
        <v>850</v>
      </c>
      <c r="Z3" s="3">
        <v>852</v>
      </c>
      <c r="AA3" s="3" t="s">
        <v>100</v>
      </c>
      <c r="AB3" s="3" t="s">
        <v>2</v>
      </c>
    </row>
    <row r="4" spans="1:28">
      <c r="A4" s="2">
        <v>2014</v>
      </c>
      <c r="B4" s="2">
        <v>60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4</v>
      </c>
      <c r="I4" s="2">
        <v>3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2</v>
      </c>
      <c r="Q4" s="2">
        <v>1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f t="shared" ref="AB4:AB14" si="0">SUM(B4:AA4)</f>
        <v>73</v>
      </c>
    </row>
    <row r="5" spans="1:28">
      <c r="A5" s="2">
        <v>2015</v>
      </c>
      <c r="B5" s="2">
        <v>41</v>
      </c>
      <c r="C5" s="2">
        <v>0</v>
      </c>
      <c r="D5" s="2">
        <v>4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f t="shared" si="0"/>
        <v>48</v>
      </c>
    </row>
    <row r="6" spans="1:28">
      <c r="A6" s="2">
        <v>2016</v>
      </c>
      <c r="B6" s="2">
        <v>41</v>
      </c>
      <c r="C6" s="2">
        <v>1</v>
      </c>
      <c r="D6" s="2">
        <v>2</v>
      </c>
      <c r="E6" s="2">
        <v>1</v>
      </c>
      <c r="F6" s="2">
        <v>1</v>
      </c>
      <c r="G6" s="2">
        <v>1</v>
      </c>
      <c r="H6" s="2">
        <v>0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</v>
      </c>
      <c r="Q6" s="2">
        <v>1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f t="shared" si="0"/>
        <v>55</v>
      </c>
    </row>
    <row r="7" spans="1:28">
      <c r="A7" s="2">
        <v>2017</v>
      </c>
      <c r="B7" s="2">
        <v>56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4</v>
      </c>
      <c r="I7" s="2">
        <v>1</v>
      </c>
      <c r="J7" s="2">
        <v>3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2</v>
      </c>
      <c r="AB7" s="2">
        <f t="shared" si="0"/>
        <v>75</v>
      </c>
    </row>
    <row r="8" spans="1:28">
      <c r="A8" s="2">
        <v>2018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f t="shared" si="0"/>
        <v>2</v>
      </c>
    </row>
    <row r="9" spans="1:28">
      <c r="A9" s="2">
        <v>2019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 t="shared" si="0"/>
        <v>1</v>
      </c>
    </row>
    <row r="10" spans="1:28">
      <c r="A10" s="2">
        <v>2020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f t="shared" si="0"/>
        <v>2</v>
      </c>
    </row>
    <row r="11" spans="1:28">
      <c r="A11" s="2">
        <v>2021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f t="shared" si="0"/>
        <v>2</v>
      </c>
    </row>
    <row r="12" spans="1:28">
      <c r="A12" s="2">
        <v>2022</v>
      </c>
      <c r="B12" s="2">
        <v>5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0"/>
        <v>7</v>
      </c>
    </row>
    <row r="13" spans="1:28">
      <c r="A13" s="2">
        <v>2023</v>
      </c>
      <c r="B13" s="2">
        <v>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f t="shared" si="0"/>
        <v>6</v>
      </c>
    </row>
    <row r="14" spans="1:28">
      <c r="A14" s="3" t="s">
        <v>2</v>
      </c>
      <c r="B14" s="3">
        <f>SUM(B4:B13)</f>
        <v>208</v>
      </c>
      <c r="C14" s="3">
        <f t="shared" ref="C14:AA14" si="1">SUM(C4:C13)</f>
        <v>2</v>
      </c>
      <c r="D14" s="3">
        <f t="shared" si="1"/>
        <v>12</v>
      </c>
      <c r="E14" s="3">
        <f t="shared" si="1"/>
        <v>4</v>
      </c>
      <c r="F14" s="3">
        <f t="shared" si="1"/>
        <v>1</v>
      </c>
      <c r="G14" s="3">
        <f t="shared" si="1"/>
        <v>1</v>
      </c>
      <c r="H14" s="3">
        <f t="shared" si="1"/>
        <v>9</v>
      </c>
      <c r="I14" s="3">
        <f t="shared" si="1"/>
        <v>6</v>
      </c>
      <c r="J14" s="3">
        <f t="shared" si="1"/>
        <v>4</v>
      </c>
      <c r="K14" s="3">
        <f t="shared" si="1"/>
        <v>1</v>
      </c>
      <c r="L14" s="3">
        <f t="shared" si="1"/>
        <v>1</v>
      </c>
      <c r="M14" s="3">
        <f t="shared" si="1"/>
        <v>1</v>
      </c>
      <c r="N14" s="3">
        <f t="shared" si="1"/>
        <v>1</v>
      </c>
      <c r="O14" s="3">
        <f t="shared" si="1"/>
        <v>1</v>
      </c>
      <c r="P14" s="3">
        <f t="shared" si="1"/>
        <v>5</v>
      </c>
      <c r="Q14" s="3">
        <f t="shared" si="1"/>
        <v>2</v>
      </c>
      <c r="R14" s="3">
        <f t="shared" si="1"/>
        <v>1</v>
      </c>
      <c r="S14" s="3">
        <f t="shared" si="1"/>
        <v>2</v>
      </c>
      <c r="T14" s="3">
        <f t="shared" si="1"/>
        <v>1</v>
      </c>
      <c r="U14" s="3">
        <f t="shared" si="1"/>
        <v>1</v>
      </c>
      <c r="V14" s="3">
        <f t="shared" si="1"/>
        <v>1</v>
      </c>
      <c r="W14" s="3">
        <f t="shared" si="1"/>
        <v>1</v>
      </c>
      <c r="X14" s="3">
        <f t="shared" si="1"/>
        <v>1</v>
      </c>
      <c r="Y14" s="3">
        <f t="shared" si="1"/>
        <v>1</v>
      </c>
      <c r="Z14" s="3">
        <f t="shared" si="1"/>
        <v>1</v>
      </c>
      <c r="AA14" s="3">
        <f t="shared" si="1"/>
        <v>2</v>
      </c>
      <c r="AB14" s="3">
        <f t="shared" si="0"/>
        <v>271</v>
      </c>
    </row>
  </sheetData>
  <mergeCells count="2">
    <mergeCell ref="A2:A3"/>
    <mergeCell ref="B2:AB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tabSelected="1" zoomScale="137" zoomScaleNormal="170" workbookViewId="0">
      <selection activeCell="F17" sqref="F17"/>
    </sheetView>
  </sheetViews>
  <sheetFormatPr baseColWidth="10" defaultColWidth="8.83203125" defaultRowHeight="15"/>
  <sheetData>
    <row r="1" spans="1:12">
      <c r="A1" s="4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42" customHeight="1">
      <c r="A2" s="4"/>
      <c r="B2" s="32" t="s">
        <v>55</v>
      </c>
      <c r="C2" s="32" t="s">
        <v>56</v>
      </c>
      <c r="D2" s="32" t="s">
        <v>57</v>
      </c>
      <c r="E2" s="32" t="s">
        <v>58</v>
      </c>
      <c r="F2" s="32" t="s">
        <v>59</v>
      </c>
      <c r="G2" s="32" t="s">
        <v>60</v>
      </c>
      <c r="H2" s="32" t="s">
        <v>61</v>
      </c>
      <c r="I2" s="32" t="s">
        <v>62</v>
      </c>
      <c r="J2" s="32" t="s">
        <v>63</v>
      </c>
      <c r="K2" s="32" t="s">
        <v>64</v>
      </c>
      <c r="L2" s="19" t="s">
        <v>2</v>
      </c>
    </row>
    <row r="3" spans="1:12" ht="16">
      <c r="A3" s="5" t="s">
        <v>102</v>
      </c>
      <c r="B3" s="6">
        <v>0.66304347826086951</v>
      </c>
      <c r="C3" s="6">
        <v>0.53333333333333333</v>
      </c>
      <c r="D3" s="6">
        <v>0.63235294117647056</v>
      </c>
      <c r="E3" s="6">
        <v>0.5625</v>
      </c>
      <c r="F3" s="6">
        <v>0.13636363636363635</v>
      </c>
      <c r="G3" s="6">
        <v>0.125</v>
      </c>
      <c r="H3" s="6">
        <v>0.35714285714285715</v>
      </c>
      <c r="I3" s="6">
        <v>0.1875</v>
      </c>
      <c r="J3" s="6">
        <v>0.35294117647058826</v>
      </c>
      <c r="K3" s="6">
        <v>0.5</v>
      </c>
      <c r="L3" s="6">
        <v>0.52900000000000003</v>
      </c>
    </row>
    <row r="4" spans="1:12" ht="16">
      <c r="A4" s="5" t="s">
        <v>103</v>
      </c>
      <c r="B4" s="6">
        <v>0.86956521739130399</v>
      </c>
      <c r="C4" s="6">
        <v>0.92</v>
      </c>
      <c r="D4" s="6">
        <v>0.8529411764705882</v>
      </c>
      <c r="E4" s="6">
        <v>0.76041666666666663</v>
      </c>
      <c r="F4" s="6">
        <v>0.81818181818181823</v>
      </c>
      <c r="G4" s="6">
        <v>0.625</v>
      </c>
      <c r="H4" s="6">
        <v>0.9285714285714286</v>
      </c>
      <c r="I4" s="6">
        <v>0.6875</v>
      </c>
      <c r="J4" s="6">
        <v>0.70588235294117652</v>
      </c>
      <c r="K4" s="6">
        <v>0.8</v>
      </c>
      <c r="L4" s="6">
        <v>0.83</v>
      </c>
    </row>
    <row r="5" spans="1:12" ht="16">
      <c r="A5" s="5" t="s">
        <v>104</v>
      </c>
      <c r="B5" s="6">
        <v>0.78260869565217395</v>
      </c>
      <c r="C5" s="6">
        <v>0.78666666666666663</v>
      </c>
      <c r="D5" s="6">
        <v>0.77941176470588236</v>
      </c>
      <c r="E5" s="6">
        <v>0.70833333333333337</v>
      </c>
      <c r="F5" s="6">
        <v>0.5</v>
      </c>
      <c r="G5" s="6">
        <v>0.625</v>
      </c>
      <c r="H5" s="6">
        <v>0.8571428571428571</v>
      </c>
      <c r="I5" s="6">
        <v>0.5</v>
      </c>
      <c r="J5" s="6">
        <v>0.58823529411764708</v>
      </c>
      <c r="K5" s="6">
        <v>0.7</v>
      </c>
      <c r="L5" s="6">
        <v>0.73</v>
      </c>
    </row>
    <row r="6" spans="1:12" ht="16">
      <c r="A6" s="5" t="s">
        <v>7</v>
      </c>
      <c r="B6" s="6">
        <v>0.86956521739130432</v>
      </c>
      <c r="C6" s="6">
        <v>0.94666666666666666</v>
      </c>
      <c r="D6" s="6">
        <v>0.88235294117647056</v>
      </c>
      <c r="E6" s="6">
        <v>0.79166666666666663</v>
      </c>
      <c r="F6" s="6">
        <v>0.90909090909090906</v>
      </c>
      <c r="G6" s="6">
        <v>0.75</v>
      </c>
      <c r="H6" s="6">
        <v>0.9285714285714286</v>
      </c>
      <c r="I6" s="6">
        <v>0.8125</v>
      </c>
      <c r="J6" s="6">
        <v>0.82352941176470584</v>
      </c>
      <c r="K6" s="6">
        <v>0.9</v>
      </c>
      <c r="L6" s="6">
        <v>0.86599999999999999</v>
      </c>
    </row>
    <row r="7" spans="1:12" ht="16">
      <c r="A7" s="5" t="s">
        <v>105</v>
      </c>
      <c r="B7" s="6">
        <v>0.83695652173913049</v>
      </c>
      <c r="C7" s="6">
        <v>0.84</v>
      </c>
      <c r="D7" s="6">
        <v>0.75</v>
      </c>
      <c r="E7" s="6">
        <v>0.73958333333333337</v>
      </c>
      <c r="F7" s="6">
        <v>0.72727272727272729</v>
      </c>
      <c r="G7" s="6">
        <v>0.5</v>
      </c>
      <c r="H7" s="6">
        <v>0.7857142857142857</v>
      </c>
      <c r="I7" s="6">
        <v>0.5</v>
      </c>
      <c r="J7" s="6">
        <v>0.58823529411764708</v>
      </c>
      <c r="K7" s="6">
        <v>0.7</v>
      </c>
      <c r="L7" s="6">
        <v>0.76100000000000001</v>
      </c>
    </row>
    <row r="8" spans="1:12" ht="16">
      <c r="A8" s="5" t="s">
        <v>9</v>
      </c>
      <c r="B8" s="6">
        <v>0.86956521739130399</v>
      </c>
      <c r="C8" s="6">
        <v>0.96</v>
      </c>
      <c r="D8" s="6">
        <v>0.8970588235294118</v>
      </c>
      <c r="E8" s="6">
        <v>0.875</v>
      </c>
      <c r="F8" s="6">
        <v>0.90909090909090906</v>
      </c>
      <c r="G8" s="6">
        <v>0.875</v>
      </c>
      <c r="H8" s="6">
        <v>0.9285714285714286</v>
      </c>
      <c r="I8" s="6">
        <v>0.9375</v>
      </c>
      <c r="J8" s="6">
        <v>0.88235294117647056</v>
      </c>
      <c r="K8" s="6">
        <v>0.8</v>
      </c>
      <c r="L8" s="6">
        <v>0.89700000000000002</v>
      </c>
    </row>
    <row r="9" spans="1:12" ht="16">
      <c r="A9" s="5" t="s">
        <v>10</v>
      </c>
      <c r="B9" s="6">
        <v>0</v>
      </c>
      <c r="C9" s="6">
        <v>0.04</v>
      </c>
      <c r="D9" s="6">
        <v>7.3529411764705885E-2</v>
      </c>
      <c r="E9" s="6">
        <v>5.2083333333333336E-2</v>
      </c>
      <c r="F9" s="6">
        <v>4.5454545454545456E-2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3.3000000000000002E-2</v>
      </c>
    </row>
    <row r="10" spans="1:12" ht="16">
      <c r="A10" s="5" t="s">
        <v>11</v>
      </c>
      <c r="B10" s="6">
        <v>0.98913043478260865</v>
      </c>
      <c r="C10" s="6">
        <v>0.98666666666666669</v>
      </c>
      <c r="D10" s="6">
        <v>1</v>
      </c>
      <c r="E10" s="6">
        <v>0.98958333333333337</v>
      </c>
      <c r="F10" s="6">
        <v>1</v>
      </c>
      <c r="G10" s="6">
        <v>0.875</v>
      </c>
      <c r="H10" s="6">
        <v>1</v>
      </c>
      <c r="I10" s="6">
        <v>0.9375</v>
      </c>
      <c r="J10" s="6">
        <v>1</v>
      </c>
      <c r="K10" s="6">
        <v>0.9</v>
      </c>
      <c r="L10" s="6">
        <v>0.98599999999999999</v>
      </c>
    </row>
    <row r="11" spans="1:12" ht="16">
      <c r="A11" s="5" t="s">
        <v>12</v>
      </c>
      <c r="B11" s="6">
        <v>0.88043478260869568</v>
      </c>
      <c r="C11" s="6">
        <v>0.88</v>
      </c>
      <c r="D11" s="6">
        <v>0.94117647058823528</v>
      </c>
      <c r="E11" s="6">
        <v>0.78125</v>
      </c>
      <c r="F11" s="6">
        <v>0.77272727272727271</v>
      </c>
      <c r="G11" s="6">
        <v>0.875</v>
      </c>
      <c r="H11" s="6">
        <v>0.9285714285714286</v>
      </c>
      <c r="I11" s="6">
        <v>0.8125</v>
      </c>
      <c r="J11" s="6">
        <v>0.82352941176470584</v>
      </c>
      <c r="K11" s="6">
        <v>0.8</v>
      </c>
      <c r="L11" s="6">
        <v>0.85399999999999998</v>
      </c>
    </row>
    <row r="12" spans="1:12" ht="16">
      <c r="A12" s="5" t="s">
        <v>13</v>
      </c>
      <c r="B12" s="6">
        <v>1</v>
      </c>
      <c r="C12" s="6">
        <v>1</v>
      </c>
      <c r="D12" s="6">
        <v>1</v>
      </c>
      <c r="E12" s="6">
        <v>0.98958333333333337</v>
      </c>
      <c r="F12" s="6">
        <v>1</v>
      </c>
      <c r="G12" s="6">
        <v>0.875</v>
      </c>
      <c r="H12" s="6">
        <v>1</v>
      </c>
      <c r="I12" s="6">
        <v>0.9375</v>
      </c>
      <c r="J12" s="6">
        <v>1</v>
      </c>
      <c r="K12" s="6">
        <v>1</v>
      </c>
      <c r="L12" s="6">
        <v>0.99299999999999999</v>
      </c>
    </row>
    <row r="13" spans="1:12" ht="16">
      <c r="A13" s="5" t="s">
        <v>14</v>
      </c>
      <c r="B13" s="6">
        <v>0.98913043478260865</v>
      </c>
      <c r="C13" s="6">
        <v>1</v>
      </c>
      <c r="D13" s="6">
        <v>1</v>
      </c>
      <c r="E13" s="6">
        <v>1</v>
      </c>
      <c r="F13" s="6">
        <v>1</v>
      </c>
      <c r="G13" s="6">
        <v>0.875</v>
      </c>
      <c r="H13" s="6">
        <v>1</v>
      </c>
      <c r="I13" s="6">
        <v>1</v>
      </c>
      <c r="J13" s="6">
        <v>1</v>
      </c>
      <c r="K13" s="6">
        <v>0.9</v>
      </c>
      <c r="L13" s="6">
        <v>0.99299999999999999</v>
      </c>
    </row>
    <row r="14" spans="1:12" ht="16">
      <c r="A14" s="7" t="s">
        <v>15</v>
      </c>
      <c r="B14" s="8">
        <v>1</v>
      </c>
      <c r="C14" s="8">
        <v>1</v>
      </c>
      <c r="D14" s="8">
        <v>1</v>
      </c>
      <c r="E14" s="8">
        <v>0.98958333333333337</v>
      </c>
      <c r="F14" s="8">
        <v>1</v>
      </c>
      <c r="G14" s="8">
        <v>0.875</v>
      </c>
      <c r="H14" s="8">
        <v>1</v>
      </c>
      <c r="I14" s="8">
        <v>0.9375</v>
      </c>
      <c r="J14" s="8">
        <v>1</v>
      </c>
      <c r="K14" s="8">
        <v>1</v>
      </c>
      <c r="L14" s="8">
        <v>0.99299999999999999</v>
      </c>
    </row>
    <row r="15" spans="1:12" ht="16">
      <c r="A15" s="47" t="s">
        <v>106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zoomScale="134" zoomScaleNormal="170" workbookViewId="0">
      <selection activeCell="A9" sqref="A9:XFD9"/>
    </sheetView>
  </sheetViews>
  <sheetFormatPr baseColWidth="10" defaultColWidth="8.83203125" defaultRowHeight="14"/>
  <cols>
    <col min="1" max="16384" width="8.83203125" style="25"/>
  </cols>
  <sheetData>
    <row r="1" spans="1:12" ht="21" customHeight="1">
      <c r="A1" s="41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46.5" customHeight="1">
      <c r="A2" s="4"/>
      <c r="B2" s="32" t="s">
        <v>65</v>
      </c>
      <c r="C2" s="32" t="s">
        <v>66</v>
      </c>
      <c r="D2" s="32" t="s">
        <v>67</v>
      </c>
      <c r="E2" s="32" t="s">
        <v>68</v>
      </c>
      <c r="F2" s="32" t="s">
        <v>69</v>
      </c>
      <c r="G2" s="32" t="s">
        <v>60</v>
      </c>
      <c r="H2" s="32" t="s">
        <v>70</v>
      </c>
      <c r="I2" s="32" t="s">
        <v>71</v>
      </c>
      <c r="J2" s="32" t="s">
        <v>72</v>
      </c>
      <c r="K2" s="32" t="s">
        <v>73</v>
      </c>
      <c r="L2" s="33" t="s">
        <v>2</v>
      </c>
    </row>
    <row r="3" spans="1:12" ht="16">
      <c r="A3" s="13" t="s">
        <v>4</v>
      </c>
      <c r="B3" s="12">
        <f>3/17</f>
        <v>0.17647058823529413</v>
      </c>
      <c r="C3" s="12">
        <f>8/24</f>
        <v>0.33333333333333331</v>
      </c>
      <c r="D3" s="12">
        <f>4/13</f>
        <v>0.30769230769230771</v>
      </c>
      <c r="E3" s="12">
        <f>6/18</f>
        <v>0.33333333333333331</v>
      </c>
      <c r="F3" s="6">
        <f>3/20</f>
        <v>0.15</v>
      </c>
      <c r="G3" s="6">
        <f>1/8</f>
        <v>0.125</v>
      </c>
      <c r="H3" s="6">
        <f>5/12</f>
        <v>0.41666666666666669</v>
      </c>
      <c r="I3" s="6">
        <f>3/14</f>
        <v>0.21428571428571427</v>
      </c>
      <c r="J3" s="6">
        <f>2/9</f>
        <v>0.22222222222222221</v>
      </c>
      <c r="K3" s="6">
        <f>0/4</f>
        <v>0</v>
      </c>
      <c r="L3" s="6">
        <f>35/139</f>
        <v>0.25179856115107913</v>
      </c>
    </row>
    <row r="4" spans="1:12" ht="16">
      <c r="A4" s="13" t="s">
        <v>5</v>
      </c>
      <c r="B4" s="12">
        <f>14/17</f>
        <v>0.82352941176470584</v>
      </c>
      <c r="C4" s="12">
        <f>22/24</f>
        <v>0.91666666666666663</v>
      </c>
      <c r="D4" s="12">
        <f>9/13</f>
        <v>0.69230769230769229</v>
      </c>
      <c r="E4" s="12">
        <f>11/18</f>
        <v>0.61111111111111116</v>
      </c>
      <c r="F4" s="6">
        <f>17/20</f>
        <v>0.85</v>
      </c>
      <c r="G4" s="6">
        <f>5/8</f>
        <v>0.625</v>
      </c>
      <c r="H4" s="6">
        <f>12/12</f>
        <v>1</v>
      </c>
      <c r="I4" s="6">
        <f>10/14</f>
        <v>0.7142857142857143</v>
      </c>
      <c r="J4" s="6">
        <f>5/9</f>
        <v>0.55555555555555558</v>
      </c>
      <c r="K4" s="6">
        <f>2/4</f>
        <v>0.5</v>
      </c>
      <c r="L4" s="6">
        <f>107/139</f>
        <v>0.76978417266187049</v>
      </c>
    </row>
    <row r="5" spans="1:12" ht="16">
      <c r="A5" s="13" t="s">
        <v>6</v>
      </c>
      <c r="B5" s="12">
        <f>7/17</f>
        <v>0.41176470588235292</v>
      </c>
      <c r="C5" s="12">
        <f>15/24</f>
        <v>0.625</v>
      </c>
      <c r="D5" s="12">
        <f>7/13</f>
        <v>0.53846153846153844</v>
      </c>
      <c r="E5" s="12">
        <f>8/18</f>
        <v>0.44444444444444442</v>
      </c>
      <c r="F5" s="6">
        <f>11/20</f>
        <v>0.55000000000000004</v>
      </c>
      <c r="G5" s="6">
        <f>5/8</f>
        <v>0.625</v>
      </c>
      <c r="H5" s="6">
        <f>12/12</f>
        <v>1</v>
      </c>
      <c r="I5" s="6">
        <f>7/14</f>
        <v>0.5</v>
      </c>
      <c r="J5" s="6">
        <f>4/9</f>
        <v>0.44444444444444442</v>
      </c>
      <c r="K5" s="6">
        <f>2/4</f>
        <v>0.5</v>
      </c>
      <c r="L5" s="6">
        <f>78/139</f>
        <v>0.5611510791366906</v>
      </c>
    </row>
    <row r="6" spans="1:12" ht="16">
      <c r="A6" s="5" t="s">
        <v>7</v>
      </c>
      <c r="B6" s="6">
        <f>14/17</f>
        <v>0.82352941176470584</v>
      </c>
      <c r="C6" s="6">
        <f>23/24</f>
        <v>0.95833333333333337</v>
      </c>
      <c r="D6" s="6">
        <f>11/13</f>
        <v>0.84615384615384615</v>
      </c>
      <c r="E6" s="6">
        <f>11/18</f>
        <v>0.61111111111111116</v>
      </c>
      <c r="F6" s="6">
        <f>18/20</f>
        <v>0.9</v>
      </c>
      <c r="G6" s="6">
        <f>6/8</f>
        <v>0.75</v>
      </c>
      <c r="H6" s="6">
        <f>12/12</f>
        <v>1</v>
      </c>
      <c r="I6" s="6">
        <f>12/14</f>
        <v>0.8571428571428571</v>
      </c>
      <c r="J6" s="6">
        <f>7/9</f>
        <v>0.77777777777777779</v>
      </c>
      <c r="K6" s="6">
        <f>3/4</f>
        <v>0.75</v>
      </c>
      <c r="L6" s="6">
        <f>117/139</f>
        <v>0.84172661870503596</v>
      </c>
    </row>
    <row r="7" spans="1:12" ht="16">
      <c r="A7" s="13" t="s">
        <v>8</v>
      </c>
      <c r="B7" s="12">
        <f>13/17</f>
        <v>0.76470588235294112</v>
      </c>
      <c r="C7" s="12">
        <f>17/24</f>
        <v>0.70833333333333337</v>
      </c>
      <c r="D7" s="12">
        <f>6/13</f>
        <v>0.46153846153846156</v>
      </c>
      <c r="E7" s="12">
        <f>9/18</f>
        <v>0.5</v>
      </c>
      <c r="F7" s="6">
        <f>15/20</f>
        <v>0.75</v>
      </c>
      <c r="G7" s="6">
        <f>4/8</f>
        <v>0.5</v>
      </c>
      <c r="H7" s="6">
        <f>10/12</f>
        <v>0.83333333333333337</v>
      </c>
      <c r="I7" s="6">
        <f>7/14</f>
        <v>0.5</v>
      </c>
      <c r="J7" s="6">
        <f>3/9</f>
        <v>0.33333333333333331</v>
      </c>
      <c r="K7" s="6">
        <f>2/4</f>
        <v>0.5</v>
      </c>
      <c r="L7" s="6">
        <f>84/139</f>
        <v>0.60431654676258995</v>
      </c>
    </row>
    <row r="8" spans="1:12" ht="16">
      <c r="A8" s="5" t="s">
        <v>9</v>
      </c>
      <c r="B8" s="6">
        <f>14/17</f>
        <v>0.82352941176470584</v>
      </c>
      <c r="C8" s="6">
        <f>24/24</f>
        <v>1</v>
      </c>
      <c r="D8" s="6">
        <f>11/13</f>
        <v>0.84615384615384615</v>
      </c>
      <c r="E8" s="6">
        <f>16/18</f>
        <v>0.88888888888888884</v>
      </c>
      <c r="F8" s="6">
        <f>18/20</f>
        <v>0.9</v>
      </c>
      <c r="G8" s="6">
        <f>7/8</f>
        <v>0.875</v>
      </c>
      <c r="H8" s="6">
        <f>12/12</f>
        <v>1</v>
      </c>
      <c r="I8" s="6">
        <f>13/14</f>
        <v>0.9285714285714286</v>
      </c>
      <c r="J8" s="6">
        <f>7/9</f>
        <v>0.77777777777777779</v>
      </c>
      <c r="K8" s="6">
        <f>2/4</f>
        <v>0.5</v>
      </c>
      <c r="L8" s="6">
        <f>124/139</f>
        <v>0.8920863309352518</v>
      </c>
    </row>
    <row r="9" spans="1:12" ht="16">
      <c r="A9" s="5" t="s">
        <v>10</v>
      </c>
      <c r="B9" s="6">
        <f>0/17</f>
        <v>0</v>
      </c>
      <c r="C9" s="6">
        <f>1/24</f>
        <v>4.1666666666666664E-2</v>
      </c>
      <c r="D9" s="6">
        <f>3/13</f>
        <v>0.23076923076923078</v>
      </c>
      <c r="E9" s="6">
        <f>1/18</f>
        <v>5.5555555555555552E-2</v>
      </c>
      <c r="F9" s="6">
        <f>1/20</f>
        <v>0.05</v>
      </c>
      <c r="G9" s="6">
        <f>0/8</f>
        <v>0</v>
      </c>
      <c r="H9" s="6">
        <f>0/12</f>
        <v>0</v>
      </c>
      <c r="I9" s="6">
        <f>0/14</f>
        <v>0</v>
      </c>
      <c r="J9" s="6">
        <f>0/9</f>
        <v>0</v>
      </c>
      <c r="K9" s="6">
        <f>0/4</f>
        <v>0</v>
      </c>
      <c r="L9" s="6">
        <f>6/139</f>
        <v>4.3165467625899283E-2</v>
      </c>
    </row>
    <row r="10" spans="1:12" ht="16">
      <c r="A10" s="5" t="s">
        <v>11</v>
      </c>
      <c r="B10" s="6">
        <f>17/17</f>
        <v>1</v>
      </c>
      <c r="C10" s="6">
        <f>24/24</f>
        <v>1</v>
      </c>
      <c r="D10" s="6">
        <f>13/13</f>
        <v>1</v>
      </c>
      <c r="E10" s="6">
        <f>18/18</f>
        <v>1</v>
      </c>
      <c r="F10" s="6">
        <f>20/20</f>
        <v>1</v>
      </c>
      <c r="G10" s="6">
        <f>7/8</f>
        <v>0.875</v>
      </c>
      <c r="H10" s="6">
        <f>12/12</f>
        <v>1</v>
      </c>
      <c r="I10" s="6">
        <f>13/14</f>
        <v>0.9285714285714286</v>
      </c>
      <c r="J10" s="6">
        <f>9/9</f>
        <v>1</v>
      </c>
      <c r="K10" s="6">
        <f>3/4</f>
        <v>0.75</v>
      </c>
      <c r="L10" s="6">
        <f>136/139</f>
        <v>0.97841726618705038</v>
      </c>
    </row>
    <row r="11" spans="1:12" ht="16">
      <c r="A11" s="5" t="s">
        <v>12</v>
      </c>
      <c r="B11" s="6">
        <f>11/17</f>
        <v>0.6470588235294118</v>
      </c>
      <c r="C11" s="38" t="s">
        <v>87</v>
      </c>
      <c r="D11" s="6">
        <f>13/13</f>
        <v>1</v>
      </c>
      <c r="E11" s="6">
        <f>9/18</f>
        <v>0.5</v>
      </c>
      <c r="F11" s="6">
        <f>16/20</f>
        <v>0.8</v>
      </c>
      <c r="G11" s="6">
        <f>7/8</f>
        <v>0.875</v>
      </c>
      <c r="H11" s="6">
        <f>12/12</f>
        <v>1</v>
      </c>
      <c r="I11" s="6">
        <f>11/14</f>
        <v>0.7857142857142857</v>
      </c>
      <c r="J11" s="6">
        <f>8/9</f>
        <v>0.88888888888888884</v>
      </c>
      <c r="K11" s="6">
        <f>2/4</f>
        <v>0.5</v>
      </c>
      <c r="L11" s="6">
        <f>110/139</f>
        <v>0.79136690647482011</v>
      </c>
    </row>
    <row r="12" spans="1:12" ht="16">
      <c r="A12" s="5" t="s">
        <v>13</v>
      </c>
      <c r="B12" s="6">
        <f>17/17</f>
        <v>1</v>
      </c>
      <c r="C12" s="6">
        <f>24/24</f>
        <v>1</v>
      </c>
      <c r="D12" s="6">
        <f>13/13</f>
        <v>1</v>
      </c>
      <c r="E12" s="6">
        <f>18/18</f>
        <v>1</v>
      </c>
      <c r="F12" s="6">
        <f>20/20</f>
        <v>1</v>
      </c>
      <c r="G12" s="6">
        <f>7/8</f>
        <v>0.875</v>
      </c>
      <c r="H12" s="6">
        <f>12/12</f>
        <v>1</v>
      </c>
      <c r="I12" s="6">
        <f>13/14</f>
        <v>0.9285714285714286</v>
      </c>
      <c r="J12" s="6">
        <f>9/9</f>
        <v>1</v>
      </c>
      <c r="K12" s="6">
        <f>4/4</f>
        <v>1</v>
      </c>
      <c r="L12" s="6">
        <f>137/139</f>
        <v>0.98561151079136688</v>
      </c>
    </row>
    <row r="13" spans="1:12" ht="16">
      <c r="A13" s="5" t="s">
        <v>14</v>
      </c>
      <c r="B13" s="6">
        <f>17/17</f>
        <v>1</v>
      </c>
      <c r="C13" s="6">
        <f>24/24</f>
        <v>1</v>
      </c>
      <c r="D13" s="6">
        <f>13/13</f>
        <v>1</v>
      </c>
      <c r="E13" s="6">
        <f>18/18</f>
        <v>1</v>
      </c>
      <c r="F13" s="6">
        <f>20/20</f>
        <v>1</v>
      </c>
      <c r="G13" s="6">
        <f>7/8</f>
        <v>0.875</v>
      </c>
      <c r="H13" s="6">
        <f>12/12</f>
        <v>1</v>
      </c>
      <c r="I13" s="6">
        <f>14/14</f>
        <v>1</v>
      </c>
      <c r="J13" s="6">
        <f>9/9</f>
        <v>1</v>
      </c>
      <c r="K13" s="6">
        <f>3/4</f>
        <v>0.75</v>
      </c>
      <c r="L13" s="6">
        <f>137/139</f>
        <v>0.98561151079136688</v>
      </c>
    </row>
    <row r="14" spans="1:12" ht="16">
      <c r="A14" s="7" t="s">
        <v>15</v>
      </c>
      <c r="B14" s="8">
        <f>17/17</f>
        <v>1</v>
      </c>
      <c r="C14" s="8">
        <f>24/24</f>
        <v>1</v>
      </c>
      <c r="D14" s="8">
        <f>13/13</f>
        <v>1</v>
      </c>
      <c r="E14" s="8">
        <f>18/18</f>
        <v>1</v>
      </c>
      <c r="F14" s="8">
        <f>20/20</f>
        <v>1</v>
      </c>
      <c r="G14" s="8">
        <f>7/8</f>
        <v>0.875</v>
      </c>
      <c r="H14" s="8">
        <f>12/12</f>
        <v>1</v>
      </c>
      <c r="I14" s="8">
        <f>13/14</f>
        <v>0.9285714285714286</v>
      </c>
      <c r="J14" s="8">
        <f>9/9</f>
        <v>1</v>
      </c>
      <c r="K14" s="8">
        <f>4/4</f>
        <v>1</v>
      </c>
      <c r="L14" s="8">
        <f>137/139</f>
        <v>0.98561151079136688</v>
      </c>
    </row>
    <row r="16" spans="1:12">
      <c r="A16" s="37" t="s">
        <v>86</v>
      </c>
    </row>
    <row r="27" spans="7:7">
      <c r="G27" s="36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1974-F3E6-724B-96A6-070B23689995}">
  <dimension ref="A1:L14"/>
  <sheetViews>
    <sheetView zoomScale="118" workbookViewId="0">
      <selection activeCell="C27" sqref="C27"/>
    </sheetView>
  </sheetViews>
  <sheetFormatPr baseColWidth="10" defaultColWidth="10.83203125" defaultRowHeight="15"/>
  <sheetData>
    <row r="1" spans="1:12">
      <c r="A1" s="41" t="s">
        <v>96</v>
      </c>
      <c r="B1" s="2"/>
      <c r="C1" s="2"/>
      <c r="D1" s="2"/>
      <c r="E1" s="2"/>
      <c r="F1" s="2"/>
      <c r="G1" s="2"/>
      <c r="H1" s="2"/>
      <c r="I1" s="25"/>
      <c r="J1" s="25"/>
      <c r="K1" s="25"/>
      <c r="L1" s="25"/>
    </row>
    <row r="2" spans="1:12" ht="34">
      <c r="A2" s="4"/>
      <c r="B2" s="32" t="s">
        <v>74</v>
      </c>
      <c r="C2" s="32" t="s">
        <v>88</v>
      </c>
      <c r="D2" s="32" t="s">
        <v>81</v>
      </c>
      <c r="E2" s="32" t="s">
        <v>89</v>
      </c>
      <c r="F2" s="32" t="s">
        <v>75</v>
      </c>
      <c r="G2" s="32" t="s">
        <v>76</v>
      </c>
      <c r="H2" s="32" t="s">
        <v>77</v>
      </c>
      <c r="I2" s="32" t="s">
        <v>78</v>
      </c>
      <c r="J2" s="32" t="s">
        <v>79</v>
      </c>
      <c r="K2" s="32" t="s">
        <v>80</v>
      </c>
      <c r="L2" s="44" t="s">
        <v>39</v>
      </c>
    </row>
    <row r="3" spans="1:12" ht="16">
      <c r="A3" s="5" t="s">
        <v>4</v>
      </c>
      <c r="B3" s="6">
        <f>57/73</f>
        <v>0.78082191780821919</v>
      </c>
      <c r="C3" s="6">
        <v>0.65300000000000002</v>
      </c>
      <c r="D3" s="6">
        <f>39/55</f>
        <v>0.70909090909090911</v>
      </c>
      <c r="E3" s="6">
        <v>0.61299999999999999</v>
      </c>
      <c r="F3" s="34">
        <f>0/2</f>
        <v>0</v>
      </c>
      <c r="G3" s="34" t="s">
        <v>17</v>
      </c>
      <c r="H3" s="34">
        <f>0/2</f>
        <v>0</v>
      </c>
      <c r="I3" s="34">
        <f>0/2</f>
        <v>0</v>
      </c>
      <c r="J3" s="34">
        <f>3/7</f>
        <v>0.42857142857142855</v>
      </c>
      <c r="K3" s="34">
        <f>5/6</f>
        <v>0.83333333333333337</v>
      </c>
      <c r="L3" s="45">
        <f>182/271</f>
        <v>0.67158671586715868</v>
      </c>
    </row>
    <row r="4" spans="1:12" ht="16">
      <c r="A4" s="5" t="s">
        <v>5</v>
      </c>
      <c r="B4" s="6">
        <f>64/73</f>
        <v>0.87671232876712324</v>
      </c>
      <c r="C4" s="6">
        <v>0.93899999999999995</v>
      </c>
      <c r="D4" s="6">
        <f>49/55</f>
        <v>0.89090909090909087</v>
      </c>
      <c r="E4" s="6">
        <v>0.8</v>
      </c>
      <c r="F4" s="34">
        <f>1/2</f>
        <v>0.5</v>
      </c>
      <c r="G4" s="34" t="s">
        <v>17</v>
      </c>
      <c r="H4" s="34">
        <f>1/2</f>
        <v>0.5</v>
      </c>
      <c r="I4" s="34">
        <f>1/2</f>
        <v>0.5</v>
      </c>
      <c r="J4" s="34">
        <f>6/7</f>
        <v>0.8571428571428571</v>
      </c>
      <c r="K4" s="34">
        <f>6/6</f>
        <v>1</v>
      </c>
      <c r="L4" s="45">
        <f>234/271</f>
        <v>0.86346863468634683</v>
      </c>
    </row>
    <row r="5" spans="1:12" ht="16">
      <c r="A5" s="5" t="s">
        <v>6</v>
      </c>
      <c r="B5" s="6">
        <f>63/73</f>
        <v>0.86301369863013699</v>
      </c>
      <c r="C5" s="6">
        <v>0.878</v>
      </c>
      <c r="D5" s="6">
        <f>46/55</f>
        <v>0.83636363636363631</v>
      </c>
      <c r="E5" s="6">
        <v>0.77300000000000002</v>
      </c>
      <c r="F5" s="34">
        <f>0/2</f>
        <v>0</v>
      </c>
      <c r="G5" s="34" t="s">
        <v>17</v>
      </c>
      <c r="H5" s="34">
        <f>0/2</f>
        <v>0</v>
      </c>
      <c r="I5" s="34">
        <f>1/2</f>
        <v>0.5</v>
      </c>
      <c r="J5" s="34">
        <f>5/7</f>
        <v>0.7142857142857143</v>
      </c>
      <c r="K5" s="34">
        <f>5/6</f>
        <v>0.83333333333333337</v>
      </c>
      <c r="L5" s="45">
        <f>221/271</f>
        <v>0.81549815498154976</v>
      </c>
    </row>
    <row r="6" spans="1:12" ht="16">
      <c r="A6" s="5" t="s">
        <v>7</v>
      </c>
      <c r="B6" s="6">
        <f>64/73</f>
        <v>0.87671232876712324</v>
      </c>
      <c r="C6" s="6">
        <v>0.95899999999999996</v>
      </c>
      <c r="D6" s="6">
        <f>49/55</f>
        <v>0.89090909090909087</v>
      </c>
      <c r="E6" s="6">
        <v>0.82699999999999996</v>
      </c>
      <c r="F6" s="34">
        <f>2/2</f>
        <v>1</v>
      </c>
      <c r="G6" s="34" t="s">
        <v>17</v>
      </c>
      <c r="H6" s="34">
        <f>1/2</f>
        <v>0.5</v>
      </c>
      <c r="I6" s="34">
        <f>1/2</f>
        <v>0.5</v>
      </c>
      <c r="J6" s="34">
        <f>6/7</f>
        <v>0.8571428571428571</v>
      </c>
      <c r="K6" s="34">
        <f>6/6</f>
        <v>1</v>
      </c>
      <c r="L6" s="45">
        <f>238/271</f>
        <v>0.87822878228782286</v>
      </c>
    </row>
    <row r="7" spans="1:12" ht="16">
      <c r="A7" s="5" t="s">
        <v>8</v>
      </c>
      <c r="B7" s="6">
        <f>62/73</f>
        <v>0.84931506849315064</v>
      </c>
      <c r="C7" s="6">
        <v>0.91800000000000004</v>
      </c>
      <c r="D7" s="6">
        <f>45/55</f>
        <v>0.81818181818181823</v>
      </c>
      <c r="E7" s="6">
        <v>0.8</v>
      </c>
      <c r="F7" s="34">
        <f>1/2</f>
        <v>0.5</v>
      </c>
      <c r="G7" s="34" t="s">
        <v>17</v>
      </c>
      <c r="H7" s="34">
        <f>1/2</f>
        <v>0.5</v>
      </c>
      <c r="I7" s="34">
        <f>1/2</f>
        <v>0.5</v>
      </c>
      <c r="J7" s="34">
        <f>6/7</f>
        <v>0.8571428571428571</v>
      </c>
      <c r="K7" s="34">
        <f>5/6</f>
        <v>0.83333333333333337</v>
      </c>
      <c r="L7" s="45">
        <f>226/271</f>
        <v>0.83394833948339486</v>
      </c>
    </row>
    <row r="8" spans="1:12" ht="16">
      <c r="A8" s="5" t="s">
        <v>9</v>
      </c>
      <c r="B8" s="6">
        <f>64/73</f>
        <v>0.87671232876712324</v>
      </c>
      <c r="C8" s="6">
        <v>0.95899999999999996</v>
      </c>
      <c r="D8" s="6">
        <f>50/55</f>
        <v>0.90909090909090906</v>
      </c>
      <c r="E8" s="6">
        <v>0.88</v>
      </c>
      <c r="F8" s="34">
        <f>2/2</f>
        <v>1</v>
      </c>
      <c r="G8" s="34" t="s">
        <v>17</v>
      </c>
      <c r="H8" s="34">
        <f>1/2</f>
        <v>0.5</v>
      </c>
      <c r="I8" s="34">
        <f>2/2</f>
        <v>1</v>
      </c>
      <c r="J8" s="34">
        <f>7/7</f>
        <v>1</v>
      </c>
      <c r="K8" s="34">
        <f>6/6</f>
        <v>1</v>
      </c>
      <c r="L8" s="45">
        <f>245/271</f>
        <v>0.90405904059040587</v>
      </c>
    </row>
    <row r="9" spans="1:12" ht="16">
      <c r="A9" s="5" t="s">
        <v>10</v>
      </c>
      <c r="B9" s="6">
        <f>0/73</f>
        <v>0</v>
      </c>
      <c r="C9" s="6">
        <v>4.1000000000000002E-2</v>
      </c>
      <c r="D9" s="6">
        <f>2/55</f>
        <v>3.6363636363636362E-2</v>
      </c>
      <c r="E9" s="6">
        <v>5.2999999999999999E-2</v>
      </c>
      <c r="F9" s="34">
        <f>0/2</f>
        <v>0</v>
      </c>
      <c r="G9" s="34" t="s">
        <v>17</v>
      </c>
      <c r="H9" s="34">
        <f>0/2</f>
        <v>0</v>
      </c>
      <c r="I9" s="34">
        <f>0/2</f>
        <v>0</v>
      </c>
      <c r="J9" s="34">
        <f>0/7</f>
        <v>0</v>
      </c>
      <c r="K9" s="34">
        <f>0/6</f>
        <v>0</v>
      </c>
      <c r="L9" s="45">
        <f>8/271</f>
        <v>2.9520295202952029E-2</v>
      </c>
    </row>
    <row r="10" spans="1:12" ht="16">
      <c r="A10" s="5" t="s">
        <v>11</v>
      </c>
      <c r="B10" s="6">
        <f>72/73</f>
        <v>0.98630136986301364</v>
      </c>
      <c r="C10" s="6">
        <v>0.98</v>
      </c>
      <c r="D10" s="6">
        <f>55/55</f>
        <v>1</v>
      </c>
      <c r="E10" s="6">
        <v>0.98699999999999999</v>
      </c>
      <c r="F10" s="34">
        <f>2/2</f>
        <v>1</v>
      </c>
      <c r="G10" s="34" t="s">
        <v>17</v>
      </c>
      <c r="H10" s="34">
        <f>2/2</f>
        <v>1</v>
      </c>
      <c r="I10" s="34">
        <f>2/2</f>
        <v>1</v>
      </c>
      <c r="J10" s="34">
        <f>7/7</f>
        <v>1</v>
      </c>
      <c r="K10" s="34">
        <f>6/6</f>
        <v>1</v>
      </c>
      <c r="L10" s="45">
        <f>268/271</f>
        <v>0.98892988929889303</v>
      </c>
    </row>
    <row r="11" spans="1:12" ht="16">
      <c r="A11" s="5" t="s">
        <v>12</v>
      </c>
      <c r="B11" s="6">
        <f>68/73</f>
        <v>0.93150684931506844</v>
      </c>
      <c r="C11" s="6">
        <v>0.89800000000000002</v>
      </c>
      <c r="D11" s="6">
        <f>51/55</f>
        <v>0.92727272727272725</v>
      </c>
      <c r="E11" s="6">
        <v>0.85299999999999998</v>
      </c>
      <c r="F11" s="34">
        <f>1/2</f>
        <v>0.5</v>
      </c>
      <c r="G11" s="34" t="s">
        <v>17</v>
      </c>
      <c r="H11" s="34">
        <f>1/2</f>
        <v>0.5</v>
      </c>
      <c r="I11" s="34">
        <f>2/2</f>
        <v>1</v>
      </c>
      <c r="J11" s="34">
        <f>5/7</f>
        <v>0.7142857142857143</v>
      </c>
      <c r="K11" s="34">
        <f>6/6</f>
        <v>1</v>
      </c>
      <c r="L11" s="45">
        <f>242/271</f>
        <v>0.8929889298892989</v>
      </c>
    </row>
    <row r="12" spans="1:12" ht="16">
      <c r="A12" s="5" t="s">
        <v>13</v>
      </c>
      <c r="B12" s="6">
        <v>1</v>
      </c>
      <c r="C12" s="6">
        <f>47/47</f>
        <v>1</v>
      </c>
      <c r="D12" s="6">
        <f>55/55</f>
        <v>1</v>
      </c>
      <c r="E12" s="6">
        <v>0.98699999999999999</v>
      </c>
      <c r="F12" s="34">
        <f>2/2</f>
        <v>1</v>
      </c>
      <c r="G12" s="34" t="s">
        <v>17</v>
      </c>
      <c r="H12" s="34">
        <f>2/2</f>
        <v>1</v>
      </c>
      <c r="I12" s="34">
        <f>2/2</f>
        <v>1</v>
      </c>
      <c r="J12" s="34">
        <f>7/7</f>
        <v>1</v>
      </c>
      <c r="K12" s="34">
        <f>6/6</f>
        <v>1</v>
      </c>
      <c r="L12" s="45">
        <f>270/271</f>
        <v>0.99630996309963105</v>
      </c>
    </row>
    <row r="13" spans="1:12" ht="16">
      <c r="A13" s="5" t="s">
        <v>14</v>
      </c>
      <c r="B13" s="6">
        <f>72/73</f>
        <v>0.98630136986301364</v>
      </c>
      <c r="C13" s="6">
        <f>47/47</f>
        <v>1</v>
      </c>
      <c r="D13" s="6">
        <f>55/55</f>
        <v>1</v>
      </c>
      <c r="E13" s="6">
        <f>74/74</f>
        <v>1</v>
      </c>
      <c r="F13" s="34">
        <f>2/2</f>
        <v>1</v>
      </c>
      <c r="G13" s="34" t="s">
        <v>17</v>
      </c>
      <c r="H13" s="34">
        <f>2/2</f>
        <v>1</v>
      </c>
      <c r="I13" s="34">
        <f>2/2</f>
        <v>1</v>
      </c>
      <c r="J13" s="34">
        <f>7/7</f>
        <v>1</v>
      </c>
      <c r="K13" s="34">
        <f>6/6</f>
        <v>1</v>
      </c>
      <c r="L13" s="45">
        <f>270/271</f>
        <v>0.99630996309963105</v>
      </c>
    </row>
    <row r="14" spans="1:12" ht="16">
      <c r="A14" s="7" t="s">
        <v>15</v>
      </c>
      <c r="B14" s="8">
        <f>73/73</f>
        <v>1</v>
      </c>
      <c r="C14" s="8">
        <f>47/47</f>
        <v>1</v>
      </c>
      <c r="D14" s="8">
        <f>55/55</f>
        <v>1</v>
      </c>
      <c r="E14" s="8">
        <v>0.98699999999999999</v>
      </c>
      <c r="F14" s="35">
        <f>2/2</f>
        <v>1</v>
      </c>
      <c r="G14" s="35" t="s">
        <v>17</v>
      </c>
      <c r="H14" s="35">
        <f>2/2</f>
        <v>1</v>
      </c>
      <c r="I14" s="35">
        <f>2/2</f>
        <v>1</v>
      </c>
      <c r="J14" s="35">
        <f>7/7</f>
        <v>1</v>
      </c>
      <c r="K14" s="35">
        <f>6/6</f>
        <v>1</v>
      </c>
      <c r="L14" s="46">
        <f>270/271</f>
        <v>0.99630996309963105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L</dc:creator>
  <cp:lastModifiedBy>Alannah King</cp:lastModifiedBy>
  <cp:lastPrinted>2024-07-14T06:01:12Z</cp:lastPrinted>
  <dcterms:created xsi:type="dcterms:W3CDTF">2015-06-05T18:19:34Z</dcterms:created>
  <dcterms:modified xsi:type="dcterms:W3CDTF">2024-10-15T08:41:21Z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2024-09-22T14:19:35Z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260a33ad-61dd-47ce-b993-500900bc9423</vt:lpwstr>
  </property>
  <property fmtid="{D5CDD505-2E9C-101B-9397-08002B2CF9AE}" pid="8" name="MSIP_Label_8af03ff0-41c5-4c41-b55e-fabb8fae94be_ContentBits">
    <vt:lpwstr>0</vt:lpwstr>
  </property>
</Properties>
</file>