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hidePivotFieldList="1" defaultThemeVersion="166925"/>
  <mc:AlternateContent xmlns:mc="http://schemas.openxmlformats.org/markup-compatibility/2006">
    <mc:Choice Requires="x15">
      <x15ac:absPath xmlns:x15ac="http://schemas.microsoft.com/office/spreadsheetml/2010/11/ac" url="/Users/akankshaankam/Downloads/"/>
    </mc:Choice>
  </mc:AlternateContent>
  <xr:revisionPtr revIDLastSave="0" documentId="13_ncr:1_{66FF648C-2962-2143-9CEB-D13DBF48E0BA}" xr6:coauthVersionLast="47" xr6:coauthVersionMax="47" xr10:uidLastSave="{00000000-0000-0000-0000-000000000000}"/>
  <bookViews>
    <workbookView xWindow="0" yWindow="0" windowWidth="28800" windowHeight="18000" activeTab="8" xr2:uid="{26D4546B-D2A1-4444-8EAF-A6228F96F0C1}"/>
  </bookViews>
  <sheets>
    <sheet name="Data" sheetId="3" r:id="rId1"/>
    <sheet name="India Staff" sheetId="2" r:id="rId2"/>
    <sheet name="All Staff" sheetId="4" r:id="rId3"/>
    <sheet name="No of People" sheetId="10" r:id="rId4"/>
    <sheet name="Final Report" sheetId="11" r:id="rId5"/>
    <sheet name="Sheet2" sheetId="12" r:id="rId6"/>
    <sheet name="Salary Spread" sheetId="7" r:id="rId7"/>
    <sheet name="info finder" sheetId="5" r:id="rId8"/>
    <sheet name="Salary vs Rating" sheetId="8" r:id="rId9"/>
    <sheet name="Male vs Female" sheetId="6" r:id="rId10"/>
    <sheet name="Sheet7" sheetId="9" r:id="rId11"/>
  </sheets>
  <definedNames>
    <definedName name="_xlnm._FilterDatabase" localSheetId="1" hidden="1">'India Staff'!$B$2:$H$114</definedName>
    <definedName name="_xlchart.v1.0" hidden="1">'All Staff'!$G$1</definedName>
    <definedName name="_xlchart.v1.1" hidden="1">'All Staff'!$G$2:$G$185</definedName>
    <definedName name="_xlchart.v1.2" hidden="1">'All Staff'!$G$1</definedName>
    <definedName name="_xlchart.v1.3" hidden="1">'All Staff'!$G$2:$G$185</definedName>
    <definedName name="_xlcn.WorksheetConnection_blankdatafile.xlsxstaff1"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1" l="1"/>
  <c r="L2" i="11"/>
  <c r="N2" i="11"/>
  <c r="K2" i="11"/>
  <c r="G2" i="11"/>
  <c r="E2" i="11"/>
  <c r="C2" i="11"/>
  <c r="O4" i="10" a="1"/>
  <c r="O4" i="10" s="1"/>
  <c r="P4" i="10" s="1"/>
  <c r="N4" i="10" a="1"/>
  <c r="N4" i="10" s="1"/>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J10" i="5"/>
  <c r="N33" i="4"/>
  <c r="Q12" i="4"/>
  <c r="Q8" i="4"/>
  <c r="Q3" i="4"/>
  <c r="Q4" i="4"/>
  <c r="R4" i="4"/>
  <c r="Q5" i="4"/>
  <c r="R5" i="4"/>
  <c r="I162" i="4"/>
  <c r="J162" i="4" s="1"/>
  <c r="I18" i="4"/>
  <c r="J18" i="4" s="1"/>
  <c r="I142" i="4"/>
  <c r="J142" i="4" s="1"/>
  <c r="I20" i="4"/>
  <c r="J20" i="4" s="1"/>
  <c r="I175" i="4"/>
  <c r="J175" i="4" s="1"/>
  <c r="I46" i="4"/>
  <c r="J46" i="4" s="1"/>
  <c r="I130" i="4"/>
  <c r="J130" i="4" s="1"/>
  <c r="I124" i="4"/>
  <c r="J124" i="4" s="1"/>
  <c r="I90" i="4"/>
  <c r="J90" i="4" s="1"/>
  <c r="I156" i="4"/>
  <c r="J156" i="4" s="1"/>
  <c r="I146" i="4"/>
  <c r="J146" i="4" s="1"/>
  <c r="I134" i="4"/>
  <c r="J134" i="4" s="1"/>
  <c r="I24" i="4"/>
  <c r="J24" i="4" s="1"/>
  <c r="I8" i="4"/>
  <c r="J8" i="4" s="1"/>
  <c r="I163" i="4"/>
  <c r="J163" i="4" s="1"/>
  <c r="I32" i="4"/>
  <c r="J32" i="4" s="1"/>
  <c r="I181" i="4"/>
  <c r="J181" i="4" s="1"/>
  <c r="I82" i="4"/>
  <c r="J82" i="4" s="1"/>
  <c r="I108" i="4"/>
  <c r="J108" i="4" s="1"/>
  <c r="I102" i="4"/>
  <c r="J102" i="4" s="1"/>
  <c r="I44" i="4"/>
  <c r="J44" i="4" s="1"/>
  <c r="I120" i="4"/>
  <c r="J120" i="4" s="1"/>
  <c r="I6" i="4"/>
  <c r="J6" i="4" s="1"/>
  <c r="I92" i="4"/>
  <c r="J92" i="4" s="1"/>
  <c r="I10" i="4"/>
  <c r="J10" i="4" s="1"/>
  <c r="I140" i="4"/>
  <c r="J140" i="4" s="1"/>
  <c r="I50" i="4"/>
  <c r="J50" i="4" s="1"/>
  <c r="I171" i="4"/>
  <c r="J171" i="4" s="1"/>
  <c r="I12" i="4"/>
  <c r="J12" i="4" s="1"/>
  <c r="I160" i="4"/>
  <c r="J160" i="4" s="1"/>
  <c r="I22" i="4"/>
  <c r="J22" i="4" s="1"/>
  <c r="I70" i="4"/>
  <c r="J70" i="4" s="1"/>
  <c r="I138" i="4"/>
  <c r="J138" i="4" s="1"/>
  <c r="I110" i="4"/>
  <c r="J110" i="4" s="1"/>
  <c r="I34" i="4"/>
  <c r="J34" i="4" s="1"/>
  <c r="I158" i="4"/>
  <c r="J158" i="4" s="1"/>
  <c r="I183" i="4"/>
  <c r="J183" i="4" s="1"/>
  <c r="I165" i="4"/>
  <c r="J165" i="4" s="1"/>
  <c r="I173" i="4"/>
  <c r="J173" i="4" s="1"/>
  <c r="I30" i="4"/>
  <c r="J30" i="4" s="1"/>
  <c r="I98" i="4"/>
  <c r="J98" i="4" s="1"/>
  <c r="I36" i="4"/>
  <c r="J36" i="4" s="1"/>
  <c r="I114" i="4"/>
  <c r="J114" i="4" s="1"/>
  <c r="I2" i="4"/>
  <c r="J2" i="4" s="1"/>
  <c r="I94" i="4"/>
  <c r="J94" i="4" s="1"/>
  <c r="I52" i="4"/>
  <c r="J52" i="4" s="1"/>
  <c r="I148" i="4"/>
  <c r="J148" i="4" s="1"/>
  <c r="I48" i="4"/>
  <c r="J48" i="4" s="1"/>
  <c r="I126" i="4"/>
  <c r="J126" i="4" s="1"/>
  <c r="I84" i="4"/>
  <c r="J84" i="4" s="1"/>
  <c r="I100" i="4"/>
  <c r="J100" i="4" s="1"/>
  <c r="I122" i="4"/>
  <c r="J122" i="4" s="1"/>
  <c r="I60" i="4"/>
  <c r="J60" i="4" s="1"/>
  <c r="I177" i="4"/>
  <c r="J177" i="4" s="1"/>
  <c r="I66" i="4"/>
  <c r="J66" i="4" s="1"/>
  <c r="I64" i="4"/>
  <c r="J64" i="4" s="1"/>
  <c r="I128" i="4"/>
  <c r="J128" i="4" s="1"/>
  <c r="I28" i="4"/>
  <c r="J28" i="4" s="1"/>
  <c r="I112" i="4"/>
  <c r="J112" i="4" s="1"/>
  <c r="I118" i="4"/>
  <c r="J118" i="4" s="1"/>
  <c r="I76" i="4"/>
  <c r="J76" i="4" s="1"/>
  <c r="I38" i="4"/>
  <c r="J38" i="4" s="1"/>
  <c r="I16" i="4"/>
  <c r="J16" i="4" s="1"/>
  <c r="I154" i="4"/>
  <c r="J154" i="4" s="1"/>
  <c r="I136" i="4"/>
  <c r="J136" i="4" s="1"/>
  <c r="I14" i="4"/>
  <c r="J14" i="4" s="1"/>
  <c r="I88" i="4"/>
  <c r="J88" i="4" s="1"/>
  <c r="I167" i="4"/>
  <c r="J167" i="4" s="1"/>
  <c r="I116" i="4"/>
  <c r="J116" i="4" s="1"/>
  <c r="I39" i="4"/>
  <c r="J39" i="4" s="1"/>
  <c r="I78" i="4"/>
  <c r="J78" i="4" s="1"/>
  <c r="I72" i="4"/>
  <c r="J72" i="4" s="1"/>
  <c r="I80" i="4"/>
  <c r="J80" i="4" s="1"/>
  <c r="I58" i="4"/>
  <c r="J58" i="4" s="1"/>
  <c r="I150" i="4"/>
  <c r="J150" i="4" s="1"/>
  <c r="I179" i="4"/>
  <c r="J179" i="4" s="1"/>
  <c r="I104" i="4"/>
  <c r="J104" i="4" s="1"/>
  <c r="I169" i="4"/>
  <c r="J169" i="4" s="1"/>
  <c r="I144" i="4"/>
  <c r="J144" i="4" s="1"/>
  <c r="I74" i="4"/>
  <c r="J74" i="4" s="1"/>
  <c r="I4" i="4"/>
  <c r="J4" i="4" s="1"/>
  <c r="I62" i="4"/>
  <c r="J62" i="4" s="1"/>
  <c r="I152" i="4"/>
  <c r="J152" i="4" s="1"/>
  <c r="I68" i="4"/>
  <c r="J68" i="4" s="1"/>
  <c r="I96" i="4"/>
  <c r="J96" i="4" s="1"/>
  <c r="I42" i="4"/>
  <c r="J42" i="4" s="1"/>
  <c r="I106" i="4"/>
  <c r="J106" i="4" s="1"/>
  <c r="I54" i="4"/>
  <c r="J54" i="4" s="1"/>
  <c r="I86" i="4"/>
  <c r="J86" i="4" s="1"/>
  <c r="I56" i="4"/>
  <c r="J56" i="4" s="1"/>
  <c r="I26" i="4"/>
  <c r="J26" i="4" s="1"/>
  <c r="I132" i="4"/>
  <c r="J132" i="4" s="1"/>
  <c r="I166" i="4"/>
  <c r="J166" i="4" s="1"/>
  <c r="I87" i="4"/>
  <c r="J87" i="4" s="1"/>
  <c r="I37" i="4"/>
  <c r="J37" i="4" s="1"/>
  <c r="I176" i="4"/>
  <c r="J176" i="4" s="1"/>
  <c r="I40" i="4"/>
  <c r="J40" i="4" s="1"/>
  <c r="I161" i="4"/>
  <c r="J161" i="4" s="1"/>
  <c r="I27" i="4"/>
  <c r="J27" i="4" s="1"/>
  <c r="I63" i="4"/>
  <c r="J63" i="4" s="1"/>
  <c r="I43" i="4"/>
  <c r="J43" i="4" s="1"/>
  <c r="I184" i="4"/>
  <c r="J184" i="4" s="1"/>
  <c r="I159" i="4"/>
  <c r="J159" i="4" s="1"/>
  <c r="I69" i="4"/>
  <c r="J69" i="4" s="1"/>
  <c r="I79" i="4"/>
  <c r="J79" i="4" s="1"/>
  <c r="I153" i="4"/>
  <c r="J153" i="4" s="1"/>
  <c r="I19" i="4"/>
  <c r="J19" i="4" s="1"/>
  <c r="I137" i="4"/>
  <c r="J137" i="4" s="1"/>
  <c r="I9" i="4"/>
  <c r="J9" i="4" s="1"/>
  <c r="I49" i="4"/>
  <c r="J49" i="4" s="1"/>
  <c r="I15" i="4"/>
  <c r="J15" i="4" s="1"/>
  <c r="I99" i="4"/>
  <c r="J99" i="4" s="1"/>
  <c r="I53" i="4"/>
  <c r="J53" i="4" s="1"/>
  <c r="I73" i="4"/>
  <c r="J73" i="4" s="1"/>
  <c r="I51" i="4"/>
  <c r="J51" i="4" s="1"/>
  <c r="I31" i="4"/>
  <c r="J31" i="4" s="1"/>
  <c r="I65" i="4"/>
  <c r="J65" i="4" s="1"/>
  <c r="I93" i="4"/>
  <c r="J93" i="4" s="1"/>
  <c r="I119" i="4"/>
  <c r="J119" i="4" s="1"/>
  <c r="I5" i="4"/>
  <c r="J5" i="4" s="1"/>
  <c r="I101" i="4"/>
  <c r="J101" i="4" s="1"/>
  <c r="I59" i="4"/>
  <c r="J59" i="4" s="1"/>
  <c r="I97" i="4"/>
  <c r="J97" i="4" s="1"/>
  <c r="I178" i="4"/>
  <c r="J178" i="4" s="1"/>
  <c r="I107" i="4"/>
  <c r="J107" i="4" s="1"/>
  <c r="I157" i="4"/>
  <c r="J157" i="4" s="1"/>
  <c r="I33" i="4"/>
  <c r="J33" i="4" s="1"/>
  <c r="I139" i="4"/>
  <c r="J139" i="4" s="1"/>
  <c r="I133" i="4"/>
  <c r="J133" i="4" s="1"/>
  <c r="I143" i="4"/>
  <c r="J143" i="4" s="1"/>
  <c r="I29" i="4"/>
  <c r="J29" i="4" s="1"/>
  <c r="I35" i="4"/>
  <c r="J35" i="4" s="1"/>
  <c r="I105" i="4"/>
  <c r="J105" i="4" s="1"/>
  <c r="I117" i="4"/>
  <c r="J117" i="4" s="1"/>
  <c r="I113" i="4"/>
  <c r="J113" i="4" s="1"/>
  <c r="I129" i="4"/>
  <c r="J129" i="4" s="1"/>
  <c r="I164" i="4"/>
  <c r="J164" i="4" s="1"/>
  <c r="I109" i="4"/>
  <c r="J109" i="4" s="1"/>
  <c r="I77" i="4"/>
  <c r="J77" i="4" s="1"/>
  <c r="I111" i="4"/>
  <c r="J111" i="4" s="1"/>
  <c r="I55" i="4"/>
  <c r="J55" i="4" s="1"/>
  <c r="I182" i="4"/>
  <c r="J182" i="4" s="1"/>
  <c r="I25" i="4"/>
  <c r="J25" i="4" s="1"/>
  <c r="I21" i="4"/>
  <c r="J21" i="4" s="1"/>
  <c r="I174" i="4"/>
  <c r="J174" i="4" s="1"/>
  <c r="I83" i="4"/>
  <c r="J83" i="4" s="1"/>
  <c r="I89" i="4"/>
  <c r="J89" i="4" s="1"/>
  <c r="I155" i="4"/>
  <c r="J155" i="4" s="1"/>
  <c r="I168" i="4"/>
  <c r="J168" i="4" s="1"/>
  <c r="I81" i="4"/>
  <c r="J81" i="4" s="1"/>
  <c r="I180" i="4"/>
  <c r="J180" i="4" s="1"/>
  <c r="I103" i="4"/>
  <c r="J103" i="4" s="1"/>
  <c r="I172" i="4"/>
  <c r="J172" i="4" s="1"/>
  <c r="I125" i="4"/>
  <c r="J125" i="4" s="1"/>
  <c r="I149" i="4"/>
  <c r="J149" i="4" s="1"/>
  <c r="I45" i="4"/>
  <c r="J45" i="4" s="1"/>
  <c r="I123" i="4"/>
  <c r="J123" i="4" s="1"/>
  <c r="I47" i="4"/>
  <c r="J47" i="4" s="1"/>
  <c r="I131" i="4"/>
  <c r="J131" i="4" s="1"/>
  <c r="I71" i="4"/>
  <c r="J71" i="4" s="1"/>
  <c r="I23" i="4"/>
  <c r="J23" i="4" s="1"/>
  <c r="I61" i="4"/>
  <c r="J61" i="4" s="1"/>
  <c r="I145" i="4"/>
  <c r="J145" i="4" s="1"/>
  <c r="I121" i="4"/>
  <c r="J121" i="4" s="1"/>
  <c r="I141" i="4"/>
  <c r="J141" i="4" s="1"/>
  <c r="I170" i="4"/>
  <c r="J170" i="4" s="1"/>
  <c r="I3" i="4"/>
  <c r="J3" i="4" s="1"/>
  <c r="I151" i="4"/>
  <c r="J151" i="4" s="1"/>
  <c r="I11" i="4"/>
  <c r="J11" i="4" s="1"/>
  <c r="I127" i="4"/>
  <c r="J127" i="4" s="1"/>
  <c r="I7" i="4"/>
  <c r="J7" i="4" s="1"/>
  <c r="I147" i="4"/>
  <c r="J147" i="4" s="1"/>
  <c r="I135" i="4"/>
  <c r="J135" i="4" s="1"/>
  <c r="I115" i="4"/>
  <c r="J115" i="4" s="1"/>
  <c r="I17" i="4"/>
  <c r="J17" i="4" s="1"/>
  <c r="I57" i="4"/>
  <c r="J57" i="4" s="1"/>
  <c r="I67" i="4"/>
  <c r="J67" i="4" s="1"/>
  <c r="I13" i="4"/>
  <c r="J13" i="4" s="1"/>
  <c r="I95" i="4"/>
  <c r="J95" i="4" s="1"/>
  <c r="I91" i="4"/>
  <c r="J91" i="4" s="1"/>
  <c r="I75" i="4"/>
  <c r="J75" i="4" s="1"/>
  <c r="I85" i="4"/>
  <c r="J85" i="4" s="1"/>
  <c r="I41" i="4"/>
  <c r="J41" i="4" s="1"/>
  <c r="D115" i="2"/>
  <c r="H115" i="2"/>
  <c r="D102" i="3"/>
  <c r="F102" i="3"/>
  <c r="G102" i="3"/>
  <c r="Q4" i="10" l="1"/>
  <c r="P36" i="10"/>
  <c r="P32" i="10"/>
  <c r="P28" i="10"/>
  <c r="P24" i="10"/>
  <c r="P20" i="10"/>
  <c r="P16" i="10"/>
  <c r="P12" i="10"/>
  <c r="P8" i="10"/>
  <c r="P39" i="10"/>
  <c r="P35" i="10"/>
  <c r="P31" i="10"/>
  <c r="P27" i="10"/>
  <c r="P23" i="10"/>
  <c r="P19" i="10"/>
  <c r="P15" i="10"/>
  <c r="P11" i="10"/>
  <c r="P7" i="10"/>
  <c r="P38" i="10"/>
  <c r="P34" i="10"/>
  <c r="P30" i="10"/>
  <c r="P26" i="10"/>
  <c r="P22" i="10"/>
  <c r="P18" i="10"/>
  <c r="P14" i="10"/>
  <c r="P10" i="10"/>
  <c r="P6" i="10"/>
  <c r="P37" i="10"/>
  <c r="P33" i="10"/>
  <c r="P29" i="10"/>
  <c r="P25" i="10"/>
  <c r="P21" i="10"/>
  <c r="P17" i="10"/>
  <c r="P13" i="10"/>
  <c r="P9" i="10"/>
  <c r="P5" i="10"/>
  <c r="Q5" i="10" s="1"/>
  <c r="O23" i="4" a="1"/>
  <c r="O23" i="4" s="1"/>
  <c r="B7" i="5" a="1"/>
  <c r="B7" i="5" s="1"/>
  <c r="N21" i="4" a="1"/>
  <c r="N21" i="4" s="1"/>
  <c r="U13" i="4"/>
  <c r="Q9" i="4"/>
  <c r="Q6" i="4"/>
  <c r="Q24" i="10" l="1"/>
  <c r="Q8" i="10"/>
  <c r="Q27" i="10"/>
  <c r="Q11" i="10"/>
  <c r="Q30" i="10"/>
  <c r="Q14" i="10"/>
  <c r="Q33" i="10"/>
  <c r="Q17" i="10"/>
  <c r="Q36" i="10"/>
  <c r="Q20" i="10"/>
  <c r="Q23" i="10"/>
  <c r="Q7" i="10"/>
  <c r="Q26" i="10"/>
  <c r="Q10" i="10"/>
  <c r="Q29" i="10"/>
  <c r="Q13" i="10"/>
  <c r="Q32" i="10"/>
  <c r="Q16" i="10"/>
  <c r="Q35" i="10"/>
  <c r="Q19" i="10"/>
  <c r="Q38" i="10"/>
  <c r="Q22" i="10"/>
  <c r="Q6" i="10"/>
  <c r="Q25" i="10"/>
  <c r="Q9" i="10"/>
  <c r="Q28" i="10"/>
  <c r="Q12" i="10"/>
  <c r="Q31" i="10"/>
  <c r="Q15" i="10"/>
  <c r="Q34" i="10"/>
  <c r="Q18" i="10"/>
  <c r="Q37" i="10"/>
  <c r="Q2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3AC4FC-4D87-47FA-BB5F-EF9F40D3975E}"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F273EFB4-8881-4A58-A9B3-2FA5E8424BC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D0CFE390-A1E5-4AB0-A84F-7364DFFE4FE2}"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38B567A6-D9ED-41B6-9081-04D3AEE24B8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1A3076AA-CB8A-41EF-81A4-6834413EBF8C}"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<sst xmlns="http://schemas.openxmlformats.org/spreadsheetml/2006/main" count="1868" uniqueCount="248">
  <si>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</si>
  <si>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</si>
  <si>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</si>
  <si>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</si>
  <si>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</si>
  <si>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</si>
  <si>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</si>
  <si>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</si>
  <si>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</si>
  <si>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</si>
  <si>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</si>
  <si>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</si>
  <si>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</si>
  <si>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</si>
  <si>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</si>
  <si>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</si>
  <si>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</si>
  <si>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</si>
  <si>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</si>
  <si>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</si>
  <si>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</si>
  <si>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</si>
  <si>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</si>
  <si>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</si>
  <si>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</si>
  <si>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</si>
  <si>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</si>
  <si>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</si>
  <si>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</si>
  <si>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</si>
  <si>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</si>
  <si>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</si>
  <si>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</si>
  <si>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</si>
  <si>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</si>
  <si>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</si>
  <si>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</si>
  <si>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</si>
  <si>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</si>
  <si>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</si>
  <si>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</si>
  <si>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</si>
  <si>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</si>
  <si>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</si>
  <si>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</si>
  <si>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</si>
  <si>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</si>
  <si>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</si>
  <si>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</si>
  <si>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</si>
  <si>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</si>
  <si>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</si>
  <si>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</si>
  <si>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</si>
  <si>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</si>
  <si>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</si>
  <si>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</si>
  <si>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</si>
  <si>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</si>
  <si>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</si>
  <si>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</si>
  <si>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</si>
  <si>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</si>
  <si>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</si>
  <si>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</si>
  <si>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</si>
  <si>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</si>
  <si>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</si>
  <si>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</si>
  <si>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</si>
  <si>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</si>
  <si>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</si>
  <si>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</si>
  <si>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</si>
  <si>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</si>
  <si>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</si>
  <si>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</si>
  <si>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</si>
  <si>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</si>
  <si>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</si>
  <si>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</si>
  <si>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</si>
  <si>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</si>
  <si>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</si>
  <si>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</si>
  <si>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</si>
  <si>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</si>
  <si>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</si>
  <si>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</si>
  <si>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</si>
  <si>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</si>
  <si>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</si>
  <si>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</si>
  <si>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</si>
  <si>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</si>
  <si>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</si>
  <si>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</si>
  <si>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</si>
  <si>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</si>
  <si>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</si>
  <si>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</si>
  <si>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</si>
  <si>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</si>
  <si>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</si>
  <si>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</si>
  <si>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</si>
  <si>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</si>
  <si>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</si>
  <si>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</si>
  <si>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</si>
  <si>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</si>
  <si>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</si>
  <si>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</si>
  <si>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</si>
  <si>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</si>
  <si>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</si>
  <si>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</si>
  <si>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</si>
  <si>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</si>
  <si>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</si>
  <si>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</si>
  <si>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</si>
  <si>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</si>
  <si>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</si>
  <si>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</si>
  <si>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</si>
  <si>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</si>
  <si>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</si>
  <si>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</si>
  <si>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</si>
  <si>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</si>
  <si>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</si>
  <si>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</si>
  <si>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</si>
  <si>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</si>
  <si>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</si>
  <si>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</si>
  <si>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</si>
  <si>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</si>
  <si>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</si>
  <si>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</si>
  <si>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</si>
  <si>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</si>
  <si>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</si>
  <si>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</si>
  <si>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</si>
  <si>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</si>
  <si>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</si>
  <si>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</si>
  <si>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</si>
  <si>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</si>
  <si>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</si>
  <si>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</si>
  <si>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</si>
  <si>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</si>
  <si>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</si>
  <si>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</si>
  <si>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</si>
  <si>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</si>
  <si>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</si>
  <si>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</si>
  <si>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</si>
  <si>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</si>
  <si>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</si>
  <si>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</si>
  <si>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</si>
  <si>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</si>
  <si>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</si>
  <si>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</si>
  <si>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</si>
  <si>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</si>
  <si>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</si>
  <si>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</si>
  <si>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</si>
  <si>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</si>
  <si>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</si>
  <si>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</si>
  <si>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</si>
  <si>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</si>
  <si>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</si>
  <si>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</si>
  <si>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</si>
  <si>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</si>
  <si>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</si>
  <si>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</si>
  <si>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</si>
  <si>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</si>
  <si>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</si>
  <si>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</si>
  <si>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</si>
  <si>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</si>
  <si>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</si>
  <si>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</si>
  <si>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</si>
  <si>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</si>
  <si>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</si>
  <si>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</si>
  <si>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</si>
  <si>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</si>
  <si>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</si>
  <si>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</si>
  <si>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</si>
  <si>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</si>
  <si>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</si>
  <si>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t>
  </si>
  <si>
    <t>Other</t>
  </si>
  <si>
    <t>NZ</t>
  </si>
  <si>
    <t>Count of Employees</t>
  </si>
  <si>
    <t>Average Salary</t>
  </si>
  <si>
    <t>Average Tenure</t>
  </si>
  <si>
    <t>Average Age</t>
  </si>
  <si>
    <t>Female Ratio %</t>
  </si>
  <si>
    <t>Tenure</t>
  </si>
  <si>
    <t>Female Count</t>
  </si>
  <si>
    <t>Ratio %</t>
  </si>
  <si>
    <t>Summary</t>
  </si>
  <si>
    <t>%People who has salary ore than $90000</t>
  </si>
  <si>
    <t>XLOOKUP</t>
  </si>
  <si>
    <t>VLOOKUP</t>
  </si>
  <si>
    <t>Date of Joim</t>
  </si>
  <si>
    <t>Enter Name:</t>
  </si>
  <si>
    <t>Information finder</t>
  </si>
  <si>
    <t>Department Name</t>
  </si>
  <si>
    <t>Names</t>
  </si>
  <si>
    <t>Number of people</t>
  </si>
  <si>
    <t>Column Labels</t>
  </si>
  <si>
    <t>Grand Total</t>
  </si>
  <si>
    <t>Row Labels</t>
  </si>
  <si>
    <t>Count of Name</t>
  </si>
  <si>
    <t>Average of Age</t>
  </si>
  <si>
    <t>Values</t>
  </si>
  <si>
    <t>Average of Salary</t>
  </si>
  <si>
    <t>Average of Tenure</t>
  </si>
  <si>
    <t>Bonus</t>
  </si>
  <si>
    <t>(Use of FILTER AND CHOOSECOLS functions)</t>
  </si>
  <si>
    <t>(Use of Pivot Tables)</t>
  </si>
  <si>
    <t>Salary spread - by $10k</t>
  </si>
  <si>
    <t>Ratings as Number</t>
  </si>
  <si>
    <t>2020</t>
  </si>
  <si>
    <t>2021</t>
  </si>
  <si>
    <t>2022</t>
  </si>
  <si>
    <t>2023</t>
  </si>
  <si>
    <t>Month</t>
  </si>
  <si>
    <t>HeadCount</t>
  </si>
  <si>
    <t>Running Total</t>
  </si>
  <si>
    <t>New Zealand</t>
  </si>
  <si>
    <t>India</t>
  </si>
  <si>
    <r>
      <rPr>
        <sz val="24"/>
        <color theme="1"/>
        <rFont val="Calibri"/>
        <family val="2"/>
        <scheme val="minor"/>
      </rPr>
      <t xml:space="preserve">    Headcount by Department</t>
    </r>
    <r>
      <rPr>
        <b/>
        <sz val="24"/>
        <color theme="1"/>
        <rFont val="Calibri"/>
        <family val="2"/>
        <scheme val="minor"/>
      </rPr>
      <t xml:space="preserve"> </t>
    </r>
    <r>
      <rPr>
        <b/>
        <sz val="18"/>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</si>
</sst>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0.000"/>
  </numFmts>
  <fonts count="10" x14ac:knownFonts="1">
    <font>
      <sz val="11"/>
      <color theme="1"/>
      <name val="Calibri"/>
      <family val="2"/>
      <scheme val="minor"/>
    </font>
    <font>
      <b/>
      <sz val="11"/>
      <color theme="1"/>
      <name val="Calibri"/>
      <family val="2"/>
      <scheme val="minor"/>
    </font>
    <font>
      <sz val="11"/>
      <color theme="1"/>
      <name val="Calibri"/>
      <family val="2"/>
      <scheme val="minor"/>
    </font>
    <font>
      <b/>
      <sz val="36"/>
      <color theme="1"/>
      <name val="Calibri"/>
      <family val="2"/>
      <scheme val="minor"/>
    </font>
    <font>
      <b/>
      <sz val="36"/>
      <color theme="0"/>
      <name val="Calibri"/>
      <family val="2"/>
      <scheme val="minor"/>
    </font>
    <font>
      <b/>
      <sz val="28"/>
      <color theme="0"/>
      <name val="Calibri"/>
      <family val="2"/>
      <scheme val="minor"/>
    </font>
    <font>
      <sz val="24"/>
      <color theme="1"/>
      <name val="Calibri"/>
      <family val="2"/>
      <scheme val="minor"/>
    </font>
    <font>
      <b/>
      <sz val="30"/>
      <color theme="0"/>
      <name val="Calibri"/>
      <family val="2"/>
      <scheme val="minor"/>
    </font>
    <font>
      <b/>
      <sz val="18"/>
      <color theme="1"/>
      <name val="Calibri"/>
      <family val="2"/>
      <scheme val="minor"/>
    </font>
    <font>
      <b/>
      <sz val="24"/>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rgb="FFFFFF00"/>
        <bgColor theme="9" tint="0.79998168889431442"/>
      </patternFill>
    </fill>
    <fill>
      <patternFill patternType="solid">
        <fgColor rgb="FFFFC000"/>
        <bgColor indexed="64"/>
      </patternFill>
    </fill>
    <fill>
      <patternFill patternType="solid">
        <fgColor theme="2" tint="-9.9978637043366805E-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29">
    <xf numFmtId="0" fontId="0" fillId="0" borderId="0" xfId="0"/>
    <xf numFmtId="15" fontId="0" fillId="0" borderId="0" xfId="0" applyNumberFormat="1"/>
    <xf numFmtId="8" fontId="0" fillId="0" borderId="0" xfId="0" applyNumberFormat="1"/>
    <xf numFmtId="14" fontId="0" fillId="0" borderId="0" xfId="0" applyNumberFormat="1"/>
    <xf numFmtId="2" fontId="0" fillId="0" borderId="0" xfId="0" applyNumberFormat="1"/>
    <xf numFmtId="0" fontId="1" fillId="0" borderId="0" xfId="0" applyFont="1"/>
    <xf numFmtId="0" fontId="0" fillId="0" borderId="0" xfId="0" applyAlignment="1">
      <alignment horizontal="left"/>
    </xf>
    <xf numFmtId="0" fontId="0" fillId="0" borderId="2" xfId="0" applyBorder="1"/>
    <xf numFmtId="0" fontId="0" fillId="0" borderId="2" xfId="0" applyBorder="1" applyAlignment="1">
      <alignment horizontal="left"/>
    </xf>
    <xf numFmtId="15" fontId="0" fillId="0" borderId="2" xfId="0" applyNumberFormat="1" applyBorder="1" applyAlignment="1">
      <alignment horizontal="left"/>
    </xf>
    <xf numFmtId="8" fontId="0" fillId="0" borderId="2" xfId="0" applyNumberFormat="1" applyBorder="1" applyAlignment="1">
      <alignment horizontal="left"/>
    </xf>
    <xf numFmtId="164" fontId="0" fillId="0" borderId="2" xfId="0" applyNumberFormat="1" applyBorder="1" applyAlignment="1">
      <alignment horizontal="left"/>
    </xf>
    <xf numFmtId="0" fontId="0" fillId="2" borderId="2" xfId="0" applyFill="1" applyBorder="1"/>
    <xf numFmtId="0" fontId="0" fillId="3" borderId="1" xfId="0" applyFill="1" applyBorder="1"/>
    <xf numFmtId="0" fontId="1" fillId="0" borderId="2" xfId="0" applyFont="1" applyBorder="1"/>
    <xf numFmtId="8" fontId="0" fillId="0" borderId="2" xfId="0" applyNumberFormat="1" applyBorder="1"/>
    <xf numFmtId="9" fontId="0" fillId="0" borderId="2" xfId="0" applyNumberFormat="1" applyBorder="1"/>
    <xf numFmtId="0" fontId="0" fillId="0" borderId="0" xfId="0" pivotButton="1"/>
    <xf numFmtId="0" fontId="0" fillId="4" borderId="0" xfId="0" applyFill="1"/>
    <xf numFmtId="6" fontId="0" fillId="0" borderId="0" xfId="0" applyNumberFormat="1"/>
    <xf numFmtId="1" fontId="0" fillId="0" borderId="0" xfId="0" applyNumberFormat="1"/>
    <xf numFmtId="0" fontId="0" fillId="5" borderId="0" xfId="0" applyFill="1"/>
    <xf numFmtId="0" fontId="4" fillId="6" borderId="0" xfId="0" applyFont="1" applyFill="1" applyAlignment="1">
      <alignment horizontal="center" vertical="center"/>
    </xf>
    <xf numFmtId="8" fontId="5" fillId="6" borderId="0" xfId="1" applyNumberFormat="1" applyFont="1" applyFill="1" applyAlignment="1">
      <alignment horizontal="center" vertical="center"/>
    </xf>
    <xf numFmtId="9" fontId="7" fillId="6" borderId="0" xfId="0" applyNumberFormat="1" applyFont="1" applyFill="1" applyAlignment="1">
      <alignment horizontal="center" vertical="center"/>
    </xf>
    <xf numFmtId="0" fontId="4" fillId="7" borderId="0" xfId="0" applyFont="1" applyFill="1" applyAlignment="1">
      <alignment horizontal="center" vertical="center"/>
    </xf>
    <xf numFmtId="10" fontId="5" fillId="7" borderId="0" xfId="0" applyNumberFormat="1" applyFont="1" applyFill="1" applyAlignment="1">
      <alignment horizontal="center" vertical="center"/>
    </xf>
    <xf numFmtId="44" fontId="5" fillId="7" borderId="0" xfId="1" applyFont="1" applyFill="1" applyAlignment="1">
      <alignment horizontal="center" vertical="center"/>
    </xf>
    <xf numFmtId="0" fontId="3" fillId="0" borderId="0" xfId="0" applyFont="1" applyAlignment="1">
      <alignment horizontal="center" vertical="center"/>
    </xf>
  </cellXfs>
  <cellStyles count="2">
    <cellStyle name="Currency" xfId="1" builtinId="4"/>
    <cellStyle name="Normal" xfId="0" builtinId="0"/>
  </cellStyles>
  <dxfs count="19">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10" formatCode="&quot;$&quot;#,##0_);[Red]\(&quot;$&quot;#,##0\)"/>
    </dxf>
    <dxf>
      <numFmt numFmtId="12" formatCode="&quot;$&quot;#,##0.00_);[Red]\(&quot;$&quot;#,##0.00\)"/>
    </dxf>
    <dxf>
      <numFmt numFmtId="1" formatCode="0"/>
    </dxf>
    <dxf>
      <numFmt numFmtId="10" formatCode="&quot;$&quot;#,##0_);[Red]\(&quot;$&quot;#,##0\)"/>
    </dxf>
    <dxf>
      <numFmt numFmtId="2" formatCode="0.00"/>
    </dxf>
    <dxf>
      <numFmt numFmtId="12" formatCode="&quot;$&quot;#,##0.00_);[Red]\(&quot;$&quot;#,##0.00\)"/>
    </dxf>
    <dxf>
      <numFmt numFmtId="0" formatCode="General"/>
    </dxf>
    <dxf>
      <numFmt numFmtId="165" formatCode="m/d/yyyy"/>
    </dxf>
    <dxf>
      <numFmt numFmtId="0" formatCode="General"/>
    </dxf>
    <dxf>
      <numFmt numFmtId="0" formatCode="General"/>
    </dxf>
    <dxf>
      <numFmt numFmtId="20" formatCode="d\-mmm\-yy"/>
    </dxf>
    <dxf>
      <numFmt numFmtId="12" formatCode="&quot;$&quot;#,##0.00_);[Red]\(&quot;$&quot;#,##0.0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[Excel_Project.xlsx]No of People!PivotTable4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'No of People'!$C$4</c:f>
              <c:strCache>
                <c:ptCount val="1"/>
                <c:pt idx="0">
                  <c:v>Total</c:v>
                </c:pt>
              </c:strCache>
            </c:strRef>
          </c:tx>
          <c:spPr>
            <a:ln w="28575" cap="rnd">
              <a:solidFill>
                <a:schemeClr val="accent1"/>
              </a:solidFill>
              <a:round/>
            </a:ln>
            <a:effectLst/>
          </c:spPr>
          <c:marker>
            <c:symbol val="none"/>
          </c:marker>
          <c:cat>
            <c:strRef>
              <c:f>'No of People'!$B$5:$B$9</c:f>
              <c:strCache>
                <c:ptCount val="4"/>
                <c:pt idx="0">
                  <c:v>2020</c:v>
                </c:pt>
                <c:pt idx="1">
                  <c:v>2021</c:v>
                </c:pt>
                <c:pt idx="2">
                  <c:v>2022</c:v>
                </c:pt>
                <c:pt idx="3">
                  <c:v>2023</c:v>
                </c:pt>
              </c:strCache>
            </c:strRef>
          </c:cat>
          <c:val>
            <c:numRef>
              <c:f>'No of People'!$C$5:$C$9</c:f>
              <c:numCache>
                <c:formatCode>General</c:formatCode>
                <c:ptCount val="4"/>
                <c:pt idx="0">
                  <c:v>37</c:v>
                </c:pt>
                <c:pt idx="1">
                  <c:v>82</c:v>
                </c:pt>
                <c:pt idx="2">
                  <c:v>62</c:v>
                </c:pt>
                <c:pt idx="3">
                  <c:v>2</c:v>
                </c:pt>
              </c:numCache>
            </c:numRef>
          </c:val>
          <c:smooth val="0"/>
          <c:extLst>
            <c:ext xmlns:c16="http://schemas.microsoft.com/office/drawing/2014/chart" uri="{C3380CC4-5D6E-409C-BE32-E72D297353CC}">
              <c16:uniqueId val="{00000000-EF05-4087-A6A5-1D0EFDB8E067}"/>
            </c:ext>
          </c:extLst>
        </c:ser>
        <c:dLbls>
          <c:showLegendKey val="0"/>
          <c:showVal val="0"/>
          <c:showCatName val="0"/>
          <c:showSerName val="0"/>
          <c:showPercent val="0"/>
          <c:showBubbleSize val="0"/>
        </c:dLbls>
        <c:smooth val="0"/>
        <c:axId val="354121055"/>
        <c:axId val="1632527727"/>
      </c:lineChart>
      <c:catAx>
        <c:axId val="35412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527727"/>
        <c:crosses val="autoZero"/>
        <c:auto val="1"/>
        <c:lblAlgn val="ctr"/>
        <c:lblOffset val="100"/>
        <c:noMultiLvlLbl val="0"/>
      </c:catAx>
      <c:valAx>
        <c:axId val="1632527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12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'No of People'!$Q$3</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 of People'!$O$4:$O$39</c:f>
              <c:numCache>
                <c:formatCode>m/d/yy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'No of People'!$Q$4:$Q$39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BDE4-48BD-8816-BAC5BACFA78D}"/>
            </c:ext>
          </c:extLst>
        </c:ser>
        <c:dLbls>
          <c:showLegendKey val="0"/>
          <c:showVal val="0"/>
          <c:showCatName val="0"/>
          <c:showSerName val="0"/>
          <c:showPercent val="0"/>
          <c:showBubbleSize val="0"/>
        </c:dLbls>
        <c:marker val="1"/>
        <c:smooth val="0"/>
        <c:axId val="6773696"/>
        <c:axId val="1846528304"/>
      </c:lineChart>
      <c:dateAx>
        <c:axId val="6773696"/>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28304"/>
        <c:crosses val="autoZero"/>
        <c:auto val="1"/>
        <c:lblOffset val="100"/>
        <c:baseTimeUnit val="months"/>
      </c:dateAx>
      <c:valAx>
        <c:axId val="184652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3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[Excel_Project.xlsx]Sheet2!PivotTable1</c:name>
    <c:fmtId val="11"/>
  </c:pivotSource>
  <c:chart>
    <c:autoTitleDeleted val="1"/>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Sheet2!$E$4</c:f>
              <c:strCache>
                <c:ptCount val="1"/>
                <c:pt idx="0">
                  <c:v>Total</c:v>
                </c:pt>
              </c:strCache>
            </c:strRef>
          </c:tx>
          <c:spPr>
            <a:solidFill>
              <a:schemeClr val="accent2"/>
            </a:solidFill>
            <a:ln>
              <a:noFill/>
            </a:ln>
            <a:effectLst/>
          </c:spPr>
          <c:invertIfNegative val="0"/>
          <c:cat>
            <c:strRef>
              <c:f>Sheet2!$D$5:$D$10</c:f>
              <c:strCache>
                <c:ptCount val="5"/>
                <c:pt idx="0">
                  <c:v>Procurement</c:v>
                </c:pt>
                <c:pt idx="1">
                  <c:v>Website</c:v>
                </c:pt>
                <c:pt idx="2">
                  <c:v>Finance</c:v>
                </c:pt>
                <c:pt idx="3">
                  <c:v>Sales</c:v>
                </c:pt>
                <c:pt idx="4">
                  <c:v>HR</c:v>
                </c:pt>
              </c:strCache>
            </c:strRef>
          </c:cat>
          <c:val>
            <c:numRef>
              <c:f>Sheet2!$E$5:$E$10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42D2-4AA4-85F6-F2517458B6C0}"/>
            </c:ext>
          </c:extLst>
        </c:ser>
        <c:dLbls>
          <c:showLegendKey val="0"/>
          <c:showVal val="0"/>
          <c:showCatName val="0"/>
          <c:showSerName val="0"/>
          <c:showPercent val="0"/>
          <c:showBubbleSize val="0"/>
        </c:dLbls>
        <c:gapWidth val="25"/>
        <c:axId val="1975492080"/>
        <c:axId val="1846525824"/>
      </c:barChart>
      <c:catAx>
        <c:axId val="19754920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25824"/>
        <c:crosses val="autoZero"/>
        <c:auto val="1"/>
        <c:lblAlgn val="ctr"/>
        <c:lblOffset val="100"/>
        <c:noMultiLvlLbl val="0"/>
      </c:catAx>
      <c:valAx>
        <c:axId val="184652582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49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21217834739476"/>
          <c:y val="7.5018311556364153E-2"/>
          <c:w val="0.75969546175968683"/>
          <c:h val="0.83965648110956215"/>
        </c:manualLayout>
      </c:layout>
      <c:barChart>
        <c:barDir val="bar"/>
        <c:grouping val="clustered"/>
        <c:varyColors val="0"/>
        <c:ser>
          <c:idx val="0"/>
          <c:order val="0"/>
          <c:tx>
            <c:v>Total</c:v>
          </c:tx>
          <c:spPr>
            <a:solidFill>
              <a:schemeClr val="accent1"/>
            </a:solidFill>
            <a:ln>
              <a:noFill/>
            </a:ln>
            <a:effectLst/>
          </c:spPr>
          <c:invertIfNegative val="0"/>
          <c:cat>
            <c:strLit>
              <c:ptCount val="5"/>
              <c:pt idx="0">
                <c:v>Procurement</c:v>
              </c:pt>
              <c:pt idx="1">
                <c:v>Website</c:v>
              </c:pt>
              <c:pt idx="2">
                <c:v>Finance</c:v>
              </c:pt>
              <c:pt idx="3">
                <c:v>Sales</c:v>
              </c:pt>
              <c:pt idx="4">
                <c:v>HR</c:v>
              </c:pt>
            </c:strLit>
          </c:cat>
          <c:val>
            <c:numLit>
              <c:formatCode>General</c:formatCode>
              <c:ptCount val="5"/>
              <c:pt idx="0">
                <c:v>55</c:v>
              </c:pt>
              <c:pt idx="1">
                <c:v>54</c:v>
              </c:pt>
              <c:pt idx="2">
                <c:v>38</c:v>
              </c:pt>
              <c:pt idx="3">
                <c:v>28</c:v>
              </c:pt>
              <c:pt idx="4">
                <c:v>8</c:v>
              </c:pt>
            </c:numLit>
          </c:val>
          <c:extLst>
            <c:ext xmlns:c16="http://schemas.microsoft.com/office/drawing/2014/chart" uri="{C3380CC4-5D6E-409C-BE32-E72D297353CC}">
              <c16:uniqueId val="{00000000-2BD5-44A9-94A7-3162374E8EC1}"/>
            </c:ext>
          </c:extLst>
        </c:ser>
        <c:dLbls>
          <c:showLegendKey val="0"/>
          <c:showVal val="0"/>
          <c:showCatName val="0"/>
          <c:showSerName val="0"/>
          <c:showPercent val="0"/>
          <c:showBubbleSize val="0"/>
        </c:dLbls>
        <c:gapWidth val="25"/>
        <c:axId val="1932496496"/>
        <c:axId val="8548592"/>
      </c:barChart>
      <c:catAx>
        <c:axId val="19324964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8592"/>
        <c:crosses val="autoZero"/>
        <c:auto val="1"/>
        <c:lblAlgn val="ctr"/>
        <c:lblOffset val="100"/>
        <c:noMultiLvlLbl val="0"/>
      </c:catAx>
      <c:valAx>
        <c:axId val="8548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96496"/>
        <c:crosses val="max"/>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[Excel_Project.xlsx]Sheet2!PivotTable1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Sheet2!$E$4</c:f>
              <c:strCache>
                <c:ptCount val="1"/>
                <c:pt idx="0">
                  <c:v>Total</c:v>
                </c:pt>
              </c:strCache>
            </c:strRef>
          </c:tx>
          <c:spPr>
            <a:solidFill>
              <a:schemeClr val="accent2"/>
            </a:solidFill>
            <a:ln>
              <a:noFill/>
            </a:ln>
            <a:effectLst/>
          </c:spPr>
          <c:invertIfNegative val="0"/>
          <c:cat>
            <c:strRef>
              <c:f>Sheet2!$D$5:$D$10</c:f>
              <c:strCache>
                <c:ptCount val="5"/>
                <c:pt idx="0">
                  <c:v>Procurement</c:v>
                </c:pt>
                <c:pt idx="1">
                  <c:v>Website</c:v>
                </c:pt>
                <c:pt idx="2">
                  <c:v>Finance</c:v>
                </c:pt>
                <c:pt idx="3">
                  <c:v>Sales</c:v>
                </c:pt>
                <c:pt idx="4">
                  <c:v>HR</c:v>
                </c:pt>
              </c:strCache>
            </c:strRef>
          </c:cat>
          <c:val>
            <c:numRef>
              <c:f>Sheet2!$E$5:$E$10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B49F-492B-9B7F-4621488C9AA3}"/>
            </c:ext>
          </c:extLst>
        </c:ser>
        <c:dLbls>
          <c:showLegendKey val="0"/>
          <c:showVal val="0"/>
          <c:showCatName val="0"/>
          <c:showSerName val="0"/>
          <c:showPercent val="0"/>
          <c:showBubbleSize val="0"/>
        </c:dLbls>
        <c:gapWidth val="182"/>
        <c:axId val="1975492080"/>
        <c:axId val="1846525824"/>
      </c:barChart>
      <c:catAx>
        <c:axId val="1975492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525824"/>
        <c:crosses val="autoZero"/>
        <c:auto val="1"/>
        <c:lblAlgn val="ctr"/>
        <c:lblOffset val="100"/>
        <c:noMultiLvlLbl val="0"/>
      </c:catAx>
      <c:valAx>
        <c:axId val="1846525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49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5"/>
              <c:pt idx="0">
                <c:v>Procurement</c:v>
              </c:pt>
              <c:pt idx="1">
                <c:v>Website</c:v>
              </c:pt>
              <c:pt idx="2">
                <c:v>Finance</c:v>
              </c:pt>
              <c:pt idx="3">
                <c:v>Sales</c:v>
              </c:pt>
              <c:pt idx="4">
                <c:v>HR</c:v>
              </c:pt>
            </c:strLit>
          </c:cat>
          <c:val>
            <c:numLit>
              <c:formatCode>General</c:formatCode>
              <c:ptCount val="5"/>
              <c:pt idx="0">
                <c:v>55</c:v>
              </c:pt>
              <c:pt idx="1">
                <c:v>54</c:v>
              </c:pt>
              <c:pt idx="2">
                <c:v>38</c:v>
              </c:pt>
              <c:pt idx="3">
                <c:v>28</c:v>
              </c:pt>
              <c:pt idx="4">
                <c:v>8</c:v>
              </c:pt>
            </c:numLit>
          </c:val>
          <c:extLst>
            <c:ext xmlns:c16="http://schemas.microsoft.com/office/drawing/2014/chart" uri="{C3380CC4-5D6E-409C-BE32-E72D297353CC}">
              <c16:uniqueId val="{00000000-AED6-4706-A182-6B890B9ACD97}"/>
            </c:ext>
          </c:extLst>
        </c:ser>
        <c:dLbls>
          <c:showLegendKey val="0"/>
          <c:showVal val="0"/>
          <c:showCatName val="0"/>
          <c:showSerName val="0"/>
          <c:showPercent val="0"/>
          <c:showBubbleSize val="0"/>
        </c:dLbls>
        <c:gapWidth val="182"/>
        <c:axId val="1932496496"/>
        <c:axId val="8548592"/>
      </c:barChart>
      <c:catAx>
        <c:axId val="1932496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8592"/>
        <c:crosses val="autoZero"/>
        <c:auto val="1"/>
        <c:lblAlgn val="ctr"/>
        <c:lblOffset val="100"/>
        <c:noMultiLvlLbl val="0"/>
      </c:catAx>
      <c:valAx>
        <c:axId val="8548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49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Ratings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"$"#,##0.00_);[Red]\("$"#,##0.00\)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#N/A</c:v>
                </c:pt>
                <c:pt idx="91">
                  <c:v>#N/A</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#N/A</c:v>
                </c:pt>
                <c:pt idx="153">
                  <c:v>#N/A</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4BCC-4649-B4BE-28C6313546A8}"/>
            </c:ext>
          </c:extLst>
        </c:ser>
        <c:dLbls>
          <c:showLegendKey val="0"/>
          <c:showVal val="0"/>
          <c:showCatName val="0"/>
          <c:showSerName val="0"/>
          <c:showPercent val="0"/>
          <c:showBubbleSize val="0"/>
        </c:dLbls>
        <c:axId val="3701903"/>
        <c:axId val="362781087"/>
      </c:scatterChart>
      <c:valAx>
        <c:axId val="3701903"/>
        <c:scaling>
          <c:orientation val="minMax"/>
          <c:max val="140000"/>
        </c:scaling>
        <c:delete val="0"/>
        <c:axPos val="b"/>
        <c:majorGridlines>
          <c:spPr>
            <a:ln w="9525" cap="flat" cmpd="sng" algn="ctr">
              <a:solidFill>
                <a:schemeClr val="tx1">
                  <a:lumMod val="15000"/>
                  <a:lumOff val="85000"/>
                </a:schemeClr>
              </a:solidFill>
              <a:round/>
            </a:ln>
            <a:effectLst/>
          </c:spPr>
        </c:majorGridlines>
        <c:numFmt formatCode="&quot;$&quot;#,##0_);[Red]\(&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81087"/>
        <c:crosses val="autoZero"/>
        <c:crossBetween val="midCat"/>
        <c:majorUnit val="20000"/>
      </c:valAx>
      <c:valAx>
        <c:axId val="362781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19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B8C2CE80-23F7-4CAD-B512-69B9AD0AE6AD}">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BoxPlot</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5968B8A7-274F-4419-BE22-D20565EBFE9E}">
          <cx:tx>
            <cx:txData>
              <cx:f>_xlchart.v1.2</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467445</xdr:colOff>
      <xdr:row>2</xdr:row>
      <xdr:rowOff>69156</xdr:rowOff>
    </xdr:from>
    <xdr:to>
      <xdr:col>10</xdr:col>
      <xdr:colOff>565097</xdr:colOff>
      <xdr:row>16</xdr:row>
      <xdr:rowOff>122945</xdr:rowOff>
    </xdr:to>
    <xdr:graphicFrame macro="">
      <xdr:nvGraphicFramePr>
        <xdr:cNvPr id="5" name="Chart 4">
          <a:extLst>
            <a:ext uri="{FF2B5EF4-FFF2-40B4-BE49-F238E27FC236}">
              <a16:creationId xmlns:a16="http://schemas.microsoft.com/office/drawing/2014/main" id="{883CED02-4615-EAE9-D6D7-B9BF6157D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630418</xdr:colOff>
      <xdr:row>3</xdr:row>
      <xdr:rowOff>147294</xdr:rowOff>
    </xdr:from>
    <xdr:to>
      <xdr:col>25</xdr:col>
      <xdr:colOff>687371</xdr:colOff>
      <xdr:row>19</xdr:row>
      <xdr:rowOff>55775</xdr:rowOff>
    </xdr:to>
    <xdr:graphicFrame macro="">
      <xdr:nvGraphicFramePr>
        <xdr:cNvPr id="3" name="Chart 2">
          <a:extLst>
            <a:ext uri="{FF2B5EF4-FFF2-40B4-BE49-F238E27FC236}">
              <a16:creationId xmlns:a16="http://schemas.microsoft.com/office/drawing/2014/main" id="{7FB8671C-CD76-3932-CC26-7490B1ED5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602603</xdr:colOff>
      <xdr:row>9</xdr:row>
      <xdr:rowOff>5666</xdr:rowOff>
    </xdr:from>
    <xdr:to>
      <xdr:col>14</xdr:col>
      <xdr:colOff>0</xdr:colOff>
      <xdr:row>22</xdr:row>
      <xdr:rowOff>42084</xdr:rowOff>
    </xdr:to>
    <xdr:graphicFrame macro="">
      <xdr:nvGraphicFramePr>
        <xdr:cNvPr id="2" name="Chart 1">
          <a:extLst>
            <a:ext uri="{FF2B5EF4-FFF2-40B4-BE49-F238E27FC236}">
              <a16:creationId xmlns:a16="http://schemas.microsoft.com/office/drawing/2014/main" id="{63421692-F49A-48B9-8D65-61E22879C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1</xdr:col>
      <xdr:colOff>608138</xdr:colOff>
      <xdr:row>9</xdr:row>
      <xdr:rowOff>12966</xdr:rowOff>
    </xdr:from>
    <xdr:to>
      <xdr:col>6</xdr:col>
      <xdr:colOff>1982755</xdr:colOff>
      <xdr:row>23</xdr:row>
      <xdr:rowOff>12966</xdr:rowOff>
    </xdr:to>
    <xdr:graphicFrame macro="">
      <xdr:nvGraphicFramePr>
        <xdr:cNvPr id="3" name="Chart 2">
          <a:extLst>
            <a:ext uri="{FF2B5EF4-FFF2-40B4-BE49-F238E27FC236}">
              <a16:creationId xmlns:a16="http://schemas.microsoft.com/office/drawing/2014/main" id="{610542D2-865A-4239-9C68-4BFA43A4EC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508870</xdr:colOff>
      <xdr:row>10</xdr:row>
      <xdr:rowOff>167731</xdr:rowOff>
    </xdr:from>
    <xdr:to>
      <xdr:col>5</xdr:col>
      <xdr:colOff>482774</xdr:colOff>
      <xdr:row>25</xdr:row>
      <xdr:rowOff>53431</xdr:rowOff>
    </xdr:to>
    <xdr:graphicFrame macro="">
      <xdr:nvGraphicFramePr>
        <xdr:cNvPr id="2" name="Chart 1">
          <a:extLst>
            <a:ext uri="{FF2B5EF4-FFF2-40B4-BE49-F238E27FC236}">
              <a16:creationId xmlns:a16="http://schemas.microsoft.com/office/drawing/2014/main" id="{2ED1B702-9198-2F8C-0DC0-ECC7B4859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52191</xdr:colOff>
      <xdr:row>11</xdr:row>
      <xdr:rowOff>181823</xdr:rowOff>
    </xdr:from>
    <xdr:to>
      <xdr:col>14</xdr:col>
      <xdr:colOff>404487</xdr:colOff>
      <xdr:row>26</xdr:row>
      <xdr:rowOff>62303</xdr:rowOff>
    </xdr:to>
    <xdr:graphicFrame macro="">
      <xdr:nvGraphicFramePr>
        <xdr:cNvPr id="3" name="Chart 2">
          <a:extLst>
            <a:ext uri="{FF2B5EF4-FFF2-40B4-BE49-F238E27FC236}">
              <a16:creationId xmlns:a16="http://schemas.microsoft.com/office/drawing/2014/main" id="{17E8DDAF-3136-B1C9-199E-74A8F035EE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4</xdr:row>
      <xdr:rowOff>0</xdr:rowOff>
    </xdr:from>
    <xdr:to>
      <xdr:col>16</xdr:col>
      <xdr:colOff>427106</xdr:colOff>
      <xdr:row>29</xdr:row>
      <xdr:rowOff>27620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8F051C9-7AE3-480A-AAA7-9FD7808DFE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19300" y="762000"/>
              <a:ext cx="9177406" cy="4790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11615</xdr:colOff>
      <xdr:row>2</xdr:row>
      <xdr:rowOff>101601</xdr:rowOff>
    </xdr:from>
    <xdr:to>
      <xdr:col>30</xdr:col>
      <xdr:colOff>511097</xdr:colOff>
      <xdr:row>27</xdr:row>
      <xdr:rowOff>23233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783B710-F292-49D4-BC1D-7141D2847A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819815" y="482601"/>
              <a:ext cx="5884282" cy="46841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142429</xdr:colOff>
      <xdr:row>5</xdr:row>
      <xdr:rowOff>26706</xdr:rowOff>
    </xdr:from>
    <xdr:to>
      <xdr:col>15</xdr:col>
      <xdr:colOff>585658</xdr:colOff>
      <xdr:row>19</xdr:row>
      <xdr:rowOff>143314</xdr:rowOff>
    </xdr:to>
    <xdr:graphicFrame macro="">
      <xdr:nvGraphicFramePr>
        <xdr:cNvPr id="2" name="Chart 1">
          <a:extLst>
            <a:ext uri="{FF2B5EF4-FFF2-40B4-BE49-F238E27FC236}">
              <a16:creationId xmlns:a16="http://schemas.microsoft.com/office/drawing/2014/main" id="{997BFAEC-727B-458E-AF06-7E4072498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56546</xdr:colOff>
      <xdr:row>3</xdr:row>
      <xdr:rowOff>68036</xdr:rowOff>
    </xdr:from>
    <xdr:to>
      <xdr:col>2</xdr:col>
      <xdr:colOff>247402</xdr:colOff>
      <xdr:row>8</xdr:row>
      <xdr:rowOff>60476</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97B0C0CE-400E-27ED-436C-799A44B0920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62682" y="624692"/>
              <a:ext cx="1366019" cy="92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nksha Ankam" refreshedDate="45301.924610300928" backgroundQuery="1" createdVersion="8" refreshedVersion="8" minRefreshableVersion="3" recordCount="0" supportSubquery="1" supportAdvancedDrill="1" xr:uid="{85E4D09D-7554-48A1-9891-5041040B46AD}">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20"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nksha Ankam" refreshedDate="45301.924612615738" backgroundQuery="1" createdVersion="8" refreshedVersion="8" minRefreshableVersion="3" recordCount="0" supportSubquery="1" supportAdvancedDrill="1" xr:uid="{91C5F2C9-1C4C-4CED-883C-CA82FC54BFF8}">
  <cacheSource type="external" connectionId="4"/>
  <cacheFields count="6">
    <cacheField name="[staff].[Gender].[Gender]" caption="Gender" numFmtId="0" hierarchy="1" level="1">
      <sharedItems count="3">
        <s v="Female"/>
        <s v="Male"/>
        <s v="Other" u="1"/>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20"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nksha Ankam" refreshedDate="45301.928676620373" backgroundQuery="1" createdVersion="8" refreshedVersion="8" minRefreshableVersion="3" recordCount="0" supportSubquery="1" supportAdvancedDrill="1" xr:uid="{E0276CA2-BE9F-4367-9CD6-129A3B8D3074}">
  <cacheSource type="external" connectionId="4"/>
  <cacheFields count="3">
    <cacheField name="[staff].[Date Joined (Month)].[Date Joined (Month)]" caption="Date Joined (Month)" numFmtId="0" hierarchy="11" level="1">
      <sharedItems count="12">
        <s v="Jan"/>
        <s v="Feb"/>
        <s v="Mar"/>
        <s v="Apr"/>
        <s v="May"/>
        <s v="Jun"/>
        <s v="Jul"/>
        <s v="Aug"/>
        <s v="Sep"/>
        <s v="Oct"/>
        <s v="Nov"/>
        <s v="Dec"/>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nksha Ankam" refreshedDate="45301.975148148151" backgroundQuery="1" createdVersion="8" refreshedVersion="8" minRefreshableVersion="3" recordCount="0" supportSubquery="1" supportAdvancedDrill="1" xr:uid="{24383B19-208F-4334-BD17-AA1710B9C3B5}">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nksha Ankam" refreshedDate="45301.975232060184" backgroundQuery="1" createdVersion="8" refreshedVersion="8" minRefreshableVersion="3" recordCount="0" supportSubquery="1" supportAdvancedDrill="1" xr:uid="{295657D4-1B1D-4176-9EFE-53DF1B1F5D09}">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nksha Ankam" refreshedDate="45301.924611342591" backgroundQuery="1" createdVersion="3" refreshedVersion="8" minRefreshableVersion="3" recordCount="0" supportSubquery="1" supportAdvancedDrill="1" xr:uid="{085FE707-E01C-4B72-A98F-5404E701DBF5}">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92878659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1F06D5-D50D-44E2-968E-BBA4DE38DB7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C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e="0"/>
        <item x="1" e="0"/>
        <item x="2" e="0"/>
        <item x="3" e="0"/>
      </items>
    </pivotField>
    <pivotField dataField="1" subtotalTop="0" showAll="0" defaultSubtotal="0"/>
  </pivotFields>
  <rowFields count="2">
    <field x="1"/>
    <field x="0"/>
  </rowFields>
  <rowItems count="5">
    <i>
      <x/>
    </i>
    <i>
      <x v="1"/>
    </i>
    <i>
      <x v="2"/>
    </i>
    <i>
      <x v="3"/>
    </i>
    <i t="grand">
      <x/>
    </i>
  </rowItems>
  <colItems count="1">
    <i/>
  </colItems>
  <dataFields count="1">
    <dataField name="Count of Name" fld="2" subtotal="count"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5191C4-EDD2-44ED-9104-B342EB71A7E2}"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4:M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1">
    <chartFormat chart="5"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08D444-8456-410C-985D-8FABC9152441}"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4:E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 cap="IN"/>
  </pageFields>
  <dataFields count="1">
    <dataField name="Count of Name" fld="1" subtotal="count" baseField="0" baseItem="0"/>
  </dataFields>
  <chartFormats count="2">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B31CC6-7DE5-4BC4-900B-6D33D02716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10"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6"/>
  </dataFields>
  <formats count="2">
    <format dxfId="7">
      <pivotArea outline="0" collapsedLevelsAreSubtotals="1" fieldPosition="0">
        <references count="1">
          <reference field="4294967294" count="1" selected="0">
            <x v="1"/>
          </reference>
        </references>
      </pivotArea>
    </format>
    <format dxfId="6">
      <pivotArea outline="0" fieldPosition="0">
        <references count="1">
          <reference field="4294967294" count="1">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C5AC11-C22B-445F-BB38-B33372EDC479}" name="PivotTable1"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1:D16" firstHeaderRow="1" firstDataRow="2" firstDataCol="1"/>
  <pivotFields count="6">
    <pivotField axis="axisCol" allDrilled="1" subtotalTop="0" showAll="0" dataSourceSort="1" defaultSubtotal="0" defaultAttributeDrillState="1">
      <items count="3">
        <item s="1" x="0"/>
        <item s="1"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5">
    <format dxfId="5">
      <pivotArea collapsedLevelsAreSubtotals="1" fieldPosition="0">
        <references count="2">
          <reference field="4294967294" count="1">
            <x v="2"/>
          </reference>
          <reference field="0" count="1" selected="0">
            <x v="0"/>
          </reference>
        </references>
      </pivotArea>
    </format>
    <format dxfId="4">
      <pivotArea collapsedLevelsAreSubtotals="1" fieldPosition="0">
        <references count="2">
          <reference field="4294967294" count="2">
            <x v="2"/>
            <x v="3"/>
          </reference>
          <reference field="0" count="2" selected="0">
            <x v="1"/>
            <x v="2"/>
          </reference>
        </references>
      </pivotArea>
    </format>
    <format dxfId="3">
      <pivotArea field="0" grandCol="1" collapsedLevelsAreSubtotals="1" axis="axisCol" fieldPosition="0">
        <references count="1">
          <reference field="4294967294" count="2">
            <x v="2"/>
            <x v="3"/>
          </reference>
        </references>
      </pivotArea>
    </format>
    <format dxfId="2">
      <pivotArea collapsedLevelsAreSubtotals="1" fieldPosition="0">
        <references count="2">
          <reference field="4294967294" count="1">
            <x v="3"/>
          </reference>
          <reference field="0" count="1" selected="0">
            <x v="0"/>
          </reference>
        </references>
      </pivotArea>
    </format>
    <format dxfId="1">
      <pivotArea collapsedLevelsAreSubtotals="1" fieldPosition="0">
        <references count="1">
          <reference field="4294967294" count="1">
            <x v="1"/>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BF4F5C2-15B9-40F9-855D-2533A3352952}"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5FA4704-FA06-4A40-8049-07290B35FF83}" sourceName="[staff].[Country]">
  <pivotTables>
    <pivotTable tabId="6" name="PivotTable1"/>
  </pivotTables>
  <data>
    <olap pivotCacheId="928786596">
      <levels count="2">
        <level uniqueName="[staff].[Country].[(All)]" sourceCaption="(All)" count="0"/>
        <level uniqueName="[staff].[Country].[Country]" sourceCaption="Country" count="2">
          <ranges>
            <range startItem="0">
              <i n="[staff].[Country].&amp;[IN]" c="IN"/>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6F8F151-6C23-402D-B1BA-E7112D8B4806}"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4EED4F-49B6-4440-9717-F24B1626D93A}" name="nz_staff" displayName="nz_staff" ref="A1:G102" totalsRowCount="1">
  <autoFilter ref="A1:G101" xr:uid="{AC4EED4F-49B6-4440-9717-F24B1626D93A}"/>
  <tableColumns count="7">
    <tableColumn id="1" xr3:uid="{77120BC0-109B-4F58-9EDE-83CFF1121994}" name="Name" totalsRowLabel="Total"/>
    <tableColumn id="2" xr3:uid="{A8EECB1B-D0FF-4719-BAD2-E757C91530B6}" name="Gender"/>
    <tableColumn id="3" xr3:uid="{1A9FC7FA-7985-496A-94F6-B281ED2745A9}" name="Department"/>
    <tableColumn id="4" xr3:uid="{A3A03580-E603-43D7-981B-26FF395AC583}" name="Age" totalsRowFunction="average"/>
    <tableColumn id="5" xr3:uid="{B964362D-4B62-44B5-9A9F-65C4BEEC0956}" name="Date Joined"/>
    <tableColumn id="6" xr3:uid="{661F222C-DCF2-4AA1-8C86-CE5918519161}" name="Salary" totalsRowFunction="average" dataDxfId="18" totalsRowDxfId="17"/>
    <tableColumn id="7" xr3:uid="{F8822CE6-1EBD-4C00-8FD2-2009D0184A72}"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99B3FD-768A-45C7-81FE-D804BBC9D330}" name="India_Staff" displayName="India_Staff" ref="B2:H115" totalsRowCount="1">
  <autoFilter ref="B2:H114" xr:uid="{BE99B3FD-768A-45C7-81FE-D804BBC9D330}"/>
  <tableColumns count="7">
    <tableColumn id="1" xr3:uid="{E2FEED0D-A579-42DB-B1AF-F60C0CF27A42}" name="Name" totalsRowLabel="Total"/>
    <tableColumn id="2" xr3:uid="{20396018-56E9-40C4-880B-D4615BD6902B}" name="Gender"/>
    <tableColumn id="3" xr3:uid="{C0F2D8D8-E20F-49CE-AAC7-B3D555BC0D17}" name="Age" totalsRowFunction="average"/>
    <tableColumn id="4" xr3:uid="{3785865E-121E-4468-93A0-766257C4FFA0}" name="Rating"/>
    <tableColumn id="5" xr3:uid="{B4742A6F-DD1B-49B7-B661-D433605B1007}" name="Date Joined" dataDxfId="16"/>
    <tableColumn id="6" xr3:uid="{FDFFFB7C-1C6C-44F4-A2DE-7B020A7C6ACB}" name="Department"/>
    <tableColumn id="7" xr3:uid="{190B1938-B4C7-4FF8-A652-F962B4E8E7E9}" name="Salary" totalsRowFunction="count"/>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00834C-039A-49DA-A205-FFEC105F2ED6}" name="Staff" displayName="Staff" ref="A1:K184" tableType="queryTable" totalsRowShown="0">
  <autoFilter ref="A1:K184" xr:uid="{3700834C-039A-49DA-A205-FFEC105F2ED6}"/>
  <sortState xmlns:xlrd2="http://schemas.microsoft.com/office/spreadsheetml/2017/richdata2" ref="A2:J184">
    <sortCondition ref="G1:G184"/>
  </sortState>
  <tableColumns count="11">
    <tableColumn id="1" xr3:uid="{35D708BA-F1EB-41D6-BFF2-47E223B72C44}" uniqueName="1" name="Name" queryTableFieldId="1" dataDxfId="15"/>
    <tableColumn id="2" xr3:uid="{677C8E2A-F3F7-4C89-AEBC-ACEC3CB9E1FB}" uniqueName="2" name="Gender" queryTableFieldId="2" dataDxfId="14"/>
    <tableColumn id="3" xr3:uid="{54EB6B66-8172-42BA-BA6C-1D2A56FE099E}" uniqueName="3" name="Age" queryTableFieldId="3"/>
    <tableColumn id="4" xr3:uid="{F9218D4B-FE53-4E1F-B302-CC27668E0DE5}" uniqueName="4" name="Rating" queryTableFieldId="4"/>
    <tableColumn id="5" xr3:uid="{9764EAC1-C299-43F9-B23E-CCFA2ADDC409}" uniqueName="5" name="Date Joined" queryTableFieldId="5" dataDxfId="13"/>
    <tableColumn id="6" xr3:uid="{632E0093-0E92-4E6A-935E-F3528D6CD4A0}" uniqueName="6" name="Department" queryTableFieldId="6" dataDxfId="12"/>
    <tableColumn id="7" xr3:uid="{6B1A7C0E-095E-43A4-9FAC-B15E30AF06C4}" uniqueName="7" name="Salary" queryTableFieldId="7" dataDxfId="11"/>
    <tableColumn id="8" xr3:uid="{161EB6E0-CB5F-4961-AD59-EB1A33E4134D}" uniqueName="8" name="Country" queryTableFieldId="8"/>
    <tableColumn id="9" xr3:uid="{1B7441BC-DDC3-43FC-8549-6D3DAA29F929}" uniqueName="9" name="Tenure" queryTableFieldId="9" dataDxfId="10">
      <calculatedColumnFormula>(TODAY()-Staff[[#This Row],[Date Joined]])/365</calculatedColumnFormula>
    </tableColumn>
    <tableColumn id="11" xr3:uid="{EC7609D1-212B-4E03-87FB-869332859110}" uniqueName="11" name="Bonus" queryTableFieldId="11" dataDxfId="9">
      <calculatedColumnFormula>ROUNDUP(IF(Staff[[#This Row],[Tenure]]&gt;2,3%,2%)*Staff[[#This Row],[Salary]],0)</calculatedColumnFormula>
    </tableColumn>
    <tableColumn id="12" xr3:uid="{821AE81F-8145-4170-9837-6D1AB7739F6E}" uniqueName="12" name="Ratings as Number" queryTableFieldId="12" dataDxfId="8">
      <calculatedColumnFormula>_xlfn.XLOOKUP(Staff[[#This Row],[Rating]],Sheet7!$B$4:$B$8,Sheet7!$C$4:$C$8)</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B9DE9-F0BB-46EB-A17A-F1CA98E33872}">
  <sheetPr codeName="Sheet1"/>
  <dimension ref="A1:G102"/>
  <sheetViews>
    <sheetView workbookViewId="0">
      <selection activeCell="F8" sqref="F8"/>
    </sheetView>
  </sheetViews>
  <sheetFormatPr baseColWidth="10" defaultColWidth="8.83203125" defaultRowHeight="15" x14ac:dyDescent="0.2"/>
  <cols>
    <col min="1" max="1" width="21.5" bestFit="1" customWidth="1"/>
    <col min="2" max="2" width="10" bestFit="1" customWidth="1"/>
    <col min="4" max="4" width="6.6640625" bestFit="1" customWidth="1"/>
    <col min="5" max="5" width="13.6640625" bestFit="1" customWidth="1"/>
    <col min="6" max="6" width="11.83203125" bestFit="1" customWidth="1"/>
    <col min="7" max="7" width="14.33203125" bestFit="1" customWidth="1"/>
  </cols>
  <sheetData>
    <row r="1" spans="1:7" x14ac:dyDescent="0.2">
      <c r="A1" t="s">
        <v>0</v>
      </c>
      <c r="B1" t="s">
        <v>1</v>
      </c>
      <c r="C1" t="s">
        <v>2</v>
      </c>
      <c r="D1" t="s">
        <v>3</v>
      </c>
      <c r="E1" s="1" t="s">
        <v>4</v>
      </c>
      <c r="F1" t="s">
        <v>5</v>
      </c>
      <c r="G1" t="s">
        <v>6</v>
      </c>
    </row>
    <row r="2" spans="1:7" x14ac:dyDescent="0.2">
      <c r="A2" t="s">
        <v>58</v>
      </c>
      <c r="B2" t="s">
        <v>15</v>
      </c>
      <c r="C2" t="s">
        <v>19</v>
      </c>
      <c r="D2">
        <v>22</v>
      </c>
      <c r="E2" s="1">
        <v>44446</v>
      </c>
      <c r="F2" s="2">
        <v>112780</v>
      </c>
      <c r="G2" t="s">
        <v>13</v>
      </c>
    </row>
    <row r="3" spans="1:7" x14ac:dyDescent="0.2">
      <c r="A3" t="s">
        <v>70</v>
      </c>
      <c r="B3" t="s">
        <v>15</v>
      </c>
      <c r="C3" t="s">
        <v>9</v>
      </c>
      <c r="D3">
        <v>46</v>
      </c>
      <c r="E3" s="1">
        <v>44758</v>
      </c>
      <c r="F3" s="2">
        <v>70610</v>
      </c>
      <c r="G3" t="s">
        <v>16</v>
      </c>
    </row>
    <row r="4" spans="1:7" x14ac:dyDescent="0.2">
      <c r="A4" t="s">
        <v>75</v>
      </c>
      <c r="B4" t="s">
        <v>8</v>
      </c>
      <c r="C4" t="s">
        <v>19</v>
      </c>
      <c r="D4">
        <v>28</v>
      </c>
      <c r="E4" s="1">
        <v>44357</v>
      </c>
      <c r="F4" s="2">
        <v>53240</v>
      </c>
      <c r="G4" t="s">
        <v>16</v>
      </c>
    </row>
    <row r="5" spans="1:7" x14ac:dyDescent="0.2">
      <c r="A5" t="s">
        <v>49</v>
      </c>
      <c r="C5" t="s">
        <v>21</v>
      </c>
      <c r="D5">
        <v>37</v>
      </c>
      <c r="E5" s="1">
        <v>44146</v>
      </c>
      <c r="F5" s="2">
        <v>115440</v>
      </c>
      <c r="G5" t="s">
        <v>24</v>
      </c>
    </row>
    <row r="6" spans="1:7" x14ac:dyDescent="0.2">
      <c r="A6" t="s">
        <v>65</v>
      </c>
      <c r="B6" t="s">
        <v>15</v>
      </c>
      <c r="C6" t="s">
        <v>19</v>
      </c>
      <c r="D6">
        <v>32</v>
      </c>
      <c r="E6" s="1">
        <v>44465</v>
      </c>
      <c r="F6" s="2">
        <v>53540</v>
      </c>
      <c r="G6" t="s">
        <v>16</v>
      </c>
    </row>
    <row r="7" spans="1:7" x14ac:dyDescent="0.2">
      <c r="A7" t="s">
        <v>81</v>
      </c>
      <c r="B7" t="s">
        <v>8</v>
      </c>
      <c r="C7" t="s">
        <v>9</v>
      </c>
      <c r="D7">
        <v>30</v>
      </c>
      <c r="E7" s="1">
        <v>44861</v>
      </c>
      <c r="F7" s="2">
        <v>112570</v>
      </c>
      <c r="G7" t="s">
        <v>16</v>
      </c>
    </row>
    <row r="8" spans="1:7" x14ac:dyDescent="0.2">
      <c r="A8" t="s">
        <v>51</v>
      </c>
      <c r="B8" t="s">
        <v>15</v>
      </c>
      <c r="C8" t="s">
        <v>9</v>
      </c>
      <c r="D8">
        <v>33</v>
      </c>
      <c r="E8" s="1">
        <v>44701</v>
      </c>
      <c r="F8" s="2">
        <v>48530</v>
      </c>
      <c r="G8" t="s">
        <v>13</v>
      </c>
    </row>
    <row r="9" spans="1:7" x14ac:dyDescent="0.2">
      <c r="A9" t="s">
        <v>61</v>
      </c>
      <c r="B9" t="s">
        <v>8</v>
      </c>
      <c r="C9" t="s">
        <v>12</v>
      </c>
      <c r="D9">
        <v>24</v>
      </c>
      <c r="E9" s="1">
        <v>44148</v>
      </c>
      <c r="F9" s="2">
        <v>62780</v>
      </c>
      <c r="G9" t="s">
        <v>16</v>
      </c>
    </row>
    <row r="10" spans="1:7" x14ac:dyDescent="0.2">
      <c r="A10" t="s">
        <v>82</v>
      </c>
      <c r="B10" t="s">
        <v>15</v>
      </c>
      <c r="C10" t="s">
        <v>12</v>
      </c>
      <c r="D10">
        <v>33</v>
      </c>
      <c r="E10" s="1">
        <v>44509</v>
      </c>
      <c r="F10" s="2">
        <v>53870</v>
      </c>
      <c r="G10" t="s">
        <v>16</v>
      </c>
    </row>
    <row r="11" spans="1:7" x14ac:dyDescent="0.2">
      <c r="A11" t="s">
        <v>60</v>
      </c>
      <c r="B11" t="s">
        <v>8</v>
      </c>
      <c r="C11" t="s">
        <v>56</v>
      </c>
      <c r="D11">
        <v>27</v>
      </c>
      <c r="E11" s="1">
        <v>44122</v>
      </c>
      <c r="F11" s="2">
        <v>119110</v>
      </c>
      <c r="G11" t="s">
        <v>16</v>
      </c>
    </row>
    <row r="12" spans="1:7" x14ac:dyDescent="0.2">
      <c r="A12" t="s">
        <v>87</v>
      </c>
      <c r="B12" t="s">
        <v>15</v>
      </c>
      <c r="C12" t="s">
        <v>12</v>
      </c>
      <c r="D12">
        <v>29</v>
      </c>
      <c r="E12" s="1">
        <v>44180</v>
      </c>
      <c r="F12" s="2">
        <v>112110</v>
      </c>
      <c r="G12" t="s">
        <v>24</v>
      </c>
    </row>
    <row r="13" spans="1:7" x14ac:dyDescent="0.2">
      <c r="A13" t="s">
        <v>76</v>
      </c>
      <c r="B13" t="s">
        <v>15</v>
      </c>
      <c r="C13" t="s">
        <v>19</v>
      </c>
      <c r="D13">
        <v>25</v>
      </c>
      <c r="E13" s="1">
        <v>44383</v>
      </c>
      <c r="F13" s="2">
        <v>65700</v>
      </c>
      <c r="G13" t="s">
        <v>16</v>
      </c>
    </row>
    <row r="14" spans="1:7" x14ac:dyDescent="0.2">
      <c r="A14" t="s">
        <v>97</v>
      </c>
      <c r="B14" t="s">
        <v>15</v>
      </c>
      <c r="C14" t="s">
        <v>12</v>
      </c>
      <c r="D14">
        <v>37</v>
      </c>
      <c r="E14" s="1">
        <v>44701</v>
      </c>
      <c r="F14" s="2">
        <v>69070</v>
      </c>
      <c r="G14" t="s">
        <v>16</v>
      </c>
    </row>
    <row r="15" spans="1:7" x14ac:dyDescent="0.2">
      <c r="A15" t="s">
        <v>22</v>
      </c>
      <c r="B15" t="s">
        <v>15</v>
      </c>
      <c r="C15" t="s">
        <v>12</v>
      </c>
      <c r="D15">
        <v>20</v>
      </c>
      <c r="E15" s="1">
        <v>44459</v>
      </c>
      <c r="F15" s="2">
        <v>107700</v>
      </c>
      <c r="G15" t="s">
        <v>16</v>
      </c>
    </row>
    <row r="16" spans="1:7" x14ac:dyDescent="0.2">
      <c r="A16" t="s">
        <v>84</v>
      </c>
      <c r="B16" t="s">
        <v>8</v>
      </c>
      <c r="C16" t="s">
        <v>12</v>
      </c>
      <c r="D16">
        <v>32</v>
      </c>
      <c r="E16" s="1">
        <v>44354</v>
      </c>
      <c r="F16" s="2">
        <v>43840</v>
      </c>
      <c r="G16" t="s">
        <v>13</v>
      </c>
    </row>
    <row r="17" spans="1:7" x14ac:dyDescent="0.2">
      <c r="A17" t="s">
        <v>105</v>
      </c>
      <c r="B17" t="s">
        <v>15</v>
      </c>
      <c r="C17" t="s">
        <v>9</v>
      </c>
      <c r="D17">
        <v>40</v>
      </c>
      <c r="E17" s="1">
        <v>44263</v>
      </c>
      <c r="F17" s="2">
        <v>99750</v>
      </c>
      <c r="G17" t="s">
        <v>16</v>
      </c>
    </row>
    <row r="18" spans="1:7" x14ac:dyDescent="0.2">
      <c r="A18" t="s">
        <v>47</v>
      </c>
      <c r="B18" t="s">
        <v>15</v>
      </c>
      <c r="C18" t="s">
        <v>9</v>
      </c>
      <c r="D18">
        <v>21</v>
      </c>
      <c r="E18" s="1">
        <v>44104</v>
      </c>
      <c r="F18" s="2">
        <v>37920</v>
      </c>
      <c r="G18" t="s">
        <v>16</v>
      </c>
    </row>
    <row r="19" spans="1:7" x14ac:dyDescent="0.2">
      <c r="A19" t="s">
        <v>31</v>
      </c>
      <c r="B19" t="s">
        <v>15</v>
      </c>
      <c r="C19" t="s">
        <v>9</v>
      </c>
      <c r="D19">
        <v>21</v>
      </c>
      <c r="E19" s="1">
        <v>44762</v>
      </c>
      <c r="F19" s="2">
        <v>57090</v>
      </c>
      <c r="G19" t="s">
        <v>16</v>
      </c>
    </row>
    <row r="20" spans="1:7" x14ac:dyDescent="0.2">
      <c r="A20" t="s">
        <v>30</v>
      </c>
      <c r="B20" t="s">
        <v>8</v>
      </c>
      <c r="C20" t="s">
        <v>12</v>
      </c>
      <c r="D20">
        <v>31</v>
      </c>
      <c r="E20" s="1">
        <v>44145</v>
      </c>
      <c r="F20" s="2">
        <v>41980</v>
      </c>
      <c r="G20" t="s">
        <v>16</v>
      </c>
    </row>
    <row r="21" spans="1:7" x14ac:dyDescent="0.2">
      <c r="A21" t="s">
        <v>78</v>
      </c>
      <c r="B21" t="s">
        <v>15</v>
      </c>
      <c r="C21" t="s">
        <v>56</v>
      </c>
      <c r="D21">
        <v>21</v>
      </c>
      <c r="E21" s="1">
        <v>44242</v>
      </c>
      <c r="F21" s="2">
        <v>75880</v>
      </c>
      <c r="G21" t="s">
        <v>16</v>
      </c>
    </row>
    <row r="22" spans="1:7" x14ac:dyDescent="0.2">
      <c r="A22" t="s">
        <v>36</v>
      </c>
      <c r="B22" t="s">
        <v>8</v>
      </c>
      <c r="C22" t="s">
        <v>21</v>
      </c>
      <c r="D22">
        <v>34</v>
      </c>
      <c r="E22" s="1">
        <v>44653</v>
      </c>
      <c r="F22" s="2">
        <v>58940</v>
      </c>
      <c r="G22" t="s">
        <v>16</v>
      </c>
    </row>
    <row r="23" spans="1:7" x14ac:dyDescent="0.2">
      <c r="A23" t="s">
        <v>27</v>
      </c>
      <c r="B23" t="s">
        <v>8</v>
      </c>
      <c r="C23" t="s">
        <v>21</v>
      </c>
      <c r="D23">
        <v>30</v>
      </c>
      <c r="E23" s="1">
        <v>44389</v>
      </c>
      <c r="F23" s="2">
        <v>67910</v>
      </c>
      <c r="G23" t="s">
        <v>24</v>
      </c>
    </row>
    <row r="24" spans="1:7" x14ac:dyDescent="0.2">
      <c r="A24" t="s">
        <v>26</v>
      </c>
      <c r="B24" t="s">
        <v>8</v>
      </c>
      <c r="C24" t="s">
        <v>12</v>
      </c>
      <c r="D24">
        <v>31</v>
      </c>
      <c r="E24" s="1">
        <v>44663</v>
      </c>
      <c r="F24" s="2">
        <v>58100</v>
      </c>
      <c r="G24" t="s">
        <v>16</v>
      </c>
    </row>
    <row r="25" spans="1:7" x14ac:dyDescent="0.2">
      <c r="A25" t="s">
        <v>53</v>
      </c>
      <c r="B25" t="s">
        <v>15</v>
      </c>
      <c r="C25" t="s">
        <v>21</v>
      </c>
      <c r="D25">
        <v>27</v>
      </c>
      <c r="E25" s="1">
        <v>44567</v>
      </c>
      <c r="F25" s="2">
        <v>48980</v>
      </c>
      <c r="G25" t="s">
        <v>16</v>
      </c>
    </row>
    <row r="26" spans="1:7" x14ac:dyDescent="0.2">
      <c r="A26" t="s">
        <v>20</v>
      </c>
      <c r="C26" t="s">
        <v>21</v>
      </c>
      <c r="D26">
        <v>30</v>
      </c>
      <c r="E26" s="1">
        <v>44597</v>
      </c>
      <c r="F26" s="2">
        <v>64000</v>
      </c>
      <c r="G26" t="s">
        <v>16</v>
      </c>
    </row>
    <row r="27" spans="1:7" x14ac:dyDescent="0.2">
      <c r="A27" t="s">
        <v>7</v>
      </c>
      <c r="B27" t="s">
        <v>8</v>
      </c>
      <c r="C27" t="s">
        <v>9</v>
      </c>
      <c r="D27">
        <v>42</v>
      </c>
      <c r="E27" s="1">
        <v>44779</v>
      </c>
      <c r="F27" s="2">
        <v>75000</v>
      </c>
      <c r="G27" t="s">
        <v>10</v>
      </c>
    </row>
    <row r="28" spans="1:7" x14ac:dyDescent="0.2">
      <c r="A28" t="s">
        <v>74</v>
      </c>
      <c r="B28" t="s">
        <v>8</v>
      </c>
      <c r="C28" t="s">
        <v>12</v>
      </c>
      <c r="D28">
        <v>40</v>
      </c>
      <c r="E28" s="1">
        <v>44337</v>
      </c>
      <c r="F28" s="2">
        <v>87620</v>
      </c>
      <c r="G28" t="s">
        <v>16</v>
      </c>
    </row>
    <row r="29" spans="1:7" x14ac:dyDescent="0.2">
      <c r="A29" t="s">
        <v>44</v>
      </c>
      <c r="B29" t="s">
        <v>8</v>
      </c>
      <c r="C29" t="s">
        <v>12</v>
      </c>
      <c r="D29">
        <v>29</v>
      </c>
      <c r="E29" s="1">
        <v>44023</v>
      </c>
      <c r="F29" s="2">
        <v>34980</v>
      </c>
      <c r="G29" t="s">
        <v>16</v>
      </c>
    </row>
    <row r="30" spans="1:7" x14ac:dyDescent="0.2">
      <c r="A30" t="s">
        <v>35</v>
      </c>
      <c r="B30" t="s">
        <v>8</v>
      </c>
      <c r="C30" t="s">
        <v>21</v>
      </c>
      <c r="D30">
        <v>28</v>
      </c>
      <c r="E30" s="1">
        <v>44185</v>
      </c>
      <c r="F30" s="2">
        <v>75970</v>
      </c>
      <c r="G30" t="s">
        <v>16</v>
      </c>
    </row>
    <row r="31" spans="1:7" x14ac:dyDescent="0.2">
      <c r="A31" t="s">
        <v>38</v>
      </c>
      <c r="B31" t="s">
        <v>8</v>
      </c>
      <c r="C31" t="s">
        <v>21</v>
      </c>
      <c r="D31">
        <v>34</v>
      </c>
      <c r="E31" s="1">
        <v>44612</v>
      </c>
      <c r="F31" s="2">
        <v>60130</v>
      </c>
      <c r="G31" t="s">
        <v>16</v>
      </c>
    </row>
    <row r="32" spans="1:7" x14ac:dyDescent="0.2">
      <c r="A32" t="s">
        <v>41</v>
      </c>
      <c r="B32" t="s">
        <v>8</v>
      </c>
      <c r="C32" t="s">
        <v>12</v>
      </c>
      <c r="D32">
        <v>33</v>
      </c>
      <c r="E32" s="1">
        <v>44374</v>
      </c>
      <c r="F32" s="2">
        <v>75480</v>
      </c>
      <c r="G32" t="s">
        <v>42</v>
      </c>
    </row>
    <row r="33" spans="1:7" x14ac:dyDescent="0.2">
      <c r="A33" t="s">
        <v>40</v>
      </c>
      <c r="B33" t="s">
        <v>15</v>
      </c>
      <c r="C33" t="s">
        <v>9</v>
      </c>
      <c r="D33">
        <v>33</v>
      </c>
      <c r="E33" s="1">
        <v>44164</v>
      </c>
      <c r="F33" s="2">
        <v>115920</v>
      </c>
      <c r="G33" t="s">
        <v>16</v>
      </c>
    </row>
    <row r="34" spans="1:7" x14ac:dyDescent="0.2">
      <c r="A34" t="s">
        <v>48</v>
      </c>
      <c r="B34" t="s">
        <v>8</v>
      </c>
      <c r="C34" t="s">
        <v>19</v>
      </c>
      <c r="D34">
        <v>36</v>
      </c>
      <c r="E34" s="1">
        <v>44494</v>
      </c>
      <c r="F34" s="2">
        <v>78540</v>
      </c>
      <c r="G34" t="s">
        <v>16</v>
      </c>
    </row>
    <row r="35" spans="1:7" x14ac:dyDescent="0.2">
      <c r="A35" t="s">
        <v>34</v>
      </c>
      <c r="B35" t="s">
        <v>15</v>
      </c>
      <c r="C35" t="s">
        <v>9</v>
      </c>
      <c r="D35">
        <v>25</v>
      </c>
      <c r="E35" s="1">
        <v>44726</v>
      </c>
      <c r="F35" s="2">
        <v>109190</v>
      </c>
      <c r="G35" t="s">
        <v>13</v>
      </c>
    </row>
    <row r="36" spans="1:7" x14ac:dyDescent="0.2">
      <c r="A36" t="s">
        <v>73</v>
      </c>
      <c r="B36" t="s">
        <v>8</v>
      </c>
      <c r="C36" t="s">
        <v>19</v>
      </c>
      <c r="D36">
        <v>34</v>
      </c>
      <c r="E36" s="1">
        <v>44721</v>
      </c>
      <c r="F36" s="2">
        <v>49630</v>
      </c>
      <c r="G36" t="s">
        <v>24</v>
      </c>
    </row>
    <row r="37" spans="1:7" x14ac:dyDescent="0.2">
      <c r="A37" t="s">
        <v>107</v>
      </c>
      <c r="B37" t="s">
        <v>8</v>
      </c>
      <c r="C37" t="s">
        <v>9</v>
      </c>
      <c r="D37">
        <v>28</v>
      </c>
      <c r="E37" s="1">
        <v>44630</v>
      </c>
      <c r="F37" s="2">
        <v>99970</v>
      </c>
      <c r="G37" t="s">
        <v>16</v>
      </c>
    </row>
    <row r="38" spans="1:7" x14ac:dyDescent="0.2">
      <c r="A38" t="s">
        <v>71</v>
      </c>
      <c r="B38" t="s">
        <v>8</v>
      </c>
      <c r="C38" t="s">
        <v>12</v>
      </c>
      <c r="D38">
        <v>33</v>
      </c>
      <c r="E38" s="1">
        <v>44190</v>
      </c>
      <c r="F38" s="2">
        <v>96140</v>
      </c>
      <c r="G38" t="s">
        <v>16</v>
      </c>
    </row>
    <row r="39" spans="1:7" x14ac:dyDescent="0.2">
      <c r="A39" t="s">
        <v>50</v>
      </c>
      <c r="B39" t="s">
        <v>15</v>
      </c>
      <c r="C39" t="s">
        <v>9</v>
      </c>
      <c r="D39">
        <v>31</v>
      </c>
      <c r="E39" s="1">
        <v>44724</v>
      </c>
      <c r="F39" s="2">
        <v>103550</v>
      </c>
      <c r="G39" t="s">
        <v>16</v>
      </c>
    </row>
    <row r="40" spans="1:7" x14ac:dyDescent="0.2">
      <c r="A40" t="s">
        <v>14</v>
      </c>
      <c r="B40" t="s">
        <v>15</v>
      </c>
      <c r="C40" t="s">
        <v>12</v>
      </c>
      <c r="D40">
        <v>31</v>
      </c>
      <c r="E40" s="1">
        <v>44511</v>
      </c>
      <c r="F40" s="2">
        <v>48950</v>
      </c>
      <c r="G40" t="s">
        <v>16</v>
      </c>
    </row>
    <row r="41" spans="1:7" x14ac:dyDescent="0.2">
      <c r="A41" t="s">
        <v>63</v>
      </c>
      <c r="B41" t="s">
        <v>15</v>
      </c>
      <c r="C41" t="s">
        <v>21</v>
      </c>
      <c r="D41">
        <v>24</v>
      </c>
      <c r="E41" s="1">
        <v>44436</v>
      </c>
      <c r="F41" s="2">
        <v>52610</v>
      </c>
      <c r="G41" t="s">
        <v>24</v>
      </c>
    </row>
    <row r="42" spans="1:7" x14ac:dyDescent="0.2">
      <c r="A42" t="s">
        <v>72</v>
      </c>
      <c r="B42" t="s">
        <v>8</v>
      </c>
      <c r="C42" t="s">
        <v>9</v>
      </c>
      <c r="D42">
        <v>36</v>
      </c>
      <c r="E42" s="1">
        <v>44529</v>
      </c>
      <c r="F42" s="2">
        <v>78390</v>
      </c>
      <c r="G42" t="s">
        <v>16</v>
      </c>
    </row>
    <row r="43" spans="1:7" x14ac:dyDescent="0.2">
      <c r="A43" t="s">
        <v>88</v>
      </c>
      <c r="B43" t="s">
        <v>8</v>
      </c>
      <c r="C43" t="s">
        <v>21</v>
      </c>
      <c r="D43">
        <v>33</v>
      </c>
      <c r="E43" s="1">
        <v>44809</v>
      </c>
      <c r="F43" s="2">
        <v>86570</v>
      </c>
      <c r="G43" t="s">
        <v>16</v>
      </c>
    </row>
    <row r="44" spans="1:7" x14ac:dyDescent="0.2">
      <c r="A44" t="s">
        <v>92</v>
      </c>
      <c r="B44" t="s">
        <v>8</v>
      </c>
      <c r="C44" t="s">
        <v>12</v>
      </c>
      <c r="D44">
        <v>27</v>
      </c>
      <c r="E44" s="1">
        <v>44686</v>
      </c>
      <c r="F44" s="2">
        <v>83750</v>
      </c>
      <c r="G44" t="s">
        <v>16</v>
      </c>
    </row>
    <row r="45" spans="1:7" x14ac:dyDescent="0.2">
      <c r="A45" t="s">
        <v>102</v>
      </c>
      <c r="B45" t="s">
        <v>8</v>
      </c>
      <c r="C45" t="s">
        <v>21</v>
      </c>
      <c r="D45">
        <v>34</v>
      </c>
      <c r="E45" s="1">
        <v>44445</v>
      </c>
      <c r="F45" s="2">
        <v>92450</v>
      </c>
      <c r="G45" t="s">
        <v>16</v>
      </c>
    </row>
    <row r="46" spans="1:7" x14ac:dyDescent="0.2">
      <c r="A46" t="s">
        <v>64</v>
      </c>
      <c r="B46" t="s">
        <v>15</v>
      </c>
      <c r="C46" t="s">
        <v>12</v>
      </c>
      <c r="D46">
        <v>20</v>
      </c>
      <c r="E46" s="1">
        <v>44183</v>
      </c>
      <c r="F46" s="2">
        <v>112650</v>
      </c>
      <c r="G46" t="s">
        <v>16</v>
      </c>
    </row>
    <row r="47" spans="1:7" x14ac:dyDescent="0.2">
      <c r="A47" t="s">
        <v>104</v>
      </c>
      <c r="B47" t="s">
        <v>15</v>
      </c>
      <c r="C47" t="s">
        <v>9</v>
      </c>
      <c r="D47">
        <v>20</v>
      </c>
      <c r="E47" s="1">
        <v>44744</v>
      </c>
      <c r="F47" s="2">
        <v>79570</v>
      </c>
      <c r="G47" t="s">
        <v>16</v>
      </c>
    </row>
    <row r="48" spans="1:7" x14ac:dyDescent="0.2">
      <c r="A48" t="s">
        <v>91</v>
      </c>
      <c r="B48" t="s">
        <v>8</v>
      </c>
      <c r="C48" t="s">
        <v>19</v>
      </c>
      <c r="D48">
        <v>20</v>
      </c>
      <c r="E48" s="1">
        <v>44537</v>
      </c>
      <c r="F48" s="2">
        <v>68900</v>
      </c>
      <c r="G48" t="s">
        <v>24</v>
      </c>
    </row>
    <row r="49" spans="1:7" x14ac:dyDescent="0.2">
      <c r="A49" t="s">
        <v>39</v>
      </c>
      <c r="B49" t="s">
        <v>8</v>
      </c>
      <c r="C49" t="s">
        <v>12</v>
      </c>
      <c r="D49">
        <v>25</v>
      </c>
      <c r="E49" s="1">
        <v>44694</v>
      </c>
      <c r="F49" s="2">
        <v>80700</v>
      </c>
      <c r="G49" t="s">
        <v>13</v>
      </c>
    </row>
    <row r="50" spans="1:7" x14ac:dyDescent="0.2">
      <c r="A50" t="s">
        <v>100</v>
      </c>
      <c r="B50" t="s">
        <v>15</v>
      </c>
      <c r="C50" t="s">
        <v>9</v>
      </c>
      <c r="D50">
        <v>19</v>
      </c>
      <c r="E50" s="1">
        <v>44277</v>
      </c>
      <c r="F50" s="2">
        <v>58960</v>
      </c>
      <c r="G50" t="s">
        <v>16</v>
      </c>
    </row>
    <row r="51" spans="1:7" x14ac:dyDescent="0.2">
      <c r="A51" t="s">
        <v>106</v>
      </c>
      <c r="B51" t="s">
        <v>15</v>
      </c>
      <c r="C51" t="s">
        <v>12</v>
      </c>
      <c r="D51">
        <v>36</v>
      </c>
      <c r="E51" s="1">
        <v>44019</v>
      </c>
      <c r="F51" s="2">
        <v>118840</v>
      </c>
      <c r="G51" t="s">
        <v>16</v>
      </c>
    </row>
    <row r="52" spans="1:7" x14ac:dyDescent="0.2">
      <c r="A52" t="s">
        <v>29</v>
      </c>
      <c r="B52" t="s">
        <v>15</v>
      </c>
      <c r="C52" t="s">
        <v>21</v>
      </c>
      <c r="D52">
        <v>28</v>
      </c>
      <c r="E52" s="1">
        <v>44041</v>
      </c>
      <c r="F52" s="2">
        <v>48170</v>
      </c>
      <c r="G52" t="s">
        <v>13</v>
      </c>
    </row>
    <row r="53" spans="1:7" x14ac:dyDescent="0.2">
      <c r="A53" t="s">
        <v>108</v>
      </c>
      <c r="B53" t="s">
        <v>8</v>
      </c>
      <c r="C53" t="s">
        <v>56</v>
      </c>
      <c r="D53">
        <v>32</v>
      </c>
      <c r="E53" s="1">
        <v>44400</v>
      </c>
      <c r="F53" s="2">
        <v>45510</v>
      </c>
      <c r="G53" t="s">
        <v>16</v>
      </c>
    </row>
    <row r="54" spans="1:7" x14ac:dyDescent="0.2">
      <c r="A54" t="s">
        <v>64</v>
      </c>
      <c r="B54" t="s">
        <v>15</v>
      </c>
      <c r="C54" t="s">
        <v>9</v>
      </c>
      <c r="D54">
        <v>34</v>
      </c>
      <c r="E54" s="1">
        <v>44703</v>
      </c>
      <c r="F54" s="2">
        <v>112650</v>
      </c>
      <c r="G54" t="s">
        <v>16</v>
      </c>
    </row>
    <row r="55" spans="1:7" x14ac:dyDescent="0.2">
      <c r="A55" t="s">
        <v>83</v>
      </c>
      <c r="B55" t="s">
        <v>8</v>
      </c>
      <c r="C55" t="s">
        <v>9</v>
      </c>
      <c r="D55">
        <v>36</v>
      </c>
      <c r="E55" s="1">
        <v>44085</v>
      </c>
      <c r="F55" s="2">
        <v>114890</v>
      </c>
      <c r="G55" t="s">
        <v>16</v>
      </c>
    </row>
    <row r="56" spans="1:7" x14ac:dyDescent="0.2">
      <c r="A56" t="s">
        <v>67</v>
      </c>
      <c r="B56" t="s">
        <v>15</v>
      </c>
      <c r="C56" t="s">
        <v>12</v>
      </c>
      <c r="D56">
        <v>30</v>
      </c>
      <c r="E56" s="1">
        <v>44850</v>
      </c>
      <c r="F56" s="2">
        <v>69710</v>
      </c>
      <c r="G56" t="s">
        <v>16</v>
      </c>
    </row>
    <row r="57" spans="1:7" x14ac:dyDescent="0.2">
      <c r="A57" t="s">
        <v>94</v>
      </c>
      <c r="B57" t="s">
        <v>15</v>
      </c>
      <c r="C57" t="s">
        <v>21</v>
      </c>
      <c r="D57">
        <v>36</v>
      </c>
      <c r="E57" s="1">
        <v>44333</v>
      </c>
      <c r="F57" s="2">
        <v>71380</v>
      </c>
      <c r="G57" t="s">
        <v>16</v>
      </c>
    </row>
    <row r="58" spans="1:7" x14ac:dyDescent="0.2">
      <c r="A58" t="s">
        <v>33</v>
      </c>
      <c r="B58" t="s">
        <v>8</v>
      </c>
      <c r="C58" t="s">
        <v>19</v>
      </c>
      <c r="D58">
        <v>38</v>
      </c>
      <c r="E58" s="1">
        <v>44377</v>
      </c>
      <c r="F58" s="2">
        <v>109160</v>
      </c>
      <c r="G58" t="s">
        <v>10</v>
      </c>
    </row>
    <row r="59" spans="1:7" x14ac:dyDescent="0.2">
      <c r="A59" t="s">
        <v>98</v>
      </c>
      <c r="B59" t="s">
        <v>15</v>
      </c>
      <c r="C59" t="s">
        <v>9</v>
      </c>
      <c r="D59">
        <v>27</v>
      </c>
      <c r="E59" s="1">
        <v>44609</v>
      </c>
      <c r="F59" s="2">
        <v>113280</v>
      </c>
      <c r="G59" t="s">
        <v>42</v>
      </c>
    </row>
    <row r="60" spans="1:7" x14ac:dyDescent="0.2">
      <c r="A60" t="s">
        <v>25</v>
      </c>
      <c r="B60" t="s">
        <v>15</v>
      </c>
      <c r="C60" t="s">
        <v>12</v>
      </c>
      <c r="D60">
        <v>30</v>
      </c>
      <c r="E60" s="1">
        <v>44273</v>
      </c>
      <c r="F60" s="2">
        <v>69120</v>
      </c>
      <c r="G60" t="s">
        <v>16</v>
      </c>
    </row>
    <row r="61" spans="1:7" x14ac:dyDescent="0.2">
      <c r="A61" t="s">
        <v>55</v>
      </c>
      <c r="B61" t="s">
        <v>8</v>
      </c>
      <c r="C61" t="s">
        <v>56</v>
      </c>
      <c r="D61">
        <v>37</v>
      </c>
      <c r="E61" s="1">
        <v>44451</v>
      </c>
      <c r="F61" s="2">
        <v>118100</v>
      </c>
      <c r="G61" t="s">
        <v>16</v>
      </c>
    </row>
    <row r="62" spans="1:7" x14ac:dyDescent="0.2">
      <c r="A62" t="s">
        <v>62</v>
      </c>
      <c r="B62" t="s">
        <v>8</v>
      </c>
      <c r="C62" t="s">
        <v>9</v>
      </c>
      <c r="D62">
        <v>22</v>
      </c>
      <c r="E62" s="1">
        <v>44450</v>
      </c>
      <c r="F62" s="2">
        <v>76900</v>
      </c>
      <c r="G62" t="s">
        <v>13</v>
      </c>
    </row>
    <row r="63" spans="1:7" x14ac:dyDescent="0.2">
      <c r="A63" t="s">
        <v>17</v>
      </c>
      <c r="B63" t="s">
        <v>8</v>
      </c>
      <c r="C63" t="s">
        <v>12</v>
      </c>
      <c r="D63">
        <v>43</v>
      </c>
      <c r="E63" s="1">
        <v>45045</v>
      </c>
      <c r="F63" s="2">
        <v>114870</v>
      </c>
      <c r="G63" t="s">
        <v>16</v>
      </c>
    </row>
    <row r="64" spans="1:7" x14ac:dyDescent="0.2">
      <c r="A64" t="s">
        <v>52</v>
      </c>
      <c r="C64" t="s">
        <v>12</v>
      </c>
      <c r="D64">
        <v>32</v>
      </c>
      <c r="E64" s="1">
        <v>44774</v>
      </c>
      <c r="F64" s="2">
        <v>91310</v>
      </c>
      <c r="G64" t="s">
        <v>16</v>
      </c>
    </row>
    <row r="65" spans="1:7" x14ac:dyDescent="0.2">
      <c r="A65" t="s">
        <v>43</v>
      </c>
      <c r="B65" t="s">
        <v>8</v>
      </c>
      <c r="C65" t="s">
        <v>9</v>
      </c>
      <c r="D65">
        <v>28</v>
      </c>
      <c r="E65" s="1">
        <v>44486</v>
      </c>
      <c r="F65" s="2">
        <v>104770</v>
      </c>
      <c r="G65" t="s">
        <v>16</v>
      </c>
    </row>
    <row r="66" spans="1:7" x14ac:dyDescent="0.2">
      <c r="A66" t="s">
        <v>89</v>
      </c>
      <c r="B66" t="s">
        <v>15</v>
      </c>
      <c r="C66" t="s">
        <v>19</v>
      </c>
      <c r="D66">
        <v>27</v>
      </c>
      <c r="E66" s="1">
        <v>44134</v>
      </c>
      <c r="F66" s="2">
        <v>54970</v>
      </c>
      <c r="G66" t="s">
        <v>16</v>
      </c>
    </row>
    <row r="67" spans="1:7" x14ac:dyDescent="0.2">
      <c r="A67" t="s">
        <v>11</v>
      </c>
      <c r="C67" t="s">
        <v>12</v>
      </c>
      <c r="D67">
        <v>26</v>
      </c>
      <c r="E67" s="1">
        <v>44271</v>
      </c>
      <c r="F67" s="2">
        <v>90700</v>
      </c>
      <c r="G67" t="s">
        <v>13</v>
      </c>
    </row>
    <row r="68" spans="1:7" x14ac:dyDescent="0.2">
      <c r="A68" t="s">
        <v>109</v>
      </c>
      <c r="B68" t="s">
        <v>8</v>
      </c>
      <c r="C68" t="s">
        <v>19</v>
      </c>
      <c r="D68">
        <v>38</v>
      </c>
      <c r="E68" s="1">
        <v>44329</v>
      </c>
      <c r="F68" s="2">
        <v>56870</v>
      </c>
      <c r="G68" t="s">
        <v>13</v>
      </c>
    </row>
    <row r="69" spans="1:7" x14ac:dyDescent="0.2">
      <c r="A69" t="s">
        <v>77</v>
      </c>
      <c r="B69" t="s">
        <v>8</v>
      </c>
      <c r="C69" t="s">
        <v>19</v>
      </c>
      <c r="D69">
        <v>25</v>
      </c>
      <c r="E69" s="1">
        <v>44205</v>
      </c>
      <c r="F69" s="2">
        <v>92700</v>
      </c>
      <c r="G69" t="s">
        <v>16</v>
      </c>
    </row>
    <row r="70" spans="1:7" x14ac:dyDescent="0.2">
      <c r="A70" t="s">
        <v>32</v>
      </c>
      <c r="B70" t="s">
        <v>8</v>
      </c>
      <c r="C70" t="s">
        <v>21</v>
      </c>
      <c r="D70">
        <v>21</v>
      </c>
      <c r="E70" s="1">
        <v>44317</v>
      </c>
      <c r="F70" s="2">
        <v>65920</v>
      </c>
      <c r="G70" t="s">
        <v>16</v>
      </c>
    </row>
    <row r="71" spans="1:7" x14ac:dyDescent="0.2">
      <c r="A71" t="s">
        <v>59</v>
      </c>
      <c r="B71" t="s">
        <v>15</v>
      </c>
      <c r="C71" t="s">
        <v>9</v>
      </c>
      <c r="D71">
        <v>26</v>
      </c>
      <c r="E71" s="1">
        <v>44225</v>
      </c>
      <c r="F71" s="2">
        <v>47360</v>
      </c>
      <c r="G71" t="s">
        <v>16</v>
      </c>
    </row>
    <row r="72" spans="1:7" x14ac:dyDescent="0.2">
      <c r="A72" t="s">
        <v>37</v>
      </c>
      <c r="B72" t="s">
        <v>15</v>
      </c>
      <c r="C72" t="s">
        <v>9</v>
      </c>
      <c r="D72">
        <v>30</v>
      </c>
      <c r="E72" s="1">
        <v>44666</v>
      </c>
      <c r="F72" s="2">
        <v>60570</v>
      </c>
      <c r="G72" t="s">
        <v>16</v>
      </c>
    </row>
    <row r="73" spans="1:7" x14ac:dyDescent="0.2">
      <c r="A73" t="s">
        <v>96</v>
      </c>
      <c r="B73" t="s">
        <v>8</v>
      </c>
      <c r="C73" t="s">
        <v>9</v>
      </c>
      <c r="D73">
        <v>28</v>
      </c>
      <c r="E73" s="1">
        <v>44649</v>
      </c>
      <c r="F73" s="2">
        <v>104120</v>
      </c>
      <c r="G73" t="s">
        <v>16</v>
      </c>
    </row>
    <row r="74" spans="1:7" x14ac:dyDescent="0.2">
      <c r="A74" t="s">
        <v>23</v>
      </c>
      <c r="B74" t="s">
        <v>15</v>
      </c>
      <c r="C74" t="s">
        <v>12</v>
      </c>
      <c r="D74">
        <v>37</v>
      </c>
      <c r="E74" s="1">
        <v>44338</v>
      </c>
      <c r="F74" s="2">
        <v>88050</v>
      </c>
      <c r="G74" t="s">
        <v>24</v>
      </c>
    </row>
    <row r="75" spans="1:7" x14ac:dyDescent="0.2">
      <c r="A75" t="s">
        <v>103</v>
      </c>
      <c r="B75" t="s">
        <v>15</v>
      </c>
      <c r="C75" t="s">
        <v>12</v>
      </c>
      <c r="D75">
        <v>24</v>
      </c>
      <c r="E75" s="1">
        <v>44686</v>
      </c>
      <c r="F75" s="2">
        <v>100420</v>
      </c>
      <c r="G75" t="s">
        <v>16</v>
      </c>
    </row>
    <row r="76" spans="1:7" x14ac:dyDescent="0.2">
      <c r="A76" t="s">
        <v>54</v>
      </c>
      <c r="B76" t="s">
        <v>8</v>
      </c>
      <c r="C76" t="s">
        <v>9</v>
      </c>
      <c r="D76">
        <v>30</v>
      </c>
      <c r="E76" s="1">
        <v>44850</v>
      </c>
      <c r="F76" s="2">
        <v>114180</v>
      </c>
      <c r="G76" t="s">
        <v>16</v>
      </c>
    </row>
    <row r="77" spans="1:7" x14ac:dyDescent="0.2">
      <c r="A77" t="s">
        <v>86</v>
      </c>
      <c r="B77" t="s">
        <v>8</v>
      </c>
      <c r="C77" t="s">
        <v>12</v>
      </c>
      <c r="D77">
        <v>21</v>
      </c>
      <c r="E77" s="1">
        <v>44678</v>
      </c>
      <c r="F77" s="2">
        <v>33920</v>
      </c>
      <c r="G77" t="s">
        <v>16</v>
      </c>
    </row>
    <row r="78" spans="1:7" x14ac:dyDescent="0.2">
      <c r="A78" t="s">
        <v>69</v>
      </c>
      <c r="B78" t="s">
        <v>15</v>
      </c>
      <c r="C78" t="s">
        <v>9</v>
      </c>
      <c r="D78">
        <v>23</v>
      </c>
      <c r="E78" s="1">
        <v>44440</v>
      </c>
      <c r="F78" s="2">
        <v>106460</v>
      </c>
      <c r="G78" t="s">
        <v>16</v>
      </c>
    </row>
    <row r="79" spans="1:7" x14ac:dyDescent="0.2">
      <c r="A79" t="s">
        <v>57</v>
      </c>
      <c r="B79" t="s">
        <v>15</v>
      </c>
      <c r="C79" t="s">
        <v>9</v>
      </c>
      <c r="D79">
        <v>35</v>
      </c>
      <c r="E79" s="1">
        <v>44727</v>
      </c>
      <c r="F79" s="2">
        <v>40400</v>
      </c>
      <c r="G79" t="s">
        <v>16</v>
      </c>
    </row>
    <row r="80" spans="1:7" x14ac:dyDescent="0.2">
      <c r="A80" t="s">
        <v>68</v>
      </c>
      <c r="B80" t="s">
        <v>15</v>
      </c>
      <c r="C80" t="s">
        <v>21</v>
      </c>
      <c r="D80">
        <v>27</v>
      </c>
      <c r="E80" s="1">
        <v>44236</v>
      </c>
      <c r="F80" s="2">
        <v>91650</v>
      </c>
      <c r="G80" t="s">
        <v>13</v>
      </c>
    </row>
    <row r="81" spans="1:7" x14ac:dyDescent="0.2">
      <c r="A81" t="s">
        <v>99</v>
      </c>
      <c r="B81" t="s">
        <v>15</v>
      </c>
      <c r="C81" t="s">
        <v>19</v>
      </c>
      <c r="D81">
        <v>43</v>
      </c>
      <c r="E81" s="1">
        <v>44620</v>
      </c>
      <c r="F81" s="2">
        <v>36040</v>
      </c>
      <c r="G81" t="s">
        <v>16</v>
      </c>
    </row>
    <row r="82" spans="1:7" x14ac:dyDescent="0.2">
      <c r="A82" t="s">
        <v>101</v>
      </c>
      <c r="B82" t="s">
        <v>8</v>
      </c>
      <c r="C82" t="s">
        <v>12</v>
      </c>
      <c r="D82">
        <v>40</v>
      </c>
      <c r="E82" s="1">
        <v>44381</v>
      </c>
      <c r="F82" s="2">
        <v>104410</v>
      </c>
      <c r="G82" t="s">
        <v>16</v>
      </c>
    </row>
    <row r="83" spans="1:7" x14ac:dyDescent="0.2">
      <c r="A83" t="s">
        <v>85</v>
      </c>
      <c r="B83" t="s">
        <v>15</v>
      </c>
      <c r="C83" t="s">
        <v>21</v>
      </c>
      <c r="D83">
        <v>30</v>
      </c>
      <c r="E83" s="1">
        <v>44606</v>
      </c>
      <c r="F83" s="2">
        <v>96800</v>
      </c>
      <c r="G83" t="s">
        <v>16</v>
      </c>
    </row>
    <row r="84" spans="1:7" x14ac:dyDescent="0.2">
      <c r="A84" t="s">
        <v>28</v>
      </c>
      <c r="B84" t="s">
        <v>8</v>
      </c>
      <c r="C84" t="s">
        <v>21</v>
      </c>
      <c r="D84">
        <v>34</v>
      </c>
      <c r="E84" s="1">
        <v>44459</v>
      </c>
      <c r="F84" s="2">
        <v>85000</v>
      </c>
      <c r="G84" t="s">
        <v>16</v>
      </c>
    </row>
    <row r="85" spans="1:7" x14ac:dyDescent="0.2">
      <c r="A85" t="s">
        <v>80</v>
      </c>
      <c r="B85" t="s">
        <v>15</v>
      </c>
      <c r="C85" t="s">
        <v>19</v>
      </c>
      <c r="D85">
        <v>28</v>
      </c>
      <c r="E85" s="1">
        <v>44820</v>
      </c>
      <c r="F85" s="2">
        <v>43510</v>
      </c>
      <c r="G85" t="s">
        <v>42</v>
      </c>
    </row>
    <row r="86" spans="1:7" x14ac:dyDescent="0.2">
      <c r="A86" t="s">
        <v>79</v>
      </c>
      <c r="B86" t="s">
        <v>15</v>
      </c>
      <c r="C86" t="s">
        <v>21</v>
      </c>
      <c r="D86">
        <v>33</v>
      </c>
      <c r="E86" s="1">
        <v>44243</v>
      </c>
      <c r="F86" s="2">
        <v>59430</v>
      </c>
      <c r="G86" t="s">
        <v>16</v>
      </c>
    </row>
    <row r="87" spans="1:7" x14ac:dyDescent="0.2">
      <c r="A87" t="s">
        <v>93</v>
      </c>
      <c r="B87" t="s">
        <v>8</v>
      </c>
      <c r="C87" t="s">
        <v>21</v>
      </c>
      <c r="D87">
        <v>33</v>
      </c>
      <c r="E87" s="1">
        <v>44067</v>
      </c>
      <c r="F87" s="2">
        <v>65360</v>
      </c>
      <c r="G87" t="s">
        <v>16</v>
      </c>
    </row>
    <row r="88" spans="1:7" x14ac:dyDescent="0.2">
      <c r="A88" t="s">
        <v>66</v>
      </c>
      <c r="B88" t="s">
        <v>8</v>
      </c>
      <c r="C88" t="s">
        <v>9</v>
      </c>
      <c r="D88">
        <v>32</v>
      </c>
      <c r="E88" s="1">
        <v>44611</v>
      </c>
      <c r="F88" s="2">
        <v>41570</v>
      </c>
      <c r="G88" t="s">
        <v>16</v>
      </c>
    </row>
    <row r="89" spans="1:7" x14ac:dyDescent="0.2">
      <c r="A89" t="s">
        <v>95</v>
      </c>
      <c r="B89" t="s">
        <v>8</v>
      </c>
      <c r="C89" t="s">
        <v>12</v>
      </c>
      <c r="D89">
        <v>33</v>
      </c>
      <c r="E89" s="1">
        <v>44312</v>
      </c>
      <c r="F89" s="2">
        <v>75280</v>
      </c>
      <c r="G89" t="s">
        <v>16</v>
      </c>
    </row>
    <row r="90" spans="1:7" x14ac:dyDescent="0.2">
      <c r="A90" t="s">
        <v>18</v>
      </c>
      <c r="B90" t="s">
        <v>15</v>
      </c>
      <c r="C90" t="s">
        <v>19</v>
      </c>
      <c r="D90">
        <v>33</v>
      </c>
      <c r="E90" s="1">
        <v>44385</v>
      </c>
      <c r="F90" s="2">
        <v>74550</v>
      </c>
      <c r="G90" t="s">
        <v>16</v>
      </c>
    </row>
    <row r="91" spans="1:7" x14ac:dyDescent="0.2">
      <c r="A91" t="s">
        <v>45</v>
      </c>
      <c r="B91" t="s">
        <v>15</v>
      </c>
      <c r="C91" t="s">
        <v>9</v>
      </c>
      <c r="D91">
        <v>30</v>
      </c>
      <c r="E91" s="1">
        <v>44701</v>
      </c>
      <c r="F91" s="2">
        <v>67950</v>
      </c>
      <c r="G91" t="s">
        <v>16</v>
      </c>
    </row>
    <row r="92" spans="1:7" x14ac:dyDescent="0.2">
      <c r="A92" t="s">
        <v>90</v>
      </c>
      <c r="B92" t="s">
        <v>15</v>
      </c>
      <c r="C92" t="s">
        <v>21</v>
      </c>
      <c r="D92">
        <v>42</v>
      </c>
      <c r="E92" s="1">
        <v>44731</v>
      </c>
      <c r="F92" s="2">
        <v>70270</v>
      </c>
      <c r="G92" t="s">
        <v>24</v>
      </c>
    </row>
    <row r="93" spans="1:7" x14ac:dyDescent="0.2">
      <c r="A93" t="s">
        <v>46</v>
      </c>
      <c r="B93" t="s">
        <v>15</v>
      </c>
      <c r="C93" t="s">
        <v>9</v>
      </c>
      <c r="D93">
        <v>26</v>
      </c>
      <c r="E93" s="1">
        <v>44411</v>
      </c>
      <c r="F93" s="2">
        <v>53540</v>
      </c>
      <c r="G93" t="s">
        <v>16</v>
      </c>
    </row>
    <row r="94" spans="1:7" x14ac:dyDescent="0.2">
      <c r="A94" t="s">
        <v>58</v>
      </c>
      <c r="B94" t="s">
        <v>15</v>
      </c>
      <c r="C94" t="s">
        <v>19</v>
      </c>
      <c r="D94">
        <v>22</v>
      </c>
      <c r="E94" s="1">
        <v>44446</v>
      </c>
      <c r="F94" s="2">
        <v>112780</v>
      </c>
      <c r="G94" t="s">
        <v>13</v>
      </c>
    </row>
    <row r="95" spans="1:7" x14ac:dyDescent="0.2">
      <c r="A95" t="s">
        <v>70</v>
      </c>
      <c r="B95" t="s">
        <v>15</v>
      </c>
      <c r="C95" t="s">
        <v>9</v>
      </c>
      <c r="D95">
        <v>46</v>
      </c>
      <c r="E95" s="1">
        <v>44758</v>
      </c>
      <c r="F95" s="2">
        <v>70610</v>
      </c>
      <c r="G95" t="s">
        <v>16</v>
      </c>
    </row>
    <row r="96" spans="1:7" x14ac:dyDescent="0.2">
      <c r="A96" t="s">
        <v>75</v>
      </c>
      <c r="B96" t="s">
        <v>8</v>
      </c>
      <c r="C96" t="s">
        <v>19</v>
      </c>
      <c r="D96">
        <v>28</v>
      </c>
      <c r="E96" s="1">
        <v>44357</v>
      </c>
      <c r="F96" s="2">
        <v>53240</v>
      </c>
      <c r="G96" t="s">
        <v>16</v>
      </c>
    </row>
    <row r="97" spans="1:7" x14ac:dyDescent="0.2">
      <c r="A97" t="s">
        <v>49</v>
      </c>
      <c r="C97" t="s">
        <v>21</v>
      </c>
      <c r="D97">
        <v>37</v>
      </c>
      <c r="E97" s="1">
        <v>44146</v>
      </c>
      <c r="F97" s="2">
        <v>115440</v>
      </c>
      <c r="G97" t="s">
        <v>24</v>
      </c>
    </row>
    <row r="98" spans="1:7" x14ac:dyDescent="0.2">
      <c r="A98" t="s">
        <v>65</v>
      </c>
      <c r="B98" t="s">
        <v>15</v>
      </c>
      <c r="C98" t="s">
        <v>19</v>
      </c>
      <c r="D98">
        <v>32</v>
      </c>
      <c r="E98" s="1">
        <v>44465</v>
      </c>
      <c r="F98" s="2">
        <v>53540</v>
      </c>
      <c r="G98" t="s">
        <v>16</v>
      </c>
    </row>
    <row r="99" spans="1:7" x14ac:dyDescent="0.2">
      <c r="A99" t="s">
        <v>81</v>
      </c>
      <c r="B99" t="s">
        <v>8</v>
      </c>
      <c r="C99" t="s">
        <v>9</v>
      </c>
      <c r="D99">
        <v>30</v>
      </c>
      <c r="E99" s="1">
        <v>44861</v>
      </c>
      <c r="F99" s="2">
        <v>112570</v>
      </c>
      <c r="G99" t="s">
        <v>16</v>
      </c>
    </row>
    <row r="100" spans="1:7" x14ac:dyDescent="0.2">
      <c r="A100" t="s">
        <v>51</v>
      </c>
      <c r="B100" t="s">
        <v>15</v>
      </c>
      <c r="C100" t="s">
        <v>9</v>
      </c>
      <c r="D100">
        <v>33</v>
      </c>
      <c r="E100" s="1">
        <v>44701</v>
      </c>
      <c r="F100" s="2">
        <v>48530</v>
      </c>
      <c r="G100" t="s">
        <v>13</v>
      </c>
    </row>
    <row r="101" spans="1:7" x14ac:dyDescent="0.2">
      <c r="A101" t="s">
        <v>61</v>
      </c>
      <c r="B101" t="s">
        <v>8</v>
      </c>
      <c r="C101" t="s">
        <v>12</v>
      </c>
      <c r="D101">
        <v>24</v>
      </c>
      <c r="E101" s="1">
        <v>44148</v>
      </c>
      <c r="F101" s="2">
        <v>62780</v>
      </c>
      <c r="G101" t="s">
        <v>16</v>
      </c>
    </row>
    <row r="102" spans="1:7" x14ac:dyDescent="0.2">
      <c r="A102" t="s">
        <v>202</v>
      </c>
      <c r="D102">
        <f>SUBTOTAL(101,nz_staff[Age])</f>
        <v>30.52</v>
      </c>
      <c r="F102" s="2">
        <f>SUBTOTAL(101,nz_staff[Salary])</f>
        <v>77472.100000000006</v>
      </c>
      <c r="G102">
        <f>SUBTOTAL(103,nz_staff[Rating])</f>
        <v>100</v>
      </c>
    </row>
  </sheetData>
  <conditionalFormatting sqref="A1:A1048576">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sheetPr codeName="Sheet2"/>
  <dimension ref="B2:H115"/>
  <sheetViews>
    <sheetView workbookViewId="0">
      <selection activeCell="J13" sqref="J13"/>
    </sheetView>
  </sheetViews>
  <sheetFormatPr baseColWidth="10" defaultColWidth="8.83203125" defaultRowHeight="15" x14ac:dyDescent="0.2"/>
  <cols>
    <col min="2" max="2" width="30" bestFit="1" customWidth="1"/>
    <col min="3" max="3" width="10" bestFit="1" customWidth="1"/>
    <col min="4" max="4" width="6.6640625" bestFit="1" customWidth="1"/>
    <col min="5" max="5" width="14.33203125" bestFit="1" customWidth="1"/>
    <col min="6" max="6" width="13.6640625" bestFit="1" customWidth="1"/>
    <col min="7" max="7" width="14" bestFit="1" customWidth="1"/>
    <col min="8" max="8" width="8.5" bestFit="1" customWidth="1"/>
  </cols>
  <sheetData>
    <row r="2" spans="2:8" x14ac:dyDescent="0.2">
      <c r="B2" t="s">
        <v>0</v>
      </c>
      <c r="C2" t="s">
        <v>1</v>
      </c>
      <c r="D2" t="s">
        <v>3</v>
      </c>
      <c r="E2" t="s">
        <v>6</v>
      </c>
      <c r="F2" t="s">
        <v>4</v>
      </c>
      <c r="G2" t="s">
        <v>2</v>
      </c>
      <c r="H2" t="s">
        <v>5</v>
      </c>
    </row>
    <row r="3" spans="2:8" x14ac:dyDescent="0.2">
      <c r="B3" t="s">
        <v>155</v>
      </c>
      <c r="C3" t="s">
        <v>15</v>
      </c>
      <c r="D3">
        <v>20</v>
      </c>
      <c r="E3" t="s">
        <v>16</v>
      </c>
      <c r="F3" s="1">
        <v>44122</v>
      </c>
      <c r="G3" t="s">
        <v>12</v>
      </c>
      <c r="H3">
        <v>112650</v>
      </c>
    </row>
    <row r="4" spans="2:8" x14ac:dyDescent="0.2">
      <c r="B4" t="s">
        <v>175</v>
      </c>
      <c r="C4" t="s">
        <v>8</v>
      </c>
      <c r="D4">
        <v>32</v>
      </c>
      <c r="E4" t="s">
        <v>13</v>
      </c>
      <c r="F4" s="1">
        <v>44293</v>
      </c>
      <c r="G4" t="s">
        <v>12</v>
      </c>
      <c r="H4">
        <v>43840</v>
      </c>
    </row>
    <row r="5" spans="2:8" x14ac:dyDescent="0.2">
      <c r="B5" t="s">
        <v>142</v>
      </c>
      <c r="C5" t="s">
        <v>15</v>
      </c>
      <c r="D5">
        <v>31</v>
      </c>
      <c r="E5" t="s">
        <v>16</v>
      </c>
      <c r="F5" s="1">
        <v>44663</v>
      </c>
      <c r="G5" t="s">
        <v>9</v>
      </c>
      <c r="H5">
        <v>103550</v>
      </c>
    </row>
    <row r="6" spans="2:8" x14ac:dyDescent="0.2">
      <c r="B6" t="s">
        <v>200</v>
      </c>
      <c r="C6" t="s">
        <v>8</v>
      </c>
      <c r="D6">
        <v>32</v>
      </c>
      <c r="E6" t="s">
        <v>16</v>
      </c>
      <c r="F6" s="1">
        <v>44339</v>
      </c>
      <c r="G6" t="s">
        <v>56</v>
      </c>
      <c r="H6">
        <v>45510</v>
      </c>
    </row>
    <row r="7" spans="2:8" x14ac:dyDescent="0.2">
      <c r="B7" t="s">
        <v>141</v>
      </c>
      <c r="D7">
        <v>37</v>
      </c>
      <c r="E7" t="s">
        <v>24</v>
      </c>
      <c r="F7" s="1">
        <v>44085</v>
      </c>
      <c r="G7" t="s">
        <v>21</v>
      </c>
      <c r="H7">
        <v>115440</v>
      </c>
    </row>
    <row r="8" spans="2:8" x14ac:dyDescent="0.2">
      <c r="B8" t="s">
        <v>201</v>
      </c>
      <c r="C8" t="s">
        <v>8</v>
      </c>
      <c r="D8">
        <v>38</v>
      </c>
      <c r="E8" t="s">
        <v>13</v>
      </c>
      <c r="F8" s="1">
        <v>44268</v>
      </c>
      <c r="G8" t="s">
        <v>19</v>
      </c>
      <c r="H8">
        <v>56870</v>
      </c>
    </row>
    <row r="9" spans="2:8" x14ac:dyDescent="0.2">
      <c r="B9" t="s">
        <v>168</v>
      </c>
      <c r="C9" t="s">
        <v>8</v>
      </c>
      <c r="D9">
        <v>25</v>
      </c>
      <c r="E9" t="s">
        <v>16</v>
      </c>
      <c r="F9" s="1">
        <v>44144</v>
      </c>
      <c r="G9" t="s">
        <v>19</v>
      </c>
      <c r="H9">
        <v>92700</v>
      </c>
    </row>
    <row r="10" spans="2:8" x14ac:dyDescent="0.2">
      <c r="B10" t="s">
        <v>144</v>
      </c>
      <c r="D10">
        <v>32</v>
      </c>
      <c r="E10" t="s">
        <v>16</v>
      </c>
      <c r="F10" s="1">
        <v>44713</v>
      </c>
      <c r="G10" t="s">
        <v>12</v>
      </c>
      <c r="H10">
        <v>91310</v>
      </c>
    </row>
    <row r="11" spans="2:8" x14ac:dyDescent="0.2">
      <c r="B11" t="s">
        <v>114</v>
      </c>
      <c r="C11" t="s">
        <v>15</v>
      </c>
      <c r="D11">
        <v>33</v>
      </c>
      <c r="E11" t="s">
        <v>16</v>
      </c>
      <c r="F11" s="1">
        <v>44324</v>
      </c>
      <c r="G11" t="s">
        <v>19</v>
      </c>
      <c r="H11">
        <v>74550</v>
      </c>
    </row>
    <row r="12" spans="2:8" x14ac:dyDescent="0.2">
      <c r="B12" t="s">
        <v>127</v>
      </c>
      <c r="C12" t="s">
        <v>15</v>
      </c>
      <c r="D12">
        <v>25</v>
      </c>
      <c r="E12" t="s">
        <v>13</v>
      </c>
      <c r="F12" s="1">
        <v>44665</v>
      </c>
      <c r="G12" t="s">
        <v>9</v>
      </c>
      <c r="H12">
        <v>109190</v>
      </c>
    </row>
    <row r="13" spans="2:8" x14ac:dyDescent="0.2">
      <c r="B13" t="s">
        <v>193</v>
      </c>
      <c r="C13" t="s">
        <v>8</v>
      </c>
      <c r="D13">
        <v>40</v>
      </c>
      <c r="E13" t="s">
        <v>16</v>
      </c>
      <c r="F13" s="1">
        <v>44320</v>
      </c>
      <c r="G13" t="s">
        <v>12</v>
      </c>
      <c r="H13">
        <v>104410</v>
      </c>
    </row>
    <row r="14" spans="2:8" x14ac:dyDescent="0.2">
      <c r="B14" t="s">
        <v>176</v>
      </c>
      <c r="C14" t="s">
        <v>15</v>
      </c>
      <c r="D14">
        <v>30</v>
      </c>
      <c r="E14" t="s">
        <v>16</v>
      </c>
      <c r="F14" s="1">
        <v>44544</v>
      </c>
      <c r="G14" t="s">
        <v>21</v>
      </c>
      <c r="H14">
        <v>96800</v>
      </c>
    </row>
    <row r="15" spans="2:8" x14ac:dyDescent="0.2">
      <c r="B15" t="s">
        <v>122</v>
      </c>
      <c r="C15" t="s">
        <v>15</v>
      </c>
      <c r="D15">
        <v>28</v>
      </c>
      <c r="E15" t="s">
        <v>13</v>
      </c>
      <c r="F15" s="1">
        <v>43980</v>
      </c>
      <c r="G15" t="s">
        <v>21</v>
      </c>
      <c r="H15">
        <v>48170</v>
      </c>
    </row>
    <row r="16" spans="2:8" x14ac:dyDescent="0.2">
      <c r="B16" t="s">
        <v>139</v>
      </c>
      <c r="C16" t="s">
        <v>15</v>
      </c>
      <c r="D16">
        <v>21</v>
      </c>
      <c r="E16" t="s">
        <v>16</v>
      </c>
      <c r="F16" s="1">
        <v>44042</v>
      </c>
      <c r="G16" t="s">
        <v>9</v>
      </c>
      <c r="H16">
        <v>37920</v>
      </c>
    </row>
    <row r="17" spans="2:8" x14ac:dyDescent="0.2">
      <c r="B17" t="s">
        <v>177</v>
      </c>
      <c r="C17" t="s">
        <v>15</v>
      </c>
      <c r="D17">
        <v>34</v>
      </c>
      <c r="E17" t="s">
        <v>16</v>
      </c>
      <c r="F17" s="1">
        <v>44642</v>
      </c>
      <c r="G17" t="s">
        <v>9</v>
      </c>
      <c r="H17">
        <v>112650</v>
      </c>
    </row>
    <row r="18" spans="2:8" x14ac:dyDescent="0.2">
      <c r="B18" t="s">
        <v>164</v>
      </c>
      <c r="C18" t="s">
        <v>8</v>
      </c>
      <c r="D18">
        <v>34</v>
      </c>
      <c r="E18" t="s">
        <v>24</v>
      </c>
      <c r="F18" s="1">
        <v>44660</v>
      </c>
      <c r="G18" t="s">
        <v>19</v>
      </c>
      <c r="H18">
        <v>49630</v>
      </c>
    </row>
    <row r="19" spans="2:8" x14ac:dyDescent="0.2">
      <c r="B19" t="s">
        <v>198</v>
      </c>
      <c r="C19" t="s">
        <v>15</v>
      </c>
      <c r="D19">
        <v>36</v>
      </c>
      <c r="E19" t="s">
        <v>16</v>
      </c>
      <c r="F19" s="1">
        <v>43958</v>
      </c>
      <c r="G19" t="s">
        <v>12</v>
      </c>
      <c r="H19">
        <v>118840</v>
      </c>
    </row>
    <row r="20" spans="2:8" x14ac:dyDescent="0.2">
      <c r="B20" t="s">
        <v>158</v>
      </c>
      <c r="C20" t="s">
        <v>15</v>
      </c>
      <c r="D20">
        <v>30</v>
      </c>
      <c r="E20" t="s">
        <v>16</v>
      </c>
      <c r="F20" s="1">
        <v>44789</v>
      </c>
      <c r="G20" t="s">
        <v>12</v>
      </c>
      <c r="H20">
        <v>69710</v>
      </c>
    </row>
    <row r="21" spans="2:8" x14ac:dyDescent="0.2">
      <c r="B21" t="s">
        <v>196</v>
      </c>
      <c r="C21" t="s">
        <v>15</v>
      </c>
      <c r="D21">
        <v>20</v>
      </c>
      <c r="E21" t="s">
        <v>16</v>
      </c>
      <c r="F21" s="1">
        <v>44683</v>
      </c>
      <c r="G21" t="s">
        <v>9</v>
      </c>
      <c r="H21">
        <v>79570</v>
      </c>
    </row>
    <row r="22" spans="2:8" x14ac:dyDescent="0.2">
      <c r="B22" t="s">
        <v>153</v>
      </c>
      <c r="C22" t="s">
        <v>8</v>
      </c>
      <c r="D22">
        <v>22</v>
      </c>
      <c r="E22" t="s">
        <v>13</v>
      </c>
      <c r="F22" s="1">
        <v>44388</v>
      </c>
      <c r="G22" t="s">
        <v>9</v>
      </c>
      <c r="H22">
        <v>76900</v>
      </c>
    </row>
    <row r="23" spans="2:8" x14ac:dyDescent="0.2">
      <c r="B23" t="s">
        <v>181</v>
      </c>
      <c r="C23" t="s">
        <v>15</v>
      </c>
      <c r="D23">
        <v>27</v>
      </c>
      <c r="E23" t="s">
        <v>16</v>
      </c>
      <c r="F23" s="1">
        <v>44073</v>
      </c>
      <c r="G23" t="s">
        <v>19</v>
      </c>
      <c r="H23">
        <v>54970</v>
      </c>
    </row>
    <row r="24" spans="2:8" x14ac:dyDescent="0.2">
      <c r="B24" t="s">
        <v>117</v>
      </c>
      <c r="C24" t="s">
        <v>15</v>
      </c>
      <c r="D24">
        <v>37</v>
      </c>
      <c r="E24" t="s">
        <v>24</v>
      </c>
      <c r="F24" s="1">
        <v>44277</v>
      </c>
      <c r="G24" t="s">
        <v>12</v>
      </c>
      <c r="H24">
        <v>88050</v>
      </c>
    </row>
    <row r="25" spans="2:8" x14ac:dyDescent="0.2">
      <c r="B25" t="s">
        <v>191</v>
      </c>
      <c r="C25" t="s">
        <v>15</v>
      </c>
      <c r="D25">
        <v>43</v>
      </c>
      <c r="E25" t="s">
        <v>16</v>
      </c>
      <c r="F25" s="1">
        <v>44558</v>
      </c>
      <c r="G25" t="s">
        <v>19</v>
      </c>
      <c r="H25">
        <v>36040</v>
      </c>
    </row>
    <row r="26" spans="2:8" x14ac:dyDescent="0.2">
      <c r="B26" t="s">
        <v>110</v>
      </c>
      <c r="C26" t="s">
        <v>8</v>
      </c>
      <c r="D26">
        <v>42</v>
      </c>
      <c r="E26" t="s">
        <v>10</v>
      </c>
      <c r="F26" s="1">
        <v>44718</v>
      </c>
      <c r="G26" t="s">
        <v>9</v>
      </c>
      <c r="H26">
        <v>75000</v>
      </c>
    </row>
    <row r="27" spans="2:8" x14ac:dyDescent="0.2">
      <c r="B27" t="s">
        <v>148</v>
      </c>
      <c r="C27" t="s">
        <v>15</v>
      </c>
      <c r="D27">
        <v>35</v>
      </c>
      <c r="E27" t="s">
        <v>16</v>
      </c>
      <c r="F27" s="1">
        <v>44666</v>
      </c>
      <c r="G27" t="s">
        <v>9</v>
      </c>
      <c r="H27">
        <v>40400</v>
      </c>
    </row>
    <row r="28" spans="2:8" x14ac:dyDescent="0.2">
      <c r="B28" t="s">
        <v>195</v>
      </c>
      <c r="C28" t="s">
        <v>15</v>
      </c>
      <c r="D28">
        <v>24</v>
      </c>
      <c r="E28" t="s">
        <v>16</v>
      </c>
      <c r="F28" s="1">
        <v>44625</v>
      </c>
      <c r="G28" t="s">
        <v>12</v>
      </c>
      <c r="H28">
        <v>100420</v>
      </c>
    </row>
    <row r="29" spans="2:8" x14ac:dyDescent="0.2">
      <c r="B29" t="s">
        <v>119</v>
      </c>
      <c r="C29" t="s">
        <v>8</v>
      </c>
      <c r="D29">
        <v>31</v>
      </c>
      <c r="E29" t="s">
        <v>16</v>
      </c>
      <c r="F29" s="1">
        <v>44604</v>
      </c>
      <c r="G29" t="s">
        <v>12</v>
      </c>
      <c r="H29">
        <v>58100</v>
      </c>
    </row>
    <row r="30" spans="2:8" x14ac:dyDescent="0.2">
      <c r="B30" t="s">
        <v>113</v>
      </c>
      <c r="C30" t="s">
        <v>8</v>
      </c>
      <c r="D30">
        <v>44</v>
      </c>
      <c r="E30" t="s">
        <v>16</v>
      </c>
      <c r="F30" s="1">
        <v>44985</v>
      </c>
      <c r="G30" t="s">
        <v>12</v>
      </c>
      <c r="H30">
        <v>114870</v>
      </c>
    </row>
    <row r="31" spans="2:8" x14ac:dyDescent="0.2">
      <c r="B31" t="s">
        <v>157</v>
      </c>
      <c r="C31" t="s">
        <v>8</v>
      </c>
      <c r="D31">
        <v>32</v>
      </c>
      <c r="E31" t="s">
        <v>16</v>
      </c>
      <c r="F31" s="1">
        <v>44549</v>
      </c>
      <c r="G31" t="s">
        <v>9</v>
      </c>
      <c r="H31">
        <v>41570</v>
      </c>
    </row>
    <row r="32" spans="2:8" x14ac:dyDescent="0.2">
      <c r="B32" t="s">
        <v>172</v>
      </c>
      <c r="C32" t="s">
        <v>8</v>
      </c>
      <c r="D32">
        <v>30</v>
      </c>
      <c r="E32" t="s">
        <v>16</v>
      </c>
      <c r="F32" s="1">
        <v>44800</v>
      </c>
      <c r="G32" t="s">
        <v>9</v>
      </c>
      <c r="H32">
        <v>112570</v>
      </c>
    </row>
    <row r="33" spans="2:8" x14ac:dyDescent="0.2">
      <c r="B33" t="s">
        <v>150</v>
      </c>
      <c r="C33" t="s">
        <v>15</v>
      </c>
      <c r="D33">
        <v>26</v>
      </c>
      <c r="E33" t="s">
        <v>16</v>
      </c>
      <c r="F33" s="1">
        <v>44164</v>
      </c>
      <c r="G33" t="s">
        <v>9</v>
      </c>
      <c r="H33">
        <v>47360</v>
      </c>
    </row>
    <row r="34" spans="2:8" x14ac:dyDescent="0.2">
      <c r="B34" t="s">
        <v>125</v>
      </c>
      <c r="C34" t="s">
        <v>8</v>
      </c>
      <c r="D34">
        <v>21</v>
      </c>
      <c r="E34" t="s">
        <v>16</v>
      </c>
      <c r="F34" s="1">
        <v>44256</v>
      </c>
      <c r="G34" t="s">
        <v>21</v>
      </c>
      <c r="H34">
        <v>65920</v>
      </c>
    </row>
    <row r="35" spans="2:8" x14ac:dyDescent="0.2">
      <c r="B35" t="s">
        <v>199</v>
      </c>
      <c r="C35" t="s">
        <v>8</v>
      </c>
      <c r="D35">
        <v>28</v>
      </c>
      <c r="E35" t="s">
        <v>16</v>
      </c>
      <c r="F35" s="1">
        <v>44571</v>
      </c>
      <c r="G35" t="s">
        <v>9</v>
      </c>
      <c r="H35">
        <v>99970</v>
      </c>
    </row>
    <row r="36" spans="2:8" x14ac:dyDescent="0.2">
      <c r="B36" t="s">
        <v>132</v>
      </c>
      <c r="C36" t="s">
        <v>8</v>
      </c>
      <c r="D36">
        <v>25</v>
      </c>
      <c r="E36" t="s">
        <v>13</v>
      </c>
      <c r="F36" s="1">
        <v>44633</v>
      </c>
      <c r="G36" t="s">
        <v>12</v>
      </c>
      <c r="H36">
        <v>80700</v>
      </c>
    </row>
    <row r="37" spans="2:8" x14ac:dyDescent="0.2">
      <c r="B37" t="s">
        <v>154</v>
      </c>
      <c r="C37" t="s">
        <v>15</v>
      </c>
      <c r="D37">
        <v>24</v>
      </c>
      <c r="E37" t="s">
        <v>24</v>
      </c>
      <c r="F37" s="1">
        <v>44375</v>
      </c>
      <c r="G37" t="s">
        <v>21</v>
      </c>
      <c r="H37">
        <v>52610</v>
      </c>
    </row>
    <row r="38" spans="2:8" x14ac:dyDescent="0.2">
      <c r="B38" t="s">
        <v>179</v>
      </c>
      <c r="C38" t="s">
        <v>15</v>
      </c>
      <c r="D38">
        <v>29</v>
      </c>
      <c r="E38" t="s">
        <v>24</v>
      </c>
      <c r="F38" s="1">
        <v>44119</v>
      </c>
      <c r="G38" t="s">
        <v>12</v>
      </c>
      <c r="H38">
        <v>112110</v>
      </c>
    </row>
    <row r="39" spans="2:8" x14ac:dyDescent="0.2">
      <c r="B39" t="s">
        <v>151</v>
      </c>
      <c r="C39" t="s">
        <v>8</v>
      </c>
      <c r="D39">
        <v>27</v>
      </c>
      <c r="E39" t="s">
        <v>16</v>
      </c>
      <c r="F39" s="1">
        <v>44061</v>
      </c>
      <c r="G39" t="s">
        <v>56</v>
      </c>
      <c r="H39">
        <v>119110</v>
      </c>
    </row>
    <row r="40" spans="2:8" x14ac:dyDescent="0.2">
      <c r="B40" t="s">
        <v>149</v>
      </c>
      <c r="C40" t="s">
        <v>15</v>
      </c>
      <c r="D40">
        <v>22</v>
      </c>
      <c r="E40" t="s">
        <v>13</v>
      </c>
      <c r="F40" s="1">
        <v>44384</v>
      </c>
      <c r="G40" t="s">
        <v>19</v>
      </c>
      <c r="H40">
        <v>112780</v>
      </c>
    </row>
    <row r="41" spans="2:8" x14ac:dyDescent="0.2">
      <c r="B41" t="s">
        <v>174</v>
      </c>
      <c r="C41" t="s">
        <v>8</v>
      </c>
      <c r="D41">
        <v>36</v>
      </c>
      <c r="E41" t="s">
        <v>16</v>
      </c>
      <c r="F41" s="1">
        <v>44023</v>
      </c>
      <c r="G41" t="s">
        <v>9</v>
      </c>
      <c r="H41">
        <v>114890</v>
      </c>
    </row>
    <row r="42" spans="2:8" x14ac:dyDescent="0.2">
      <c r="B42" t="s">
        <v>145</v>
      </c>
      <c r="C42" t="s">
        <v>15</v>
      </c>
      <c r="D42">
        <v>27</v>
      </c>
      <c r="E42" t="s">
        <v>16</v>
      </c>
      <c r="F42" s="1">
        <v>44506</v>
      </c>
      <c r="G42" t="s">
        <v>21</v>
      </c>
      <c r="H42">
        <v>48980</v>
      </c>
    </row>
    <row r="43" spans="2:8" x14ac:dyDescent="0.2">
      <c r="B43" t="s">
        <v>169</v>
      </c>
      <c r="C43" t="s">
        <v>15</v>
      </c>
      <c r="D43">
        <v>21</v>
      </c>
      <c r="E43" t="s">
        <v>16</v>
      </c>
      <c r="F43" s="1">
        <v>44180</v>
      </c>
      <c r="G43" t="s">
        <v>56</v>
      </c>
      <c r="H43">
        <v>75880</v>
      </c>
    </row>
    <row r="44" spans="2:8" x14ac:dyDescent="0.2">
      <c r="B44" t="s">
        <v>166</v>
      </c>
      <c r="C44" t="s">
        <v>8</v>
      </c>
      <c r="D44">
        <v>28</v>
      </c>
      <c r="E44" t="s">
        <v>16</v>
      </c>
      <c r="F44" s="1">
        <v>44296</v>
      </c>
      <c r="G44" t="s">
        <v>19</v>
      </c>
      <c r="H44">
        <v>53240</v>
      </c>
    </row>
    <row r="45" spans="2:8" x14ac:dyDescent="0.2">
      <c r="B45" t="s">
        <v>121</v>
      </c>
      <c r="C45" t="s">
        <v>8</v>
      </c>
      <c r="D45">
        <v>34</v>
      </c>
      <c r="E45" t="s">
        <v>16</v>
      </c>
      <c r="F45" s="1">
        <v>44397</v>
      </c>
      <c r="G45" t="s">
        <v>21</v>
      </c>
      <c r="H45">
        <v>85000</v>
      </c>
    </row>
    <row r="46" spans="2:8" x14ac:dyDescent="0.2">
      <c r="B46" t="s">
        <v>178</v>
      </c>
      <c r="C46" t="s">
        <v>8</v>
      </c>
      <c r="D46">
        <v>21</v>
      </c>
      <c r="E46" t="s">
        <v>16</v>
      </c>
      <c r="F46" s="1">
        <v>44619</v>
      </c>
      <c r="G46" t="s">
        <v>12</v>
      </c>
      <c r="H46">
        <v>33920</v>
      </c>
    </row>
    <row r="47" spans="2:8" x14ac:dyDescent="0.2">
      <c r="B47" t="s">
        <v>187</v>
      </c>
      <c r="C47" t="s">
        <v>8</v>
      </c>
      <c r="D47">
        <v>33</v>
      </c>
      <c r="E47" t="s">
        <v>16</v>
      </c>
      <c r="F47" s="1">
        <v>44253</v>
      </c>
      <c r="G47" t="s">
        <v>12</v>
      </c>
      <c r="H47">
        <v>75280</v>
      </c>
    </row>
    <row r="48" spans="2:8" x14ac:dyDescent="0.2">
      <c r="B48" t="s">
        <v>129</v>
      </c>
      <c r="C48" t="s">
        <v>8</v>
      </c>
      <c r="D48">
        <v>34</v>
      </c>
      <c r="E48" t="s">
        <v>16</v>
      </c>
      <c r="F48" s="1">
        <v>44594</v>
      </c>
      <c r="G48" t="s">
        <v>21</v>
      </c>
      <c r="H48">
        <v>58940</v>
      </c>
    </row>
    <row r="49" spans="2:8" x14ac:dyDescent="0.2">
      <c r="B49" t="s">
        <v>135</v>
      </c>
      <c r="C49" t="s">
        <v>8</v>
      </c>
      <c r="D49">
        <v>28</v>
      </c>
      <c r="E49" t="s">
        <v>16</v>
      </c>
      <c r="F49" s="1">
        <v>44425</v>
      </c>
      <c r="G49" t="s">
        <v>9</v>
      </c>
      <c r="H49">
        <v>104770</v>
      </c>
    </row>
    <row r="50" spans="2:8" x14ac:dyDescent="0.2">
      <c r="B50" t="s">
        <v>124</v>
      </c>
      <c r="C50" t="s">
        <v>15</v>
      </c>
      <c r="D50">
        <v>21</v>
      </c>
      <c r="E50" t="s">
        <v>16</v>
      </c>
      <c r="F50" s="1">
        <v>44701</v>
      </c>
      <c r="G50" t="s">
        <v>9</v>
      </c>
      <c r="H50">
        <v>57090</v>
      </c>
    </row>
    <row r="51" spans="2:8" x14ac:dyDescent="0.2">
      <c r="B51" t="s">
        <v>159</v>
      </c>
      <c r="C51" t="s">
        <v>15</v>
      </c>
      <c r="D51">
        <v>27</v>
      </c>
      <c r="E51" t="s">
        <v>13</v>
      </c>
      <c r="F51" s="1">
        <v>44174</v>
      </c>
      <c r="G51" t="s">
        <v>21</v>
      </c>
      <c r="H51">
        <v>91650</v>
      </c>
    </row>
    <row r="52" spans="2:8" x14ac:dyDescent="0.2">
      <c r="B52" t="s">
        <v>182</v>
      </c>
      <c r="C52" t="s">
        <v>15</v>
      </c>
      <c r="D52">
        <v>42</v>
      </c>
      <c r="E52" t="s">
        <v>24</v>
      </c>
      <c r="F52" s="1">
        <v>44670</v>
      </c>
      <c r="G52" t="s">
        <v>21</v>
      </c>
      <c r="H52">
        <v>70270</v>
      </c>
    </row>
    <row r="53" spans="2:8" x14ac:dyDescent="0.2">
      <c r="B53" t="s">
        <v>128</v>
      </c>
      <c r="C53" t="s">
        <v>8</v>
      </c>
      <c r="D53">
        <v>28</v>
      </c>
      <c r="E53" t="s">
        <v>16</v>
      </c>
      <c r="F53" s="1">
        <v>44124</v>
      </c>
      <c r="G53" t="s">
        <v>21</v>
      </c>
      <c r="H53">
        <v>75970</v>
      </c>
    </row>
    <row r="54" spans="2:8" x14ac:dyDescent="0.2">
      <c r="B54" t="s">
        <v>111</v>
      </c>
      <c r="D54">
        <v>27</v>
      </c>
      <c r="E54" t="s">
        <v>13</v>
      </c>
      <c r="F54" s="1">
        <v>44212</v>
      </c>
      <c r="G54" t="s">
        <v>12</v>
      </c>
      <c r="H54">
        <v>90700</v>
      </c>
    </row>
    <row r="55" spans="2:8" x14ac:dyDescent="0.2">
      <c r="B55" t="s">
        <v>130</v>
      </c>
      <c r="C55" t="s">
        <v>15</v>
      </c>
      <c r="D55">
        <v>30</v>
      </c>
      <c r="E55" t="s">
        <v>16</v>
      </c>
      <c r="F55" s="1">
        <v>44607</v>
      </c>
      <c r="G55" t="s">
        <v>9</v>
      </c>
      <c r="H55">
        <v>60570</v>
      </c>
    </row>
    <row r="56" spans="2:8" x14ac:dyDescent="0.2">
      <c r="B56" t="s">
        <v>133</v>
      </c>
      <c r="C56" t="s">
        <v>15</v>
      </c>
      <c r="D56">
        <v>33</v>
      </c>
      <c r="E56" t="s">
        <v>16</v>
      </c>
      <c r="F56" s="1">
        <v>44103</v>
      </c>
      <c r="G56" t="s">
        <v>9</v>
      </c>
      <c r="H56">
        <v>115920</v>
      </c>
    </row>
    <row r="57" spans="2:8" x14ac:dyDescent="0.2">
      <c r="B57" t="s">
        <v>185</v>
      </c>
      <c r="C57" t="s">
        <v>8</v>
      </c>
      <c r="D57">
        <v>33</v>
      </c>
      <c r="E57" t="s">
        <v>16</v>
      </c>
      <c r="F57" s="1">
        <v>44006</v>
      </c>
      <c r="G57" t="s">
        <v>21</v>
      </c>
      <c r="H57">
        <v>65360</v>
      </c>
    </row>
    <row r="58" spans="2:8" x14ac:dyDescent="0.2">
      <c r="B58" t="s">
        <v>115</v>
      </c>
      <c r="D58">
        <v>30</v>
      </c>
      <c r="E58" t="s">
        <v>16</v>
      </c>
      <c r="F58" s="1">
        <v>44535</v>
      </c>
      <c r="G58" t="s">
        <v>21</v>
      </c>
      <c r="H58">
        <v>64000</v>
      </c>
    </row>
    <row r="59" spans="2:8" x14ac:dyDescent="0.2">
      <c r="B59" t="s">
        <v>194</v>
      </c>
      <c r="C59" t="s">
        <v>8</v>
      </c>
      <c r="D59">
        <v>34</v>
      </c>
      <c r="E59" t="s">
        <v>16</v>
      </c>
      <c r="F59" s="1">
        <v>44383</v>
      </c>
      <c r="G59" t="s">
        <v>21</v>
      </c>
      <c r="H59">
        <v>92450</v>
      </c>
    </row>
    <row r="60" spans="2:8" x14ac:dyDescent="0.2">
      <c r="B60" t="s">
        <v>112</v>
      </c>
      <c r="C60" t="s">
        <v>15</v>
      </c>
      <c r="D60">
        <v>31</v>
      </c>
      <c r="E60" t="s">
        <v>16</v>
      </c>
      <c r="F60" s="1">
        <v>44450</v>
      </c>
      <c r="G60" t="s">
        <v>12</v>
      </c>
      <c r="H60">
        <v>48950</v>
      </c>
    </row>
    <row r="61" spans="2:8" x14ac:dyDescent="0.2">
      <c r="B61" t="s">
        <v>184</v>
      </c>
      <c r="C61" t="s">
        <v>8</v>
      </c>
      <c r="D61">
        <v>27</v>
      </c>
      <c r="E61" t="s">
        <v>16</v>
      </c>
      <c r="F61" s="1">
        <v>44625</v>
      </c>
      <c r="G61" t="s">
        <v>12</v>
      </c>
      <c r="H61">
        <v>83750</v>
      </c>
    </row>
    <row r="62" spans="2:8" x14ac:dyDescent="0.2">
      <c r="B62" t="s">
        <v>165</v>
      </c>
      <c r="C62" t="s">
        <v>8</v>
      </c>
      <c r="D62">
        <v>40</v>
      </c>
      <c r="E62" t="s">
        <v>16</v>
      </c>
      <c r="F62" s="1">
        <v>44276</v>
      </c>
      <c r="G62" t="s">
        <v>12</v>
      </c>
      <c r="H62">
        <v>87620</v>
      </c>
    </row>
    <row r="63" spans="2:8" x14ac:dyDescent="0.2">
      <c r="B63" t="s">
        <v>183</v>
      </c>
      <c r="C63" t="s">
        <v>8</v>
      </c>
      <c r="D63">
        <v>20</v>
      </c>
      <c r="E63" t="s">
        <v>24</v>
      </c>
      <c r="F63" s="1">
        <v>44476</v>
      </c>
      <c r="G63" t="s">
        <v>19</v>
      </c>
      <c r="H63">
        <v>68900</v>
      </c>
    </row>
    <row r="64" spans="2:8" x14ac:dyDescent="0.2">
      <c r="B64" t="s">
        <v>156</v>
      </c>
      <c r="C64" t="s">
        <v>15</v>
      </c>
      <c r="D64">
        <v>32</v>
      </c>
      <c r="E64" t="s">
        <v>16</v>
      </c>
      <c r="F64" s="1">
        <v>44403</v>
      </c>
      <c r="G64" t="s">
        <v>19</v>
      </c>
      <c r="H64">
        <v>53540</v>
      </c>
    </row>
    <row r="65" spans="2:8" x14ac:dyDescent="0.2">
      <c r="B65" t="s">
        <v>171</v>
      </c>
      <c r="C65" t="s">
        <v>15</v>
      </c>
      <c r="D65">
        <v>28</v>
      </c>
      <c r="E65" t="s">
        <v>42</v>
      </c>
      <c r="F65" s="1">
        <v>44758</v>
      </c>
      <c r="G65" t="s">
        <v>19</v>
      </c>
      <c r="H65">
        <v>43510</v>
      </c>
    </row>
    <row r="66" spans="2:8" x14ac:dyDescent="0.2">
      <c r="B66" t="s">
        <v>126</v>
      </c>
      <c r="C66" t="s">
        <v>8</v>
      </c>
      <c r="D66">
        <v>38</v>
      </c>
      <c r="E66" t="s">
        <v>10</v>
      </c>
      <c r="F66" s="1">
        <v>44316</v>
      </c>
      <c r="G66" t="s">
        <v>19</v>
      </c>
      <c r="H66">
        <v>109160</v>
      </c>
    </row>
    <row r="67" spans="2:8" x14ac:dyDescent="0.2">
      <c r="B67" t="s">
        <v>197</v>
      </c>
      <c r="C67" t="s">
        <v>15</v>
      </c>
      <c r="D67">
        <v>40</v>
      </c>
      <c r="E67" t="s">
        <v>16</v>
      </c>
      <c r="F67" s="1">
        <v>44204</v>
      </c>
      <c r="G67" t="s">
        <v>9</v>
      </c>
      <c r="H67">
        <v>99750</v>
      </c>
    </row>
    <row r="68" spans="2:8" x14ac:dyDescent="0.2">
      <c r="B68" t="s">
        <v>123</v>
      </c>
      <c r="C68" t="s">
        <v>8</v>
      </c>
      <c r="D68">
        <v>31</v>
      </c>
      <c r="E68" t="s">
        <v>16</v>
      </c>
      <c r="F68" s="1">
        <v>44084</v>
      </c>
      <c r="G68" t="s">
        <v>12</v>
      </c>
      <c r="H68">
        <v>41980</v>
      </c>
    </row>
    <row r="69" spans="2:8" x14ac:dyDescent="0.2">
      <c r="B69" t="s">
        <v>186</v>
      </c>
      <c r="C69" t="s">
        <v>15</v>
      </c>
      <c r="D69">
        <v>36</v>
      </c>
      <c r="E69" t="s">
        <v>16</v>
      </c>
      <c r="F69" s="1">
        <v>44272</v>
      </c>
      <c r="G69" t="s">
        <v>21</v>
      </c>
      <c r="H69">
        <v>71380</v>
      </c>
    </row>
    <row r="70" spans="2:8" x14ac:dyDescent="0.2">
      <c r="B70" t="s">
        <v>190</v>
      </c>
      <c r="C70" t="s">
        <v>15</v>
      </c>
      <c r="D70">
        <v>27</v>
      </c>
      <c r="E70" t="s">
        <v>42</v>
      </c>
      <c r="F70" s="1">
        <v>44547</v>
      </c>
      <c r="G70" t="s">
        <v>9</v>
      </c>
      <c r="H70">
        <v>113280</v>
      </c>
    </row>
    <row r="71" spans="2:8" x14ac:dyDescent="0.2">
      <c r="B71" t="s">
        <v>180</v>
      </c>
      <c r="C71" t="s">
        <v>8</v>
      </c>
      <c r="D71">
        <v>33</v>
      </c>
      <c r="E71" t="s">
        <v>16</v>
      </c>
      <c r="F71" s="1">
        <v>44747</v>
      </c>
      <c r="G71" t="s">
        <v>21</v>
      </c>
      <c r="H71">
        <v>86570</v>
      </c>
    </row>
    <row r="72" spans="2:8" x14ac:dyDescent="0.2">
      <c r="B72" t="s">
        <v>138</v>
      </c>
      <c r="C72" t="s">
        <v>15</v>
      </c>
      <c r="D72">
        <v>26</v>
      </c>
      <c r="E72" t="s">
        <v>16</v>
      </c>
      <c r="F72" s="1">
        <v>44350</v>
      </c>
      <c r="G72" t="s">
        <v>9</v>
      </c>
      <c r="H72">
        <v>53540</v>
      </c>
    </row>
    <row r="73" spans="2:8" x14ac:dyDescent="0.2">
      <c r="B73" t="s">
        <v>189</v>
      </c>
      <c r="C73" t="s">
        <v>15</v>
      </c>
      <c r="D73">
        <v>37</v>
      </c>
      <c r="E73" t="s">
        <v>16</v>
      </c>
      <c r="F73" s="1">
        <v>44640</v>
      </c>
      <c r="G73" t="s">
        <v>12</v>
      </c>
      <c r="H73">
        <v>69070</v>
      </c>
    </row>
    <row r="74" spans="2:8" x14ac:dyDescent="0.2">
      <c r="B74" t="s">
        <v>120</v>
      </c>
      <c r="C74" t="s">
        <v>8</v>
      </c>
      <c r="D74">
        <v>30</v>
      </c>
      <c r="E74" t="s">
        <v>24</v>
      </c>
      <c r="F74" s="1">
        <v>44328</v>
      </c>
      <c r="G74" t="s">
        <v>21</v>
      </c>
      <c r="H74">
        <v>67910</v>
      </c>
    </row>
    <row r="75" spans="2:8" x14ac:dyDescent="0.2">
      <c r="B75" t="s">
        <v>118</v>
      </c>
      <c r="C75" t="s">
        <v>15</v>
      </c>
      <c r="D75">
        <v>30</v>
      </c>
      <c r="E75" t="s">
        <v>16</v>
      </c>
      <c r="F75" s="1">
        <v>44214</v>
      </c>
      <c r="G75" t="s">
        <v>12</v>
      </c>
      <c r="H75">
        <v>69120</v>
      </c>
    </row>
    <row r="76" spans="2:8" x14ac:dyDescent="0.2">
      <c r="B76" t="s">
        <v>131</v>
      </c>
      <c r="C76" t="s">
        <v>8</v>
      </c>
      <c r="D76">
        <v>34</v>
      </c>
      <c r="E76" t="s">
        <v>16</v>
      </c>
      <c r="F76" s="1">
        <v>44550</v>
      </c>
      <c r="G76" t="s">
        <v>21</v>
      </c>
      <c r="H76">
        <v>60130</v>
      </c>
    </row>
    <row r="77" spans="2:8" x14ac:dyDescent="0.2">
      <c r="B77" t="s">
        <v>160</v>
      </c>
      <c r="C77" t="s">
        <v>15</v>
      </c>
      <c r="D77">
        <v>23</v>
      </c>
      <c r="E77" t="s">
        <v>16</v>
      </c>
      <c r="F77" s="1">
        <v>44378</v>
      </c>
      <c r="G77" t="s">
        <v>9</v>
      </c>
      <c r="H77">
        <v>106460</v>
      </c>
    </row>
    <row r="78" spans="2:8" x14ac:dyDescent="0.2">
      <c r="B78" t="s">
        <v>147</v>
      </c>
      <c r="C78" t="s">
        <v>8</v>
      </c>
      <c r="D78">
        <v>37</v>
      </c>
      <c r="E78" t="s">
        <v>16</v>
      </c>
      <c r="F78" s="1">
        <v>44389</v>
      </c>
      <c r="G78" t="s">
        <v>56</v>
      </c>
      <c r="H78">
        <v>118100</v>
      </c>
    </row>
    <row r="79" spans="2:8" x14ac:dyDescent="0.2">
      <c r="B79" t="s">
        <v>163</v>
      </c>
      <c r="C79" t="s">
        <v>8</v>
      </c>
      <c r="D79">
        <v>36</v>
      </c>
      <c r="E79" t="s">
        <v>16</v>
      </c>
      <c r="F79" s="1">
        <v>44468</v>
      </c>
      <c r="G79" t="s">
        <v>9</v>
      </c>
      <c r="H79">
        <v>78390</v>
      </c>
    </row>
    <row r="80" spans="2:8" x14ac:dyDescent="0.2">
      <c r="B80" t="s">
        <v>146</v>
      </c>
      <c r="C80" t="s">
        <v>8</v>
      </c>
      <c r="D80">
        <v>30</v>
      </c>
      <c r="E80" t="s">
        <v>16</v>
      </c>
      <c r="F80" s="1">
        <v>44789</v>
      </c>
      <c r="G80" t="s">
        <v>9</v>
      </c>
      <c r="H80">
        <v>114180</v>
      </c>
    </row>
    <row r="81" spans="2:8" x14ac:dyDescent="0.2">
      <c r="B81" t="s">
        <v>188</v>
      </c>
      <c r="C81" t="s">
        <v>8</v>
      </c>
      <c r="D81">
        <v>28</v>
      </c>
      <c r="E81" t="s">
        <v>16</v>
      </c>
      <c r="F81" s="1">
        <v>44590</v>
      </c>
      <c r="G81" t="s">
        <v>9</v>
      </c>
      <c r="H81">
        <v>104120</v>
      </c>
    </row>
    <row r="82" spans="2:8" x14ac:dyDescent="0.2">
      <c r="B82" t="s">
        <v>137</v>
      </c>
      <c r="C82" t="s">
        <v>15</v>
      </c>
      <c r="D82">
        <v>30</v>
      </c>
      <c r="E82" t="s">
        <v>16</v>
      </c>
      <c r="F82" s="1">
        <v>44640</v>
      </c>
      <c r="G82" t="s">
        <v>9</v>
      </c>
      <c r="H82">
        <v>67950</v>
      </c>
    </row>
    <row r="83" spans="2:8" x14ac:dyDescent="0.2">
      <c r="B83" t="s">
        <v>136</v>
      </c>
      <c r="C83" t="s">
        <v>8</v>
      </c>
      <c r="D83">
        <v>29</v>
      </c>
      <c r="E83" t="s">
        <v>16</v>
      </c>
      <c r="F83" s="1">
        <v>43962</v>
      </c>
      <c r="G83" t="s">
        <v>12</v>
      </c>
      <c r="H83">
        <v>34980</v>
      </c>
    </row>
    <row r="84" spans="2:8" x14ac:dyDescent="0.2">
      <c r="B84" t="s">
        <v>152</v>
      </c>
      <c r="C84" t="s">
        <v>8</v>
      </c>
      <c r="D84">
        <v>24</v>
      </c>
      <c r="E84" t="s">
        <v>16</v>
      </c>
      <c r="F84" s="1">
        <v>44087</v>
      </c>
      <c r="G84" t="s">
        <v>12</v>
      </c>
      <c r="H84">
        <v>62780</v>
      </c>
    </row>
    <row r="85" spans="2:8" x14ac:dyDescent="0.2">
      <c r="B85" t="s">
        <v>116</v>
      </c>
      <c r="C85" t="s">
        <v>15</v>
      </c>
      <c r="D85">
        <v>20</v>
      </c>
      <c r="E85" t="s">
        <v>16</v>
      </c>
      <c r="F85" s="1">
        <v>44397</v>
      </c>
      <c r="G85" t="s">
        <v>12</v>
      </c>
      <c r="H85">
        <v>107700</v>
      </c>
    </row>
    <row r="86" spans="2:8" x14ac:dyDescent="0.2">
      <c r="B86" t="s">
        <v>167</v>
      </c>
      <c r="C86" t="s">
        <v>15</v>
      </c>
      <c r="D86">
        <v>25</v>
      </c>
      <c r="E86" t="s">
        <v>16</v>
      </c>
      <c r="F86" s="1">
        <v>44322</v>
      </c>
      <c r="G86" t="s">
        <v>19</v>
      </c>
      <c r="H86">
        <v>65700</v>
      </c>
    </row>
    <row r="87" spans="2:8" x14ac:dyDescent="0.2">
      <c r="B87" t="s">
        <v>134</v>
      </c>
      <c r="C87" t="s">
        <v>8</v>
      </c>
      <c r="D87">
        <v>33</v>
      </c>
      <c r="E87" t="s">
        <v>42</v>
      </c>
      <c r="F87" s="1">
        <v>44313</v>
      </c>
      <c r="G87" t="s">
        <v>12</v>
      </c>
      <c r="H87">
        <v>75480</v>
      </c>
    </row>
    <row r="88" spans="2:8" x14ac:dyDescent="0.2">
      <c r="B88" t="s">
        <v>173</v>
      </c>
      <c r="C88" t="s">
        <v>15</v>
      </c>
      <c r="D88">
        <v>33</v>
      </c>
      <c r="E88" t="s">
        <v>16</v>
      </c>
      <c r="F88" s="1">
        <v>44448</v>
      </c>
      <c r="G88" t="s">
        <v>12</v>
      </c>
      <c r="H88">
        <v>53870</v>
      </c>
    </row>
    <row r="89" spans="2:8" x14ac:dyDescent="0.2">
      <c r="B89" t="s">
        <v>140</v>
      </c>
      <c r="C89" t="s">
        <v>8</v>
      </c>
      <c r="D89">
        <v>36</v>
      </c>
      <c r="E89" t="s">
        <v>16</v>
      </c>
      <c r="F89" s="1">
        <v>44433</v>
      </c>
      <c r="G89" t="s">
        <v>19</v>
      </c>
      <c r="H89">
        <v>78540</v>
      </c>
    </row>
    <row r="90" spans="2:8" x14ac:dyDescent="0.2">
      <c r="B90" t="s">
        <v>192</v>
      </c>
      <c r="C90" t="s">
        <v>15</v>
      </c>
      <c r="D90">
        <v>19</v>
      </c>
      <c r="E90" t="s">
        <v>16</v>
      </c>
      <c r="F90" s="1">
        <v>44218</v>
      </c>
      <c r="G90" t="s">
        <v>9</v>
      </c>
      <c r="H90">
        <v>58960</v>
      </c>
    </row>
    <row r="91" spans="2:8" x14ac:dyDescent="0.2">
      <c r="B91" t="s">
        <v>161</v>
      </c>
      <c r="C91" t="s">
        <v>15</v>
      </c>
      <c r="D91">
        <v>46</v>
      </c>
      <c r="E91" t="s">
        <v>16</v>
      </c>
      <c r="F91" s="1">
        <v>44697</v>
      </c>
      <c r="G91" t="s">
        <v>9</v>
      </c>
      <c r="H91">
        <v>70610</v>
      </c>
    </row>
    <row r="92" spans="2:8" x14ac:dyDescent="0.2">
      <c r="B92" t="s">
        <v>170</v>
      </c>
      <c r="C92" t="s">
        <v>15</v>
      </c>
      <c r="D92">
        <v>33</v>
      </c>
      <c r="E92" t="s">
        <v>16</v>
      </c>
      <c r="F92" s="1">
        <v>44181</v>
      </c>
      <c r="G92" t="s">
        <v>21</v>
      </c>
      <c r="H92">
        <v>59430</v>
      </c>
    </row>
    <row r="93" spans="2:8" x14ac:dyDescent="0.2">
      <c r="B93" t="s">
        <v>143</v>
      </c>
      <c r="C93" t="s">
        <v>15</v>
      </c>
      <c r="D93">
        <v>33</v>
      </c>
      <c r="E93" t="s">
        <v>13</v>
      </c>
      <c r="F93" s="1">
        <v>44640</v>
      </c>
      <c r="G93" t="s">
        <v>9</v>
      </c>
      <c r="H93">
        <v>48530</v>
      </c>
    </row>
    <row r="94" spans="2:8" x14ac:dyDescent="0.2">
      <c r="B94" t="s">
        <v>162</v>
      </c>
      <c r="C94" t="s">
        <v>8</v>
      </c>
      <c r="D94">
        <v>33</v>
      </c>
      <c r="E94" t="s">
        <v>16</v>
      </c>
      <c r="F94" s="1">
        <v>44129</v>
      </c>
      <c r="G94" t="s">
        <v>12</v>
      </c>
      <c r="H94">
        <v>96140</v>
      </c>
    </row>
    <row r="95" spans="2:8" x14ac:dyDescent="0.2">
      <c r="B95" t="s">
        <v>155</v>
      </c>
      <c r="C95" t="s">
        <v>15</v>
      </c>
      <c r="D95">
        <v>20</v>
      </c>
      <c r="E95" t="s">
        <v>16</v>
      </c>
      <c r="F95" s="1">
        <v>44122</v>
      </c>
      <c r="G95" t="s">
        <v>12</v>
      </c>
      <c r="H95">
        <v>112650</v>
      </c>
    </row>
    <row r="96" spans="2:8" x14ac:dyDescent="0.2">
      <c r="B96" t="s">
        <v>175</v>
      </c>
      <c r="C96" t="s">
        <v>8</v>
      </c>
      <c r="D96">
        <v>32</v>
      </c>
      <c r="E96" t="s">
        <v>13</v>
      </c>
      <c r="F96" s="1">
        <v>44293</v>
      </c>
      <c r="G96" t="s">
        <v>12</v>
      </c>
      <c r="H96">
        <v>43840</v>
      </c>
    </row>
    <row r="97" spans="2:8" x14ac:dyDescent="0.2">
      <c r="B97" t="s">
        <v>142</v>
      </c>
      <c r="C97" t="s">
        <v>15</v>
      </c>
      <c r="D97">
        <v>31</v>
      </c>
      <c r="E97" t="s">
        <v>16</v>
      </c>
      <c r="F97" s="1">
        <v>44663</v>
      </c>
      <c r="G97" t="s">
        <v>9</v>
      </c>
      <c r="H97">
        <v>103550</v>
      </c>
    </row>
    <row r="98" spans="2:8" x14ac:dyDescent="0.2">
      <c r="B98" t="s">
        <v>200</v>
      </c>
      <c r="C98" t="s">
        <v>8</v>
      </c>
      <c r="D98">
        <v>32</v>
      </c>
      <c r="E98" t="s">
        <v>16</v>
      </c>
      <c r="F98" s="1">
        <v>44339</v>
      </c>
      <c r="G98" t="s">
        <v>56</v>
      </c>
      <c r="H98">
        <v>45510</v>
      </c>
    </row>
    <row r="99" spans="2:8" x14ac:dyDescent="0.2">
      <c r="B99" t="s">
        <v>141</v>
      </c>
      <c r="D99">
        <v>37</v>
      </c>
      <c r="E99" t="s">
        <v>24</v>
      </c>
      <c r="F99" s="1">
        <v>44085</v>
      </c>
      <c r="G99" t="s">
        <v>21</v>
      </c>
      <c r="H99">
        <v>115440</v>
      </c>
    </row>
    <row r="100" spans="2:8" x14ac:dyDescent="0.2">
      <c r="B100" t="s">
        <v>201</v>
      </c>
      <c r="C100" t="s">
        <v>8</v>
      </c>
      <c r="D100">
        <v>38</v>
      </c>
      <c r="E100" t="s">
        <v>13</v>
      </c>
      <c r="F100" s="1">
        <v>44268</v>
      </c>
      <c r="G100" t="s">
        <v>19</v>
      </c>
      <c r="H100">
        <v>56870</v>
      </c>
    </row>
    <row r="101" spans="2:8" x14ac:dyDescent="0.2">
      <c r="B101" t="s">
        <v>168</v>
      </c>
      <c r="C101" t="s">
        <v>8</v>
      </c>
      <c r="D101">
        <v>25</v>
      </c>
      <c r="E101" t="s">
        <v>16</v>
      </c>
      <c r="F101" s="1">
        <v>44144</v>
      </c>
      <c r="G101" t="s">
        <v>19</v>
      </c>
      <c r="H101">
        <v>92700</v>
      </c>
    </row>
    <row r="102" spans="2:8" x14ac:dyDescent="0.2">
      <c r="B102" t="s">
        <v>144</v>
      </c>
      <c r="D102">
        <v>32</v>
      </c>
      <c r="E102" t="s">
        <v>16</v>
      </c>
      <c r="F102" s="1">
        <v>44713</v>
      </c>
      <c r="G102" t="s">
        <v>12</v>
      </c>
      <c r="H102">
        <v>91310</v>
      </c>
    </row>
    <row r="103" spans="2:8" x14ac:dyDescent="0.2">
      <c r="B103" t="s">
        <v>114</v>
      </c>
      <c r="C103" t="s">
        <v>15</v>
      </c>
      <c r="D103">
        <v>33</v>
      </c>
      <c r="E103" t="s">
        <v>16</v>
      </c>
      <c r="F103" s="1">
        <v>44324</v>
      </c>
      <c r="G103" t="s">
        <v>19</v>
      </c>
      <c r="H103">
        <v>74550</v>
      </c>
    </row>
    <row r="104" spans="2:8" x14ac:dyDescent="0.2">
      <c r="B104" t="s">
        <v>127</v>
      </c>
      <c r="C104" t="s">
        <v>15</v>
      </c>
      <c r="D104">
        <v>25</v>
      </c>
      <c r="E104" t="s">
        <v>13</v>
      </c>
      <c r="F104" s="1">
        <v>44665</v>
      </c>
      <c r="G104" t="s">
        <v>9</v>
      </c>
      <c r="H104">
        <v>109190</v>
      </c>
    </row>
    <row r="105" spans="2:8" x14ac:dyDescent="0.2">
      <c r="B105" t="s">
        <v>193</v>
      </c>
      <c r="C105" t="s">
        <v>8</v>
      </c>
      <c r="D105">
        <v>40</v>
      </c>
      <c r="E105" t="s">
        <v>16</v>
      </c>
      <c r="F105" s="1">
        <v>44320</v>
      </c>
      <c r="G105" t="s">
        <v>12</v>
      </c>
      <c r="H105">
        <v>104410</v>
      </c>
    </row>
    <row r="106" spans="2:8" x14ac:dyDescent="0.2">
      <c r="B106" t="s">
        <v>176</v>
      </c>
      <c r="C106" t="s">
        <v>15</v>
      </c>
      <c r="D106">
        <v>30</v>
      </c>
      <c r="E106" t="s">
        <v>16</v>
      </c>
      <c r="F106" s="1">
        <v>44544</v>
      </c>
      <c r="G106" t="s">
        <v>21</v>
      </c>
      <c r="H106">
        <v>96800</v>
      </c>
    </row>
    <row r="107" spans="2:8" x14ac:dyDescent="0.2">
      <c r="B107" t="s">
        <v>122</v>
      </c>
      <c r="C107" t="s">
        <v>15</v>
      </c>
      <c r="D107">
        <v>28</v>
      </c>
      <c r="E107" t="s">
        <v>13</v>
      </c>
      <c r="F107" s="1">
        <v>43980</v>
      </c>
      <c r="G107" t="s">
        <v>21</v>
      </c>
      <c r="H107">
        <v>48170</v>
      </c>
    </row>
    <row r="108" spans="2:8" x14ac:dyDescent="0.2">
      <c r="B108" t="s">
        <v>139</v>
      </c>
      <c r="C108" t="s">
        <v>15</v>
      </c>
      <c r="D108">
        <v>21</v>
      </c>
      <c r="E108" t="s">
        <v>16</v>
      </c>
      <c r="F108" s="1">
        <v>44042</v>
      </c>
      <c r="G108" t="s">
        <v>9</v>
      </c>
      <c r="H108">
        <v>37920</v>
      </c>
    </row>
    <row r="109" spans="2:8" x14ac:dyDescent="0.2">
      <c r="B109" t="s">
        <v>177</v>
      </c>
      <c r="C109" t="s">
        <v>15</v>
      </c>
      <c r="D109">
        <v>34</v>
      </c>
      <c r="E109" t="s">
        <v>16</v>
      </c>
      <c r="F109" s="1">
        <v>44642</v>
      </c>
      <c r="G109" t="s">
        <v>9</v>
      </c>
      <c r="H109">
        <v>112650</v>
      </c>
    </row>
    <row r="110" spans="2:8" x14ac:dyDescent="0.2">
      <c r="B110" t="s">
        <v>164</v>
      </c>
      <c r="C110" t="s">
        <v>8</v>
      </c>
      <c r="D110">
        <v>34</v>
      </c>
      <c r="E110" t="s">
        <v>24</v>
      </c>
      <c r="F110" s="1">
        <v>44660</v>
      </c>
      <c r="G110" t="s">
        <v>19</v>
      </c>
      <c r="H110">
        <v>49630</v>
      </c>
    </row>
    <row r="111" spans="2:8" x14ac:dyDescent="0.2">
      <c r="B111" t="s">
        <v>198</v>
      </c>
      <c r="C111" t="s">
        <v>15</v>
      </c>
      <c r="D111">
        <v>36</v>
      </c>
      <c r="E111" t="s">
        <v>16</v>
      </c>
      <c r="F111" s="1">
        <v>43958</v>
      </c>
      <c r="G111" t="s">
        <v>12</v>
      </c>
      <c r="H111">
        <v>118840</v>
      </c>
    </row>
    <row r="112" spans="2:8" x14ac:dyDescent="0.2">
      <c r="B112" t="s">
        <v>158</v>
      </c>
      <c r="C112" t="s">
        <v>15</v>
      </c>
      <c r="D112">
        <v>30</v>
      </c>
      <c r="E112" t="s">
        <v>16</v>
      </c>
      <c r="F112" s="1">
        <v>44789</v>
      </c>
      <c r="G112" t="s">
        <v>12</v>
      </c>
      <c r="H112">
        <v>69710</v>
      </c>
    </row>
    <row r="113" spans="2:8" x14ac:dyDescent="0.2">
      <c r="B113" t="s">
        <v>196</v>
      </c>
      <c r="C113" t="s">
        <v>15</v>
      </c>
      <c r="D113">
        <v>20</v>
      </c>
      <c r="E113" t="s">
        <v>16</v>
      </c>
      <c r="F113" s="1">
        <v>44683</v>
      </c>
      <c r="G113" t="s">
        <v>9</v>
      </c>
      <c r="H113">
        <v>79570</v>
      </c>
    </row>
    <row r="114" spans="2:8" x14ac:dyDescent="0.2">
      <c r="B114" t="s">
        <v>153</v>
      </c>
      <c r="C114" t="s">
        <v>8</v>
      </c>
      <c r="D114">
        <v>22</v>
      </c>
      <c r="E114" t="s">
        <v>13</v>
      </c>
      <c r="F114" s="1">
        <v>44388</v>
      </c>
      <c r="G114" t="s">
        <v>9</v>
      </c>
      <c r="H114">
        <v>76900</v>
      </c>
    </row>
    <row r="115" spans="2:8" x14ac:dyDescent="0.2">
      <c r="B115" t="s">
        <v>202</v>
      </c>
      <c r="D115">
        <f>SUBTOTAL(101,India_Staff[Age])</f>
        <v>30.375</v>
      </c>
      <c r="H115">
        <f>SUBTOTAL(103,India_Staff[Salary])</f>
        <v>112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3827E-9E4C-4FE6-9CFD-934BB1B6254E}">
  <sheetPr codeName="Sheet3">
    <tabColor rgb="FF00B050"/>
  </sheetPr>
  <dimension ref="A1:X184"/>
  <sheetViews>
    <sheetView topLeftCell="C1" zoomScale="142" workbookViewId="0">
      <selection activeCell="E1" sqref="E1"/>
    </sheetView>
  </sheetViews>
  <sheetFormatPr baseColWidth="10" defaultColWidth="8.83203125" defaultRowHeight="15" x14ac:dyDescent="0.2"/>
  <cols>
    <col min="1" max="1" width="30" bestFit="1" customWidth="1"/>
    <col min="2" max="2" width="10" bestFit="1" customWidth="1"/>
    <col min="3" max="3" width="6.6640625" bestFit="1" customWidth="1"/>
    <col min="4" max="4" width="14.33203125" bestFit="1" customWidth="1"/>
    <col min="5" max="5" width="13.6640625" bestFit="1" customWidth="1"/>
    <col min="6" max="6" width="14" bestFit="1" customWidth="1"/>
    <col min="7" max="7" width="15.5" style="2" customWidth="1"/>
    <col min="8" max="8" width="10.33203125" bestFit="1" customWidth="1"/>
    <col min="9" max="10" width="11.5" customWidth="1"/>
    <col min="11" max="11" width="15.33203125" customWidth="1"/>
    <col min="12" max="13" width="11.5" customWidth="1"/>
    <col min="14" max="14" width="18.6640625" customWidth="1"/>
    <col min="15" max="15" width="13.5" customWidth="1"/>
    <col min="17" max="17" width="14.5" customWidth="1"/>
    <col min="19" max="19" width="11.83203125" bestFit="1" customWidth="1"/>
  </cols>
  <sheetData>
    <row r="1" spans="1:24" x14ac:dyDescent="0.2">
      <c r="A1" t="s">
        <v>0</v>
      </c>
      <c r="B1" t="s">
        <v>1</v>
      </c>
      <c r="C1" t="s">
        <v>3</v>
      </c>
      <c r="D1" t="s">
        <v>6</v>
      </c>
      <c r="E1" t="s">
        <v>4</v>
      </c>
      <c r="F1" t="s">
        <v>2</v>
      </c>
      <c r="G1" s="2" t="s">
        <v>5</v>
      </c>
      <c r="H1" t="s">
        <v>203</v>
      </c>
      <c r="I1" t="s">
        <v>212</v>
      </c>
      <c r="J1" t="s">
        <v>233</v>
      </c>
      <c r="K1" t="s">
        <v>237</v>
      </c>
    </row>
    <row r="2" spans="1:24" x14ac:dyDescent="0.2">
      <c r="A2" t="s">
        <v>178</v>
      </c>
      <c r="B2" t="s">
        <v>8</v>
      </c>
      <c r="C2">
        <v>21</v>
      </c>
      <c r="D2" t="s">
        <v>16</v>
      </c>
      <c r="E2" s="3">
        <v>44619</v>
      </c>
      <c r="F2" t="s">
        <v>12</v>
      </c>
      <c r="G2" s="2">
        <v>33920</v>
      </c>
      <c r="H2" t="s">
        <v>204</v>
      </c>
      <c r="I2" s="4">
        <f ca="1">(TODAY()-Staff[[#This Row],[Date Joined]])/365</f>
        <v>1.8712328767123287</v>
      </c>
      <c r="J2" s="19">
        <f ca="1">ROUNDUP(IF(Staff[[#This Row],[Tenure]]&gt;2,3%,2%)*Staff[[#This Row],[Salary]],0)</f>
        <v>679</v>
      </c>
      <c r="K2" s="20">
        <f>_xlfn.XLOOKUP(Staff[[#This Row],[Rating]],Sheet7!$B$4:$B$8,Sheet7!$C$4:$C$8)</f>
        <v>3</v>
      </c>
      <c r="L2" s="4"/>
      <c r="M2" s="4"/>
      <c r="N2" s="7"/>
      <c r="O2" s="7"/>
      <c r="P2" s="14" t="s">
        <v>215</v>
      </c>
      <c r="Q2" s="7"/>
      <c r="R2" s="7"/>
      <c r="S2" s="7"/>
      <c r="T2" s="7"/>
      <c r="U2" s="7"/>
    </row>
    <row r="3" spans="1:24" x14ac:dyDescent="0.2">
      <c r="A3" t="s">
        <v>86</v>
      </c>
      <c r="B3" t="s">
        <v>8</v>
      </c>
      <c r="C3">
        <v>21</v>
      </c>
      <c r="D3" t="s">
        <v>16</v>
      </c>
      <c r="E3" s="3">
        <v>44678</v>
      </c>
      <c r="F3" t="s">
        <v>12</v>
      </c>
      <c r="G3" s="2">
        <v>33920</v>
      </c>
      <c r="H3" t="s">
        <v>206</v>
      </c>
      <c r="I3" s="4">
        <f ca="1">(TODAY()-Staff[[#This Row],[Date Joined]])/365</f>
        <v>1.7095890410958905</v>
      </c>
      <c r="J3" s="19">
        <f ca="1">ROUNDUP(IF(Staff[[#This Row],[Tenure]]&gt;2,3%,2%)*Staff[[#This Row],[Salary]],0)</f>
        <v>679</v>
      </c>
      <c r="K3" s="20">
        <f>_xlfn.XLOOKUP(Staff[[#This Row],[Rating]],Sheet7!$B$4:$B$8,Sheet7!$C$4:$C$8)</f>
        <v>3</v>
      </c>
      <c r="L3" s="4"/>
      <c r="M3" s="4"/>
      <c r="N3" s="7" t="s">
        <v>207</v>
      </c>
      <c r="O3" s="7"/>
      <c r="P3" s="7"/>
      <c r="Q3" s="7">
        <f>COUNTA(Staff[Name])</f>
        <v>183</v>
      </c>
      <c r="R3" s="7"/>
      <c r="S3" s="7"/>
      <c r="T3" s="7"/>
      <c r="U3" s="7"/>
    </row>
    <row r="4" spans="1:24" x14ac:dyDescent="0.2">
      <c r="A4" t="s">
        <v>136</v>
      </c>
      <c r="B4" t="s">
        <v>8</v>
      </c>
      <c r="C4">
        <v>29</v>
      </c>
      <c r="D4" t="s">
        <v>16</v>
      </c>
      <c r="E4" s="3">
        <v>43962</v>
      </c>
      <c r="F4" t="s">
        <v>12</v>
      </c>
      <c r="G4" s="2">
        <v>34980</v>
      </c>
      <c r="H4" t="s">
        <v>204</v>
      </c>
      <c r="I4" s="4">
        <f ca="1">(TODAY()-Staff[[#This Row],[Date Joined]])/365</f>
        <v>3.6712328767123288</v>
      </c>
      <c r="J4" s="19">
        <f ca="1">ROUNDUP(IF(Staff[[#This Row],[Tenure]]&gt;2,3%,2%)*Staff[[#This Row],[Salary]],0)</f>
        <v>1050</v>
      </c>
      <c r="K4" s="20">
        <f>_xlfn.XLOOKUP(Staff[[#This Row],[Rating]],Sheet7!$B$4:$B$8,Sheet7!$C$4:$C$8)</f>
        <v>3</v>
      </c>
      <c r="L4" s="4"/>
      <c r="M4" s="4"/>
      <c r="N4" s="7" t="s">
        <v>208</v>
      </c>
      <c r="O4" s="7"/>
      <c r="P4" s="7"/>
      <c r="Q4" s="15">
        <f>AVERAGE(Staff[Salary])</f>
        <v>77173.715846994543</v>
      </c>
      <c r="R4" s="7">
        <f>MEDIAN(Staff[Salary])</f>
        <v>75000</v>
      </c>
      <c r="S4" s="7"/>
      <c r="T4" s="7"/>
      <c r="U4" s="7"/>
    </row>
    <row r="5" spans="1:24" x14ac:dyDescent="0.2">
      <c r="A5" t="s">
        <v>44</v>
      </c>
      <c r="B5" t="s">
        <v>8</v>
      </c>
      <c r="C5">
        <v>29</v>
      </c>
      <c r="D5" t="s">
        <v>16</v>
      </c>
      <c r="E5" s="3">
        <v>44023</v>
      </c>
      <c r="F5" t="s">
        <v>12</v>
      </c>
      <c r="G5" s="2">
        <v>34980</v>
      </c>
      <c r="H5" t="s">
        <v>206</v>
      </c>
      <c r="I5" s="4">
        <f ca="1">(TODAY()-Staff[[#This Row],[Date Joined]])/365</f>
        <v>3.504109589041096</v>
      </c>
      <c r="J5" s="19">
        <f ca="1">ROUNDUP(IF(Staff[[#This Row],[Tenure]]&gt;2,3%,2%)*Staff[[#This Row],[Salary]],0)</f>
        <v>1050</v>
      </c>
      <c r="K5" s="20">
        <f>_xlfn.XLOOKUP(Staff[[#This Row],[Rating]],Sheet7!$B$4:$B$8,Sheet7!$C$4:$C$8)</f>
        <v>3</v>
      </c>
      <c r="L5" s="4"/>
      <c r="M5" s="4"/>
      <c r="N5" s="7" t="s">
        <v>210</v>
      </c>
      <c r="O5" s="7"/>
      <c r="P5" s="7"/>
      <c r="Q5" s="7">
        <f>AVERAGE(Staff[Age])</f>
        <v>30.42622950819672</v>
      </c>
      <c r="R5" s="7">
        <f>MEDIAN(Staff[Age])</f>
        <v>30</v>
      </c>
      <c r="S5" s="7"/>
      <c r="T5" s="7"/>
      <c r="U5" s="7"/>
    </row>
    <row r="6" spans="1:24" x14ac:dyDescent="0.2">
      <c r="A6" t="s">
        <v>191</v>
      </c>
      <c r="B6" t="s">
        <v>15</v>
      </c>
      <c r="C6">
        <v>43</v>
      </c>
      <c r="D6" t="s">
        <v>16</v>
      </c>
      <c r="E6" s="3">
        <v>44558</v>
      </c>
      <c r="F6" t="s">
        <v>19</v>
      </c>
      <c r="G6" s="2">
        <v>36040</v>
      </c>
      <c r="H6" t="s">
        <v>204</v>
      </c>
      <c r="I6" s="4">
        <f ca="1">(TODAY()-Staff[[#This Row],[Date Joined]])/365</f>
        <v>2.0383561643835617</v>
      </c>
      <c r="J6" s="19">
        <f ca="1">ROUNDUP(IF(Staff[[#This Row],[Tenure]]&gt;2,3%,2%)*Staff[[#This Row],[Salary]],0)</f>
        <v>1082</v>
      </c>
      <c r="K6" s="20">
        <f>_xlfn.XLOOKUP(Staff[[#This Row],[Rating]],Sheet7!$B$4:$B$8,Sheet7!$C$4:$C$8)</f>
        <v>3</v>
      </c>
      <c r="L6" s="4"/>
      <c r="M6" s="4"/>
      <c r="N6" s="7" t="s">
        <v>209</v>
      </c>
      <c r="O6" s="7"/>
      <c r="P6" s="7"/>
      <c r="Q6" s="7">
        <f ca="1">AVERAGE(Staff[Tenure])</f>
        <v>2.380732090725354</v>
      </c>
      <c r="R6" s="7"/>
      <c r="S6" s="7"/>
      <c r="T6" s="7"/>
      <c r="U6" s="7"/>
    </row>
    <row r="7" spans="1:24" x14ac:dyDescent="0.2">
      <c r="A7" t="s">
        <v>99</v>
      </c>
      <c r="B7" t="s">
        <v>15</v>
      </c>
      <c r="C7">
        <v>43</v>
      </c>
      <c r="D7" t="s">
        <v>16</v>
      </c>
      <c r="E7" s="3">
        <v>44620</v>
      </c>
      <c r="F7" t="s">
        <v>19</v>
      </c>
      <c r="G7" s="2">
        <v>36040</v>
      </c>
      <c r="H7" t="s">
        <v>206</v>
      </c>
      <c r="I7" s="4">
        <f ca="1">(TODAY()-Staff[[#This Row],[Date Joined]])/365</f>
        <v>1.8684931506849316</v>
      </c>
      <c r="J7" s="19">
        <f ca="1">ROUNDUP(IF(Staff[[#This Row],[Tenure]]&gt;2,3%,2%)*Staff[[#This Row],[Salary]],0)</f>
        <v>721</v>
      </c>
      <c r="K7" s="20">
        <f>_xlfn.XLOOKUP(Staff[[#This Row],[Rating]],Sheet7!$B$4:$B$8,Sheet7!$C$4:$C$8)</f>
        <v>3</v>
      </c>
      <c r="L7" s="4"/>
      <c r="M7" s="4"/>
      <c r="N7" s="7" t="s">
        <v>211</v>
      </c>
      <c r="O7" s="7"/>
      <c r="P7" s="7"/>
      <c r="Q7" s="7"/>
      <c r="R7" s="7"/>
      <c r="S7" s="7"/>
      <c r="T7" s="7"/>
      <c r="U7" s="7"/>
    </row>
    <row r="8" spans="1:24" x14ac:dyDescent="0.2">
      <c r="A8" t="s">
        <v>139</v>
      </c>
      <c r="B8" t="s">
        <v>15</v>
      </c>
      <c r="C8">
        <v>21</v>
      </c>
      <c r="D8" t="s">
        <v>16</v>
      </c>
      <c r="E8" s="3">
        <v>44042</v>
      </c>
      <c r="F8" t="s">
        <v>9</v>
      </c>
      <c r="G8" s="2">
        <v>37920</v>
      </c>
      <c r="H8" t="s">
        <v>204</v>
      </c>
      <c r="I8" s="4">
        <f ca="1">(TODAY()-Staff[[#This Row],[Date Joined]])/365</f>
        <v>3.452054794520548</v>
      </c>
      <c r="J8" s="19">
        <f ca="1">ROUNDUP(IF(Staff[[#This Row],[Tenure]]&gt;2,3%,2%)*Staff[[#This Row],[Salary]],0)</f>
        <v>1138</v>
      </c>
      <c r="K8" s="20">
        <f>_xlfn.XLOOKUP(Staff[[#This Row],[Rating]],Sheet7!$B$4:$B$8,Sheet7!$C$4:$C$8)</f>
        <v>3</v>
      </c>
      <c r="L8" s="4"/>
      <c r="M8" s="4"/>
      <c r="N8" s="7" t="s">
        <v>213</v>
      </c>
      <c r="O8" s="7"/>
      <c r="P8" s="7"/>
      <c r="Q8" s="7">
        <f>COUNTIFS(Staff[Gender],"Female")</f>
        <v>86</v>
      </c>
      <c r="R8" s="7"/>
      <c r="S8" s="7"/>
      <c r="T8" s="7"/>
      <c r="U8" s="7"/>
    </row>
    <row r="9" spans="1:24" x14ac:dyDescent="0.2">
      <c r="A9" t="s">
        <v>47</v>
      </c>
      <c r="B9" t="s">
        <v>15</v>
      </c>
      <c r="C9">
        <v>21</v>
      </c>
      <c r="D9" t="s">
        <v>16</v>
      </c>
      <c r="E9" s="3">
        <v>44104</v>
      </c>
      <c r="F9" t="s">
        <v>9</v>
      </c>
      <c r="G9" s="2">
        <v>37920</v>
      </c>
      <c r="H9" t="s">
        <v>206</v>
      </c>
      <c r="I9" s="4">
        <f ca="1">(TODAY()-Staff[[#This Row],[Date Joined]])/365</f>
        <v>3.2821917808219179</v>
      </c>
      <c r="J9" s="19">
        <f ca="1">ROUNDUP(IF(Staff[[#This Row],[Tenure]]&gt;2,3%,2%)*Staff[[#This Row],[Salary]],0)</f>
        <v>1138</v>
      </c>
      <c r="K9" s="20">
        <f>_xlfn.XLOOKUP(Staff[[#This Row],[Rating]],Sheet7!$B$4:$B$8,Sheet7!$C$4:$C$8)</f>
        <v>3</v>
      </c>
      <c r="L9" s="4"/>
      <c r="M9" s="4"/>
      <c r="N9" s="7" t="s">
        <v>214</v>
      </c>
      <c r="O9" s="7"/>
      <c r="P9" s="7"/>
      <c r="Q9" s="16">
        <f>Q8/Q3</f>
        <v>0.46994535519125685</v>
      </c>
      <c r="R9" s="7"/>
      <c r="S9" s="7"/>
      <c r="T9" s="7"/>
      <c r="U9" s="7"/>
    </row>
    <row r="10" spans="1:24" x14ac:dyDescent="0.2">
      <c r="A10" t="s">
        <v>148</v>
      </c>
      <c r="B10" t="s">
        <v>15</v>
      </c>
      <c r="C10">
        <v>35</v>
      </c>
      <c r="D10" t="s">
        <v>16</v>
      </c>
      <c r="E10" s="3">
        <v>44666</v>
      </c>
      <c r="F10" t="s">
        <v>9</v>
      </c>
      <c r="G10" s="2">
        <v>40400</v>
      </c>
      <c r="H10" t="s">
        <v>204</v>
      </c>
      <c r="I10" s="4">
        <f ca="1">(TODAY()-Staff[[#This Row],[Date Joined]])/365</f>
        <v>1.7424657534246575</v>
      </c>
      <c r="J10" s="19">
        <f ca="1">ROUNDUP(IF(Staff[[#This Row],[Tenure]]&gt;2,3%,2%)*Staff[[#This Row],[Salary]],0)</f>
        <v>808</v>
      </c>
      <c r="K10" s="20">
        <f>_xlfn.XLOOKUP(Staff[[#This Row],[Rating]],Sheet7!$B$4:$B$8,Sheet7!$C$4:$C$8)</f>
        <v>3</v>
      </c>
      <c r="L10" s="4"/>
      <c r="M10" s="4"/>
      <c r="N10" s="7"/>
      <c r="O10" s="7"/>
      <c r="P10" s="7"/>
      <c r="Q10" s="7"/>
      <c r="R10" s="7"/>
      <c r="S10" s="7"/>
      <c r="T10" s="7"/>
      <c r="U10" s="7"/>
    </row>
    <row r="11" spans="1:24" x14ac:dyDescent="0.2">
      <c r="A11" t="s">
        <v>57</v>
      </c>
      <c r="B11" t="s">
        <v>15</v>
      </c>
      <c r="C11">
        <v>35</v>
      </c>
      <c r="D11" t="s">
        <v>16</v>
      </c>
      <c r="E11" s="3">
        <v>44727</v>
      </c>
      <c r="F11" t="s">
        <v>9</v>
      </c>
      <c r="G11" s="2">
        <v>40400</v>
      </c>
      <c r="H11" t="s">
        <v>206</v>
      </c>
      <c r="I11" s="4">
        <f ca="1">(TODAY()-Staff[[#This Row],[Date Joined]])/365</f>
        <v>1.5753424657534247</v>
      </c>
      <c r="J11" s="19">
        <f ca="1">ROUNDUP(IF(Staff[[#This Row],[Tenure]]&gt;2,3%,2%)*Staff[[#This Row],[Salary]],0)</f>
        <v>808</v>
      </c>
      <c r="K11" s="20">
        <f>_xlfn.XLOOKUP(Staff[[#This Row],[Rating]],Sheet7!$B$4:$B$8,Sheet7!$C$4:$C$8)</f>
        <v>3</v>
      </c>
      <c r="L11" s="4"/>
      <c r="M11" s="4"/>
      <c r="N11" s="7"/>
      <c r="O11" s="7"/>
      <c r="P11" s="7"/>
      <c r="Q11" s="7"/>
      <c r="R11" s="7"/>
      <c r="S11" s="7"/>
      <c r="T11" s="7"/>
      <c r="U11" s="7"/>
    </row>
    <row r="12" spans="1:24" x14ac:dyDescent="0.2">
      <c r="A12" t="s">
        <v>157</v>
      </c>
      <c r="B12" t="s">
        <v>8</v>
      </c>
      <c r="C12">
        <v>32</v>
      </c>
      <c r="D12" t="s">
        <v>16</v>
      </c>
      <c r="E12" s="3">
        <v>44549</v>
      </c>
      <c r="F12" t="s">
        <v>9</v>
      </c>
      <c r="G12" s="2">
        <v>41570</v>
      </c>
      <c r="H12" t="s">
        <v>204</v>
      </c>
      <c r="I12" s="4">
        <f ca="1">(TODAY()-Staff[[#This Row],[Date Joined]])/365</f>
        <v>2.0630136986301371</v>
      </c>
      <c r="J12" s="19">
        <f ca="1">ROUNDUP(IF(Staff[[#This Row],[Tenure]]&gt;2,3%,2%)*Staff[[#This Row],[Salary]],0)</f>
        <v>1248</v>
      </c>
      <c r="K12" s="20">
        <f>_xlfn.XLOOKUP(Staff[[#This Row],[Rating]],Sheet7!$B$4:$B$8,Sheet7!$C$4:$C$8)</f>
        <v>3</v>
      </c>
      <c r="L12" s="4"/>
      <c r="M12" s="4"/>
      <c r="N12" s="7"/>
      <c r="O12" s="7"/>
      <c r="P12" s="7"/>
      <c r="Q12" s="7">
        <f>COUNTIF(Staff[Salary],"&gt;90000")</f>
        <v>63</v>
      </c>
      <c r="R12" s="7"/>
      <c r="S12" s="7"/>
      <c r="T12" s="7"/>
      <c r="U12" s="7"/>
      <c r="X12" s="18"/>
    </row>
    <row r="13" spans="1:24" x14ac:dyDescent="0.2">
      <c r="A13" t="s">
        <v>66</v>
      </c>
      <c r="B13" t="s">
        <v>8</v>
      </c>
      <c r="C13">
        <v>32</v>
      </c>
      <c r="D13" t="s">
        <v>16</v>
      </c>
      <c r="E13" s="3">
        <v>44611</v>
      </c>
      <c r="F13" t="s">
        <v>9</v>
      </c>
      <c r="G13" s="2">
        <v>41570</v>
      </c>
      <c r="H13" t="s">
        <v>206</v>
      </c>
      <c r="I13" s="4">
        <f ca="1">(TODAY()-Staff[[#This Row],[Date Joined]])/365</f>
        <v>1.893150684931507</v>
      </c>
      <c r="J13" s="19">
        <f ca="1">ROUNDUP(IF(Staff[[#This Row],[Tenure]]&gt;2,3%,2%)*Staff[[#This Row],[Salary]],0)</f>
        <v>832</v>
      </c>
      <c r="K13" s="20">
        <f>_xlfn.XLOOKUP(Staff[[#This Row],[Rating]],Sheet7!$B$4:$B$8,Sheet7!$C$4:$C$8)</f>
        <v>3</v>
      </c>
      <c r="L13" s="4"/>
      <c r="M13" s="4"/>
      <c r="N13" s="7"/>
      <c r="O13" s="7"/>
      <c r="P13" s="7" t="s">
        <v>216</v>
      </c>
      <c r="Q13" s="7"/>
      <c r="R13" s="7"/>
      <c r="S13" s="7"/>
      <c r="T13" s="7"/>
      <c r="U13" s="16">
        <f>Q12/Q3</f>
        <v>0.34426229508196721</v>
      </c>
    </row>
    <row r="14" spans="1:24" x14ac:dyDescent="0.2">
      <c r="A14" t="s">
        <v>123</v>
      </c>
      <c r="B14" t="s">
        <v>8</v>
      </c>
      <c r="C14">
        <v>31</v>
      </c>
      <c r="D14" t="s">
        <v>16</v>
      </c>
      <c r="E14" s="3">
        <v>44084</v>
      </c>
      <c r="F14" t="s">
        <v>12</v>
      </c>
      <c r="G14" s="2">
        <v>41980</v>
      </c>
      <c r="H14" t="s">
        <v>204</v>
      </c>
      <c r="I14" s="4">
        <f ca="1">(TODAY()-Staff[[#This Row],[Date Joined]])/365</f>
        <v>3.3369863013698629</v>
      </c>
      <c r="J14" s="19">
        <f ca="1">ROUNDUP(IF(Staff[[#This Row],[Tenure]]&gt;2,3%,2%)*Staff[[#This Row],[Salary]],0)</f>
        <v>1260</v>
      </c>
      <c r="K14" s="20">
        <f>_xlfn.XLOOKUP(Staff[[#This Row],[Rating]],Sheet7!$B$4:$B$8,Sheet7!$C$4:$C$8)</f>
        <v>3</v>
      </c>
      <c r="L14" s="4"/>
      <c r="M14" s="4"/>
    </row>
    <row r="15" spans="1:24" x14ac:dyDescent="0.2">
      <c r="A15" t="s">
        <v>30</v>
      </c>
      <c r="B15" t="s">
        <v>8</v>
      </c>
      <c r="C15">
        <v>31</v>
      </c>
      <c r="D15" t="s">
        <v>16</v>
      </c>
      <c r="E15" s="3">
        <v>44145</v>
      </c>
      <c r="F15" t="s">
        <v>12</v>
      </c>
      <c r="G15" s="2">
        <v>41980</v>
      </c>
      <c r="H15" t="s">
        <v>206</v>
      </c>
      <c r="I15" s="4">
        <f ca="1">(TODAY()-Staff[[#This Row],[Date Joined]])/365</f>
        <v>3.1698630136986301</v>
      </c>
      <c r="J15" s="19">
        <f ca="1">ROUNDUP(IF(Staff[[#This Row],[Tenure]]&gt;2,3%,2%)*Staff[[#This Row],[Salary]],0)</f>
        <v>1260</v>
      </c>
      <c r="K15" s="20">
        <f>_xlfn.XLOOKUP(Staff[[#This Row],[Rating]],Sheet7!$B$4:$B$8,Sheet7!$C$4:$C$8)</f>
        <v>3</v>
      </c>
      <c r="L15" s="4"/>
      <c r="M15" s="4"/>
    </row>
    <row r="16" spans="1:24" x14ac:dyDescent="0.2">
      <c r="A16" t="s">
        <v>171</v>
      </c>
      <c r="B16" t="s">
        <v>15</v>
      </c>
      <c r="C16">
        <v>28</v>
      </c>
      <c r="D16" t="s">
        <v>42</v>
      </c>
      <c r="E16" s="3">
        <v>44758</v>
      </c>
      <c r="F16" t="s">
        <v>19</v>
      </c>
      <c r="G16" s="2">
        <v>43510</v>
      </c>
      <c r="H16" t="s">
        <v>204</v>
      </c>
      <c r="I16" s="4">
        <f ca="1">(TODAY()-Staff[[#This Row],[Date Joined]])/365</f>
        <v>1.4904109589041097</v>
      </c>
      <c r="J16" s="19">
        <f ca="1">ROUNDUP(IF(Staff[[#This Row],[Tenure]]&gt;2,3%,2%)*Staff[[#This Row],[Salary]],0)</f>
        <v>871</v>
      </c>
      <c r="K16" s="20">
        <f>_xlfn.XLOOKUP(Staff[[#This Row],[Rating]],Sheet7!$B$4:$B$8,Sheet7!$C$4:$C$8)</f>
        <v>1</v>
      </c>
      <c r="L16" s="4"/>
      <c r="M16" s="4"/>
    </row>
    <row r="17" spans="1:21" x14ac:dyDescent="0.2">
      <c r="A17" t="s">
        <v>80</v>
      </c>
      <c r="B17" t="s">
        <v>15</v>
      </c>
      <c r="C17">
        <v>28</v>
      </c>
      <c r="D17" t="s">
        <v>42</v>
      </c>
      <c r="E17" s="3">
        <v>44820</v>
      </c>
      <c r="F17" t="s">
        <v>19</v>
      </c>
      <c r="G17" s="2">
        <v>43510</v>
      </c>
      <c r="H17" t="s">
        <v>206</v>
      </c>
      <c r="I17" s="4">
        <f ca="1">(TODAY()-Staff[[#This Row],[Date Joined]])/365</f>
        <v>1.3205479452054794</v>
      </c>
      <c r="J17" s="19">
        <f ca="1">ROUNDUP(IF(Staff[[#This Row],[Tenure]]&gt;2,3%,2%)*Staff[[#This Row],[Salary]],0)</f>
        <v>871</v>
      </c>
      <c r="K17" s="20">
        <f>_xlfn.XLOOKUP(Staff[[#This Row],[Rating]],Sheet7!$B$4:$B$8,Sheet7!$C$4:$C$8)</f>
        <v>1</v>
      </c>
      <c r="L17" s="4"/>
      <c r="M17" s="4"/>
      <c r="N17" s="12" t="s">
        <v>217</v>
      </c>
    </row>
    <row r="18" spans="1:21" x14ac:dyDescent="0.2">
      <c r="A18" t="s">
        <v>175</v>
      </c>
      <c r="B18" t="s">
        <v>8</v>
      </c>
      <c r="C18">
        <v>32</v>
      </c>
      <c r="D18" t="s">
        <v>13</v>
      </c>
      <c r="E18" s="3">
        <v>44293</v>
      </c>
      <c r="F18" t="s">
        <v>12</v>
      </c>
      <c r="G18" s="2">
        <v>43840</v>
      </c>
      <c r="H18" t="s">
        <v>204</v>
      </c>
      <c r="I18" s="4">
        <f ca="1">(TODAY()-Staff[[#This Row],[Date Joined]])/365</f>
        <v>2.7643835616438355</v>
      </c>
      <c r="J18" s="19">
        <f ca="1">ROUNDUP(IF(Staff[[#This Row],[Tenure]]&gt;2,3%,2%)*Staff[[#This Row],[Salary]],0)</f>
        <v>1316</v>
      </c>
      <c r="K18" s="20">
        <f>_xlfn.XLOOKUP(Staff[[#This Row],[Rating]],Sheet7!$B$4:$B$8,Sheet7!$C$4:$C$8)</f>
        <v>4</v>
      </c>
      <c r="L18" s="4"/>
      <c r="M18" s="4"/>
      <c r="N18" s="12" t="s">
        <v>218</v>
      </c>
    </row>
    <row r="19" spans="1:21" x14ac:dyDescent="0.2">
      <c r="A19" t="s">
        <v>84</v>
      </c>
      <c r="B19" t="s">
        <v>8</v>
      </c>
      <c r="C19">
        <v>32</v>
      </c>
      <c r="D19" t="s">
        <v>13</v>
      </c>
      <c r="E19" s="3">
        <v>44354</v>
      </c>
      <c r="F19" t="s">
        <v>12</v>
      </c>
      <c r="G19" s="2">
        <v>43840</v>
      </c>
      <c r="H19" t="s">
        <v>206</v>
      </c>
      <c r="I19" s="4">
        <f ca="1">(TODAY()-Staff[[#This Row],[Date Joined]])/365</f>
        <v>2.5972602739726027</v>
      </c>
      <c r="J19" s="19">
        <f ca="1">ROUNDUP(IF(Staff[[#This Row],[Tenure]]&gt;2,3%,2%)*Staff[[#This Row],[Salary]],0)</f>
        <v>1316</v>
      </c>
      <c r="K19" s="20">
        <f>_xlfn.XLOOKUP(Staff[[#This Row],[Rating]],Sheet7!$B$4:$B$8,Sheet7!$C$4:$C$8)</f>
        <v>4</v>
      </c>
      <c r="L19" s="4"/>
      <c r="M19" s="4"/>
      <c r="N19" t="s">
        <v>220</v>
      </c>
    </row>
    <row r="20" spans="1:21" x14ac:dyDescent="0.2">
      <c r="A20" t="s">
        <v>200</v>
      </c>
      <c r="B20" t="s">
        <v>8</v>
      </c>
      <c r="C20">
        <v>32</v>
      </c>
      <c r="D20" t="s">
        <v>16</v>
      </c>
      <c r="E20" s="3">
        <v>44339</v>
      </c>
      <c r="F20" t="s">
        <v>56</v>
      </c>
      <c r="G20" s="2">
        <v>45510</v>
      </c>
      <c r="H20" t="s">
        <v>204</v>
      </c>
      <c r="I20" s="4">
        <f ca="1">(TODAY()-Staff[[#This Row],[Date Joined]])/365</f>
        <v>2.6383561643835618</v>
      </c>
      <c r="J20" s="19">
        <f ca="1">ROUNDUP(IF(Staff[[#This Row],[Tenure]]&gt;2,3%,2%)*Staff[[#This Row],[Salary]],0)</f>
        <v>1366</v>
      </c>
      <c r="K20" s="20">
        <f>_xlfn.XLOOKUP(Staff[[#This Row],[Rating]],Sheet7!$B$4:$B$8,Sheet7!$C$4:$C$8)</f>
        <v>3</v>
      </c>
      <c r="L20" s="4"/>
      <c r="M20" s="4"/>
      <c r="N20" s="13" t="s">
        <v>198</v>
      </c>
    </row>
    <row r="21" spans="1:21" x14ac:dyDescent="0.2">
      <c r="A21" t="s">
        <v>108</v>
      </c>
      <c r="B21" t="s">
        <v>8</v>
      </c>
      <c r="C21">
        <v>32</v>
      </c>
      <c r="D21" t="s">
        <v>16</v>
      </c>
      <c r="E21" s="3">
        <v>44400</v>
      </c>
      <c r="F21" t="s">
        <v>56</v>
      </c>
      <c r="G21" s="2">
        <v>45510</v>
      </c>
      <c r="H21" t="s">
        <v>206</v>
      </c>
      <c r="I21" s="4">
        <f ca="1">(TODAY()-Staff[[#This Row],[Date Joined]])/365</f>
        <v>2.4712328767123286</v>
      </c>
      <c r="J21" s="19">
        <f ca="1">ROUNDUP(IF(Staff[[#This Row],[Tenure]]&gt;2,3%,2%)*Staff[[#This Row],[Salary]],0)</f>
        <v>1366</v>
      </c>
      <c r="K21" s="20">
        <f>_xlfn.XLOOKUP(Staff[[#This Row],[Rating]],Sheet7!$B$4:$B$8,Sheet7!$C$4:$C$8)</f>
        <v>3</v>
      </c>
      <c r="L21" s="4"/>
      <c r="M21" s="4"/>
      <c r="N21" t="str" cm="1">
        <f t="array" aca="1" ref="N21:U21" ca="1">_xlfn.XLOOKUP(N20,Staff[Name],Staff[[Gender]:[Tenure]])</f>
        <v>Male</v>
      </c>
      <c r="O21" s="6">
        <f ca="1"/>
        <v>36</v>
      </c>
      <c r="P21" t="str">
        <f ca="1"/>
        <v>Average</v>
      </c>
      <c r="Q21" s="3">
        <f ca="1"/>
        <v>43958</v>
      </c>
      <c r="R21" t="str">
        <f ca="1"/>
        <v>Website</v>
      </c>
      <c r="S21" s="2">
        <f ca="1"/>
        <v>118840</v>
      </c>
      <c r="T21" t="str">
        <f ca="1"/>
        <v>IN</v>
      </c>
      <c r="U21" s="4">
        <f ca="1"/>
        <v>3.6821917808219178</v>
      </c>
    </row>
    <row r="22" spans="1:21" x14ac:dyDescent="0.2">
      <c r="A22" t="s">
        <v>150</v>
      </c>
      <c r="B22" t="s">
        <v>15</v>
      </c>
      <c r="C22">
        <v>26</v>
      </c>
      <c r="D22" t="s">
        <v>16</v>
      </c>
      <c r="E22" s="3">
        <v>44164</v>
      </c>
      <c r="F22" t="s">
        <v>9</v>
      </c>
      <c r="G22" s="2">
        <v>47360</v>
      </c>
      <c r="H22" t="s">
        <v>204</v>
      </c>
      <c r="I22" s="4">
        <f ca="1">(TODAY()-Staff[[#This Row],[Date Joined]])/365</f>
        <v>3.117808219178082</v>
      </c>
      <c r="J22" s="19">
        <f ca="1">ROUNDUP(IF(Staff[[#This Row],[Tenure]]&gt;2,3%,2%)*Staff[[#This Row],[Salary]],0)</f>
        <v>1421</v>
      </c>
      <c r="K22" s="20">
        <f>_xlfn.XLOOKUP(Staff[[#This Row],[Rating]],Sheet7!$B$4:$B$8,Sheet7!$C$4:$C$8)</f>
        <v>3</v>
      </c>
      <c r="L22" s="4"/>
      <c r="M22" s="4"/>
    </row>
    <row r="23" spans="1:21" x14ac:dyDescent="0.2">
      <c r="A23" t="s">
        <v>59</v>
      </c>
      <c r="B23" t="s">
        <v>15</v>
      </c>
      <c r="C23">
        <v>26</v>
      </c>
      <c r="D23" t="s">
        <v>16</v>
      </c>
      <c r="E23" s="3">
        <v>44225</v>
      </c>
      <c r="F23" t="s">
        <v>9</v>
      </c>
      <c r="G23" s="2">
        <v>47360</v>
      </c>
      <c r="H23" t="s">
        <v>206</v>
      </c>
      <c r="I23" s="4">
        <f ca="1">(TODAY()-Staff[[#This Row],[Date Joined]])/365</f>
        <v>2.9506849315068493</v>
      </c>
      <c r="J23" s="19">
        <f ca="1">ROUNDUP(IF(Staff[[#This Row],[Tenure]]&gt;2,3%,2%)*Staff[[#This Row],[Salary]],0)</f>
        <v>1421</v>
      </c>
      <c r="K23" s="20">
        <f>_xlfn.XLOOKUP(Staff[[#This Row],[Rating]],Sheet7!$B$4:$B$8,Sheet7!$C$4:$C$8)</f>
        <v>3</v>
      </c>
      <c r="L23" s="4"/>
      <c r="M23" s="4"/>
      <c r="N23" s="7" t="s">
        <v>1</v>
      </c>
      <c r="O23" s="8" t="str" cm="1">
        <f t="array" aca="1" ref="O23:O30" ca="1">TRANSPOSE(_xlfn.XLOOKUP(N20,Staff[Name],Staff[[Gender]:[Tenure]]))</f>
        <v>Male</v>
      </c>
    </row>
    <row r="24" spans="1:21" x14ac:dyDescent="0.2">
      <c r="A24" t="s">
        <v>122</v>
      </c>
      <c r="B24" t="s">
        <v>15</v>
      </c>
      <c r="C24">
        <v>28</v>
      </c>
      <c r="D24" t="s">
        <v>13</v>
      </c>
      <c r="E24" s="3">
        <v>43980</v>
      </c>
      <c r="F24" t="s">
        <v>21</v>
      </c>
      <c r="G24" s="2">
        <v>48170</v>
      </c>
      <c r="H24" t="s">
        <v>204</v>
      </c>
      <c r="I24" s="4">
        <f ca="1">(TODAY()-Staff[[#This Row],[Date Joined]])/365</f>
        <v>3.6219178082191781</v>
      </c>
      <c r="J24" s="19">
        <f ca="1">ROUNDUP(IF(Staff[[#This Row],[Tenure]]&gt;2,3%,2%)*Staff[[#This Row],[Salary]],0)</f>
        <v>1446</v>
      </c>
      <c r="K24" s="20">
        <f>_xlfn.XLOOKUP(Staff[[#This Row],[Rating]],Sheet7!$B$4:$B$8,Sheet7!$C$4:$C$8)</f>
        <v>4</v>
      </c>
      <c r="L24" s="4"/>
      <c r="M24" s="4"/>
      <c r="N24" s="7" t="s">
        <v>3</v>
      </c>
      <c r="O24" s="8">
        <f ca="1"/>
        <v>36</v>
      </c>
    </row>
    <row r="25" spans="1:21" x14ac:dyDescent="0.2">
      <c r="A25" t="s">
        <v>29</v>
      </c>
      <c r="B25" t="s">
        <v>15</v>
      </c>
      <c r="C25">
        <v>28</v>
      </c>
      <c r="D25" t="s">
        <v>13</v>
      </c>
      <c r="E25" s="3">
        <v>44041</v>
      </c>
      <c r="F25" t="s">
        <v>21</v>
      </c>
      <c r="G25" s="2">
        <v>48170</v>
      </c>
      <c r="H25" t="s">
        <v>206</v>
      </c>
      <c r="I25" s="4">
        <f ca="1">(TODAY()-Staff[[#This Row],[Date Joined]])/365</f>
        <v>3.4547945205479453</v>
      </c>
      <c r="J25" s="19">
        <f ca="1">ROUNDUP(IF(Staff[[#This Row],[Tenure]]&gt;2,3%,2%)*Staff[[#This Row],[Salary]],0)</f>
        <v>1446</v>
      </c>
      <c r="K25" s="20">
        <f>_xlfn.XLOOKUP(Staff[[#This Row],[Rating]],Sheet7!$B$4:$B$8,Sheet7!$C$4:$C$8)</f>
        <v>4</v>
      </c>
      <c r="L25" s="4"/>
      <c r="M25" s="4"/>
      <c r="N25" s="7" t="s">
        <v>6</v>
      </c>
      <c r="O25" s="8" t="str">
        <f ca="1"/>
        <v>Average</v>
      </c>
    </row>
    <row r="26" spans="1:21" x14ac:dyDescent="0.2">
      <c r="A26" t="s">
        <v>143</v>
      </c>
      <c r="B26" t="s">
        <v>15</v>
      </c>
      <c r="C26">
        <v>33</v>
      </c>
      <c r="D26" t="s">
        <v>13</v>
      </c>
      <c r="E26" s="3">
        <v>44640</v>
      </c>
      <c r="F26" t="s">
        <v>9</v>
      </c>
      <c r="G26" s="2">
        <v>48530</v>
      </c>
      <c r="H26" t="s">
        <v>204</v>
      </c>
      <c r="I26" s="4">
        <f ca="1">(TODAY()-Staff[[#This Row],[Date Joined]])/365</f>
        <v>1.8136986301369864</v>
      </c>
      <c r="J26" s="19">
        <f ca="1">ROUNDUP(IF(Staff[[#This Row],[Tenure]]&gt;2,3%,2%)*Staff[[#This Row],[Salary]],0)</f>
        <v>971</v>
      </c>
      <c r="K26" s="20">
        <f>_xlfn.XLOOKUP(Staff[[#This Row],[Rating]],Sheet7!$B$4:$B$8,Sheet7!$C$4:$C$8)</f>
        <v>4</v>
      </c>
      <c r="L26" s="4"/>
      <c r="M26" s="4"/>
      <c r="N26" s="7" t="s">
        <v>219</v>
      </c>
      <c r="O26" s="9">
        <f ca="1"/>
        <v>43958</v>
      </c>
    </row>
    <row r="27" spans="1:21" x14ac:dyDescent="0.2">
      <c r="A27" t="s">
        <v>51</v>
      </c>
      <c r="B27" t="s">
        <v>15</v>
      </c>
      <c r="C27">
        <v>33</v>
      </c>
      <c r="D27" t="s">
        <v>13</v>
      </c>
      <c r="E27" s="3">
        <v>44701</v>
      </c>
      <c r="F27" t="s">
        <v>9</v>
      </c>
      <c r="G27" s="2">
        <v>48530</v>
      </c>
      <c r="H27" t="s">
        <v>206</v>
      </c>
      <c r="I27" s="4">
        <f ca="1">(TODAY()-Staff[[#This Row],[Date Joined]])/365</f>
        <v>1.6465753424657534</v>
      </c>
      <c r="J27" s="19">
        <f ca="1">ROUNDUP(IF(Staff[[#This Row],[Tenure]]&gt;2,3%,2%)*Staff[[#This Row],[Salary]],0)</f>
        <v>971</v>
      </c>
      <c r="K27" s="20">
        <f>_xlfn.XLOOKUP(Staff[[#This Row],[Rating]],Sheet7!$B$4:$B$8,Sheet7!$C$4:$C$8)</f>
        <v>4</v>
      </c>
      <c r="L27" s="4"/>
      <c r="M27" s="4"/>
      <c r="N27" s="7" t="s">
        <v>2</v>
      </c>
      <c r="O27" s="8" t="str">
        <f ca="1"/>
        <v>Website</v>
      </c>
    </row>
    <row r="28" spans="1:21" x14ac:dyDescent="0.2">
      <c r="A28" t="s">
        <v>112</v>
      </c>
      <c r="B28" t="s">
        <v>15</v>
      </c>
      <c r="C28">
        <v>31</v>
      </c>
      <c r="D28" t="s">
        <v>16</v>
      </c>
      <c r="E28" s="3">
        <v>44450</v>
      </c>
      <c r="F28" t="s">
        <v>12</v>
      </c>
      <c r="G28" s="2">
        <v>48950</v>
      </c>
      <c r="H28" t="s">
        <v>204</v>
      </c>
      <c r="I28" s="4">
        <f ca="1">(TODAY()-Staff[[#This Row],[Date Joined]])/365</f>
        <v>2.3342465753424659</v>
      </c>
      <c r="J28" s="19">
        <f ca="1">ROUNDUP(IF(Staff[[#This Row],[Tenure]]&gt;2,3%,2%)*Staff[[#This Row],[Salary]],0)</f>
        <v>1469</v>
      </c>
      <c r="K28" s="20">
        <f>_xlfn.XLOOKUP(Staff[[#This Row],[Rating]],Sheet7!$B$4:$B$8,Sheet7!$C$4:$C$8)</f>
        <v>3</v>
      </c>
      <c r="L28" s="4"/>
      <c r="M28" s="4"/>
      <c r="N28" s="7" t="s">
        <v>5</v>
      </c>
      <c r="O28" s="10">
        <f ca="1"/>
        <v>118840</v>
      </c>
    </row>
    <row r="29" spans="1:21" x14ac:dyDescent="0.2">
      <c r="A29" t="s">
        <v>14</v>
      </c>
      <c r="B29" t="s">
        <v>15</v>
      </c>
      <c r="C29">
        <v>31</v>
      </c>
      <c r="D29" t="s">
        <v>16</v>
      </c>
      <c r="E29" s="3">
        <v>44511</v>
      </c>
      <c r="F29" t="s">
        <v>12</v>
      </c>
      <c r="G29" s="2">
        <v>48950</v>
      </c>
      <c r="H29" t="s">
        <v>206</v>
      </c>
      <c r="I29" s="4">
        <f ca="1">(TODAY()-Staff[[#This Row],[Date Joined]])/365</f>
        <v>2.1671232876712327</v>
      </c>
      <c r="J29" s="19">
        <f ca="1">ROUNDUP(IF(Staff[[#This Row],[Tenure]]&gt;2,3%,2%)*Staff[[#This Row],[Salary]],0)</f>
        <v>1469</v>
      </c>
      <c r="K29" s="20">
        <f>_xlfn.XLOOKUP(Staff[[#This Row],[Rating]],Sheet7!$B$4:$B$8,Sheet7!$C$4:$C$8)</f>
        <v>3</v>
      </c>
      <c r="L29" s="4"/>
      <c r="M29" s="4"/>
      <c r="N29" s="7" t="s">
        <v>203</v>
      </c>
      <c r="O29" s="8" t="str">
        <f ca="1"/>
        <v>IN</v>
      </c>
    </row>
    <row r="30" spans="1:21" x14ac:dyDescent="0.2">
      <c r="A30" t="s">
        <v>145</v>
      </c>
      <c r="B30" t="s">
        <v>15</v>
      </c>
      <c r="C30">
        <v>27</v>
      </c>
      <c r="D30" t="s">
        <v>16</v>
      </c>
      <c r="E30" s="3">
        <v>44506</v>
      </c>
      <c r="F30" t="s">
        <v>21</v>
      </c>
      <c r="G30" s="2">
        <v>48980</v>
      </c>
      <c r="H30" t="s">
        <v>204</v>
      </c>
      <c r="I30" s="4">
        <f ca="1">(TODAY()-Staff[[#This Row],[Date Joined]])/365</f>
        <v>2.1808219178082191</v>
      </c>
      <c r="J30" s="19">
        <f ca="1">ROUNDUP(IF(Staff[[#This Row],[Tenure]]&gt;2,3%,2%)*Staff[[#This Row],[Salary]],0)</f>
        <v>1470</v>
      </c>
      <c r="K30" s="20">
        <f>_xlfn.XLOOKUP(Staff[[#This Row],[Rating]],Sheet7!$B$4:$B$8,Sheet7!$C$4:$C$8)</f>
        <v>3</v>
      </c>
      <c r="L30" s="4"/>
      <c r="M30" s="4"/>
      <c r="N30" s="7" t="s">
        <v>212</v>
      </c>
      <c r="O30" s="11">
        <f ca="1"/>
        <v>3.6821917808219178</v>
      </c>
    </row>
    <row r="31" spans="1:21" x14ac:dyDescent="0.2">
      <c r="A31" t="s">
        <v>53</v>
      </c>
      <c r="B31" t="s">
        <v>15</v>
      </c>
      <c r="C31">
        <v>27</v>
      </c>
      <c r="D31" t="s">
        <v>16</v>
      </c>
      <c r="E31" s="3">
        <v>44567</v>
      </c>
      <c r="F31" t="s">
        <v>21</v>
      </c>
      <c r="G31" s="2">
        <v>48980</v>
      </c>
      <c r="H31" t="s">
        <v>206</v>
      </c>
      <c r="I31" s="4">
        <f ca="1">(TODAY()-Staff[[#This Row],[Date Joined]])/365</f>
        <v>2.0136986301369864</v>
      </c>
      <c r="J31" s="19">
        <f ca="1">ROUNDUP(IF(Staff[[#This Row],[Tenure]]&gt;2,3%,2%)*Staff[[#This Row],[Salary]],0)</f>
        <v>1470</v>
      </c>
      <c r="K31" s="20">
        <f>_xlfn.XLOOKUP(Staff[[#This Row],[Rating]],Sheet7!$B$4:$B$8,Sheet7!$C$4:$C$8)</f>
        <v>3</v>
      </c>
      <c r="L31" s="4"/>
      <c r="M31" s="4"/>
    </row>
    <row r="32" spans="1:21" x14ac:dyDescent="0.2">
      <c r="A32" t="s">
        <v>164</v>
      </c>
      <c r="B32" t="s">
        <v>8</v>
      </c>
      <c r="C32">
        <v>34</v>
      </c>
      <c r="D32" t="s">
        <v>24</v>
      </c>
      <c r="E32" s="3">
        <v>44660</v>
      </c>
      <c r="F32" t="s">
        <v>19</v>
      </c>
      <c r="G32" s="2">
        <v>49630</v>
      </c>
      <c r="H32" t="s">
        <v>204</v>
      </c>
      <c r="I32" s="4">
        <f ca="1">(TODAY()-Staff[[#This Row],[Date Joined]])/365</f>
        <v>1.7589041095890412</v>
      </c>
      <c r="J32" s="19">
        <f ca="1">ROUNDUP(IF(Staff[[#This Row],[Tenure]]&gt;2,3%,2%)*Staff[[#This Row],[Salary]],0)</f>
        <v>993</v>
      </c>
      <c r="K32" s="20">
        <f>_xlfn.XLOOKUP(Staff[[#This Row],[Rating]],Sheet7!$B$4:$B$8,Sheet7!$C$4:$C$8)</f>
        <v>2</v>
      </c>
      <c r="L32" s="4"/>
      <c r="M32" s="4"/>
    </row>
    <row r="33" spans="1:14" x14ac:dyDescent="0.2">
      <c r="A33" t="s">
        <v>73</v>
      </c>
      <c r="B33" t="s">
        <v>8</v>
      </c>
      <c r="C33">
        <v>34</v>
      </c>
      <c r="D33" t="s">
        <v>24</v>
      </c>
      <c r="E33" s="3">
        <v>44721</v>
      </c>
      <c r="F33" t="s">
        <v>19</v>
      </c>
      <c r="G33" s="2">
        <v>49630</v>
      </c>
      <c r="H33" t="s">
        <v>206</v>
      </c>
      <c r="I33" s="4">
        <f ca="1">(TODAY()-Staff[[#This Row],[Date Joined]])/365</f>
        <v>1.5917808219178082</v>
      </c>
      <c r="J33" s="19">
        <f ca="1">ROUNDUP(IF(Staff[[#This Row],[Tenure]]&gt;2,3%,2%)*Staff[[#This Row],[Salary]],0)</f>
        <v>993</v>
      </c>
      <c r="K33" s="20">
        <f>_xlfn.XLOOKUP(Staff[[#This Row],[Rating]],Sheet7!$B$4:$B$8,Sheet7!$C$4:$C$8)</f>
        <v>2</v>
      </c>
      <c r="L33" s="4"/>
      <c r="M33" s="4"/>
      <c r="N33" s="2">
        <f>VLOOKUP(N20,Staff[],7,FALSE)</f>
        <v>118840</v>
      </c>
    </row>
    <row r="34" spans="1:14" x14ac:dyDescent="0.2">
      <c r="A34" t="s">
        <v>154</v>
      </c>
      <c r="B34" t="s">
        <v>15</v>
      </c>
      <c r="C34">
        <v>24</v>
      </c>
      <c r="D34" t="s">
        <v>24</v>
      </c>
      <c r="E34" s="3">
        <v>44375</v>
      </c>
      <c r="F34" t="s">
        <v>21</v>
      </c>
      <c r="G34" s="2">
        <v>52610</v>
      </c>
      <c r="H34" t="s">
        <v>204</v>
      </c>
      <c r="I34" s="4">
        <f ca="1">(TODAY()-Staff[[#This Row],[Date Joined]])/365</f>
        <v>2.5397260273972604</v>
      </c>
      <c r="J34" s="19">
        <f ca="1">ROUNDUP(IF(Staff[[#This Row],[Tenure]]&gt;2,3%,2%)*Staff[[#This Row],[Salary]],0)</f>
        <v>1579</v>
      </c>
      <c r="K34" s="20">
        <f>_xlfn.XLOOKUP(Staff[[#This Row],[Rating]],Sheet7!$B$4:$B$8,Sheet7!$C$4:$C$8)</f>
        <v>2</v>
      </c>
      <c r="L34" s="4"/>
      <c r="M34" s="4"/>
    </row>
    <row r="35" spans="1:14" x14ac:dyDescent="0.2">
      <c r="A35" t="s">
        <v>63</v>
      </c>
      <c r="B35" t="s">
        <v>15</v>
      </c>
      <c r="C35">
        <v>24</v>
      </c>
      <c r="D35" t="s">
        <v>24</v>
      </c>
      <c r="E35" s="3">
        <v>44436</v>
      </c>
      <c r="F35" t="s">
        <v>21</v>
      </c>
      <c r="G35" s="2">
        <v>52610</v>
      </c>
      <c r="H35" t="s">
        <v>206</v>
      </c>
      <c r="I35" s="4">
        <f ca="1">(TODAY()-Staff[[#This Row],[Date Joined]])/365</f>
        <v>2.3726027397260272</v>
      </c>
      <c r="J35" s="19">
        <f ca="1">ROUNDUP(IF(Staff[[#This Row],[Tenure]]&gt;2,3%,2%)*Staff[[#This Row],[Salary]],0)</f>
        <v>1579</v>
      </c>
      <c r="K35" s="20">
        <f>_xlfn.XLOOKUP(Staff[[#This Row],[Rating]],Sheet7!$B$4:$B$8,Sheet7!$C$4:$C$8)</f>
        <v>2</v>
      </c>
      <c r="L35" s="4"/>
      <c r="M35" s="4"/>
    </row>
    <row r="36" spans="1:14" x14ac:dyDescent="0.2">
      <c r="A36" t="s">
        <v>166</v>
      </c>
      <c r="B36" t="s">
        <v>8</v>
      </c>
      <c r="C36">
        <v>28</v>
      </c>
      <c r="D36" t="s">
        <v>16</v>
      </c>
      <c r="E36" s="3">
        <v>44296</v>
      </c>
      <c r="F36" t="s">
        <v>19</v>
      </c>
      <c r="G36" s="2">
        <v>53240</v>
      </c>
      <c r="H36" t="s">
        <v>204</v>
      </c>
      <c r="I36" s="4">
        <f ca="1">(TODAY()-Staff[[#This Row],[Date Joined]])/365</f>
        <v>2.7561643835616438</v>
      </c>
      <c r="J36" s="19">
        <f ca="1">ROUNDUP(IF(Staff[[#This Row],[Tenure]]&gt;2,3%,2%)*Staff[[#This Row],[Salary]],0)</f>
        <v>1598</v>
      </c>
      <c r="K36" s="20">
        <f>_xlfn.XLOOKUP(Staff[[#This Row],[Rating]],Sheet7!$B$4:$B$8,Sheet7!$C$4:$C$8)</f>
        <v>3</v>
      </c>
      <c r="L36" s="4"/>
      <c r="M36" s="4"/>
    </row>
    <row r="37" spans="1:14" x14ac:dyDescent="0.2">
      <c r="A37" t="s">
        <v>75</v>
      </c>
      <c r="B37" t="s">
        <v>8</v>
      </c>
      <c r="C37">
        <v>28</v>
      </c>
      <c r="D37" t="s">
        <v>16</v>
      </c>
      <c r="E37" s="3">
        <v>44357</v>
      </c>
      <c r="F37" t="s">
        <v>19</v>
      </c>
      <c r="G37" s="2">
        <v>53240</v>
      </c>
      <c r="H37" t="s">
        <v>206</v>
      </c>
      <c r="I37" s="4">
        <f ca="1">(TODAY()-Staff[[#This Row],[Date Joined]])/365</f>
        <v>2.5890410958904111</v>
      </c>
      <c r="J37" s="19">
        <f ca="1">ROUNDUP(IF(Staff[[#This Row],[Tenure]]&gt;2,3%,2%)*Staff[[#This Row],[Salary]],0)</f>
        <v>1598</v>
      </c>
      <c r="K37" s="20">
        <f>_xlfn.XLOOKUP(Staff[[#This Row],[Rating]],Sheet7!$B$4:$B$8,Sheet7!$C$4:$C$8)</f>
        <v>3</v>
      </c>
      <c r="L37" s="4"/>
      <c r="M37" s="4"/>
    </row>
    <row r="38" spans="1:14" x14ac:dyDescent="0.2">
      <c r="A38" t="s">
        <v>156</v>
      </c>
      <c r="B38" t="s">
        <v>15</v>
      </c>
      <c r="C38">
        <v>32</v>
      </c>
      <c r="D38" t="s">
        <v>16</v>
      </c>
      <c r="E38" s="3">
        <v>44403</v>
      </c>
      <c r="F38" t="s">
        <v>19</v>
      </c>
      <c r="G38" s="2">
        <v>53540</v>
      </c>
      <c r="H38" t="s">
        <v>204</v>
      </c>
      <c r="I38" s="4">
        <f ca="1">(TODAY()-Staff[[#This Row],[Date Joined]])/365</f>
        <v>2.463013698630137</v>
      </c>
      <c r="J38" s="19">
        <f ca="1">ROUNDUP(IF(Staff[[#This Row],[Tenure]]&gt;2,3%,2%)*Staff[[#This Row],[Salary]],0)</f>
        <v>1607</v>
      </c>
      <c r="K38" s="20">
        <f>_xlfn.XLOOKUP(Staff[[#This Row],[Rating]],Sheet7!$B$4:$B$8,Sheet7!$C$4:$C$8)</f>
        <v>3</v>
      </c>
      <c r="L38" s="4"/>
      <c r="M38" s="4"/>
    </row>
    <row r="39" spans="1:14" x14ac:dyDescent="0.2">
      <c r="A39" t="s">
        <v>138</v>
      </c>
      <c r="B39" t="s">
        <v>15</v>
      </c>
      <c r="C39">
        <v>26</v>
      </c>
      <c r="D39" t="s">
        <v>16</v>
      </c>
      <c r="E39" s="3">
        <v>44350</v>
      </c>
      <c r="F39" t="s">
        <v>9</v>
      </c>
      <c r="G39" s="2">
        <v>53540</v>
      </c>
      <c r="H39" t="s">
        <v>204</v>
      </c>
      <c r="I39" s="4">
        <f ca="1">(TODAY()-Staff[[#This Row],[Date Joined]])/365</f>
        <v>2.6082191780821917</v>
      </c>
      <c r="J39" s="19">
        <f ca="1">ROUNDUP(IF(Staff[[#This Row],[Tenure]]&gt;2,3%,2%)*Staff[[#This Row],[Salary]],0)</f>
        <v>1607</v>
      </c>
      <c r="K39" s="20">
        <f>_xlfn.XLOOKUP(Staff[[#This Row],[Rating]],Sheet7!$B$4:$B$8,Sheet7!$C$4:$C$8)</f>
        <v>3</v>
      </c>
      <c r="L39" s="4"/>
      <c r="M39" s="4"/>
    </row>
    <row r="40" spans="1:14" x14ac:dyDescent="0.2">
      <c r="A40" t="s">
        <v>65</v>
      </c>
      <c r="B40" t="s">
        <v>15</v>
      </c>
      <c r="C40">
        <v>32</v>
      </c>
      <c r="D40" t="s">
        <v>16</v>
      </c>
      <c r="E40" s="3">
        <v>44465</v>
      </c>
      <c r="F40" t="s">
        <v>19</v>
      </c>
      <c r="G40" s="2">
        <v>53540</v>
      </c>
      <c r="H40" t="s">
        <v>206</v>
      </c>
      <c r="I40" s="4">
        <f ca="1">(TODAY()-Staff[[#This Row],[Date Joined]])/365</f>
        <v>2.2931506849315069</v>
      </c>
      <c r="J40" s="19">
        <f ca="1">ROUNDUP(IF(Staff[[#This Row],[Tenure]]&gt;2,3%,2%)*Staff[[#This Row],[Salary]],0)</f>
        <v>1607</v>
      </c>
      <c r="K40" s="20">
        <f>_xlfn.XLOOKUP(Staff[[#This Row],[Rating]],Sheet7!$B$4:$B$8,Sheet7!$C$4:$C$8)</f>
        <v>3</v>
      </c>
      <c r="L40" s="4"/>
      <c r="M40" s="4"/>
    </row>
    <row r="41" spans="1:14" x14ac:dyDescent="0.2">
      <c r="A41" t="s">
        <v>46</v>
      </c>
      <c r="B41" t="s">
        <v>15</v>
      </c>
      <c r="C41">
        <v>26</v>
      </c>
      <c r="D41" t="s">
        <v>16</v>
      </c>
      <c r="E41" s="3">
        <v>44411</v>
      </c>
      <c r="F41" t="s">
        <v>9</v>
      </c>
      <c r="G41" s="2">
        <v>53540</v>
      </c>
      <c r="H41" t="s">
        <v>206</v>
      </c>
      <c r="I41" s="4">
        <f ca="1">(TODAY()-Staff[[#This Row],[Date Joined]])/365</f>
        <v>2.441095890410959</v>
      </c>
      <c r="J41" s="19">
        <f ca="1">ROUNDUP(IF(Staff[[#This Row],[Tenure]]&gt;2,3%,2%)*Staff[[#This Row],[Salary]],0)</f>
        <v>1607</v>
      </c>
      <c r="K41" s="20">
        <f>_xlfn.XLOOKUP(Staff[[#This Row],[Rating]],Sheet7!$B$4:$B$8,Sheet7!$C$4:$C$8)</f>
        <v>3</v>
      </c>
      <c r="L41" s="4"/>
      <c r="M41" s="4"/>
    </row>
    <row r="42" spans="1:14" x14ac:dyDescent="0.2">
      <c r="A42" t="s">
        <v>173</v>
      </c>
      <c r="B42" t="s">
        <v>15</v>
      </c>
      <c r="C42">
        <v>33</v>
      </c>
      <c r="D42" t="s">
        <v>16</v>
      </c>
      <c r="E42" s="3">
        <v>44448</v>
      </c>
      <c r="F42" t="s">
        <v>12</v>
      </c>
      <c r="G42" s="2">
        <v>53870</v>
      </c>
      <c r="H42" t="s">
        <v>204</v>
      </c>
      <c r="I42" s="4">
        <f ca="1">(TODAY()-Staff[[#This Row],[Date Joined]])/365</f>
        <v>2.3397260273972602</v>
      </c>
      <c r="J42" s="19">
        <f ca="1">ROUNDUP(IF(Staff[[#This Row],[Tenure]]&gt;2,3%,2%)*Staff[[#This Row],[Salary]],0)</f>
        <v>1617</v>
      </c>
      <c r="K42" s="20">
        <f>_xlfn.XLOOKUP(Staff[[#This Row],[Rating]],Sheet7!$B$4:$B$8,Sheet7!$C$4:$C$8)</f>
        <v>3</v>
      </c>
      <c r="L42" s="4"/>
      <c r="M42" s="4"/>
    </row>
    <row r="43" spans="1:14" x14ac:dyDescent="0.2">
      <c r="A43" t="s">
        <v>82</v>
      </c>
      <c r="B43" t="s">
        <v>15</v>
      </c>
      <c r="C43">
        <v>33</v>
      </c>
      <c r="D43" t="s">
        <v>16</v>
      </c>
      <c r="E43" s="3">
        <v>44509</v>
      </c>
      <c r="F43" t="s">
        <v>12</v>
      </c>
      <c r="G43" s="2">
        <v>53870</v>
      </c>
      <c r="H43" t="s">
        <v>206</v>
      </c>
      <c r="I43" s="4">
        <f ca="1">(TODAY()-Staff[[#This Row],[Date Joined]])/365</f>
        <v>2.1726027397260275</v>
      </c>
      <c r="J43" s="19">
        <f ca="1">ROUNDUP(IF(Staff[[#This Row],[Tenure]]&gt;2,3%,2%)*Staff[[#This Row],[Salary]],0)</f>
        <v>1617</v>
      </c>
      <c r="K43" s="20">
        <f>_xlfn.XLOOKUP(Staff[[#This Row],[Rating]],Sheet7!$B$4:$B$8,Sheet7!$C$4:$C$8)</f>
        <v>3</v>
      </c>
      <c r="L43" s="4"/>
      <c r="M43" s="4"/>
    </row>
    <row r="44" spans="1:14" x14ac:dyDescent="0.2">
      <c r="A44" t="s">
        <v>181</v>
      </c>
      <c r="B44" t="s">
        <v>15</v>
      </c>
      <c r="C44">
        <v>27</v>
      </c>
      <c r="D44" t="s">
        <v>16</v>
      </c>
      <c r="E44" s="3">
        <v>44073</v>
      </c>
      <c r="F44" t="s">
        <v>19</v>
      </c>
      <c r="G44" s="2">
        <v>54970</v>
      </c>
      <c r="H44" t="s">
        <v>204</v>
      </c>
      <c r="I44" s="4">
        <f ca="1">(TODAY()-Staff[[#This Row],[Date Joined]])/365</f>
        <v>3.3671232876712329</v>
      </c>
      <c r="J44" s="19">
        <f ca="1">ROUNDUP(IF(Staff[[#This Row],[Tenure]]&gt;2,3%,2%)*Staff[[#This Row],[Salary]],0)</f>
        <v>1650</v>
      </c>
      <c r="K44" s="20">
        <f>_xlfn.XLOOKUP(Staff[[#This Row],[Rating]],Sheet7!$B$4:$B$8,Sheet7!$C$4:$C$8)</f>
        <v>3</v>
      </c>
      <c r="L44" s="4"/>
      <c r="M44" s="4"/>
    </row>
    <row r="45" spans="1:14" x14ac:dyDescent="0.2">
      <c r="A45" t="s">
        <v>89</v>
      </c>
      <c r="B45" t="s">
        <v>15</v>
      </c>
      <c r="C45">
        <v>27</v>
      </c>
      <c r="D45" t="s">
        <v>16</v>
      </c>
      <c r="E45" s="3">
        <v>44134</v>
      </c>
      <c r="F45" t="s">
        <v>19</v>
      </c>
      <c r="G45" s="2">
        <v>54970</v>
      </c>
      <c r="H45" t="s">
        <v>206</v>
      </c>
      <c r="I45" s="4">
        <f ca="1">(TODAY()-Staff[[#This Row],[Date Joined]])/365</f>
        <v>3.2</v>
      </c>
      <c r="J45" s="19">
        <f ca="1">ROUNDUP(IF(Staff[[#This Row],[Tenure]]&gt;2,3%,2%)*Staff[[#This Row],[Salary]],0)</f>
        <v>1650</v>
      </c>
      <c r="K45" s="20">
        <f>_xlfn.XLOOKUP(Staff[[#This Row],[Rating]],Sheet7!$B$4:$B$8,Sheet7!$C$4:$C$8)</f>
        <v>3</v>
      </c>
      <c r="L45" s="4"/>
      <c r="M45" s="4"/>
    </row>
    <row r="46" spans="1:14" x14ac:dyDescent="0.2">
      <c r="A46" t="s">
        <v>201</v>
      </c>
      <c r="B46" t="s">
        <v>8</v>
      </c>
      <c r="C46">
        <v>38</v>
      </c>
      <c r="D46" t="s">
        <v>13</v>
      </c>
      <c r="E46" s="3">
        <v>44268</v>
      </c>
      <c r="F46" t="s">
        <v>19</v>
      </c>
      <c r="G46" s="2">
        <v>56870</v>
      </c>
      <c r="H46" t="s">
        <v>204</v>
      </c>
      <c r="I46" s="4">
        <f ca="1">(TODAY()-Staff[[#This Row],[Date Joined]])/365</f>
        <v>2.8328767123287673</v>
      </c>
      <c r="J46" s="19">
        <f ca="1">ROUNDUP(IF(Staff[[#This Row],[Tenure]]&gt;2,3%,2%)*Staff[[#This Row],[Salary]],0)</f>
        <v>1707</v>
      </c>
      <c r="K46" s="20">
        <f>_xlfn.XLOOKUP(Staff[[#This Row],[Rating]],Sheet7!$B$4:$B$8,Sheet7!$C$4:$C$8)</f>
        <v>4</v>
      </c>
      <c r="L46" s="4"/>
      <c r="M46" s="4"/>
    </row>
    <row r="47" spans="1:14" x14ac:dyDescent="0.2">
      <c r="A47" t="s">
        <v>109</v>
      </c>
      <c r="B47" t="s">
        <v>8</v>
      </c>
      <c r="C47">
        <v>38</v>
      </c>
      <c r="D47" t="s">
        <v>13</v>
      </c>
      <c r="E47" s="3">
        <v>44329</v>
      </c>
      <c r="F47" t="s">
        <v>19</v>
      </c>
      <c r="G47" s="2">
        <v>56870</v>
      </c>
      <c r="H47" t="s">
        <v>206</v>
      </c>
      <c r="I47" s="4">
        <f ca="1">(TODAY()-Staff[[#This Row],[Date Joined]])/365</f>
        <v>2.6657534246575341</v>
      </c>
      <c r="J47" s="19">
        <f ca="1">ROUNDUP(IF(Staff[[#This Row],[Tenure]]&gt;2,3%,2%)*Staff[[#This Row],[Salary]],0)</f>
        <v>1707</v>
      </c>
      <c r="K47" s="20">
        <f>_xlfn.XLOOKUP(Staff[[#This Row],[Rating]],Sheet7!$B$4:$B$8,Sheet7!$C$4:$C$8)</f>
        <v>4</v>
      </c>
      <c r="L47" s="4"/>
      <c r="M47" s="4"/>
    </row>
    <row r="48" spans="1:14" x14ac:dyDescent="0.2">
      <c r="A48" t="s">
        <v>124</v>
      </c>
      <c r="B48" t="s">
        <v>15</v>
      </c>
      <c r="C48">
        <v>21</v>
      </c>
      <c r="D48" t="s">
        <v>16</v>
      </c>
      <c r="E48" s="3">
        <v>44701</v>
      </c>
      <c r="F48" t="s">
        <v>9</v>
      </c>
      <c r="G48" s="2">
        <v>57090</v>
      </c>
      <c r="H48" t="s">
        <v>204</v>
      </c>
      <c r="I48" s="4">
        <f ca="1">(TODAY()-Staff[[#This Row],[Date Joined]])/365</f>
        <v>1.6465753424657534</v>
      </c>
      <c r="J48" s="19">
        <f ca="1">ROUNDUP(IF(Staff[[#This Row],[Tenure]]&gt;2,3%,2%)*Staff[[#This Row],[Salary]],0)</f>
        <v>1142</v>
      </c>
      <c r="K48" s="20">
        <f>_xlfn.XLOOKUP(Staff[[#This Row],[Rating]],Sheet7!$B$4:$B$8,Sheet7!$C$4:$C$8)</f>
        <v>3</v>
      </c>
      <c r="L48" s="4"/>
      <c r="M48" s="4"/>
    </row>
    <row r="49" spans="1:13" x14ac:dyDescent="0.2">
      <c r="A49" t="s">
        <v>31</v>
      </c>
      <c r="B49" t="s">
        <v>15</v>
      </c>
      <c r="C49">
        <v>21</v>
      </c>
      <c r="D49" t="s">
        <v>16</v>
      </c>
      <c r="E49" s="3">
        <v>44762</v>
      </c>
      <c r="F49" t="s">
        <v>9</v>
      </c>
      <c r="G49" s="2">
        <v>57090</v>
      </c>
      <c r="H49" t="s">
        <v>206</v>
      </c>
      <c r="I49" s="4">
        <f ca="1">(TODAY()-Staff[[#This Row],[Date Joined]])/365</f>
        <v>1.4794520547945205</v>
      </c>
      <c r="J49" s="19">
        <f ca="1">ROUNDUP(IF(Staff[[#This Row],[Tenure]]&gt;2,3%,2%)*Staff[[#This Row],[Salary]],0)</f>
        <v>1142</v>
      </c>
      <c r="K49" s="20">
        <f>_xlfn.XLOOKUP(Staff[[#This Row],[Rating]],Sheet7!$B$4:$B$8,Sheet7!$C$4:$C$8)</f>
        <v>3</v>
      </c>
      <c r="L49" s="4"/>
      <c r="M49" s="4"/>
    </row>
    <row r="50" spans="1:13" x14ac:dyDescent="0.2">
      <c r="A50" t="s">
        <v>119</v>
      </c>
      <c r="B50" t="s">
        <v>8</v>
      </c>
      <c r="C50">
        <v>31</v>
      </c>
      <c r="D50" t="s">
        <v>16</v>
      </c>
      <c r="E50" s="3">
        <v>44604</v>
      </c>
      <c r="F50" t="s">
        <v>12</v>
      </c>
      <c r="G50" s="2">
        <v>58100</v>
      </c>
      <c r="H50" t="s">
        <v>204</v>
      </c>
      <c r="I50" s="4">
        <f ca="1">(TODAY()-Staff[[#This Row],[Date Joined]])/365</f>
        <v>1.9123287671232876</v>
      </c>
      <c r="J50" s="19">
        <f ca="1">ROUNDUP(IF(Staff[[#This Row],[Tenure]]&gt;2,3%,2%)*Staff[[#This Row],[Salary]],0)</f>
        <v>1162</v>
      </c>
      <c r="K50" s="20">
        <f>_xlfn.XLOOKUP(Staff[[#This Row],[Rating]],Sheet7!$B$4:$B$8,Sheet7!$C$4:$C$8)</f>
        <v>3</v>
      </c>
      <c r="L50" s="4"/>
      <c r="M50" s="4"/>
    </row>
    <row r="51" spans="1:13" x14ac:dyDescent="0.2">
      <c r="A51" t="s">
        <v>26</v>
      </c>
      <c r="B51" t="s">
        <v>8</v>
      </c>
      <c r="C51">
        <v>31</v>
      </c>
      <c r="D51" t="s">
        <v>16</v>
      </c>
      <c r="E51" s="3">
        <v>44663</v>
      </c>
      <c r="F51" t="s">
        <v>12</v>
      </c>
      <c r="G51" s="2">
        <v>58100</v>
      </c>
      <c r="H51" t="s">
        <v>206</v>
      </c>
      <c r="I51" s="4">
        <f ca="1">(TODAY()-Staff[[#This Row],[Date Joined]])/365</f>
        <v>1.7506849315068493</v>
      </c>
      <c r="J51" s="19">
        <f ca="1">ROUNDUP(IF(Staff[[#This Row],[Tenure]]&gt;2,3%,2%)*Staff[[#This Row],[Salary]],0)</f>
        <v>1162</v>
      </c>
      <c r="K51" s="20">
        <f>_xlfn.XLOOKUP(Staff[[#This Row],[Rating]],Sheet7!$B$4:$B$8,Sheet7!$C$4:$C$8)</f>
        <v>3</v>
      </c>
      <c r="L51" s="4"/>
      <c r="M51" s="4"/>
    </row>
    <row r="52" spans="1:13" x14ac:dyDescent="0.2">
      <c r="A52" t="s">
        <v>129</v>
      </c>
      <c r="B52" t="s">
        <v>8</v>
      </c>
      <c r="C52">
        <v>34</v>
      </c>
      <c r="D52" t="s">
        <v>16</v>
      </c>
      <c r="E52" s="3">
        <v>44594</v>
      </c>
      <c r="F52" t="s">
        <v>21</v>
      </c>
      <c r="G52" s="2">
        <v>58940</v>
      </c>
      <c r="H52" t="s">
        <v>204</v>
      </c>
      <c r="I52" s="4">
        <f ca="1">(TODAY()-Staff[[#This Row],[Date Joined]])/365</f>
        <v>1.9397260273972603</v>
      </c>
      <c r="J52" s="19">
        <f ca="1">ROUNDUP(IF(Staff[[#This Row],[Tenure]]&gt;2,3%,2%)*Staff[[#This Row],[Salary]],0)</f>
        <v>1179</v>
      </c>
      <c r="K52" s="20">
        <f>_xlfn.XLOOKUP(Staff[[#This Row],[Rating]],Sheet7!$B$4:$B$8,Sheet7!$C$4:$C$8)</f>
        <v>3</v>
      </c>
      <c r="L52" s="4"/>
      <c r="M52" s="4"/>
    </row>
    <row r="53" spans="1:13" x14ac:dyDescent="0.2">
      <c r="A53" t="s">
        <v>36</v>
      </c>
      <c r="B53" t="s">
        <v>8</v>
      </c>
      <c r="C53">
        <v>34</v>
      </c>
      <c r="D53" t="s">
        <v>16</v>
      </c>
      <c r="E53" s="3">
        <v>44653</v>
      </c>
      <c r="F53" t="s">
        <v>21</v>
      </c>
      <c r="G53" s="2">
        <v>58940</v>
      </c>
      <c r="H53" t="s">
        <v>206</v>
      </c>
      <c r="I53" s="4">
        <f ca="1">(TODAY()-Staff[[#This Row],[Date Joined]])/365</f>
        <v>1.7780821917808218</v>
      </c>
      <c r="J53" s="19">
        <f ca="1">ROUNDUP(IF(Staff[[#This Row],[Tenure]]&gt;2,3%,2%)*Staff[[#This Row],[Salary]],0)</f>
        <v>1179</v>
      </c>
      <c r="K53" s="20">
        <f>_xlfn.XLOOKUP(Staff[[#This Row],[Rating]],Sheet7!$B$4:$B$8,Sheet7!$C$4:$C$8)</f>
        <v>3</v>
      </c>
      <c r="L53" s="4"/>
      <c r="M53" s="4"/>
    </row>
    <row r="54" spans="1:13" x14ac:dyDescent="0.2">
      <c r="A54" t="s">
        <v>192</v>
      </c>
      <c r="B54" t="s">
        <v>15</v>
      </c>
      <c r="C54">
        <v>19</v>
      </c>
      <c r="D54" t="s">
        <v>16</v>
      </c>
      <c r="E54" s="3">
        <v>44218</v>
      </c>
      <c r="F54" t="s">
        <v>9</v>
      </c>
      <c r="G54" s="2">
        <v>58960</v>
      </c>
      <c r="H54" t="s">
        <v>204</v>
      </c>
      <c r="I54" s="4">
        <f ca="1">(TODAY()-Staff[[#This Row],[Date Joined]])/365</f>
        <v>2.9698630136986299</v>
      </c>
      <c r="J54" s="19">
        <f ca="1">ROUNDUP(IF(Staff[[#This Row],[Tenure]]&gt;2,3%,2%)*Staff[[#This Row],[Salary]],0)</f>
        <v>1769</v>
      </c>
      <c r="K54" s="20">
        <f>_xlfn.XLOOKUP(Staff[[#This Row],[Rating]],Sheet7!$B$4:$B$8,Sheet7!$C$4:$C$8)</f>
        <v>3</v>
      </c>
      <c r="L54" s="4"/>
      <c r="M54" s="4"/>
    </row>
    <row r="55" spans="1:13" x14ac:dyDescent="0.2">
      <c r="A55" t="s">
        <v>100</v>
      </c>
      <c r="B55" t="s">
        <v>15</v>
      </c>
      <c r="C55">
        <v>19</v>
      </c>
      <c r="D55" t="s">
        <v>16</v>
      </c>
      <c r="E55" s="3">
        <v>44277</v>
      </c>
      <c r="F55" t="s">
        <v>9</v>
      </c>
      <c r="G55" s="2">
        <v>58960</v>
      </c>
      <c r="H55" t="s">
        <v>206</v>
      </c>
      <c r="I55" s="4">
        <f ca="1">(TODAY()-Staff[[#This Row],[Date Joined]])/365</f>
        <v>2.8082191780821919</v>
      </c>
      <c r="J55" s="19">
        <f ca="1">ROUNDUP(IF(Staff[[#This Row],[Tenure]]&gt;2,3%,2%)*Staff[[#This Row],[Salary]],0)</f>
        <v>1769</v>
      </c>
      <c r="K55" s="20">
        <f>_xlfn.XLOOKUP(Staff[[#This Row],[Rating]],Sheet7!$B$4:$B$8,Sheet7!$C$4:$C$8)</f>
        <v>3</v>
      </c>
      <c r="L55" s="4"/>
      <c r="M55" s="4"/>
    </row>
    <row r="56" spans="1:13" x14ac:dyDescent="0.2">
      <c r="A56" t="s">
        <v>170</v>
      </c>
      <c r="B56" t="s">
        <v>15</v>
      </c>
      <c r="C56">
        <v>33</v>
      </c>
      <c r="D56" t="s">
        <v>16</v>
      </c>
      <c r="E56" s="3">
        <v>44181</v>
      </c>
      <c r="F56" t="s">
        <v>21</v>
      </c>
      <c r="G56" s="2">
        <v>59430</v>
      </c>
      <c r="H56" t="s">
        <v>204</v>
      </c>
      <c r="I56" s="4">
        <f ca="1">(TODAY()-Staff[[#This Row],[Date Joined]])/365</f>
        <v>3.0712328767123287</v>
      </c>
      <c r="J56" s="19">
        <f ca="1">ROUNDUP(IF(Staff[[#This Row],[Tenure]]&gt;2,3%,2%)*Staff[[#This Row],[Salary]],0)</f>
        <v>1783</v>
      </c>
      <c r="K56" s="20">
        <f>_xlfn.XLOOKUP(Staff[[#This Row],[Rating]],Sheet7!$B$4:$B$8,Sheet7!$C$4:$C$8)</f>
        <v>3</v>
      </c>
      <c r="L56" s="4"/>
      <c r="M56" s="4"/>
    </row>
    <row r="57" spans="1:13" x14ac:dyDescent="0.2">
      <c r="A57" t="s">
        <v>79</v>
      </c>
      <c r="B57" t="s">
        <v>15</v>
      </c>
      <c r="C57">
        <v>33</v>
      </c>
      <c r="D57" t="s">
        <v>16</v>
      </c>
      <c r="E57" s="3">
        <v>44243</v>
      </c>
      <c r="F57" t="s">
        <v>21</v>
      </c>
      <c r="G57" s="2">
        <v>59430</v>
      </c>
      <c r="H57" t="s">
        <v>206</v>
      </c>
      <c r="I57" s="4">
        <f ca="1">(TODAY()-Staff[[#This Row],[Date Joined]])/365</f>
        <v>2.9013698630136986</v>
      </c>
      <c r="J57" s="19">
        <f ca="1">ROUNDUP(IF(Staff[[#This Row],[Tenure]]&gt;2,3%,2%)*Staff[[#This Row],[Salary]],0)</f>
        <v>1783</v>
      </c>
      <c r="K57" s="20">
        <f>_xlfn.XLOOKUP(Staff[[#This Row],[Rating]],Sheet7!$B$4:$B$8,Sheet7!$C$4:$C$8)</f>
        <v>3</v>
      </c>
      <c r="L57" s="4"/>
      <c r="M57" s="4"/>
    </row>
    <row r="58" spans="1:13" x14ac:dyDescent="0.2">
      <c r="A58" t="s">
        <v>131</v>
      </c>
      <c r="B58" t="s">
        <v>8</v>
      </c>
      <c r="C58">
        <v>34</v>
      </c>
      <c r="D58" t="s">
        <v>16</v>
      </c>
      <c r="E58" s="3">
        <v>44550</v>
      </c>
      <c r="F58" t="s">
        <v>21</v>
      </c>
      <c r="G58" s="2">
        <v>60130</v>
      </c>
      <c r="H58" t="s">
        <v>204</v>
      </c>
      <c r="I58" s="4">
        <f ca="1">(TODAY()-Staff[[#This Row],[Date Joined]])/365</f>
        <v>2.0602739726027397</v>
      </c>
      <c r="J58" s="19">
        <f ca="1">ROUNDUP(IF(Staff[[#This Row],[Tenure]]&gt;2,3%,2%)*Staff[[#This Row],[Salary]],0)</f>
        <v>1804</v>
      </c>
      <c r="K58" s="20">
        <f>_xlfn.XLOOKUP(Staff[[#This Row],[Rating]],Sheet7!$B$4:$B$8,Sheet7!$C$4:$C$8)</f>
        <v>3</v>
      </c>
      <c r="L58" s="4"/>
      <c r="M58" s="4"/>
    </row>
    <row r="59" spans="1:13" x14ac:dyDescent="0.2">
      <c r="A59" t="s">
        <v>38</v>
      </c>
      <c r="B59" t="s">
        <v>8</v>
      </c>
      <c r="C59">
        <v>34</v>
      </c>
      <c r="D59" t="s">
        <v>16</v>
      </c>
      <c r="E59" s="3">
        <v>44612</v>
      </c>
      <c r="F59" t="s">
        <v>21</v>
      </c>
      <c r="G59" s="2">
        <v>60130</v>
      </c>
      <c r="H59" t="s">
        <v>206</v>
      </c>
      <c r="I59" s="4">
        <f ca="1">(TODAY()-Staff[[#This Row],[Date Joined]])/365</f>
        <v>1.8904109589041096</v>
      </c>
      <c r="J59" s="19">
        <f ca="1">ROUNDUP(IF(Staff[[#This Row],[Tenure]]&gt;2,3%,2%)*Staff[[#This Row],[Salary]],0)</f>
        <v>1203</v>
      </c>
      <c r="K59" s="20">
        <f>_xlfn.XLOOKUP(Staff[[#This Row],[Rating]],Sheet7!$B$4:$B$8,Sheet7!$C$4:$C$8)</f>
        <v>3</v>
      </c>
      <c r="L59" s="4"/>
      <c r="M59" s="4"/>
    </row>
    <row r="60" spans="1:13" x14ac:dyDescent="0.2">
      <c r="A60" t="s">
        <v>130</v>
      </c>
      <c r="B60" t="s">
        <v>15</v>
      </c>
      <c r="C60">
        <v>30</v>
      </c>
      <c r="D60" t="s">
        <v>16</v>
      </c>
      <c r="E60" s="3">
        <v>44607</v>
      </c>
      <c r="F60" t="s">
        <v>9</v>
      </c>
      <c r="G60" s="2">
        <v>60570</v>
      </c>
      <c r="H60" t="s">
        <v>204</v>
      </c>
      <c r="I60" s="4">
        <f ca="1">(TODAY()-Staff[[#This Row],[Date Joined]])/365</f>
        <v>1.904109589041096</v>
      </c>
      <c r="J60" s="19">
        <f ca="1">ROUNDUP(IF(Staff[[#This Row],[Tenure]]&gt;2,3%,2%)*Staff[[#This Row],[Salary]],0)</f>
        <v>1212</v>
      </c>
      <c r="K60" s="20">
        <f>_xlfn.XLOOKUP(Staff[[#This Row],[Rating]],Sheet7!$B$4:$B$8,Sheet7!$C$4:$C$8)</f>
        <v>3</v>
      </c>
      <c r="L60" s="4"/>
      <c r="M60" s="4"/>
    </row>
    <row r="61" spans="1:13" x14ac:dyDescent="0.2">
      <c r="A61" t="s">
        <v>37</v>
      </c>
      <c r="B61" t="s">
        <v>15</v>
      </c>
      <c r="C61">
        <v>30</v>
      </c>
      <c r="D61" t="s">
        <v>16</v>
      </c>
      <c r="E61" s="3">
        <v>44666</v>
      </c>
      <c r="F61" t="s">
        <v>9</v>
      </c>
      <c r="G61" s="2">
        <v>60570</v>
      </c>
      <c r="H61" t="s">
        <v>206</v>
      </c>
      <c r="I61" s="4">
        <f ca="1">(TODAY()-Staff[[#This Row],[Date Joined]])/365</f>
        <v>1.7424657534246575</v>
      </c>
      <c r="J61" s="19">
        <f ca="1">ROUNDUP(IF(Staff[[#This Row],[Tenure]]&gt;2,3%,2%)*Staff[[#This Row],[Salary]],0)</f>
        <v>1212</v>
      </c>
      <c r="K61" s="20">
        <f>_xlfn.XLOOKUP(Staff[[#This Row],[Rating]],Sheet7!$B$4:$B$8,Sheet7!$C$4:$C$8)</f>
        <v>3</v>
      </c>
      <c r="L61" s="4"/>
      <c r="M61" s="4"/>
    </row>
    <row r="62" spans="1:13" x14ac:dyDescent="0.2">
      <c r="A62" t="s">
        <v>152</v>
      </c>
      <c r="B62" t="s">
        <v>8</v>
      </c>
      <c r="C62">
        <v>24</v>
      </c>
      <c r="D62" t="s">
        <v>16</v>
      </c>
      <c r="E62" s="3">
        <v>44087</v>
      </c>
      <c r="F62" t="s">
        <v>12</v>
      </c>
      <c r="G62" s="2">
        <v>62780</v>
      </c>
      <c r="H62" t="s">
        <v>204</v>
      </c>
      <c r="I62" s="4">
        <f ca="1">(TODAY()-Staff[[#This Row],[Date Joined]])/365</f>
        <v>3.3287671232876712</v>
      </c>
      <c r="J62" s="19">
        <f ca="1">ROUNDUP(IF(Staff[[#This Row],[Tenure]]&gt;2,3%,2%)*Staff[[#This Row],[Salary]],0)</f>
        <v>1884</v>
      </c>
      <c r="K62" s="20">
        <f>_xlfn.XLOOKUP(Staff[[#This Row],[Rating]],Sheet7!$B$4:$B$8,Sheet7!$C$4:$C$8)</f>
        <v>3</v>
      </c>
      <c r="L62" s="4"/>
      <c r="M62" s="4"/>
    </row>
    <row r="63" spans="1:13" x14ac:dyDescent="0.2">
      <c r="A63" t="s">
        <v>61</v>
      </c>
      <c r="B63" t="s">
        <v>8</v>
      </c>
      <c r="C63">
        <v>24</v>
      </c>
      <c r="D63" t="s">
        <v>16</v>
      </c>
      <c r="E63" s="3">
        <v>44148</v>
      </c>
      <c r="F63" t="s">
        <v>12</v>
      </c>
      <c r="G63" s="2">
        <v>62780</v>
      </c>
      <c r="H63" t="s">
        <v>206</v>
      </c>
      <c r="I63" s="4">
        <f ca="1">(TODAY()-Staff[[#This Row],[Date Joined]])/365</f>
        <v>3.1616438356164385</v>
      </c>
      <c r="J63" s="19">
        <f ca="1">ROUNDUP(IF(Staff[[#This Row],[Tenure]]&gt;2,3%,2%)*Staff[[#This Row],[Salary]],0)</f>
        <v>1884</v>
      </c>
      <c r="K63" s="20">
        <f>_xlfn.XLOOKUP(Staff[[#This Row],[Rating]],Sheet7!$B$4:$B$8,Sheet7!$C$4:$C$8)</f>
        <v>3</v>
      </c>
      <c r="L63" s="4"/>
      <c r="M63" s="4"/>
    </row>
    <row r="64" spans="1:13" x14ac:dyDescent="0.2">
      <c r="A64" t="s">
        <v>115</v>
      </c>
      <c r="B64" t="s">
        <v>205</v>
      </c>
      <c r="C64">
        <v>30</v>
      </c>
      <c r="D64" t="s">
        <v>16</v>
      </c>
      <c r="E64" s="3">
        <v>44535</v>
      </c>
      <c r="F64" t="s">
        <v>21</v>
      </c>
      <c r="G64" s="2">
        <v>64000</v>
      </c>
      <c r="H64" t="s">
        <v>204</v>
      </c>
      <c r="I64" s="4">
        <f ca="1">(TODAY()-Staff[[#This Row],[Date Joined]])/365</f>
        <v>2.1013698630136988</v>
      </c>
      <c r="J64" s="19">
        <f ca="1">ROUNDUP(IF(Staff[[#This Row],[Tenure]]&gt;2,3%,2%)*Staff[[#This Row],[Salary]],0)</f>
        <v>1920</v>
      </c>
      <c r="K64" s="20">
        <f>_xlfn.XLOOKUP(Staff[[#This Row],[Rating]],Sheet7!$B$4:$B$8,Sheet7!$C$4:$C$8)</f>
        <v>3</v>
      </c>
      <c r="L64" s="4"/>
      <c r="M64" s="4"/>
    </row>
    <row r="65" spans="1:13" x14ac:dyDescent="0.2">
      <c r="A65" t="s">
        <v>20</v>
      </c>
      <c r="B65" t="s">
        <v>205</v>
      </c>
      <c r="C65">
        <v>30</v>
      </c>
      <c r="D65" t="s">
        <v>16</v>
      </c>
      <c r="E65" s="3">
        <v>44597</v>
      </c>
      <c r="F65" t="s">
        <v>21</v>
      </c>
      <c r="G65" s="2">
        <v>64000</v>
      </c>
      <c r="H65" t="s">
        <v>206</v>
      </c>
      <c r="I65" s="4">
        <f ca="1">(TODAY()-Staff[[#This Row],[Date Joined]])/365</f>
        <v>1.9315068493150684</v>
      </c>
      <c r="J65" s="19">
        <f ca="1">ROUNDUP(IF(Staff[[#This Row],[Tenure]]&gt;2,3%,2%)*Staff[[#This Row],[Salary]],0)</f>
        <v>1280</v>
      </c>
      <c r="K65" s="20">
        <f>_xlfn.XLOOKUP(Staff[[#This Row],[Rating]],Sheet7!$B$4:$B$8,Sheet7!$C$4:$C$8)</f>
        <v>3</v>
      </c>
      <c r="L65" s="4"/>
      <c r="M65" s="4"/>
    </row>
    <row r="66" spans="1:13" x14ac:dyDescent="0.2">
      <c r="A66" t="s">
        <v>185</v>
      </c>
      <c r="B66" t="s">
        <v>8</v>
      </c>
      <c r="C66">
        <v>33</v>
      </c>
      <c r="D66" t="s">
        <v>16</v>
      </c>
      <c r="E66" s="3">
        <v>44006</v>
      </c>
      <c r="F66" t="s">
        <v>21</v>
      </c>
      <c r="G66" s="2">
        <v>65360</v>
      </c>
      <c r="H66" t="s">
        <v>204</v>
      </c>
      <c r="I66" s="4">
        <f ca="1">(TODAY()-Staff[[#This Row],[Date Joined]])/365</f>
        <v>3.5506849315068494</v>
      </c>
      <c r="J66" s="19">
        <f ca="1">ROUNDUP(IF(Staff[[#This Row],[Tenure]]&gt;2,3%,2%)*Staff[[#This Row],[Salary]],0)</f>
        <v>1961</v>
      </c>
      <c r="K66" s="20">
        <f>_xlfn.XLOOKUP(Staff[[#This Row],[Rating]],Sheet7!$B$4:$B$8,Sheet7!$C$4:$C$8)</f>
        <v>3</v>
      </c>
      <c r="L66" s="4"/>
      <c r="M66" s="4"/>
    </row>
    <row r="67" spans="1:13" x14ac:dyDescent="0.2">
      <c r="A67" t="s">
        <v>93</v>
      </c>
      <c r="B67" t="s">
        <v>8</v>
      </c>
      <c r="C67">
        <v>33</v>
      </c>
      <c r="D67" t="s">
        <v>16</v>
      </c>
      <c r="E67" s="3">
        <v>44067</v>
      </c>
      <c r="F67" t="s">
        <v>21</v>
      </c>
      <c r="G67" s="2">
        <v>65360</v>
      </c>
      <c r="H67" t="s">
        <v>206</v>
      </c>
      <c r="I67" s="4">
        <f ca="1">(TODAY()-Staff[[#This Row],[Date Joined]])/365</f>
        <v>3.3835616438356166</v>
      </c>
      <c r="J67" s="19">
        <f ca="1">ROUNDUP(IF(Staff[[#This Row],[Tenure]]&gt;2,3%,2%)*Staff[[#This Row],[Salary]],0)</f>
        <v>1961</v>
      </c>
      <c r="K67" s="20">
        <f>_xlfn.XLOOKUP(Staff[[#This Row],[Rating]],Sheet7!$B$4:$B$8,Sheet7!$C$4:$C$8)</f>
        <v>3</v>
      </c>
      <c r="L67" s="4"/>
      <c r="M67" s="4"/>
    </row>
    <row r="68" spans="1:13" x14ac:dyDescent="0.2">
      <c r="A68" t="s">
        <v>167</v>
      </c>
      <c r="B68" t="s">
        <v>15</v>
      </c>
      <c r="C68">
        <v>25</v>
      </c>
      <c r="D68" t="s">
        <v>16</v>
      </c>
      <c r="E68" s="3">
        <v>44322</v>
      </c>
      <c r="F68" t="s">
        <v>19</v>
      </c>
      <c r="G68" s="2">
        <v>65700</v>
      </c>
      <c r="H68" t="s">
        <v>204</v>
      </c>
      <c r="I68" s="4">
        <f ca="1">(TODAY()-Staff[[#This Row],[Date Joined]])/365</f>
        <v>2.6849315068493151</v>
      </c>
      <c r="J68" s="19">
        <f ca="1">ROUNDUP(IF(Staff[[#This Row],[Tenure]]&gt;2,3%,2%)*Staff[[#This Row],[Salary]],0)</f>
        <v>1971</v>
      </c>
      <c r="K68" s="20">
        <f>_xlfn.XLOOKUP(Staff[[#This Row],[Rating]],Sheet7!$B$4:$B$8,Sheet7!$C$4:$C$8)</f>
        <v>3</v>
      </c>
      <c r="L68" s="4"/>
      <c r="M68" s="4"/>
    </row>
    <row r="69" spans="1:13" x14ac:dyDescent="0.2">
      <c r="A69" t="s">
        <v>76</v>
      </c>
      <c r="B69" t="s">
        <v>15</v>
      </c>
      <c r="C69">
        <v>25</v>
      </c>
      <c r="D69" t="s">
        <v>16</v>
      </c>
      <c r="E69" s="3">
        <v>44383</v>
      </c>
      <c r="F69" t="s">
        <v>19</v>
      </c>
      <c r="G69" s="2">
        <v>65700</v>
      </c>
      <c r="H69" t="s">
        <v>206</v>
      </c>
      <c r="I69" s="4">
        <f ca="1">(TODAY()-Staff[[#This Row],[Date Joined]])/365</f>
        <v>2.5178082191780824</v>
      </c>
      <c r="J69" s="19">
        <f ca="1">ROUNDUP(IF(Staff[[#This Row],[Tenure]]&gt;2,3%,2%)*Staff[[#This Row],[Salary]],0)</f>
        <v>1971</v>
      </c>
      <c r="K69" s="20">
        <f>_xlfn.XLOOKUP(Staff[[#This Row],[Rating]],Sheet7!$B$4:$B$8,Sheet7!$C$4:$C$8)</f>
        <v>3</v>
      </c>
      <c r="L69" s="4"/>
      <c r="M69" s="4"/>
    </row>
    <row r="70" spans="1:13" x14ac:dyDescent="0.2">
      <c r="A70" t="s">
        <v>125</v>
      </c>
      <c r="B70" t="s">
        <v>8</v>
      </c>
      <c r="C70">
        <v>21</v>
      </c>
      <c r="D70" t="s">
        <v>16</v>
      </c>
      <c r="E70" s="3">
        <v>44256</v>
      </c>
      <c r="F70" t="s">
        <v>21</v>
      </c>
      <c r="G70" s="2">
        <v>65920</v>
      </c>
      <c r="H70" t="s">
        <v>204</v>
      </c>
      <c r="I70" s="4">
        <f ca="1">(TODAY()-Staff[[#This Row],[Date Joined]])/365</f>
        <v>2.8657534246575342</v>
      </c>
      <c r="J70" s="19">
        <f ca="1">ROUNDUP(IF(Staff[[#This Row],[Tenure]]&gt;2,3%,2%)*Staff[[#This Row],[Salary]],0)</f>
        <v>1978</v>
      </c>
      <c r="K70" s="20">
        <f>_xlfn.XLOOKUP(Staff[[#This Row],[Rating]],Sheet7!$B$4:$B$8,Sheet7!$C$4:$C$8)</f>
        <v>3</v>
      </c>
      <c r="L70" s="4"/>
      <c r="M70" s="4"/>
    </row>
    <row r="71" spans="1:13" x14ac:dyDescent="0.2">
      <c r="A71" t="s">
        <v>32</v>
      </c>
      <c r="B71" t="s">
        <v>8</v>
      </c>
      <c r="C71">
        <v>21</v>
      </c>
      <c r="D71" t="s">
        <v>16</v>
      </c>
      <c r="E71" s="3">
        <v>44317</v>
      </c>
      <c r="F71" t="s">
        <v>21</v>
      </c>
      <c r="G71" s="2">
        <v>65920</v>
      </c>
      <c r="H71" t="s">
        <v>206</v>
      </c>
      <c r="I71" s="4">
        <f ca="1">(TODAY()-Staff[[#This Row],[Date Joined]])/365</f>
        <v>2.6986301369863015</v>
      </c>
      <c r="J71" s="19">
        <f ca="1">ROUNDUP(IF(Staff[[#This Row],[Tenure]]&gt;2,3%,2%)*Staff[[#This Row],[Salary]],0)</f>
        <v>1978</v>
      </c>
      <c r="K71" s="20">
        <f>_xlfn.XLOOKUP(Staff[[#This Row],[Rating]],Sheet7!$B$4:$B$8,Sheet7!$C$4:$C$8)</f>
        <v>3</v>
      </c>
      <c r="L71" s="4"/>
      <c r="M71" s="4"/>
    </row>
    <row r="72" spans="1:13" x14ac:dyDescent="0.2">
      <c r="A72" t="s">
        <v>120</v>
      </c>
      <c r="B72" t="s">
        <v>8</v>
      </c>
      <c r="C72">
        <v>30</v>
      </c>
      <c r="D72" t="s">
        <v>24</v>
      </c>
      <c r="E72" s="3">
        <v>44328</v>
      </c>
      <c r="F72" t="s">
        <v>21</v>
      </c>
      <c r="G72" s="2">
        <v>67910</v>
      </c>
      <c r="H72" t="s">
        <v>204</v>
      </c>
      <c r="I72" s="4">
        <f ca="1">(TODAY()-Staff[[#This Row],[Date Joined]])/365</f>
        <v>2.6684931506849314</v>
      </c>
      <c r="J72" s="19">
        <f ca="1">ROUNDUP(IF(Staff[[#This Row],[Tenure]]&gt;2,3%,2%)*Staff[[#This Row],[Salary]],0)</f>
        <v>2038</v>
      </c>
      <c r="K72" s="20">
        <f>_xlfn.XLOOKUP(Staff[[#This Row],[Rating]],Sheet7!$B$4:$B$8,Sheet7!$C$4:$C$8)</f>
        <v>2</v>
      </c>
      <c r="L72" s="4"/>
      <c r="M72" s="4"/>
    </row>
    <row r="73" spans="1:13" x14ac:dyDescent="0.2">
      <c r="A73" t="s">
        <v>27</v>
      </c>
      <c r="B73" t="s">
        <v>8</v>
      </c>
      <c r="C73">
        <v>30</v>
      </c>
      <c r="D73" t="s">
        <v>24</v>
      </c>
      <c r="E73" s="3">
        <v>44389</v>
      </c>
      <c r="F73" t="s">
        <v>21</v>
      </c>
      <c r="G73" s="2">
        <v>67910</v>
      </c>
      <c r="H73" t="s">
        <v>206</v>
      </c>
      <c r="I73" s="4">
        <f ca="1">(TODAY()-Staff[[#This Row],[Date Joined]])/365</f>
        <v>2.5013698630136987</v>
      </c>
      <c r="J73" s="19">
        <f ca="1">ROUNDUP(IF(Staff[[#This Row],[Tenure]]&gt;2,3%,2%)*Staff[[#This Row],[Salary]],0)</f>
        <v>2038</v>
      </c>
      <c r="K73" s="20">
        <f>_xlfn.XLOOKUP(Staff[[#This Row],[Rating]],Sheet7!$B$4:$B$8,Sheet7!$C$4:$C$8)</f>
        <v>2</v>
      </c>
      <c r="L73" s="4"/>
      <c r="M73" s="4"/>
    </row>
    <row r="74" spans="1:13" x14ac:dyDescent="0.2">
      <c r="A74" t="s">
        <v>137</v>
      </c>
      <c r="B74" t="s">
        <v>15</v>
      </c>
      <c r="C74">
        <v>30</v>
      </c>
      <c r="D74" t="s">
        <v>16</v>
      </c>
      <c r="E74" s="3">
        <v>44640</v>
      </c>
      <c r="F74" t="s">
        <v>9</v>
      </c>
      <c r="G74" s="2">
        <v>67950</v>
      </c>
      <c r="H74" t="s">
        <v>204</v>
      </c>
      <c r="I74" s="4">
        <f ca="1">(TODAY()-Staff[[#This Row],[Date Joined]])/365</f>
        <v>1.8136986301369864</v>
      </c>
      <c r="J74" s="19">
        <f ca="1">ROUNDUP(IF(Staff[[#This Row],[Tenure]]&gt;2,3%,2%)*Staff[[#This Row],[Salary]],0)</f>
        <v>1359</v>
      </c>
      <c r="K74" s="20">
        <f>_xlfn.XLOOKUP(Staff[[#This Row],[Rating]],Sheet7!$B$4:$B$8,Sheet7!$C$4:$C$8)</f>
        <v>3</v>
      </c>
      <c r="L74" s="4"/>
      <c r="M74" s="4"/>
    </row>
    <row r="75" spans="1:13" x14ac:dyDescent="0.2">
      <c r="A75" t="s">
        <v>45</v>
      </c>
      <c r="B75" t="s">
        <v>15</v>
      </c>
      <c r="C75">
        <v>30</v>
      </c>
      <c r="D75" t="s">
        <v>16</v>
      </c>
      <c r="E75" s="3">
        <v>44701</v>
      </c>
      <c r="F75" t="s">
        <v>9</v>
      </c>
      <c r="G75" s="2">
        <v>67950</v>
      </c>
      <c r="H75" t="s">
        <v>206</v>
      </c>
      <c r="I75" s="4">
        <f ca="1">(TODAY()-Staff[[#This Row],[Date Joined]])/365</f>
        <v>1.6465753424657534</v>
      </c>
      <c r="J75" s="19">
        <f ca="1">ROUNDUP(IF(Staff[[#This Row],[Tenure]]&gt;2,3%,2%)*Staff[[#This Row],[Salary]],0)</f>
        <v>1359</v>
      </c>
      <c r="K75" s="20">
        <f>_xlfn.XLOOKUP(Staff[[#This Row],[Rating]],Sheet7!$B$4:$B$8,Sheet7!$C$4:$C$8)</f>
        <v>3</v>
      </c>
      <c r="L75" s="4"/>
      <c r="M75" s="4"/>
    </row>
    <row r="76" spans="1:13" x14ac:dyDescent="0.2">
      <c r="A76" t="s">
        <v>183</v>
      </c>
      <c r="B76" t="s">
        <v>8</v>
      </c>
      <c r="C76">
        <v>20</v>
      </c>
      <c r="D76" t="s">
        <v>24</v>
      </c>
      <c r="E76" s="3">
        <v>44476</v>
      </c>
      <c r="F76" t="s">
        <v>19</v>
      </c>
      <c r="G76" s="2">
        <v>68900</v>
      </c>
      <c r="H76" t="s">
        <v>204</v>
      </c>
      <c r="I76" s="4">
        <f ca="1">(TODAY()-Staff[[#This Row],[Date Joined]])/365</f>
        <v>2.2630136986301368</v>
      </c>
      <c r="J76" s="19">
        <f ca="1">ROUNDUP(IF(Staff[[#This Row],[Tenure]]&gt;2,3%,2%)*Staff[[#This Row],[Salary]],0)</f>
        <v>2067</v>
      </c>
      <c r="K76" s="20">
        <f>_xlfn.XLOOKUP(Staff[[#This Row],[Rating]],Sheet7!$B$4:$B$8,Sheet7!$C$4:$C$8)</f>
        <v>2</v>
      </c>
      <c r="L76" s="4"/>
      <c r="M76" s="4"/>
    </row>
    <row r="77" spans="1:13" x14ac:dyDescent="0.2">
      <c r="A77" t="s">
        <v>91</v>
      </c>
      <c r="B77" t="s">
        <v>8</v>
      </c>
      <c r="C77">
        <v>20</v>
      </c>
      <c r="D77" t="s">
        <v>24</v>
      </c>
      <c r="E77" s="3">
        <v>44537</v>
      </c>
      <c r="F77" t="s">
        <v>19</v>
      </c>
      <c r="G77" s="2">
        <v>68900</v>
      </c>
      <c r="H77" t="s">
        <v>206</v>
      </c>
      <c r="I77" s="4">
        <f ca="1">(TODAY()-Staff[[#This Row],[Date Joined]])/365</f>
        <v>2.095890410958904</v>
      </c>
      <c r="J77" s="19">
        <f ca="1">ROUNDUP(IF(Staff[[#This Row],[Tenure]]&gt;2,3%,2%)*Staff[[#This Row],[Salary]],0)</f>
        <v>2067</v>
      </c>
      <c r="K77" s="20">
        <f>_xlfn.XLOOKUP(Staff[[#This Row],[Rating]],Sheet7!$B$4:$B$8,Sheet7!$C$4:$C$8)</f>
        <v>2</v>
      </c>
      <c r="L77" s="4"/>
      <c r="M77" s="4"/>
    </row>
    <row r="78" spans="1:13" x14ac:dyDescent="0.2">
      <c r="A78" t="s">
        <v>189</v>
      </c>
      <c r="B78" t="s">
        <v>15</v>
      </c>
      <c r="C78">
        <v>37</v>
      </c>
      <c r="D78" t="s">
        <v>16</v>
      </c>
      <c r="E78" s="3">
        <v>44640</v>
      </c>
      <c r="F78" t="s">
        <v>12</v>
      </c>
      <c r="G78" s="2">
        <v>69070</v>
      </c>
      <c r="H78" t="s">
        <v>204</v>
      </c>
      <c r="I78" s="4">
        <f ca="1">(TODAY()-Staff[[#This Row],[Date Joined]])/365</f>
        <v>1.8136986301369864</v>
      </c>
      <c r="J78" s="19">
        <f ca="1">ROUNDUP(IF(Staff[[#This Row],[Tenure]]&gt;2,3%,2%)*Staff[[#This Row],[Salary]],0)</f>
        <v>1382</v>
      </c>
      <c r="K78" s="20">
        <f>_xlfn.XLOOKUP(Staff[[#This Row],[Rating]],Sheet7!$B$4:$B$8,Sheet7!$C$4:$C$8)</f>
        <v>3</v>
      </c>
      <c r="L78" s="4"/>
      <c r="M78" s="4"/>
    </row>
    <row r="79" spans="1:13" x14ac:dyDescent="0.2">
      <c r="A79" t="s">
        <v>97</v>
      </c>
      <c r="B79" t="s">
        <v>15</v>
      </c>
      <c r="C79">
        <v>37</v>
      </c>
      <c r="D79" t="s">
        <v>16</v>
      </c>
      <c r="E79" s="3">
        <v>44701</v>
      </c>
      <c r="F79" t="s">
        <v>12</v>
      </c>
      <c r="G79" s="2">
        <v>69070</v>
      </c>
      <c r="H79" t="s">
        <v>206</v>
      </c>
      <c r="I79" s="4">
        <f ca="1">(TODAY()-Staff[[#This Row],[Date Joined]])/365</f>
        <v>1.6465753424657534</v>
      </c>
      <c r="J79" s="19">
        <f ca="1">ROUNDUP(IF(Staff[[#This Row],[Tenure]]&gt;2,3%,2%)*Staff[[#This Row],[Salary]],0)</f>
        <v>1382</v>
      </c>
      <c r="K79" s="20">
        <f>_xlfn.XLOOKUP(Staff[[#This Row],[Rating]],Sheet7!$B$4:$B$8,Sheet7!$C$4:$C$8)</f>
        <v>3</v>
      </c>
      <c r="L79" s="4"/>
      <c r="M79" s="4"/>
    </row>
    <row r="80" spans="1:13" x14ac:dyDescent="0.2">
      <c r="A80" t="s">
        <v>118</v>
      </c>
      <c r="B80" t="s">
        <v>15</v>
      </c>
      <c r="C80">
        <v>30</v>
      </c>
      <c r="D80" t="s">
        <v>16</v>
      </c>
      <c r="E80" s="3">
        <v>44214</v>
      </c>
      <c r="F80" t="s">
        <v>12</v>
      </c>
      <c r="G80" s="2">
        <v>69120</v>
      </c>
      <c r="H80" t="s">
        <v>204</v>
      </c>
      <c r="I80" s="4">
        <f ca="1">(TODAY()-Staff[[#This Row],[Date Joined]])/365</f>
        <v>2.9808219178082194</v>
      </c>
      <c r="J80" s="19">
        <f ca="1">ROUNDUP(IF(Staff[[#This Row],[Tenure]]&gt;2,3%,2%)*Staff[[#This Row],[Salary]],0)</f>
        <v>2074</v>
      </c>
      <c r="K80" s="20">
        <f>_xlfn.XLOOKUP(Staff[[#This Row],[Rating]],Sheet7!$B$4:$B$8,Sheet7!$C$4:$C$8)</f>
        <v>3</v>
      </c>
      <c r="L80" s="4"/>
      <c r="M80" s="4"/>
    </row>
    <row r="81" spans="1:13" x14ac:dyDescent="0.2">
      <c r="A81" t="s">
        <v>25</v>
      </c>
      <c r="B81" t="s">
        <v>15</v>
      </c>
      <c r="C81">
        <v>30</v>
      </c>
      <c r="D81" t="s">
        <v>16</v>
      </c>
      <c r="E81" s="3">
        <v>44273</v>
      </c>
      <c r="F81" t="s">
        <v>12</v>
      </c>
      <c r="G81" s="2">
        <v>69120</v>
      </c>
      <c r="H81" t="s">
        <v>206</v>
      </c>
      <c r="I81" s="4">
        <f ca="1">(TODAY()-Staff[[#This Row],[Date Joined]])/365</f>
        <v>2.8191780821917809</v>
      </c>
      <c r="J81" s="19">
        <f ca="1">ROUNDUP(IF(Staff[[#This Row],[Tenure]]&gt;2,3%,2%)*Staff[[#This Row],[Salary]],0)</f>
        <v>2074</v>
      </c>
      <c r="K81" s="20">
        <f>_xlfn.XLOOKUP(Staff[[#This Row],[Rating]],Sheet7!$B$4:$B$8,Sheet7!$C$4:$C$8)</f>
        <v>3</v>
      </c>
      <c r="L81" s="4"/>
      <c r="M81" s="4"/>
    </row>
    <row r="82" spans="1:13" x14ac:dyDescent="0.2">
      <c r="A82" t="s">
        <v>158</v>
      </c>
      <c r="B82" t="s">
        <v>15</v>
      </c>
      <c r="C82">
        <v>30</v>
      </c>
      <c r="D82" t="s">
        <v>16</v>
      </c>
      <c r="E82" s="3">
        <v>44789</v>
      </c>
      <c r="F82" t="s">
        <v>12</v>
      </c>
      <c r="G82" s="2">
        <v>69710</v>
      </c>
      <c r="H82" t="s">
        <v>204</v>
      </c>
      <c r="I82" s="4">
        <f ca="1">(TODAY()-Staff[[#This Row],[Date Joined]])/365</f>
        <v>1.4054794520547946</v>
      </c>
      <c r="J82" s="19">
        <f ca="1">ROUNDUP(IF(Staff[[#This Row],[Tenure]]&gt;2,3%,2%)*Staff[[#This Row],[Salary]],0)</f>
        <v>1395</v>
      </c>
      <c r="K82" s="20">
        <f>_xlfn.XLOOKUP(Staff[[#This Row],[Rating]],Sheet7!$B$4:$B$8,Sheet7!$C$4:$C$8)</f>
        <v>3</v>
      </c>
      <c r="L82" s="4"/>
      <c r="M82" s="4"/>
    </row>
    <row r="83" spans="1:13" x14ac:dyDescent="0.2">
      <c r="A83" t="s">
        <v>67</v>
      </c>
      <c r="B83" t="s">
        <v>15</v>
      </c>
      <c r="C83">
        <v>30</v>
      </c>
      <c r="D83" t="s">
        <v>16</v>
      </c>
      <c r="E83" s="3">
        <v>44850</v>
      </c>
      <c r="F83" t="s">
        <v>12</v>
      </c>
      <c r="G83" s="2">
        <v>69710</v>
      </c>
      <c r="H83" t="s">
        <v>206</v>
      </c>
      <c r="I83" s="4">
        <f ca="1">(TODAY()-Staff[[#This Row],[Date Joined]])/365</f>
        <v>1.2383561643835617</v>
      </c>
      <c r="J83" s="19">
        <f ca="1">ROUNDUP(IF(Staff[[#This Row],[Tenure]]&gt;2,3%,2%)*Staff[[#This Row],[Salary]],0)</f>
        <v>1395</v>
      </c>
      <c r="K83" s="20">
        <f>_xlfn.XLOOKUP(Staff[[#This Row],[Rating]],Sheet7!$B$4:$B$8,Sheet7!$C$4:$C$8)</f>
        <v>3</v>
      </c>
      <c r="L83" s="4"/>
      <c r="M83" s="4"/>
    </row>
    <row r="84" spans="1:13" x14ac:dyDescent="0.2">
      <c r="A84" t="s">
        <v>182</v>
      </c>
      <c r="B84" t="s">
        <v>15</v>
      </c>
      <c r="C84">
        <v>42</v>
      </c>
      <c r="D84" t="s">
        <v>24</v>
      </c>
      <c r="E84" s="3">
        <v>44670</v>
      </c>
      <c r="F84" t="s">
        <v>21</v>
      </c>
      <c r="G84" s="2">
        <v>70270</v>
      </c>
      <c r="H84" t="s">
        <v>204</v>
      </c>
      <c r="I84" s="4">
        <f ca="1">(TODAY()-Staff[[#This Row],[Date Joined]])/365</f>
        <v>1.7315068493150685</v>
      </c>
      <c r="J84" s="19">
        <f ca="1">ROUNDUP(IF(Staff[[#This Row],[Tenure]]&gt;2,3%,2%)*Staff[[#This Row],[Salary]],0)</f>
        <v>1406</v>
      </c>
      <c r="K84" s="20">
        <f>_xlfn.XLOOKUP(Staff[[#This Row],[Rating]],Sheet7!$B$4:$B$8,Sheet7!$C$4:$C$8)</f>
        <v>2</v>
      </c>
      <c r="L84" s="4"/>
      <c r="M84" s="4"/>
    </row>
    <row r="85" spans="1:13" x14ac:dyDescent="0.2">
      <c r="A85" t="s">
        <v>90</v>
      </c>
      <c r="B85" t="s">
        <v>15</v>
      </c>
      <c r="C85">
        <v>42</v>
      </c>
      <c r="D85" t="s">
        <v>24</v>
      </c>
      <c r="E85" s="3">
        <v>44731</v>
      </c>
      <c r="F85" t="s">
        <v>21</v>
      </c>
      <c r="G85" s="2">
        <v>70270</v>
      </c>
      <c r="H85" t="s">
        <v>206</v>
      </c>
      <c r="I85" s="4">
        <f ca="1">(TODAY()-Staff[[#This Row],[Date Joined]])/365</f>
        <v>1.5643835616438355</v>
      </c>
      <c r="J85" s="19">
        <f ca="1">ROUNDUP(IF(Staff[[#This Row],[Tenure]]&gt;2,3%,2%)*Staff[[#This Row],[Salary]],0)</f>
        <v>1406</v>
      </c>
      <c r="K85" s="20">
        <f>_xlfn.XLOOKUP(Staff[[#This Row],[Rating]],Sheet7!$B$4:$B$8,Sheet7!$C$4:$C$8)</f>
        <v>2</v>
      </c>
      <c r="L85" s="4"/>
      <c r="M85" s="4"/>
    </row>
    <row r="86" spans="1:13" x14ac:dyDescent="0.2">
      <c r="A86" t="s">
        <v>161</v>
      </c>
      <c r="B86" t="s">
        <v>15</v>
      </c>
      <c r="C86">
        <v>46</v>
      </c>
      <c r="D86" t="s">
        <v>16</v>
      </c>
      <c r="E86" s="3">
        <v>44697</v>
      </c>
      <c r="F86" t="s">
        <v>9</v>
      </c>
      <c r="G86" s="2">
        <v>70610</v>
      </c>
      <c r="H86" t="s">
        <v>204</v>
      </c>
      <c r="I86" s="4">
        <f ca="1">(TODAY()-Staff[[#This Row],[Date Joined]])/365</f>
        <v>1.6575342465753424</v>
      </c>
      <c r="J86" s="19">
        <f ca="1">ROUNDUP(IF(Staff[[#This Row],[Tenure]]&gt;2,3%,2%)*Staff[[#This Row],[Salary]],0)</f>
        <v>1413</v>
      </c>
      <c r="K86" s="20">
        <f>_xlfn.XLOOKUP(Staff[[#This Row],[Rating]],Sheet7!$B$4:$B$8,Sheet7!$C$4:$C$8)</f>
        <v>3</v>
      </c>
      <c r="L86" s="4"/>
      <c r="M86" s="4"/>
    </row>
    <row r="87" spans="1:13" x14ac:dyDescent="0.2">
      <c r="A87" t="s">
        <v>70</v>
      </c>
      <c r="B87" t="s">
        <v>15</v>
      </c>
      <c r="C87">
        <v>46</v>
      </c>
      <c r="D87" t="s">
        <v>16</v>
      </c>
      <c r="E87" s="3">
        <v>44758</v>
      </c>
      <c r="F87" t="s">
        <v>9</v>
      </c>
      <c r="G87" s="2">
        <v>70610</v>
      </c>
      <c r="H87" t="s">
        <v>206</v>
      </c>
      <c r="I87" s="4">
        <f ca="1">(TODAY()-Staff[[#This Row],[Date Joined]])/365</f>
        <v>1.4904109589041097</v>
      </c>
      <c r="J87" s="19">
        <f ca="1">ROUNDUP(IF(Staff[[#This Row],[Tenure]]&gt;2,3%,2%)*Staff[[#This Row],[Salary]],0)</f>
        <v>1413</v>
      </c>
      <c r="K87" s="20">
        <f>_xlfn.XLOOKUP(Staff[[#This Row],[Rating]],Sheet7!$B$4:$B$8,Sheet7!$C$4:$C$8)</f>
        <v>3</v>
      </c>
      <c r="L87" s="4"/>
      <c r="M87" s="4"/>
    </row>
    <row r="88" spans="1:13" x14ac:dyDescent="0.2">
      <c r="A88" t="s">
        <v>186</v>
      </c>
      <c r="B88" t="s">
        <v>15</v>
      </c>
      <c r="C88">
        <v>36</v>
      </c>
      <c r="D88" t="s">
        <v>16</v>
      </c>
      <c r="E88" s="3">
        <v>44272</v>
      </c>
      <c r="F88" t="s">
        <v>21</v>
      </c>
      <c r="G88" s="2">
        <v>71380</v>
      </c>
      <c r="H88" t="s">
        <v>204</v>
      </c>
      <c r="I88" s="4">
        <f ca="1">(TODAY()-Staff[[#This Row],[Date Joined]])/365</f>
        <v>2.8219178082191783</v>
      </c>
      <c r="J88" s="19">
        <f ca="1">ROUNDUP(IF(Staff[[#This Row],[Tenure]]&gt;2,3%,2%)*Staff[[#This Row],[Salary]],0)</f>
        <v>2142</v>
      </c>
      <c r="K88" s="20">
        <f>_xlfn.XLOOKUP(Staff[[#This Row],[Rating]],Sheet7!$B$4:$B$8,Sheet7!$C$4:$C$8)</f>
        <v>3</v>
      </c>
      <c r="L88" s="4"/>
      <c r="M88" s="4"/>
    </row>
    <row r="89" spans="1:13" x14ac:dyDescent="0.2">
      <c r="A89" t="s">
        <v>94</v>
      </c>
      <c r="B89" t="s">
        <v>15</v>
      </c>
      <c r="C89">
        <v>36</v>
      </c>
      <c r="D89" t="s">
        <v>16</v>
      </c>
      <c r="E89" s="3">
        <v>44333</v>
      </c>
      <c r="F89" t="s">
        <v>21</v>
      </c>
      <c r="G89" s="2">
        <v>71380</v>
      </c>
      <c r="H89" t="s">
        <v>206</v>
      </c>
      <c r="I89" s="4">
        <f ca="1">(TODAY()-Staff[[#This Row],[Date Joined]])/365</f>
        <v>2.6547945205479451</v>
      </c>
      <c r="J89" s="19">
        <f ca="1">ROUNDUP(IF(Staff[[#This Row],[Tenure]]&gt;2,3%,2%)*Staff[[#This Row],[Salary]],0)</f>
        <v>2142</v>
      </c>
      <c r="K89" s="20">
        <f>_xlfn.XLOOKUP(Staff[[#This Row],[Rating]],Sheet7!$B$4:$B$8,Sheet7!$C$4:$C$8)</f>
        <v>3</v>
      </c>
      <c r="L89" s="4"/>
      <c r="M89" s="4"/>
    </row>
    <row r="90" spans="1:13" x14ac:dyDescent="0.2">
      <c r="A90" t="s">
        <v>114</v>
      </c>
      <c r="B90" t="s">
        <v>15</v>
      </c>
      <c r="C90">
        <v>33</v>
      </c>
      <c r="D90" t="s">
        <v>16</v>
      </c>
      <c r="E90" s="3">
        <v>44324</v>
      </c>
      <c r="F90" t="s">
        <v>19</v>
      </c>
      <c r="G90" s="2">
        <v>74550</v>
      </c>
      <c r="H90" t="s">
        <v>204</v>
      </c>
      <c r="I90" s="4">
        <f ca="1">(TODAY()-Staff[[#This Row],[Date Joined]])/365</f>
        <v>2.6794520547945204</v>
      </c>
      <c r="J90" s="19">
        <f ca="1">ROUNDUP(IF(Staff[[#This Row],[Tenure]]&gt;2,3%,2%)*Staff[[#This Row],[Salary]],0)</f>
        <v>2237</v>
      </c>
      <c r="K90" s="20">
        <f>_xlfn.XLOOKUP(Staff[[#This Row],[Rating]],Sheet7!$B$4:$B$8,Sheet7!$C$4:$C$8)</f>
        <v>3</v>
      </c>
      <c r="L90" s="4"/>
      <c r="M90" s="4"/>
    </row>
    <row r="91" spans="1:13" x14ac:dyDescent="0.2">
      <c r="A91" t="s">
        <v>18</v>
      </c>
      <c r="B91" t="s">
        <v>15</v>
      </c>
      <c r="C91">
        <v>33</v>
      </c>
      <c r="D91" t="s">
        <v>16</v>
      </c>
      <c r="E91" s="3">
        <v>44385</v>
      </c>
      <c r="F91" t="s">
        <v>19</v>
      </c>
      <c r="G91" s="2">
        <v>74550</v>
      </c>
      <c r="H91" t="s">
        <v>206</v>
      </c>
      <c r="I91" s="4">
        <f ca="1">(TODAY()-Staff[[#This Row],[Date Joined]])/365</f>
        <v>2.5123287671232877</v>
      </c>
      <c r="J91" s="19">
        <f ca="1">ROUNDUP(IF(Staff[[#This Row],[Tenure]]&gt;2,3%,2%)*Staff[[#This Row],[Salary]],0)</f>
        <v>2237</v>
      </c>
      <c r="K91" s="20">
        <f>_xlfn.XLOOKUP(Staff[[#This Row],[Rating]],Sheet7!$B$4:$B$8,Sheet7!$C$4:$C$8)</f>
        <v>3</v>
      </c>
      <c r="L91" s="4"/>
      <c r="M91" s="4"/>
    </row>
    <row r="92" spans="1:13" x14ac:dyDescent="0.2">
      <c r="A92" t="s">
        <v>110</v>
      </c>
      <c r="B92" t="s">
        <v>8</v>
      </c>
      <c r="C92">
        <v>42</v>
      </c>
      <c r="D92" t="s">
        <v>10</v>
      </c>
      <c r="E92" s="3">
        <v>44718</v>
      </c>
      <c r="F92" t="s">
        <v>9</v>
      </c>
      <c r="G92" s="2">
        <v>75000</v>
      </c>
      <c r="H92" t="s">
        <v>204</v>
      </c>
      <c r="I92" s="4">
        <f ca="1">(TODAY()-Staff[[#This Row],[Date Joined]])/365</f>
        <v>1.6</v>
      </c>
      <c r="J92" s="19">
        <f ca="1">ROUNDUP(IF(Staff[[#This Row],[Tenure]]&gt;2,3%,2%)*Staff[[#This Row],[Salary]],0)</f>
        <v>1500</v>
      </c>
      <c r="K92" s="20" t="e">
        <f>_xlfn.XLOOKUP(Staff[[#This Row],[Rating]],Sheet7!$B$4:$B$8,Sheet7!$C$4:$C$8)</f>
        <v>#N/A</v>
      </c>
      <c r="L92" s="4"/>
      <c r="M92" s="4"/>
    </row>
    <row r="93" spans="1:13" x14ac:dyDescent="0.2">
      <c r="A93" t="s">
        <v>7</v>
      </c>
      <c r="B93" t="s">
        <v>8</v>
      </c>
      <c r="C93">
        <v>42</v>
      </c>
      <c r="D93" t="s">
        <v>10</v>
      </c>
      <c r="E93" s="3">
        <v>44779</v>
      </c>
      <c r="F93" t="s">
        <v>9</v>
      </c>
      <c r="G93" s="2">
        <v>75000</v>
      </c>
      <c r="H93" t="s">
        <v>206</v>
      </c>
      <c r="I93" s="4">
        <f ca="1">(TODAY()-Staff[[#This Row],[Date Joined]])/365</f>
        <v>1.4328767123287671</v>
      </c>
      <c r="J93" s="19">
        <f ca="1">ROUNDUP(IF(Staff[[#This Row],[Tenure]]&gt;2,3%,2%)*Staff[[#This Row],[Salary]],0)</f>
        <v>1500</v>
      </c>
      <c r="K93" s="20" t="e">
        <f>_xlfn.XLOOKUP(Staff[[#This Row],[Rating]],Sheet7!$B$4:$B$8,Sheet7!$C$4:$C$8)</f>
        <v>#N/A</v>
      </c>
      <c r="L93" s="4"/>
      <c r="M93" s="4"/>
    </row>
    <row r="94" spans="1:13" x14ac:dyDescent="0.2">
      <c r="A94" t="s">
        <v>187</v>
      </c>
      <c r="B94" t="s">
        <v>8</v>
      </c>
      <c r="C94">
        <v>33</v>
      </c>
      <c r="D94" t="s">
        <v>16</v>
      </c>
      <c r="E94" s="3">
        <v>44253</v>
      </c>
      <c r="F94" t="s">
        <v>12</v>
      </c>
      <c r="G94" s="2">
        <v>75280</v>
      </c>
      <c r="H94" t="s">
        <v>204</v>
      </c>
      <c r="I94" s="4">
        <f ca="1">(TODAY()-Staff[[#This Row],[Date Joined]])/365</f>
        <v>2.8739726027397259</v>
      </c>
      <c r="J94" s="19">
        <f ca="1">ROUNDUP(IF(Staff[[#This Row],[Tenure]]&gt;2,3%,2%)*Staff[[#This Row],[Salary]],0)</f>
        <v>2259</v>
      </c>
      <c r="K94" s="20">
        <f>_xlfn.XLOOKUP(Staff[[#This Row],[Rating]],Sheet7!$B$4:$B$8,Sheet7!$C$4:$C$8)</f>
        <v>3</v>
      </c>
      <c r="L94" s="4"/>
      <c r="M94" s="4"/>
    </row>
    <row r="95" spans="1:13" x14ac:dyDescent="0.2">
      <c r="A95" t="s">
        <v>95</v>
      </c>
      <c r="B95" t="s">
        <v>8</v>
      </c>
      <c r="C95">
        <v>33</v>
      </c>
      <c r="D95" t="s">
        <v>16</v>
      </c>
      <c r="E95" s="3">
        <v>44312</v>
      </c>
      <c r="F95" t="s">
        <v>12</v>
      </c>
      <c r="G95" s="2">
        <v>75280</v>
      </c>
      <c r="H95" t="s">
        <v>206</v>
      </c>
      <c r="I95" s="4">
        <f ca="1">(TODAY()-Staff[[#This Row],[Date Joined]])/365</f>
        <v>2.7123287671232879</v>
      </c>
      <c r="J95" s="19">
        <f ca="1">ROUNDUP(IF(Staff[[#This Row],[Tenure]]&gt;2,3%,2%)*Staff[[#This Row],[Salary]],0)</f>
        <v>2259</v>
      </c>
      <c r="K95" s="20">
        <f>_xlfn.XLOOKUP(Staff[[#This Row],[Rating]],Sheet7!$B$4:$B$8,Sheet7!$C$4:$C$8)</f>
        <v>3</v>
      </c>
      <c r="L95" s="4"/>
      <c r="M95" s="4"/>
    </row>
    <row r="96" spans="1:13" x14ac:dyDescent="0.2">
      <c r="A96" t="s">
        <v>134</v>
      </c>
      <c r="B96" t="s">
        <v>8</v>
      </c>
      <c r="C96">
        <v>33</v>
      </c>
      <c r="D96" t="s">
        <v>42</v>
      </c>
      <c r="E96" s="3">
        <v>44313</v>
      </c>
      <c r="F96" t="s">
        <v>12</v>
      </c>
      <c r="G96" s="2">
        <v>75480</v>
      </c>
      <c r="H96" t="s">
        <v>204</v>
      </c>
      <c r="I96" s="4">
        <f ca="1">(TODAY()-Staff[[#This Row],[Date Joined]])/365</f>
        <v>2.7095890410958905</v>
      </c>
      <c r="J96" s="19">
        <f ca="1">ROUNDUP(IF(Staff[[#This Row],[Tenure]]&gt;2,3%,2%)*Staff[[#This Row],[Salary]],0)</f>
        <v>2265</v>
      </c>
      <c r="K96" s="20">
        <f>_xlfn.XLOOKUP(Staff[[#This Row],[Rating]],Sheet7!$B$4:$B$8,Sheet7!$C$4:$C$8)</f>
        <v>1</v>
      </c>
      <c r="L96" s="4"/>
      <c r="M96" s="4"/>
    </row>
    <row r="97" spans="1:13" x14ac:dyDescent="0.2">
      <c r="A97" t="s">
        <v>41</v>
      </c>
      <c r="B97" t="s">
        <v>8</v>
      </c>
      <c r="C97">
        <v>33</v>
      </c>
      <c r="D97" t="s">
        <v>42</v>
      </c>
      <c r="E97" s="3">
        <v>44374</v>
      </c>
      <c r="F97" t="s">
        <v>12</v>
      </c>
      <c r="G97" s="2">
        <v>75480</v>
      </c>
      <c r="H97" t="s">
        <v>206</v>
      </c>
      <c r="I97" s="4">
        <f ca="1">(TODAY()-Staff[[#This Row],[Date Joined]])/365</f>
        <v>2.5424657534246577</v>
      </c>
      <c r="J97" s="19">
        <f ca="1">ROUNDUP(IF(Staff[[#This Row],[Tenure]]&gt;2,3%,2%)*Staff[[#This Row],[Salary]],0)</f>
        <v>2265</v>
      </c>
      <c r="K97" s="20">
        <f>_xlfn.XLOOKUP(Staff[[#This Row],[Rating]],Sheet7!$B$4:$B$8,Sheet7!$C$4:$C$8)</f>
        <v>1</v>
      </c>
      <c r="L97" s="4"/>
      <c r="M97" s="4"/>
    </row>
    <row r="98" spans="1:13" x14ac:dyDescent="0.2">
      <c r="A98" t="s">
        <v>169</v>
      </c>
      <c r="B98" t="s">
        <v>15</v>
      </c>
      <c r="C98">
        <v>21</v>
      </c>
      <c r="D98" t="s">
        <v>16</v>
      </c>
      <c r="E98" s="3">
        <v>44180</v>
      </c>
      <c r="F98" t="s">
        <v>56</v>
      </c>
      <c r="G98" s="2">
        <v>75880</v>
      </c>
      <c r="H98" t="s">
        <v>204</v>
      </c>
      <c r="I98" s="4">
        <f ca="1">(TODAY()-Staff[[#This Row],[Date Joined]])/365</f>
        <v>3.0739726027397261</v>
      </c>
      <c r="J98" s="19">
        <f ca="1">ROUNDUP(IF(Staff[[#This Row],[Tenure]]&gt;2,3%,2%)*Staff[[#This Row],[Salary]],0)</f>
        <v>2277</v>
      </c>
      <c r="K98" s="20">
        <f>_xlfn.XLOOKUP(Staff[[#This Row],[Rating]],Sheet7!$B$4:$B$8,Sheet7!$C$4:$C$8)</f>
        <v>3</v>
      </c>
      <c r="L98" s="4"/>
      <c r="M98" s="4"/>
    </row>
    <row r="99" spans="1:13" x14ac:dyDescent="0.2">
      <c r="A99" t="s">
        <v>78</v>
      </c>
      <c r="B99" t="s">
        <v>15</v>
      </c>
      <c r="C99">
        <v>21</v>
      </c>
      <c r="D99" t="s">
        <v>16</v>
      </c>
      <c r="E99" s="3">
        <v>44242</v>
      </c>
      <c r="F99" t="s">
        <v>56</v>
      </c>
      <c r="G99" s="2">
        <v>75880</v>
      </c>
      <c r="H99" t="s">
        <v>206</v>
      </c>
      <c r="I99" s="4">
        <f ca="1">(TODAY()-Staff[[#This Row],[Date Joined]])/365</f>
        <v>2.904109589041096</v>
      </c>
      <c r="J99" s="19">
        <f ca="1">ROUNDUP(IF(Staff[[#This Row],[Tenure]]&gt;2,3%,2%)*Staff[[#This Row],[Salary]],0)</f>
        <v>2277</v>
      </c>
      <c r="K99" s="20">
        <f>_xlfn.XLOOKUP(Staff[[#This Row],[Rating]],Sheet7!$B$4:$B$8,Sheet7!$C$4:$C$8)</f>
        <v>3</v>
      </c>
      <c r="L99" s="4"/>
      <c r="M99" s="4"/>
    </row>
    <row r="100" spans="1:13" x14ac:dyDescent="0.2">
      <c r="A100" t="s">
        <v>128</v>
      </c>
      <c r="B100" t="s">
        <v>8</v>
      </c>
      <c r="C100">
        <v>28</v>
      </c>
      <c r="D100" t="s">
        <v>16</v>
      </c>
      <c r="E100" s="3">
        <v>44124</v>
      </c>
      <c r="F100" t="s">
        <v>21</v>
      </c>
      <c r="G100" s="2">
        <v>75970</v>
      </c>
      <c r="H100" t="s">
        <v>204</v>
      </c>
      <c r="I100" s="4">
        <f ca="1">(TODAY()-Staff[[#This Row],[Date Joined]])/365</f>
        <v>3.2273972602739724</v>
      </c>
      <c r="J100" s="19">
        <f ca="1">ROUNDUP(IF(Staff[[#This Row],[Tenure]]&gt;2,3%,2%)*Staff[[#This Row],[Salary]],0)</f>
        <v>2280</v>
      </c>
      <c r="K100" s="20">
        <f>_xlfn.XLOOKUP(Staff[[#This Row],[Rating]],Sheet7!$B$4:$B$8,Sheet7!$C$4:$C$8)</f>
        <v>3</v>
      </c>
      <c r="L100" s="4"/>
      <c r="M100" s="4"/>
    </row>
    <row r="101" spans="1:13" x14ac:dyDescent="0.2">
      <c r="A101" t="s">
        <v>35</v>
      </c>
      <c r="B101" t="s">
        <v>8</v>
      </c>
      <c r="C101">
        <v>28</v>
      </c>
      <c r="D101" t="s">
        <v>16</v>
      </c>
      <c r="E101" s="3">
        <v>44185</v>
      </c>
      <c r="F101" t="s">
        <v>21</v>
      </c>
      <c r="G101" s="2">
        <v>75970</v>
      </c>
      <c r="H101" t="s">
        <v>206</v>
      </c>
      <c r="I101" s="4">
        <f ca="1">(TODAY()-Staff[[#This Row],[Date Joined]])/365</f>
        <v>3.0602739726027397</v>
      </c>
      <c r="J101" s="19">
        <f ca="1">ROUNDUP(IF(Staff[[#This Row],[Tenure]]&gt;2,3%,2%)*Staff[[#This Row],[Salary]],0)</f>
        <v>2280</v>
      </c>
      <c r="K101" s="20">
        <f>_xlfn.XLOOKUP(Staff[[#This Row],[Rating]],Sheet7!$B$4:$B$8,Sheet7!$C$4:$C$8)</f>
        <v>3</v>
      </c>
      <c r="L101" s="4"/>
      <c r="M101" s="4"/>
    </row>
    <row r="102" spans="1:13" x14ac:dyDescent="0.2">
      <c r="A102" t="s">
        <v>153</v>
      </c>
      <c r="B102" t="s">
        <v>8</v>
      </c>
      <c r="C102">
        <v>22</v>
      </c>
      <c r="D102" t="s">
        <v>13</v>
      </c>
      <c r="E102" s="3">
        <v>44388</v>
      </c>
      <c r="F102" t="s">
        <v>9</v>
      </c>
      <c r="G102" s="2">
        <v>76900</v>
      </c>
      <c r="H102" t="s">
        <v>204</v>
      </c>
      <c r="I102" s="4">
        <f ca="1">(TODAY()-Staff[[#This Row],[Date Joined]])/365</f>
        <v>2.504109589041096</v>
      </c>
      <c r="J102" s="19">
        <f ca="1">ROUNDUP(IF(Staff[[#This Row],[Tenure]]&gt;2,3%,2%)*Staff[[#This Row],[Salary]],0)</f>
        <v>2307</v>
      </c>
      <c r="K102" s="20">
        <f>_xlfn.XLOOKUP(Staff[[#This Row],[Rating]],Sheet7!$B$4:$B$8,Sheet7!$C$4:$C$8)</f>
        <v>4</v>
      </c>
      <c r="L102" s="4"/>
      <c r="M102" s="4"/>
    </row>
    <row r="103" spans="1:13" x14ac:dyDescent="0.2">
      <c r="A103" t="s">
        <v>62</v>
      </c>
      <c r="B103" t="s">
        <v>8</v>
      </c>
      <c r="C103">
        <v>22</v>
      </c>
      <c r="D103" t="s">
        <v>13</v>
      </c>
      <c r="E103" s="3">
        <v>44450</v>
      </c>
      <c r="F103" t="s">
        <v>9</v>
      </c>
      <c r="G103" s="2">
        <v>76900</v>
      </c>
      <c r="H103" t="s">
        <v>206</v>
      </c>
      <c r="I103" s="4">
        <f ca="1">(TODAY()-Staff[[#This Row],[Date Joined]])/365</f>
        <v>2.3342465753424659</v>
      </c>
      <c r="J103" s="19">
        <f ca="1">ROUNDUP(IF(Staff[[#This Row],[Tenure]]&gt;2,3%,2%)*Staff[[#This Row],[Salary]],0)</f>
        <v>2307</v>
      </c>
      <c r="K103" s="20">
        <f>_xlfn.XLOOKUP(Staff[[#This Row],[Rating]],Sheet7!$B$4:$B$8,Sheet7!$C$4:$C$8)</f>
        <v>4</v>
      </c>
      <c r="L103" s="4"/>
      <c r="M103" s="4"/>
    </row>
    <row r="104" spans="1:13" x14ac:dyDescent="0.2">
      <c r="A104" t="s">
        <v>163</v>
      </c>
      <c r="B104" t="s">
        <v>8</v>
      </c>
      <c r="C104">
        <v>36</v>
      </c>
      <c r="D104" t="s">
        <v>16</v>
      </c>
      <c r="E104" s="3">
        <v>44468</v>
      </c>
      <c r="F104" t="s">
        <v>9</v>
      </c>
      <c r="G104" s="2">
        <v>78390</v>
      </c>
      <c r="H104" t="s">
        <v>204</v>
      </c>
      <c r="I104" s="4">
        <f ca="1">(TODAY()-Staff[[#This Row],[Date Joined]])/365</f>
        <v>2.2849315068493152</v>
      </c>
      <c r="J104" s="19">
        <f ca="1">ROUNDUP(IF(Staff[[#This Row],[Tenure]]&gt;2,3%,2%)*Staff[[#This Row],[Salary]],0)</f>
        <v>2352</v>
      </c>
      <c r="K104" s="20">
        <f>_xlfn.XLOOKUP(Staff[[#This Row],[Rating]],Sheet7!$B$4:$B$8,Sheet7!$C$4:$C$8)</f>
        <v>3</v>
      </c>
      <c r="L104" s="4"/>
      <c r="M104" s="4"/>
    </row>
    <row r="105" spans="1:13" x14ac:dyDescent="0.2">
      <c r="A105" t="s">
        <v>72</v>
      </c>
      <c r="B105" t="s">
        <v>8</v>
      </c>
      <c r="C105">
        <v>36</v>
      </c>
      <c r="D105" t="s">
        <v>16</v>
      </c>
      <c r="E105" s="3">
        <v>44529</v>
      </c>
      <c r="F105" t="s">
        <v>9</v>
      </c>
      <c r="G105" s="2">
        <v>78390</v>
      </c>
      <c r="H105" t="s">
        <v>206</v>
      </c>
      <c r="I105" s="4">
        <f ca="1">(TODAY()-Staff[[#This Row],[Date Joined]])/365</f>
        <v>2.117808219178082</v>
      </c>
      <c r="J105" s="19">
        <f ca="1">ROUNDUP(IF(Staff[[#This Row],[Tenure]]&gt;2,3%,2%)*Staff[[#This Row],[Salary]],0)</f>
        <v>2352</v>
      </c>
      <c r="K105" s="20">
        <f>_xlfn.XLOOKUP(Staff[[#This Row],[Rating]],Sheet7!$B$4:$B$8,Sheet7!$C$4:$C$8)</f>
        <v>3</v>
      </c>
      <c r="L105" s="4"/>
      <c r="M105" s="4"/>
    </row>
    <row r="106" spans="1:13" x14ac:dyDescent="0.2">
      <c r="A106" t="s">
        <v>140</v>
      </c>
      <c r="B106" t="s">
        <v>8</v>
      </c>
      <c r="C106">
        <v>36</v>
      </c>
      <c r="D106" t="s">
        <v>16</v>
      </c>
      <c r="E106" s="3">
        <v>44433</v>
      </c>
      <c r="F106" t="s">
        <v>19</v>
      </c>
      <c r="G106" s="2">
        <v>78540</v>
      </c>
      <c r="H106" t="s">
        <v>204</v>
      </c>
      <c r="I106" s="4">
        <f ca="1">(TODAY()-Staff[[#This Row],[Date Joined]])/365</f>
        <v>2.3808219178082193</v>
      </c>
      <c r="J106" s="19">
        <f ca="1">ROUNDUP(IF(Staff[[#This Row],[Tenure]]&gt;2,3%,2%)*Staff[[#This Row],[Salary]],0)</f>
        <v>2357</v>
      </c>
      <c r="K106" s="20">
        <f>_xlfn.XLOOKUP(Staff[[#This Row],[Rating]],Sheet7!$B$4:$B$8,Sheet7!$C$4:$C$8)</f>
        <v>3</v>
      </c>
      <c r="L106" s="4"/>
      <c r="M106" s="4"/>
    </row>
    <row r="107" spans="1:13" x14ac:dyDescent="0.2">
      <c r="A107" t="s">
        <v>48</v>
      </c>
      <c r="B107" t="s">
        <v>8</v>
      </c>
      <c r="C107">
        <v>36</v>
      </c>
      <c r="D107" t="s">
        <v>16</v>
      </c>
      <c r="E107" s="3">
        <v>44494</v>
      </c>
      <c r="F107" t="s">
        <v>19</v>
      </c>
      <c r="G107" s="2">
        <v>78540</v>
      </c>
      <c r="H107" t="s">
        <v>206</v>
      </c>
      <c r="I107" s="4">
        <f ca="1">(TODAY()-Staff[[#This Row],[Date Joined]])/365</f>
        <v>2.2136986301369861</v>
      </c>
      <c r="J107" s="19">
        <f ca="1">ROUNDUP(IF(Staff[[#This Row],[Tenure]]&gt;2,3%,2%)*Staff[[#This Row],[Salary]],0)</f>
        <v>2357</v>
      </c>
      <c r="K107" s="20">
        <f>_xlfn.XLOOKUP(Staff[[#This Row],[Rating]],Sheet7!$B$4:$B$8,Sheet7!$C$4:$C$8)</f>
        <v>3</v>
      </c>
      <c r="L107" s="4"/>
      <c r="M107" s="4"/>
    </row>
    <row r="108" spans="1:13" x14ac:dyDescent="0.2">
      <c r="A108" t="s">
        <v>196</v>
      </c>
      <c r="B108" t="s">
        <v>15</v>
      </c>
      <c r="C108">
        <v>20</v>
      </c>
      <c r="D108" t="s">
        <v>16</v>
      </c>
      <c r="E108" s="3">
        <v>44683</v>
      </c>
      <c r="F108" t="s">
        <v>9</v>
      </c>
      <c r="G108" s="2">
        <v>79570</v>
      </c>
      <c r="H108" t="s">
        <v>204</v>
      </c>
      <c r="I108" s="4">
        <f ca="1">(TODAY()-Staff[[#This Row],[Date Joined]])/365</f>
        <v>1.6958904109589041</v>
      </c>
      <c r="J108" s="19">
        <f ca="1">ROUNDUP(IF(Staff[[#This Row],[Tenure]]&gt;2,3%,2%)*Staff[[#This Row],[Salary]],0)</f>
        <v>1592</v>
      </c>
      <c r="K108" s="20">
        <f>_xlfn.XLOOKUP(Staff[[#This Row],[Rating]],Sheet7!$B$4:$B$8,Sheet7!$C$4:$C$8)</f>
        <v>3</v>
      </c>
      <c r="L108" s="4"/>
      <c r="M108" s="4"/>
    </row>
    <row r="109" spans="1:13" x14ac:dyDescent="0.2">
      <c r="A109" t="s">
        <v>104</v>
      </c>
      <c r="B109" t="s">
        <v>15</v>
      </c>
      <c r="C109">
        <v>20</v>
      </c>
      <c r="D109" t="s">
        <v>16</v>
      </c>
      <c r="E109" s="3">
        <v>44744</v>
      </c>
      <c r="F109" t="s">
        <v>9</v>
      </c>
      <c r="G109" s="2">
        <v>79570</v>
      </c>
      <c r="H109" t="s">
        <v>206</v>
      </c>
      <c r="I109" s="4">
        <f ca="1">(TODAY()-Staff[[#This Row],[Date Joined]])/365</f>
        <v>1.5287671232876712</v>
      </c>
      <c r="J109" s="19">
        <f ca="1">ROUNDUP(IF(Staff[[#This Row],[Tenure]]&gt;2,3%,2%)*Staff[[#This Row],[Salary]],0)</f>
        <v>1592</v>
      </c>
      <c r="K109" s="20">
        <f>_xlfn.XLOOKUP(Staff[[#This Row],[Rating]],Sheet7!$B$4:$B$8,Sheet7!$C$4:$C$8)</f>
        <v>3</v>
      </c>
      <c r="L109" s="4"/>
      <c r="M109" s="4"/>
    </row>
    <row r="110" spans="1:13" x14ac:dyDescent="0.2">
      <c r="A110" t="s">
        <v>132</v>
      </c>
      <c r="B110" t="s">
        <v>8</v>
      </c>
      <c r="C110">
        <v>25</v>
      </c>
      <c r="D110" t="s">
        <v>13</v>
      </c>
      <c r="E110" s="3">
        <v>44633</v>
      </c>
      <c r="F110" t="s">
        <v>12</v>
      </c>
      <c r="G110" s="2">
        <v>80700</v>
      </c>
      <c r="H110" t="s">
        <v>204</v>
      </c>
      <c r="I110" s="4">
        <f ca="1">(TODAY()-Staff[[#This Row],[Date Joined]])/365</f>
        <v>1.832876712328767</v>
      </c>
      <c r="J110" s="19">
        <f ca="1">ROUNDUP(IF(Staff[[#This Row],[Tenure]]&gt;2,3%,2%)*Staff[[#This Row],[Salary]],0)</f>
        <v>1614</v>
      </c>
      <c r="K110" s="20">
        <f>_xlfn.XLOOKUP(Staff[[#This Row],[Rating]],Sheet7!$B$4:$B$8,Sheet7!$C$4:$C$8)</f>
        <v>4</v>
      </c>
      <c r="L110" s="4"/>
      <c r="M110" s="4"/>
    </row>
    <row r="111" spans="1:13" x14ac:dyDescent="0.2">
      <c r="A111" t="s">
        <v>39</v>
      </c>
      <c r="B111" t="s">
        <v>8</v>
      </c>
      <c r="C111">
        <v>25</v>
      </c>
      <c r="D111" t="s">
        <v>13</v>
      </c>
      <c r="E111" s="3">
        <v>44694</v>
      </c>
      <c r="F111" t="s">
        <v>12</v>
      </c>
      <c r="G111" s="2">
        <v>80700</v>
      </c>
      <c r="H111" t="s">
        <v>206</v>
      </c>
      <c r="I111" s="4">
        <f ca="1">(TODAY()-Staff[[#This Row],[Date Joined]])/365</f>
        <v>1.6657534246575343</v>
      </c>
      <c r="J111" s="19">
        <f ca="1">ROUNDUP(IF(Staff[[#This Row],[Tenure]]&gt;2,3%,2%)*Staff[[#This Row],[Salary]],0)</f>
        <v>1614</v>
      </c>
      <c r="K111" s="20">
        <f>_xlfn.XLOOKUP(Staff[[#This Row],[Rating]],Sheet7!$B$4:$B$8,Sheet7!$C$4:$C$8)</f>
        <v>4</v>
      </c>
      <c r="L111" s="4"/>
      <c r="M111" s="4"/>
    </row>
    <row r="112" spans="1:13" x14ac:dyDescent="0.2">
      <c r="A112" t="s">
        <v>184</v>
      </c>
      <c r="B112" t="s">
        <v>8</v>
      </c>
      <c r="C112">
        <v>27</v>
      </c>
      <c r="D112" t="s">
        <v>16</v>
      </c>
      <c r="E112" s="3">
        <v>44625</v>
      </c>
      <c r="F112" t="s">
        <v>12</v>
      </c>
      <c r="G112" s="2">
        <v>83750</v>
      </c>
      <c r="H112" t="s">
        <v>204</v>
      </c>
      <c r="I112" s="4">
        <f ca="1">(TODAY()-Staff[[#This Row],[Date Joined]])/365</f>
        <v>1.8547945205479452</v>
      </c>
      <c r="J112" s="19">
        <f ca="1">ROUNDUP(IF(Staff[[#This Row],[Tenure]]&gt;2,3%,2%)*Staff[[#This Row],[Salary]],0)</f>
        <v>1675</v>
      </c>
      <c r="K112" s="20">
        <f>_xlfn.XLOOKUP(Staff[[#This Row],[Rating]],Sheet7!$B$4:$B$8,Sheet7!$C$4:$C$8)</f>
        <v>3</v>
      </c>
      <c r="L112" s="4"/>
      <c r="M112" s="4"/>
    </row>
    <row r="113" spans="1:13" x14ac:dyDescent="0.2">
      <c r="A113" t="s">
        <v>92</v>
      </c>
      <c r="B113" t="s">
        <v>8</v>
      </c>
      <c r="C113">
        <v>27</v>
      </c>
      <c r="D113" t="s">
        <v>16</v>
      </c>
      <c r="E113" s="3">
        <v>44686</v>
      </c>
      <c r="F113" t="s">
        <v>12</v>
      </c>
      <c r="G113" s="2">
        <v>83750</v>
      </c>
      <c r="H113" t="s">
        <v>206</v>
      </c>
      <c r="I113" s="4">
        <f ca="1">(TODAY()-Staff[[#This Row],[Date Joined]])/365</f>
        <v>1.6876712328767123</v>
      </c>
      <c r="J113" s="19">
        <f ca="1">ROUNDUP(IF(Staff[[#This Row],[Tenure]]&gt;2,3%,2%)*Staff[[#This Row],[Salary]],0)</f>
        <v>1675</v>
      </c>
      <c r="K113" s="20">
        <f>_xlfn.XLOOKUP(Staff[[#This Row],[Rating]],Sheet7!$B$4:$B$8,Sheet7!$C$4:$C$8)</f>
        <v>3</v>
      </c>
      <c r="L113" s="4"/>
      <c r="M113" s="4"/>
    </row>
    <row r="114" spans="1:13" x14ac:dyDescent="0.2">
      <c r="A114" t="s">
        <v>121</v>
      </c>
      <c r="B114" t="s">
        <v>8</v>
      </c>
      <c r="C114">
        <v>34</v>
      </c>
      <c r="D114" t="s">
        <v>16</v>
      </c>
      <c r="E114" s="3">
        <v>44397</v>
      </c>
      <c r="F114" t="s">
        <v>21</v>
      </c>
      <c r="G114" s="2">
        <v>85000</v>
      </c>
      <c r="H114" t="s">
        <v>204</v>
      </c>
      <c r="I114" s="4">
        <f ca="1">(TODAY()-Staff[[#This Row],[Date Joined]])/365</f>
        <v>2.4794520547945207</v>
      </c>
      <c r="J114" s="19">
        <f ca="1">ROUNDUP(IF(Staff[[#This Row],[Tenure]]&gt;2,3%,2%)*Staff[[#This Row],[Salary]],0)</f>
        <v>2550</v>
      </c>
      <c r="K114" s="20">
        <f>_xlfn.XLOOKUP(Staff[[#This Row],[Rating]],Sheet7!$B$4:$B$8,Sheet7!$C$4:$C$8)</f>
        <v>3</v>
      </c>
      <c r="L114" s="4"/>
      <c r="M114" s="4"/>
    </row>
    <row r="115" spans="1:13" x14ac:dyDescent="0.2">
      <c r="A115" t="s">
        <v>28</v>
      </c>
      <c r="B115" t="s">
        <v>8</v>
      </c>
      <c r="C115">
        <v>34</v>
      </c>
      <c r="D115" t="s">
        <v>16</v>
      </c>
      <c r="E115" s="3">
        <v>44459</v>
      </c>
      <c r="F115" t="s">
        <v>21</v>
      </c>
      <c r="G115" s="2">
        <v>85000</v>
      </c>
      <c r="H115" t="s">
        <v>206</v>
      </c>
      <c r="I115" s="4">
        <f ca="1">(TODAY()-Staff[[#This Row],[Date Joined]])/365</f>
        <v>2.3095890410958906</v>
      </c>
      <c r="J115" s="19">
        <f ca="1">ROUNDUP(IF(Staff[[#This Row],[Tenure]]&gt;2,3%,2%)*Staff[[#This Row],[Salary]],0)</f>
        <v>2550</v>
      </c>
      <c r="K115" s="20">
        <f>_xlfn.XLOOKUP(Staff[[#This Row],[Rating]],Sheet7!$B$4:$B$8,Sheet7!$C$4:$C$8)</f>
        <v>3</v>
      </c>
      <c r="L115" s="4"/>
      <c r="M115" s="4"/>
    </row>
    <row r="116" spans="1:13" x14ac:dyDescent="0.2">
      <c r="A116" t="s">
        <v>180</v>
      </c>
      <c r="B116" t="s">
        <v>8</v>
      </c>
      <c r="C116">
        <v>33</v>
      </c>
      <c r="D116" t="s">
        <v>16</v>
      </c>
      <c r="E116" s="3">
        <v>44747</v>
      </c>
      <c r="F116" t="s">
        <v>21</v>
      </c>
      <c r="G116" s="2">
        <v>86570</v>
      </c>
      <c r="H116" t="s">
        <v>204</v>
      </c>
      <c r="I116" s="4">
        <f ca="1">(TODAY()-Staff[[#This Row],[Date Joined]])/365</f>
        <v>1.5205479452054795</v>
      </c>
      <c r="J116" s="19">
        <f ca="1">ROUNDUP(IF(Staff[[#This Row],[Tenure]]&gt;2,3%,2%)*Staff[[#This Row],[Salary]],0)</f>
        <v>1732</v>
      </c>
      <c r="K116" s="20">
        <f>_xlfn.XLOOKUP(Staff[[#This Row],[Rating]],Sheet7!$B$4:$B$8,Sheet7!$C$4:$C$8)</f>
        <v>3</v>
      </c>
      <c r="L116" s="4"/>
      <c r="M116" s="4"/>
    </row>
    <row r="117" spans="1:13" x14ac:dyDescent="0.2">
      <c r="A117" t="s">
        <v>88</v>
      </c>
      <c r="B117" t="s">
        <v>8</v>
      </c>
      <c r="C117">
        <v>33</v>
      </c>
      <c r="D117" t="s">
        <v>16</v>
      </c>
      <c r="E117" s="3">
        <v>44809</v>
      </c>
      <c r="F117" t="s">
        <v>21</v>
      </c>
      <c r="G117" s="2">
        <v>86570</v>
      </c>
      <c r="H117" t="s">
        <v>206</v>
      </c>
      <c r="I117" s="4">
        <f ca="1">(TODAY()-Staff[[#This Row],[Date Joined]])/365</f>
        <v>1.3506849315068492</v>
      </c>
      <c r="J117" s="19">
        <f ca="1">ROUNDUP(IF(Staff[[#This Row],[Tenure]]&gt;2,3%,2%)*Staff[[#This Row],[Salary]],0)</f>
        <v>1732</v>
      </c>
      <c r="K117" s="20">
        <f>_xlfn.XLOOKUP(Staff[[#This Row],[Rating]],Sheet7!$B$4:$B$8,Sheet7!$C$4:$C$8)</f>
        <v>3</v>
      </c>
      <c r="L117" s="4"/>
      <c r="M117" s="4"/>
    </row>
    <row r="118" spans="1:13" x14ac:dyDescent="0.2">
      <c r="A118" t="s">
        <v>165</v>
      </c>
      <c r="B118" t="s">
        <v>8</v>
      </c>
      <c r="C118">
        <v>40</v>
      </c>
      <c r="D118" t="s">
        <v>16</v>
      </c>
      <c r="E118" s="3">
        <v>44276</v>
      </c>
      <c r="F118" t="s">
        <v>12</v>
      </c>
      <c r="G118" s="2">
        <v>87620</v>
      </c>
      <c r="H118" t="s">
        <v>204</v>
      </c>
      <c r="I118" s="4">
        <f ca="1">(TODAY()-Staff[[#This Row],[Date Joined]])/365</f>
        <v>2.8109589041095893</v>
      </c>
      <c r="J118" s="19">
        <f ca="1">ROUNDUP(IF(Staff[[#This Row],[Tenure]]&gt;2,3%,2%)*Staff[[#This Row],[Salary]],0)</f>
        <v>2629</v>
      </c>
      <c r="K118" s="20">
        <f>_xlfn.XLOOKUP(Staff[[#This Row],[Rating]],Sheet7!$B$4:$B$8,Sheet7!$C$4:$C$8)</f>
        <v>3</v>
      </c>
      <c r="L118" s="4"/>
      <c r="M118" s="4"/>
    </row>
    <row r="119" spans="1:13" x14ac:dyDescent="0.2">
      <c r="A119" t="s">
        <v>74</v>
      </c>
      <c r="B119" t="s">
        <v>8</v>
      </c>
      <c r="C119">
        <v>40</v>
      </c>
      <c r="D119" t="s">
        <v>16</v>
      </c>
      <c r="E119" s="3">
        <v>44337</v>
      </c>
      <c r="F119" t="s">
        <v>12</v>
      </c>
      <c r="G119" s="2">
        <v>87620</v>
      </c>
      <c r="H119" t="s">
        <v>206</v>
      </c>
      <c r="I119" s="4">
        <f ca="1">(TODAY()-Staff[[#This Row],[Date Joined]])/365</f>
        <v>2.6438356164383561</v>
      </c>
      <c r="J119" s="19">
        <f ca="1">ROUNDUP(IF(Staff[[#This Row],[Tenure]]&gt;2,3%,2%)*Staff[[#This Row],[Salary]],0)</f>
        <v>2629</v>
      </c>
      <c r="K119" s="20">
        <f>_xlfn.XLOOKUP(Staff[[#This Row],[Rating]],Sheet7!$B$4:$B$8,Sheet7!$C$4:$C$8)</f>
        <v>3</v>
      </c>
      <c r="L119" s="4"/>
      <c r="M119" s="4"/>
    </row>
    <row r="120" spans="1:13" x14ac:dyDescent="0.2">
      <c r="A120" t="s">
        <v>117</v>
      </c>
      <c r="B120" t="s">
        <v>15</v>
      </c>
      <c r="C120">
        <v>37</v>
      </c>
      <c r="D120" t="s">
        <v>24</v>
      </c>
      <c r="E120" s="3">
        <v>44277</v>
      </c>
      <c r="F120" t="s">
        <v>12</v>
      </c>
      <c r="G120" s="2">
        <v>88050</v>
      </c>
      <c r="H120" t="s">
        <v>204</v>
      </c>
      <c r="I120" s="4">
        <f ca="1">(TODAY()-Staff[[#This Row],[Date Joined]])/365</f>
        <v>2.8082191780821919</v>
      </c>
      <c r="J120" s="19">
        <f ca="1">ROUNDUP(IF(Staff[[#This Row],[Tenure]]&gt;2,3%,2%)*Staff[[#This Row],[Salary]],0)</f>
        <v>2642</v>
      </c>
      <c r="K120" s="20">
        <f>_xlfn.XLOOKUP(Staff[[#This Row],[Rating]],Sheet7!$B$4:$B$8,Sheet7!$C$4:$C$8)</f>
        <v>2</v>
      </c>
      <c r="L120" s="4"/>
      <c r="M120" s="4"/>
    </row>
    <row r="121" spans="1:13" x14ac:dyDescent="0.2">
      <c r="A121" t="s">
        <v>23</v>
      </c>
      <c r="B121" t="s">
        <v>15</v>
      </c>
      <c r="C121">
        <v>37</v>
      </c>
      <c r="D121" t="s">
        <v>24</v>
      </c>
      <c r="E121" s="3">
        <v>44338</v>
      </c>
      <c r="F121" t="s">
        <v>12</v>
      </c>
      <c r="G121" s="2">
        <v>88050</v>
      </c>
      <c r="H121" t="s">
        <v>206</v>
      </c>
      <c r="I121" s="4">
        <f ca="1">(TODAY()-Staff[[#This Row],[Date Joined]])/365</f>
        <v>2.6410958904109587</v>
      </c>
      <c r="J121" s="19">
        <f ca="1">ROUNDUP(IF(Staff[[#This Row],[Tenure]]&gt;2,3%,2%)*Staff[[#This Row],[Salary]],0)</f>
        <v>2642</v>
      </c>
      <c r="K121" s="20">
        <f>_xlfn.XLOOKUP(Staff[[#This Row],[Rating]],Sheet7!$B$4:$B$8,Sheet7!$C$4:$C$8)</f>
        <v>2</v>
      </c>
      <c r="L121" s="4"/>
      <c r="M121" s="4"/>
    </row>
    <row r="122" spans="1:13" x14ac:dyDescent="0.2">
      <c r="A122" t="s">
        <v>111</v>
      </c>
      <c r="B122" t="s">
        <v>205</v>
      </c>
      <c r="C122">
        <v>27</v>
      </c>
      <c r="D122" t="s">
        <v>13</v>
      </c>
      <c r="E122" s="3">
        <v>44212</v>
      </c>
      <c r="F122" t="s">
        <v>12</v>
      </c>
      <c r="G122" s="2">
        <v>90700</v>
      </c>
      <c r="H122" t="s">
        <v>204</v>
      </c>
      <c r="I122" s="4">
        <f ca="1">(TODAY()-Staff[[#This Row],[Date Joined]])/365</f>
        <v>2.9863013698630136</v>
      </c>
      <c r="J122" s="19">
        <f ca="1">ROUNDUP(IF(Staff[[#This Row],[Tenure]]&gt;2,3%,2%)*Staff[[#This Row],[Salary]],0)</f>
        <v>2721</v>
      </c>
      <c r="K122" s="20">
        <f>_xlfn.XLOOKUP(Staff[[#This Row],[Rating]],Sheet7!$B$4:$B$8,Sheet7!$C$4:$C$8)</f>
        <v>4</v>
      </c>
      <c r="L122" s="4"/>
      <c r="M122" s="4"/>
    </row>
    <row r="123" spans="1:13" x14ac:dyDescent="0.2">
      <c r="A123" t="s">
        <v>11</v>
      </c>
      <c r="B123" t="s">
        <v>205</v>
      </c>
      <c r="C123">
        <v>26</v>
      </c>
      <c r="D123" t="s">
        <v>13</v>
      </c>
      <c r="E123" s="3">
        <v>44271</v>
      </c>
      <c r="F123" t="s">
        <v>12</v>
      </c>
      <c r="G123" s="2">
        <v>90700</v>
      </c>
      <c r="H123" t="s">
        <v>206</v>
      </c>
      <c r="I123" s="4">
        <f ca="1">(TODAY()-Staff[[#This Row],[Date Joined]])/365</f>
        <v>2.8246575342465752</v>
      </c>
      <c r="J123" s="19">
        <f ca="1">ROUNDUP(IF(Staff[[#This Row],[Tenure]]&gt;2,3%,2%)*Staff[[#This Row],[Salary]],0)</f>
        <v>2721</v>
      </c>
      <c r="K123" s="20">
        <f>_xlfn.XLOOKUP(Staff[[#This Row],[Rating]],Sheet7!$B$4:$B$8,Sheet7!$C$4:$C$8)</f>
        <v>4</v>
      </c>
      <c r="L123" s="4"/>
      <c r="M123" s="4"/>
    </row>
    <row r="124" spans="1:13" x14ac:dyDescent="0.2">
      <c r="A124" t="s">
        <v>144</v>
      </c>
      <c r="B124" t="s">
        <v>205</v>
      </c>
      <c r="C124">
        <v>32</v>
      </c>
      <c r="D124" t="s">
        <v>16</v>
      </c>
      <c r="E124" s="3">
        <v>44713</v>
      </c>
      <c r="F124" t="s">
        <v>12</v>
      </c>
      <c r="G124" s="2">
        <v>91310</v>
      </c>
      <c r="H124" t="s">
        <v>204</v>
      </c>
      <c r="I124" s="4">
        <f ca="1">(TODAY()-Staff[[#This Row],[Date Joined]])/365</f>
        <v>1.6136986301369862</v>
      </c>
      <c r="J124" s="19">
        <f ca="1">ROUNDUP(IF(Staff[[#This Row],[Tenure]]&gt;2,3%,2%)*Staff[[#This Row],[Salary]],0)</f>
        <v>1827</v>
      </c>
      <c r="K124" s="20">
        <f>_xlfn.XLOOKUP(Staff[[#This Row],[Rating]],Sheet7!$B$4:$B$8,Sheet7!$C$4:$C$8)</f>
        <v>3</v>
      </c>
      <c r="L124" s="4"/>
      <c r="M124" s="4"/>
    </row>
    <row r="125" spans="1:13" x14ac:dyDescent="0.2">
      <c r="A125" t="s">
        <v>52</v>
      </c>
      <c r="B125" t="s">
        <v>205</v>
      </c>
      <c r="C125">
        <v>32</v>
      </c>
      <c r="D125" t="s">
        <v>16</v>
      </c>
      <c r="E125" s="3">
        <v>44774</v>
      </c>
      <c r="F125" t="s">
        <v>12</v>
      </c>
      <c r="G125" s="2">
        <v>91310</v>
      </c>
      <c r="H125" t="s">
        <v>206</v>
      </c>
      <c r="I125" s="4">
        <f ca="1">(TODAY()-Staff[[#This Row],[Date Joined]])/365</f>
        <v>1.4465753424657535</v>
      </c>
      <c r="J125" s="19">
        <f ca="1">ROUNDUP(IF(Staff[[#This Row],[Tenure]]&gt;2,3%,2%)*Staff[[#This Row],[Salary]],0)</f>
        <v>1827</v>
      </c>
      <c r="K125" s="20">
        <f>_xlfn.XLOOKUP(Staff[[#This Row],[Rating]],Sheet7!$B$4:$B$8,Sheet7!$C$4:$C$8)</f>
        <v>3</v>
      </c>
      <c r="L125" s="4"/>
      <c r="M125" s="4"/>
    </row>
    <row r="126" spans="1:13" x14ac:dyDescent="0.2">
      <c r="A126" t="s">
        <v>159</v>
      </c>
      <c r="B126" t="s">
        <v>15</v>
      </c>
      <c r="C126">
        <v>27</v>
      </c>
      <c r="D126" t="s">
        <v>13</v>
      </c>
      <c r="E126" s="3">
        <v>44174</v>
      </c>
      <c r="F126" t="s">
        <v>21</v>
      </c>
      <c r="G126" s="2">
        <v>91650</v>
      </c>
      <c r="H126" t="s">
        <v>204</v>
      </c>
      <c r="I126" s="4">
        <f ca="1">(TODAY()-Staff[[#This Row],[Date Joined]])/365</f>
        <v>3.0904109589041098</v>
      </c>
      <c r="J126" s="19">
        <f ca="1">ROUNDUP(IF(Staff[[#This Row],[Tenure]]&gt;2,3%,2%)*Staff[[#This Row],[Salary]],0)</f>
        <v>2750</v>
      </c>
      <c r="K126" s="20">
        <f>_xlfn.XLOOKUP(Staff[[#This Row],[Rating]],Sheet7!$B$4:$B$8,Sheet7!$C$4:$C$8)</f>
        <v>4</v>
      </c>
      <c r="L126" s="4"/>
      <c r="M126" s="4"/>
    </row>
    <row r="127" spans="1:13" x14ac:dyDescent="0.2">
      <c r="A127" t="s">
        <v>68</v>
      </c>
      <c r="B127" t="s">
        <v>15</v>
      </c>
      <c r="C127">
        <v>27</v>
      </c>
      <c r="D127" t="s">
        <v>13</v>
      </c>
      <c r="E127" s="3">
        <v>44236</v>
      </c>
      <c r="F127" t="s">
        <v>21</v>
      </c>
      <c r="G127" s="2">
        <v>91650</v>
      </c>
      <c r="H127" t="s">
        <v>206</v>
      </c>
      <c r="I127" s="4">
        <f ca="1">(TODAY()-Staff[[#This Row],[Date Joined]])/365</f>
        <v>2.9205479452054797</v>
      </c>
      <c r="J127" s="19">
        <f ca="1">ROUNDUP(IF(Staff[[#This Row],[Tenure]]&gt;2,3%,2%)*Staff[[#This Row],[Salary]],0)</f>
        <v>2750</v>
      </c>
      <c r="K127" s="20">
        <f>_xlfn.XLOOKUP(Staff[[#This Row],[Rating]],Sheet7!$B$4:$B$8,Sheet7!$C$4:$C$8)</f>
        <v>4</v>
      </c>
      <c r="L127" s="4"/>
      <c r="M127" s="4"/>
    </row>
    <row r="128" spans="1:13" x14ac:dyDescent="0.2">
      <c r="A128" t="s">
        <v>194</v>
      </c>
      <c r="B128" t="s">
        <v>8</v>
      </c>
      <c r="C128">
        <v>34</v>
      </c>
      <c r="D128" t="s">
        <v>16</v>
      </c>
      <c r="E128" s="3">
        <v>44383</v>
      </c>
      <c r="F128" t="s">
        <v>21</v>
      </c>
      <c r="G128" s="2">
        <v>92450</v>
      </c>
      <c r="H128" t="s">
        <v>204</v>
      </c>
      <c r="I128" s="4">
        <f ca="1">(TODAY()-Staff[[#This Row],[Date Joined]])/365</f>
        <v>2.5178082191780824</v>
      </c>
      <c r="J128" s="19">
        <f ca="1">ROUNDUP(IF(Staff[[#This Row],[Tenure]]&gt;2,3%,2%)*Staff[[#This Row],[Salary]],0)</f>
        <v>2774</v>
      </c>
      <c r="K128" s="20">
        <f>_xlfn.XLOOKUP(Staff[[#This Row],[Rating]],Sheet7!$B$4:$B$8,Sheet7!$C$4:$C$8)</f>
        <v>3</v>
      </c>
      <c r="L128" s="4"/>
      <c r="M128" s="4"/>
    </row>
    <row r="129" spans="1:13" x14ac:dyDescent="0.2">
      <c r="A129" t="s">
        <v>102</v>
      </c>
      <c r="B129" t="s">
        <v>8</v>
      </c>
      <c r="C129">
        <v>34</v>
      </c>
      <c r="D129" t="s">
        <v>16</v>
      </c>
      <c r="E129" s="3">
        <v>44445</v>
      </c>
      <c r="F129" t="s">
        <v>21</v>
      </c>
      <c r="G129" s="2">
        <v>92450</v>
      </c>
      <c r="H129" t="s">
        <v>206</v>
      </c>
      <c r="I129" s="4">
        <f ca="1">(TODAY()-Staff[[#This Row],[Date Joined]])/365</f>
        <v>2.3479452054794518</v>
      </c>
      <c r="J129" s="19">
        <f ca="1">ROUNDUP(IF(Staff[[#This Row],[Tenure]]&gt;2,3%,2%)*Staff[[#This Row],[Salary]],0)</f>
        <v>2774</v>
      </c>
      <c r="K129" s="20">
        <f>_xlfn.XLOOKUP(Staff[[#This Row],[Rating]],Sheet7!$B$4:$B$8,Sheet7!$C$4:$C$8)</f>
        <v>3</v>
      </c>
      <c r="L129" s="4"/>
      <c r="M129" s="4"/>
    </row>
    <row r="130" spans="1:13" x14ac:dyDescent="0.2">
      <c r="A130" t="s">
        <v>168</v>
      </c>
      <c r="B130" t="s">
        <v>8</v>
      </c>
      <c r="C130">
        <v>25</v>
      </c>
      <c r="D130" t="s">
        <v>16</v>
      </c>
      <c r="E130" s="3">
        <v>44144</v>
      </c>
      <c r="F130" t="s">
        <v>19</v>
      </c>
      <c r="G130" s="2">
        <v>92700</v>
      </c>
      <c r="H130" t="s">
        <v>204</v>
      </c>
      <c r="I130" s="4">
        <f ca="1">(TODAY()-Staff[[#This Row],[Date Joined]])/365</f>
        <v>3.1726027397260275</v>
      </c>
      <c r="J130" s="19">
        <f ca="1">ROUNDUP(IF(Staff[[#This Row],[Tenure]]&gt;2,3%,2%)*Staff[[#This Row],[Salary]],0)</f>
        <v>2781</v>
      </c>
      <c r="K130" s="20">
        <f>_xlfn.XLOOKUP(Staff[[#This Row],[Rating]],Sheet7!$B$4:$B$8,Sheet7!$C$4:$C$8)</f>
        <v>3</v>
      </c>
      <c r="L130" s="4"/>
      <c r="M130" s="4"/>
    </row>
    <row r="131" spans="1:13" x14ac:dyDescent="0.2">
      <c r="A131" t="s">
        <v>77</v>
      </c>
      <c r="B131" t="s">
        <v>8</v>
      </c>
      <c r="C131">
        <v>25</v>
      </c>
      <c r="D131" t="s">
        <v>16</v>
      </c>
      <c r="E131" s="3">
        <v>44205</v>
      </c>
      <c r="F131" t="s">
        <v>19</v>
      </c>
      <c r="G131" s="2">
        <v>92700</v>
      </c>
      <c r="H131" t="s">
        <v>206</v>
      </c>
      <c r="I131" s="4">
        <f ca="1">(TODAY()-Staff[[#This Row],[Date Joined]])/365</f>
        <v>3.0054794520547947</v>
      </c>
      <c r="J131" s="19">
        <f ca="1">ROUNDUP(IF(Staff[[#This Row],[Tenure]]&gt;2,3%,2%)*Staff[[#This Row],[Salary]],0)</f>
        <v>2781</v>
      </c>
      <c r="K131" s="20">
        <f>_xlfn.XLOOKUP(Staff[[#This Row],[Rating]],Sheet7!$B$4:$B$8,Sheet7!$C$4:$C$8)</f>
        <v>3</v>
      </c>
      <c r="L131" s="4"/>
      <c r="M131" s="4"/>
    </row>
    <row r="132" spans="1:13" x14ac:dyDescent="0.2">
      <c r="A132" t="s">
        <v>162</v>
      </c>
      <c r="B132" t="s">
        <v>8</v>
      </c>
      <c r="C132">
        <v>33</v>
      </c>
      <c r="D132" t="s">
        <v>16</v>
      </c>
      <c r="E132" s="3">
        <v>44129</v>
      </c>
      <c r="F132" t="s">
        <v>12</v>
      </c>
      <c r="G132" s="2">
        <v>96140</v>
      </c>
      <c r="H132" t="s">
        <v>204</v>
      </c>
      <c r="I132" s="4">
        <f ca="1">(TODAY()-Staff[[#This Row],[Date Joined]])/365</f>
        <v>3.2136986301369861</v>
      </c>
      <c r="J132" s="19">
        <f ca="1">ROUNDUP(IF(Staff[[#This Row],[Tenure]]&gt;2,3%,2%)*Staff[[#This Row],[Salary]],0)</f>
        <v>2885</v>
      </c>
      <c r="K132" s="20">
        <f>_xlfn.XLOOKUP(Staff[[#This Row],[Rating]],Sheet7!$B$4:$B$8,Sheet7!$C$4:$C$8)</f>
        <v>3</v>
      </c>
      <c r="L132" s="4"/>
      <c r="M132" s="4"/>
    </row>
    <row r="133" spans="1:13" x14ac:dyDescent="0.2">
      <c r="A133" t="s">
        <v>71</v>
      </c>
      <c r="B133" t="s">
        <v>8</v>
      </c>
      <c r="C133">
        <v>33</v>
      </c>
      <c r="D133" t="s">
        <v>16</v>
      </c>
      <c r="E133" s="3">
        <v>44190</v>
      </c>
      <c r="F133" t="s">
        <v>12</v>
      </c>
      <c r="G133" s="2">
        <v>96140</v>
      </c>
      <c r="H133" t="s">
        <v>206</v>
      </c>
      <c r="I133" s="4">
        <f ca="1">(TODAY()-Staff[[#This Row],[Date Joined]])/365</f>
        <v>3.0465753424657533</v>
      </c>
      <c r="J133" s="19">
        <f ca="1">ROUNDUP(IF(Staff[[#This Row],[Tenure]]&gt;2,3%,2%)*Staff[[#This Row],[Salary]],0)</f>
        <v>2885</v>
      </c>
      <c r="K133" s="20">
        <f>_xlfn.XLOOKUP(Staff[[#This Row],[Rating]],Sheet7!$B$4:$B$8,Sheet7!$C$4:$C$8)</f>
        <v>3</v>
      </c>
      <c r="L133" s="4"/>
      <c r="M133" s="4"/>
    </row>
    <row r="134" spans="1:13" x14ac:dyDescent="0.2">
      <c r="A134" t="s">
        <v>176</v>
      </c>
      <c r="B134" t="s">
        <v>15</v>
      </c>
      <c r="C134">
        <v>30</v>
      </c>
      <c r="D134" t="s">
        <v>16</v>
      </c>
      <c r="E134" s="3">
        <v>44544</v>
      </c>
      <c r="F134" t="s">
        <v>21</v>
      </c>
      <c r="G134" s="2">
        <v>96800</v>
      </c>
      <c r="H134" t="s">
        <v>204</v>
      </c>
      <c r="I134" s="4">
        <f ca="1">(TODAY()-Staff[[#This Row],[Date Joined]])/365</f>
        <v>2.0767123287671234</v>
      </c>
      <c r="J134" s="19">
        <f ca="1">ROUNDUP(IF(Staff[[#This Row],[Tenure]]&gt;2,3%,2%)*Staff[[#This Row],[Salary]],0)</f>
        <v>2904</v>
      </c>
      <c r="K134" s="20">
        <f>_xlfn.XLOOKUP(Staff[[#This Row],[Rating]],Sheet7!$B$4:$B$8,Sheet7!$C$4:$C$8)</f>
        <v>3</v>
      </c>
      <c r="L134" s="4"/>
      <c r="M134" s="4"/>
    </row>
    <row r="135" spans="1:13" x14ac:dyDescent="0.2">
      <c r="A135" t="s">
        <v>85</v>
      </c>
      <c r="B135" t="s">
        <v>15</v>
      </c>
      <c r="C135">
        <v>30</v>
      </c>
      <c r="D135" t="s">
        <v>16</v>
      </c>
      <c r="E135" s="3">
        <v>44606</v>
      </c>
      <c r="F135" t="s">
        <v>21</v>
      </c>
      <c r="G135" s="2">
        <v>96800</v>
      </c>
      <c r="H135" t="s">
        <v>206</v>
      </c>
      <c r="I135" s="4">
        <f ca="1">(TODAY()-Staff[[#This Row],[Date Joined]])/365</f>
        <v>1.9068493150684931</v>
      </c>
      <c r="J135" s="19">
        <f ca="1">ROUNDUP(IF(Staff[[#This Row],[Tenure]]&gt;2,3%,2%)*Staff[[#This Row],[Salary]],0)</f>
        <v>1936</v>
      </c>
      <c r="K135" s="20">
        <f>_xlfn.XLOOKUP(Staff[[#This Row],[Rating]],Sheet7!$B$4:$B$8,Sheet7!$C$4:$C$8)</f>
        <v>3</v>
      </c>
      <c r="L135" s="4"/>
      <c r="M135" s="4"/>
    </row>
    <row r="136" spans="1:13" x14ac:dyDescent="0.2">
      <c r="A136" t="s">
        <v>197</v>
      </c>
      <c r="B136" t="s">
        <v>15</v>
      </c>
      <c r="C136">
        <v>40</v>
      </c>
      <c r="D136" t="s">
        <v>16</v>
      </c>
      <c r="E136" s="3">
        <v>44204</v>
      </c>
      <c r="F136" t="s">
        <v>9</v>
      </c>
      <c r="G136" s="2">
        <v>99750</v>
      </c>
      <c r="H136" t="s">
        <v>204</v>
      </c>
      <c r="I136" s="4">
        <f ca="1">(TODAY()-Staff[[#This Row],[Date Joined]])/365</f>
        <v>3.0082191780821916</v>
      </c>
      <c r="J136" s="19">
        <f ca="1">ROUNDUP(IF(Staff[[#This Row],[Tenure]]&gt;2,3%,2%)*Staff[[#This Row],[Salary]],0)</f>
        <v>2993</v>
      </c>
      <c r="K136" s="20">
        <f>_xlfn.XLOOKUP(Staff[[#This Row],[Rating]],Sheet7!$B$4:$B$8,Sheet7!$C$4:$C$8)</f>
        <v>3</v>
      </c>
      <c r="L136" s="4"/>
      <c r="M136" s="4"/>
    </row>
    <row r="137" spans="1:13" x14ac:dyDescent="0.2">
      <c r="A137" t="s">
        <v>105</v>
      </c>
      <c r="B137" t="s">
        <v>15</v>
      </c>
      <c r="C137">
        <v>40</v>
      </c>
      <c r="D137" t="s">
        <v>16</v>
      </c>
      <c r="E137" s="3">
        <v>44263</v>
      </c>
      <c r="F137" t="s">
        <v>9</v>
      </c>
      <c r="G137" s="2">
        <v>99750</v>
      </c>
      <c r="H137" t="s">
        <v>206</v>
      </c>
      <c r="I137" s="4">
        <f ca="1">(TODAY()-Staff[[#This Row],[Date Joined]])/365</f>
        <v>2.8465753424657536</v>
      </c>
      <c r="J137" s="19">
        <f ca="1">ROUNDUP(IF(Staff[[#This Row],[Tenure]]&gt;2,3%,2%)*Staff[[#This Row],[Salary]],0)</f>
        <v>2993</v>
      </c>
      <c r="K137" s="20">
        <f>_xlfn.XLOOKUP(Staff[[#This Row],[Rating]],Sheet7!$B$4:$B$8,Sheet7!$C$4:$C$8)</f>
        <v>3</v>
      </c>
      <c r="L137" s="4"/>
      <c r="M137" s="4"/>
    </row>
    <row r="138" spans="1:13" x14ac:dyDescent="0.2">
      <c r="A138" t="s">
        <v>199</v>
      </c>
      <c r="B138" t="s">
        <v>8</v>
      </c>
      <c r="C138">
        <v>28</v>
      </c>
      <c r="D138" t="s">
        <v>16</v>
      </c>
      <c r="E138" s="3">
        <v>44571</v>
      </c>
      <c r="F138" t="s">
        <v>9</v>
      </c>
      <c r="G138" s="2">
        <v>99970</v>
      </c>
      <c r="H138" t="s">
        <v>204</v>
      </c>
      <c r="I138" s="4">
        <f ca="1">(TODAY()-Staff[[#This Row],[Date Joined]])/365</f>
        <v>2.0027397260273974</v>
      </c>
      <c r="J138" s="19">
        <f ca="1">ROUNDUP(IF(Staff[[#This Row],[Tenure]]&gt;2,3%,2%)*Staff[[#This Row],[Salary]],0)</f>
        <v>3000</v>
      </c>
      <c r="K138" s="20">
        <f>_xlfn.XLOOKUP(Staff[[#This Row],[Rating]],Sheet7!$B$4:$B$8,Sheet7!$C$4:$C$8)</f>
        <v>3</v>
      </c>
      <c r="L138" s="4"/>
      <c r="M138" s="4"/>
    </row>
    <row r="139" spans="1:13" x14ac:dyDescent="0.2">
      <c r="A139" t="s">
        <v>107</v>
      </c>
      <c r="B139" t="s">
        <v>8</v>
      </c>
      <c r="C139">
        <v>28</v>
      </c>
      <c r="D139" t="s">
        <v>16</v>
      </c>
      <c r="E139" s="3">
        <v>44630</v>
      </c>
      <c r="F139" t="s">
        <v>9</v>
      </c>
      <c r="G139" s="2">
        <v>99970</v>
      </c>
      <c r="H139" t="s">
        <v>206</v>
      </c>
      <c r="I139" s="4">
        <f ca="1">(TODAY()-Staff[[#This Row],[Date Joined]])/365</f>
        <v>1.8410958904109589</v>
      </c>
      <c r="J139" s="19">
        <f ca="1">ROUNDUP(IF(Staff[[#This Row],[Tenure]]&gt;2,3%,2%)*Staff[[#This Row],[Salary]],0)</f>
        <v>2000</v>
      </c>
      <c r="K139" s="20">
        <f>_xlfn.XLOOKUP(Staff[[#This Row],[Rating]],Sheet7!$B$4:$B$8,Sheet7!$C$4:$C$8)</f>
        <v>3</v>
      </c>
      <c r="L139" s="4"/>
      <c r="M139" s="4"/>
    </row>
    <row r="140" spans="1:13" x14ac:dyDescent="0.2">
      <c r="A140" t="s">
        <v>195</v>
      </c>
      <c r="B140" t="s">
        <v>15</v>
      </c>
      <c r="C140">
        <v>24</v>
      </c>
      <c r="D140" t="s">
        <v>16</v>
      </c>
      <c r="E140" s="3">
        <v>44625</v>
      </c>
      <c r="F140" t="s">
        <v>12</v>
      </c>
      <c r="G140" s="2">
        <v>100420</v>
      </c>
      <c r="H140" t="s">
        <v>204</v>
      </c>
      <c r="I140" s="4">
        <f ca="1">(TODAY()-Staff[[#This Row],[Date Joined]])/365</f>
        <v>1.8547945205479452</v>
      </c>
      <c r="J140" s="19">
        <f ca="1">ROUNDUP(IF(Staff[[#This Row],[Tenure]]&gt;2,3%,2%)*Staff[[#This Row],[Salary]],0)</f>
        <v>2009</v>
      </c>
      <c r="K140" s="20">
        <f>_xlfn.XLOOKUP(Staff[[#This Row],[Rating]],Sheet7!$B$4:$B$8,Sheet7!$C$4:$C$8)</f>
        <v>3</v>
      </c>
      <c r="L140" s="4"/>
      <c r="M140" s="4"/>
    </row>
    <row r="141" spans="1:13" x14ac:dyDescent="0.2">
      <c r="A141" t="s">
        <v>103</v>
      </c>
      <c r="B141" t="s">
        <v>15</v>
      </c>
      <c r="C141">
        <v>24</v>
      </c>
      <c r="D141" t="s">
        <v>16</v>
      </c>
      <c r="E141" s="3">
        <v>44686</v>
      </c>
      <c r="F141" t="s">
        <v>12</v>
      </c>
      <c r="G141" s="2">
        <v>100420</v>
      </c>
      <c r="H141" t="s">
        <v>206</v>
      </c>
      <c r="I141" s="4">
        <f ca="1">(TODAY()-Staff[[#This Row],[Date Joined]])/365</f>
        <v>1.6876712328767123</v>
      </c>
      <c r="J141" s="19">
        <f ca="1">ROUNDUP(IF(Staff[[#This Row],[Tenure]]&gt;2,3%,2%)*Staff[[#This Row],[Salary]],0)</f>
        <v>2009</v>
      </c>
      <c r="K141" s="20">
        <f>_xlfn.XLOOKUP(Staff[[#This Row],[Rating]],Sheet7!$B$4:$B$8,Sheet7!$C$4:$C$8)</f>
        <v>3</v>
      </c>
      <c r="L141" s="4"/>
      <c r="M141" s="4"/>
    </row>
    <row r="142" spans="1:13" x14ac:dyDescent="0.2">
      <c r="A142" t="s">
        <v>142</v>
      </c>
      <c r="B142" t="s">
        <v>15</v>
      </c>
      <c r="C142">
        <v>31</v>
      </c>
      <c r="D142" t="s">
        <v>16</v>
      </c>
      <c r="E142" s="3">
        <v>44663</v>
      </c>
      <c r="F142" t="s">
        <v>9</v>
      </c>
      <c r="G142" s="2">
        <v>103550</v>
      </c>
      <c r="H142" t="s">
        <v>204</v>
      </c>
      <c r="I142" s="4">
        <f ca="1">(TODAY()-Staff[[#This Row],[Date Joined]])/365</f>
        <v>1.7506849315068493</v>
      </c>
      <c r="J142" s="19">
        <f ca="1">ROUNDUP(IF(Staff[[#This Row],[Tenure]]&gt;2,3%,2%)*Staff[[#This Row],[Salary]],0)</f>
        <v>2071</v>
      </c>
      <c r="K142" s="20">
        <f>_xlfn.XLOOKUP(Staff[[#This Row],[Rating]],Sheet7!$B$4:$B$8,Sheet7!$C$4:$C$8)</f>
        <v>3</v>
      </c>
      <c r="L142" s="4"/>
      <c r="M142" s="4"/>
    </row>
    <row r="143" spans="1:13" x14ac:dyDescent="0.2">
      <c r="A143" t="s">
        <v>50</v>
      </c>
      <c r="B143" t="s">
        <v>15</v>
      </c>
      <c r="C143">
        <v>31</v>
      </c>
      <c r="D143" t="s">
        <v>16</v>
      </c>
      <c r="E143" s="3">
        <v>44724</v>
      </c>
      <c r="F143" t="s">
        <v>9</v>
      </c>
      <c r="G143" s="2">
        <v>103550</v>
      </c>
      <c r="H143" t="s">
        <v>206</v>
      </c>
      <c r="I143" s="4">
        <f ca="1">(TODAY()-Staff[[#This Row],[Date Joined]])/365</f>
        <v>1.5835616438356164</v>
      </c>
      <c r="J143" s="19">
        <f ca="1">ROUNDUP(IF(Staff[[#This Row],[Tenure]]&gt;2,3%,2%)*Staff[[#This Row],[Salary]],0)</f>
        <v>2071</v>
      </c>
      <c r="K143" s="20">
        <f>_xlfn.XLOOKUP(Staff[[#This Row],[Rating]],Sheet7!$B$4:$B$8,Sheet7!$C$4:$C$8)</f>
        <v>3</v>
      </c>
      <c r="L143" s="4"/>
      <c r="M143" s="4"/>
    </row>
    <row r="144" spans="1:13" x14ac:dyDescent="0.2">
      <c r="A144" t="s">
        <v>188</v>
      </c>
      <c r="B144" t="s">
        <v>8</v>
      </c>
      <c r="C144">
        <v>28</v>
      </c>
      <c r="D144" t="s">
        <v>16</v>
      </c>
      <c r="E144" s="3">
        <v>44590</v>
      </c>
      <c r="F144" t="s">
        <v>9</v>
      </c>
      <c r="G144" s="2">
        <v>104120</v>
      </c>
      <c r="H144" t="s">
        <v>204</v>
      </c>
      <c r="I144" s="4">
        <f ca="1">(TODAY()-Staff[[#This Row],[Date Joined]])/365</f>
        <v>1.9506849315068493</v>
      </c>
      <c r="J144" s="19">
        <f ca="1">ROUNDUP(IF(Staff[[#This Row],[Tenure]]&gt;2,3%,2%)*Staff[[#This Row],[Salary]],0)</f>
        <v>2083</v>
      </c>
      <c r="K144" s="20">
        <f>_xlfn.XLOOKUP(Staff[[#This Row],[Rating]],Sheet7!$B$4:$B$8,Sheet7!$C$4:$C$8)</f>
        <v>3</v>
      </c>
      <c r="L144" s="4"/>
      <c r="M144" s="4"/>
    </row>
    <row r="145" spans="1:13" x14ac:dyDescent="0.2">
      <c r="A145" t="s">
        <v>96</v>
      </c>
      <c r="B145" t="s">
        <v>8</v>
      </c>
      <c r="C145">
        <v>28</v>
      </c>
      <c r="D145" t="s">
        <v>16</v>
      </c>
      <c r="E145" s="3">
        <v>44649</v>
      </c>
      <c r="F145" t="s">
        <v>9</v>
      </c>
      <c r="G145" s="2">
        <v>104120</v>
      </c>
      <c r="H145" t="s">
        <v>206</v>
      </c>
      <c r="I145" s="4">
        <f ca="1">(TODAY()-Staff[[#This Row],[Date Joined]])/365</f>
        <v>1.789041095890411</v>
      </c>
      <c r="J145" s="19">
        <f ca="1">ROUNDUP(IF(Staff[[#This Row],[Tenure]]&gt;2,3%,2%)*Staff[[#This Row],[Salary]],0)</f>
        <v>2083</v>
      </c>
      <c r="K145" s="20">
        <f>_xlfn.XLOOKUP(Staff[[#This Row],[Rating]],Sheet7!$B$4:$B$8,Sheet7!$C$4:$C$8)</f>
        <v>3</v>
      </c>
      <c r="L145" s="4"/>
      <c r="M145" s="4"/>
    </row>
    <row r="146" spans="1:13" x14ac:dyDescent="0.2">
      <c r="A146" t="s">
        <v>193</v>
      </c>
      <c r="B146" t="s">
        <v>8</v>
      </c>
      <c r="C146">
        <v>40</v>
      </c>
      <c r="D146" t="s">
        <v>16</v>
      </c>
      <c r="E146" s="3">
        <v>44320</v>
      </c>
      <c r="F146" t="s">
        <v>12</v>
      </c>
      <c r="G146" s="2">
        <v>104410</v>
      </c>
      <c r="H146" t="s">
        <v>204</v>
      </c>
      <c r="I146" s="4">
        <f ca="1">(TODAY()-Staff[[#This Row],[Date Joined]])/365</f>
        <v>2.6904109589041094</v>
      </c>
      <c r="J146" s="19">
        <f ca="1">ROUNDUP(IF(Staff[[#This Row],[Tenure]]&gt;2,3%,2%)*Staff[[#This Row],[Salary]],0)</f>
        <v>3133</v>
      </c>
      <c r="K146" s="20">
        <f>_xlfn.XLOOKUP(Staff[[#This Row],[Rating]],Sheet7!$B$4:$B$8,Sheet7!$C$4:$C$8)</f>
        <v>3</v>
      </c>
      <c r="L146" s="4"/>
      <c r="M146" s="4"/>
    </row>
    <row r="147" spans="1:13" x14ac:dyDescent="0.2">
      <c r="A147" t="s">
        <v>101</v>
      </c>
      <c r="B147" t="s">
        <v>8</v>
      </c>
      <c r="C147">
        <v>40</v>
      </c>
      <c r="D147" t="s">
        <v>16</v>
      </c>
      <c r="E147" s="3">
        <v>44381</v>
      </c>
      <c r="F147" t="s">
        <v>12</v>
      </c>
      <c r="G147" s="2">
        <v>104410</v>
      </c>
      <c r="H147" t="s">
        <v>206</v>
      </c>
      <c r="I147" s="4">
        <f ca="1">(TODAY()-Staff[[#This Row],[Date Joined]])/365</f>
        <v>2.5232876712328767</v>
      </c>
      <c r="J147" s="19">
        <f ca="1">ROUNDUP(IF(Staff[[#This Row],[Tenure]]&gt;2,3%,2%)*Staff[[#This Row],[Salary]],0)</f>
        <v>3133</v>
      </c>
      <c r="K147" s="20">
        <f>_xlfn.XLOOKUP(Staff[[#This Row],[Rating]],Sheet7!$B$4:$B$8,Sheet7!$C$4:$C$8)</f>
        <v>3</v>
      </c>
      <c r="L147" s="4"/>
      <c r="M147" s="4"/>
    </row>
    <row r="148" spans="1:13" x14ac:dyDescent="0.2">
      <c r="A148" t="s">
        <v>135</v>
      </c>
      <c r="B148" t="s">
        <v>8</v>
      </c>
      <c r="C148">
        <v>28</v>
      </c>
      <c r="D148" t="s">
        <v>16</v>
      </c>
      <c r="E148" s="3">
        <v>44425</v>
      </c>
      <c r="F148" t="s">
        <v>9</v>
      </c>
      <c r="G148" s="2">
        <v>104770</v>
      </c>
      <c r="H148" t="s">
        <v>204</v>
      </c>
      <c r="I148" s="4">
        <f ca="1">(TODAY()-Staff[[#This Row],[Date Joined]])/365</f>
        <v>2.4027397260273973</v>
      </c>
      <c r="J148" s="19">
        <f ca="1">ROUNDUP(IF(Staff[[#This Row],[Tenure]]&gt;2,3%,2%)*Staff[[#This Row],[Salary]],0)</f>
        <v>3144</v>
      </c>
      <c r="K148" s="20">
        <f>_xlfn.XLOOKUP(Staff[[#This Row],[Rating]],Sheet7!$B$4:$B$8,Sheet7!$C$4:$C$8)</f>
        <v>3</v>
      </c>
      <c r="L148" s="4"/>
      <c r="M148" s="4"/>
    </row>
    <row r="149" spans="1:13" x14ac:dyDescent="0.2">
      <c r="A149" t="s">
        <v>43</v>
      </c>
      <c r="B149" t="s">
        <v>8</v>
      </c>
      <c r="C149">
        <v>28</v>
      </c>
      <c r="D149" t="s">
        <v>16</v>
      </c>
      <c r="E149" s="3">
        <v>44486</v>
      </c>
      <c r="F149" t="s">
        <v>9</v>
      </c>
      <c r="G149" s="2">
        <v>104770</v>
      </c>
      <c r="H149" t="s">
        <v>206</v>
      </c>
      <c r="I149" s="4">
        <f ca="1">(TODAY()-Staff[[#This Row],[Date Joined]])/365</f>
        <v>2.2356164383561645</v>
      </c>
      <c r="J149" s="19">
        <f ca="1">ROUNDUP(IF(Staff[[#This Row],[Tenure]]&gt;2,3%,2%)*Staff[[#This Row],[Salary]],0)</f>
        <v>3144</v>
      </c>
      <c r="K149" s="20">
        <f>_xlfn.XLOOKUP(Staff[[#This Row],[Rating]],Sheet7!$B$4:$B$8,Sheet7!$C$4:$C$8)</f>
        <v>3</v>
      </c>
      <c r="L149" s="4"/>
      <c r="M149" s="4"/>
    </row>
    <row r="150" spans="1:13" x14ac:dyDescent="0.2">
      <c r="A150" t="s">
        <v>160</v>
      </c>
      <c r="B150" t="s">
        <v>15</v>
      </c>
      <c r="C150">
        <v>23</v>
      </c>
      <c r="D150" t="s">
        <v>16</v>
      </c>
      <c r="E150" s="3">
        <v>44378</v>
      </c>
      <c r="F150" t="s">
        <v>9</v>
      </c>
      <c r="G150" s="2">
        <v>106460</v>
      </c>
      <c r="H150" t="s">
        <v>204</v>
      </c>
      <c r="I150" s="4">
        <f ca="1">(TODAY()-Staff[[#This Row],[Date Joined]])/365</f>
        <v>2.5315068493150683</v>
      </c>
      <c r="J150" s="19">
        <f ca="1">ROUNDUP(IF(Staff[[#This Row],[Tenure]]&gt;2,3%,2%)*Staff[[#This Row],[Salary]],0)</f>
        <v>3194</v>
      </c>
      <c r="K150" s="20">
        <f>_xlfn.XLOOKUP(Staff[[#This Row],[Rating]],Sheet7!$B$4:$B$8,Sheet7!$C$4:$C$8)</f>
        <v>3</v>
      </c>
      <c r="L150" s="4"/>
      <c r="M150" s="4"/>
    </row>
    <row r="151" spans="1:13" x14ac:dyDescent="0.2">
      <c r="A151" t="s">
        <v>69</v>
      </c>
      <c r="B151" t="s">
        <v>15</v>
      </c>
      <c r="C151">
        <v>23</v>
      </c>
      <c r="D151" t="s">
        <v>16</v>
      </c>
      <c r="E151" s="3">
        <v>44440</v>
      </c>
      <c r="F151" t="s">
        <v>9</v>
      </c>
      <c r="G151" s="2">
        <v>106460</v>
      </c>
      <c r="H151" t="s">
        <v>206</v>
      </c>
      <c r="I151" s="4">
        <f ca="1">(TODAY()-Staff[[#This Row],[Date Joined]])/365</f>
        <v>2.3616438356164382</v>
      </c>
      <c r="J151" s="19">
        <f ca="1">ROUNDUP(IF(Staff[[#This Row],[Tenure]]&gt;2,3%,2%)*Staff[[#This Row],[Salary]],0)</f>
        <v>3194</v>
      </c>
      <c r="K151" s="20">
        <f>_xlfn.XLOOKUP(Staff[[#This Row],[Rating]],Sheet7!$B$4:$B$8,Sheet7!$C$4:$C$8)</f>
        <v>3</v>
      </c>
      <c r="L151" s="4"/>
      <c r="M151" s="4"/>
    </row>
    <row r="152" spans="1:13" x14ac:dyDescent="0.2">
      <c r="A152" t="s">
        <v>116</v>
      </c>
      <c r="B152" t="s">
        <v>15</v>
      </c>
      <c r="C152">
        <v>20</v>
      </c>
      <c r="D152" t="s">
        <v>16</v>
      </c>
      <c r="E152" s="3">
        <v>44397</v>
      </c>
      <c r="F152" t="s">
        <v>12</v>
      </c>
      <c r="G152" s="2">
        <v>107700</v>
      </c>
      <c r="H152" t="s">
        <v>204</v>
      </c>
      <c r="I152" s="4">
        <f ca="1">(TODAY()-Staff[[#This Row],[Date Joined]])/365</f>
        <v>2.4794520547945207</v>
      </c>
      <c r="J152" s="19">
        <f ca="1">ROUNDUP(IF(Staff[[#This Row],[Tenure]]&gt;2,3%,2%)*Staff[[#This Row],[Salary]],0)</f>
        <v>3231</v>
      </c>
      <c r="K152" s="20">
        <f>_xlfn.XLOOKUP(Staff[[#This Row],[Rating]],Sheet7!$B$4:$B$8,Sheet7!$C$4:$C$8)</f>
        <v>3</v>
      </c>
      <c r="L152" s="4"/>
      <c r="M152" s="4"/>
    </row>
    <row r="153" spans="1:13" x14ac:dyDescent="0.2">
      <c r="A153" t="s">
        <v>22</v>
      </c>
      <c r="B153" t="s">
        <v>15</v>
      </c>
      <c r="C153">
        <v>20</v>
      </c>
      <c r="D153" t="s">
        <v>16</v>
      </c>
      <c r="E153" s="3">
        <v>44459</v>
      </c>
      <c r="F153" t="s">
        <v>12</v>
      </c>
      <c r="G153" s="2">
        <v>107700</v>
      </c>
      <c r="H153" t="s">
        <v>206</v>
      </c>
      <c r="I153" s="4">
        <f ca="1">(TODAY()-Staff[[#This Row],[Date Joined]])/365</f>
        <v>2.3095890410958906</v>
      </c>
      <c r="J153" s="19">
        <f ca="1">ROUNDUP(IF(Staff[[#This Row],[Tenure]]&gt;2,3%,2%)*Staff[[#This Row],[Salary]],0)</f>
        <v>3231</v>
      </c>
      <c r="K153" s="20">
        <f>_xlfn.XLOOKUP(Staff[[#This Row],[Rating]],Sheet7!$B$4:$B$8,Sheet7!$C$4:$C$8)</f>
        <v>3</v>
      </c>
      <c r="L153" s="4"/>
      <c r="M153" s="4"/>
    </row>
    <row r="154" spans="1:13" x14ac:dyDescent="0.2">
      <c r="A154" t="s">
        <v>126</v>
      </c>
      <c r="B154" t="s">
        <v>8</v>
      </c>
      <c r="C154">
        <v>38</v>
      </c>
      <c r="D154" t="s">
        <v>10</v>
      </c>
      <c r="E154" s="3">
        <v>44316</v>
      </c>
      <c r="F154" t="s">
        <v>19</v>
      </c>
      <c r="G154" s="2">
        <v>109160</v>
      </c>
      <c r="H154" t="s">
        <v>204</v>
      </c>
      <c r="I154" s="4">
        <f ca="1">(TODAY()-Staff[[#This Row],[Date Joined]])/365</f>
        <v>2.7013698630136984</v>
      </c>
      <c r="J154" s="19">
        <f ca="1">ROUNDUP(IF(Staff[[#This Row],[Tenure]]&gt;2,3%,2%)*Staff[[#This Row],[Salary]],0)</f>
        <v>3275</v>
      </c>
      <c r="K154" s="20" t="e">
        <f>_xlfn.XLOOKUP(Staff[[#This Row],[Rating]],Sheet7!$B$4:$B$8,Sheet7!$C$4:$C$8)</f>
        <v>#N/A</v>
      </c>
      <c r="L154" s="4"/>
      <c r="M154" s="4"/>
    </row>
    <row r="155" spans="1:13" x14ac:dyDescent="0.2">
      <c r="A155" t="s">
        <v>33</v>
      </c>
      <c r="B155" t="s">
        <v>8</v>
      </c>
      <c r="C155">
        <v>38</v>
      </c>
      <c r="D155" t="s">
        <v>10</v>
      </c>
      <c r="E155" s="3">
        <v>44377</v>
      </c>
      <c r="F155" t="s">
        <v>19</v>
      </c>
      <c r="G155" s="2">
        <v>109160</v>
      </c>
      <c r="H155" t="s">
        <v>206</v>
      </c>
      <c r="I155" s="4">
        <f ca="1">(TODAY()-Staff[[#This Row],[Date Joined]])/365</f>
        <v>2.5342465753424657</v>
      </c>
      <c r="J155" s="19">
        <f ca="1">ROUNDUP(IF(Staff[[#This Row],[Tenure]]&gt;2,3%,2%)*Staff[[#This Row],[Salary]],0)</f>
        <v>3275</v>
      </c>
      <c r="K155" s="20" t="e">
        <f>_xlfn.XLOOKUP(Staff[[#This Row],[Rating]],Sheet7!$B$4:$B$8,Sheet7!$C$4:$C$8)</f>
        <v>#N/A</v>
      </c>
      <c r="L155" s="4"/>
      <c r="M155" s="4"/>
    </row>
    <row r="156" spans="1:13" x14ac:dyDescent="0.2">
      <c r="A156" t="s">
        <v>127</v>
      </c>
      <c r="B156" t="s">
        <v>15</v>
      </c>
      <c r="C156">
        <v>25</v>
      </c>
      <c r="D156" t="s">
        <v>13</v>
      </c>
      <c r="E156" s="3">
        <v>44665</v>
      </c>
      <c r="F156" t="s">
        <v>9</v>
      </c>
      <c r="G156" s="2">
        <v>109190</v>
      </c>
      <c r="H156" t="s">
        <v>204</v>
      </c>
      <c r="I156" s="4">
        <f ca="1">(TODAY()-Staff[[#This Row],[Date Joined]])/365</f>
        <v>1.7452054794520548</v>
      </c>
      <c r="J156" s="19">
        <f ca="1">ROUNDUP(IF(Staff[[#This Row],[Tenure]]&gt;2,3%,2%)*Staff[[#This Row],[Salary]],0)</f>
        <v>2184</v>
      </c>
      <c r="K156" s="20">
        <f>_xlfn.XLOOKUP(Staff[[#This Row],[Rating]],Sheet7!$B$4:$B$8,Sheet7!$C$4:$C$8)</f>
        <v>4</v>
      </c>
      <c r="L156" s="4"/>
      <c r="M156" s="4"/>
    </row>
    <row r="157" spans="1:13" x14ac:dyDescent="0.2">
      <c r="A157" t="s">
        <v>34</v>
      </c>
      <c r="B157" t="s">
        <v>15</v>
      </c>
      <c r="C157">
        <v>25</v>
      </c>
      <c r="D157" t="s">
        <v>13</v>
      </c>
      <c r="E157" s="3">
        <v>44726</v>
      </c>
      <c r="F157" t="s">
        <v>9</v>
      </c>
      <c r="G157" s="2">
        <v>109190</v>
      </c>
      <c r="H157" t="s">
        <v>206</v>
      </c>
      <c r="I157" s="4">
        <f ca="1">(TODAY()-Staff[[#This Row],[Date Joined]])/365</f>
        <v>1.5780821917808219</v>
      </c>
      <c r="J157" s="19">
        <f ca="1">ROUNDUP(IF(Staff[[#This Row],[Tenure]]&gt;2,3%,2%)*Staff[[#This Row],[Salary]],0)</f>
        <v>2184</v>
      </c>
      <c r="K157" s="20">
        <f>_xlfn.XLOOKUP(Staff[[#This Row],[Rating]],Sheet7!$B$4:$B$8,Sheet7!$C$4:$C$8)</f>
        <v>4</v>
      </c>
      <c r="L157" s="4"/>
      <c r="M157" s="4"/>
    </row>
    <row r="158" spans="1:13" x14ac:dyDescent="0.2">
      <c r="A158" t="s">
        <v>179</v>
      </c>
      <c r="B158" t="s">
        <v>15</v>
      </c>
      <c r="C158">
        <v>29</v>
      </c>
      <c r="D158" t="s">
        <v>24</v>
      </c>
      <c r="E158" s="3">
        <v>44119</v>
      </c>
      <c r="F158" t="s">
        <v>12</v>
      </c>
      <c r="G158" s="2">
        <v>112110</v>
      </c>
      <c r="H158" t="s">
        <v>204</v>
      </c>
      <c r="I158" s="4">
        <f ca="1">(TODAY()-Staff[[#This Row],[Date Joined]])/365</f>
        <v>3.2410958904109588</v>
      </c>
      <c r="J158" s="19">
        <f ca="1">ROUNDUP(IF(Staff[[#This Row],[Tenure]]&gt;2,3%,2%)*Staff[[#This Row],[Salary]],0)</f>
        <v>3364</v>
      </c>
      <c r="K158" s="20">
        <f>_xlfn.XLOOKUP(Staff[[#This Row],[Rating]],Sheet7!$B$4:$B$8,Sheet7!$C$4:$C$8)</f>
        <v>2</v>
      </c>
      <c r="L158" s="4"/>
      <c r="M158" s="4"/>
    </row>
    <row r="159" spans="1:13" x14ac:dyDescent="0.2">
      <c r="A159" t="s">
        <v>87</v>
      </c>
      <c r="B159" t="s">
        <v>15</v>
      </c>
      <c r="C159">
        <v>29</v>
      </c>
      <c r="D159" t="s">
        <v>24</v>
      </c>
      <c r="E159" s="3">
        <v>44180</v>
      </c>
      <c r="F159" t="s">
        <v>12</v>
      </c>
      <c r="G159" s="2">
        <v>112110</v>
      </c>
      <c r="H159" t="s">
        <v>206</v>
      </c>
      <c r="I159" s="4">
        <f ca="1">(TODAY()-Staff[[#This Row],[Date Joined]])/365</f>
        <v>3.0739726027397261</v>
      </c>
      <c r="J159" s="19">
        <f ca="1">ROUNDUP(IF(Staff[[#This Row],[Tenure]]&gt;2,3%,2%)*Staff[[#This Row],[Salary]],0)</f>
        <v>3364</v>
      </c>
      <c r="K159" s="20">
        <f>_xlfn.XLOOKUP(Staff[[#This Row],[Rating]],Sheet7!$B$4:$B$8,Sheet7!$C$4:$C$8)</f>
        <v>2</v>
      </c>
      <c r="L159" s="4"/>
      <c r="M159" s="4"/>
    </row>
    <row r="160" spans="1:13" x14ac:dyDescent="0.2">
      <c r="A160" t="s">
        <v>172</v>
      </c>
      <c r="B160" t="s">
        <v>8</v>
      </c>
      <c r="C160">
        <v>30</v>
      </c>
      <c r="D160" t="s">
        <v>16</v>
      </c>
      <c r="E160" s="3">
        <v>44800</v>
      </c>
      <c r="F160" t="s">
        <v>9</v>
      </c>
      <c r="G160" s="2">
        <v>112570</v>
      </c>
      <c r="H160" t="s">
        <v>204</v>
      </c>
      <c r="I160" s="4">
        <f ca="1">(TODAY()-Staff[[#This Row],[Date Joined]])/365</f>
        <v>1.3753424657534246</v>
      </c>
      <c r="J160" s="19">
        <f ca="1">ROUNDUP(IF(Staff[[#This Row],[Tenure]]&gt;2,3%,2%)*Staff[[#This Row],[Salary]],0)</f>
        <v>2252</v>
      </c>
      <c r="K160" s="20">
        <f>_xlfn.XLOOKUP(Staff[[#This Row],[Rating]],Sheet7!$B$4:$B$8,Sheet7!$C$4:$C$8)</f>
        <v>3</v>
      </c>
      <c r="L160" s="4"/>
      <c r="M160" s="4"/>
    </row>
    <row r="161" spans="1:13" x14ac:dyDescent="0.2">
      <c r="A161" t="s">
        <v>81</v>
      </c>
      <c r="B161" t="s">
        <v>8</v>
      </c>
      <c r="C161">
        <v>30</v>
      </c>
      <c r="D161" t="s">
        <v>16</v>
      </c>
      <c r="E161" s="3">
        <v>44861</v>
      </c>
      <c r="F161" t="s">
        <v>9</v>
      </c>
      <c r="G161" s="2">
        <v>112570</v>
      </c>
      <c r="H161" t="s">
        <v>206</v>
      </c>
      <c r="I161" s="4">
        <f ca="1">(TODAY()-Staff[[#This Row],[Date Joined]])/365</f>
        <v>1.2082191780821918</v>
      </c>
      <c r="J161" s="19">
        <f ca="1">ROUNDUP(IF(Staff[[#This Row],[Tenure]]&gt;2,3%,2%)*Staff[[#This Row],[Salary]],0)</f>
        <v>2252</v>
      </c>
      <c r="K161" s="20">
        <f>_xlfn.XLOOKUP(Staff[[#This Row],[Rating]],Sheet7!$B$4:$B$8,Sheet7!$C$4:$C$8)</f>
        <v>3</v>
      </c>
      <c r="L161" s="4"/>
      <c r="M161" s="4"/>
    </row>
    <row r="162" spans="1:13" x14ac:dyDescent="0.2">
      <c r="A162" t="s">
        <v>155</v>
      </c>
      <c r="B162" t="s">
        <v>15</v>
      </c>
      <c r="C162">
        <v>20</v>
      </c>
      <c r="D162" t="s">
        <v>16</v>
      </c>
      <c r="E162" s="3">
        <v>44122</v>
      </c>
      <c r="F162" t="s">
        <v>12</v>
      </c>
      <c r="G162" s="2">
        <v>112650</v>
      </c>
      <c r="H162" t="s">
        <v>204</v>
      </c>
      <c r="I162" s="4">
        <f ca="1">(TODAY()-Staff[[#This Row],[Date Joined]])/365</f>
        <v>3.2328767123287672</v>
      </c>
      <c r="J162" s="19">
        <f ca="1">ROUNDUP(IF(Staff[[#This Row],[Tenure]]&gt;2,3%,2%)*Staff[[#This Row],[Salary]],0)</f>
        <v>3380</v>
      </c>
      <c r="K162" s="20">
        <f>_xlfn.XLOOKUP(Staff[[#This Row],[Rating]],Sheet7!$B$4:$B$8,Sheet7!$C$4:$C$8)</f>
        <v>3</v>
      </c>
      <c r="L162" s="4"/>
      <c r="M162" s="4"/>
    </row>
    <row r="163" spans="1:13" x14ac:dyDescent="0.2">
      <c r="A163" t="s">
        <v>177</v>
      </c>
      <c r="B163" t="s">
        <v>15</v>
      </c>
      <c r="C163">
        <v>34</v>
      </c>
      <c r="D163" t="s">
        <v>16</v>
      </c>
      <c r="E163" s="3">
        <v>44642</v>
      </c>
      <c r="F163" t="s">
        <v>9</v>
      </c>
      <c r="G163" s="2">
        <v>112650</v>
      </c>
      <c r="H163" t="s">
        <v>204</v>
      </c>
      <c r="I163" s="4">
        <f ca="1">(TODAY()-Staff[[#This Row],[Date Joined]])/365</f>
        <v>1.8082191780821917</v>
      </c>
      <c r="J163" s="19">
        <f ca="1">ROUNDUP(IF(Staff[[#This Row],[Tenure]]&gt;2,3%,2%)*Staff[[#This Row],[Salary]],0)</f>
        <v>2253</v>
      </c>
      <c r="K163" s="20">
        <f>_xlfn.XLOOKUP(Staff[[#This Row],[Rating]],Sheet7!$B$4:$B$8,Sheet7!$C$4:$C$8)</f>
        <v>3</v>
      </c>
      <c r="L163" s="4"/>
      <c r="M163" s="4"/>
    </row>
    <row r="164" spans="1:13" x14ac:dyDescent="0.2">
      <c r="A164" t="s">
        <v>64</v>
      </c>
      <c r="B164" t="s">
        <v>15</v>
      </c>
      <c r="C164">
        <v>20</v>
      </c>
      <c r="D164" t="s">
        <v>16</v>
      </c>
      <c r="E164" s="3">
        <v>44183</v>
      </c>
      <c r="F164" t="s">
        <v>12</v>
      </c>
      <c r="G164" s="2">
        <v>112650</v>
      </c>
      <c r="H164" t="s">
        <v>206</v>
      </c>
      <c r="I164" s="4">
        <f ca="1">(TODAY()-Staff[[#This Row],[Date Joined]])/365</f>
        <v>3.0657534246575344</v>
      </c>
      <c r="J164" s="19">
        <f ca="1">ROUNDUP(IF(Staff[[#This Row],[Tenure]]&gt;2,3%,2%)*Staff[[#This Row],[Salary]],0)</f>
        <v>3380</v>
      </c>
      <c r="K164" s="20">
        <f>_xlfn.XLOOKUP(Staff[[#This Row],[Rating]],Sheet7!$B$4:$B$8,Sheet7!$C$4:$C$8)</f>
        <v>3</v>
      </c>
      <c r="L164" s="4"/>
      <c r="M164" s="4"/>
    </row>
    <row r="165" spans="1:13" x14ac:dyDescent="0.2">
      <c r="A165" t="s">
        <v>149</v>
      </c>
      <c r="B165" t="s">
        <v>15</v>
      </c>
      <c r="C165">
        <v>22</v>
      </c>
      <c r="D165" t="s">
        <v>13</v>
      </c>
      <c r="E165" s="3">
        <v>44384</v>
      </c>
      <c r="F165" t="s">
        <v>19</v>
      </c>
      <c r="G165" s="2">
        <v>112780</v>
      </c>
      <c r="H165" t="s">
        <v>204</v>
      </c>
      <c r="I165" s="4">
        <f ca="1">(TODAY()-Staff[[#This Row],[Date Joined]])/365</f>
        <v>2.515068493150685</v>
      </c>
      <c r="J165" s="19">
        <f ca="1">ROUNDUP(IF(Staff[[#This Row],[Tenure]]&gt;2,3%,2%)*Staff[[#This Row],[Salary]],0)</f>
        <v>3384</v>
      </c>
      <c r="K165" s="20">
        <f>_xlfn.XLOOKUP(Staff[[#This Row],[Rating]],Sheet7!$B$4:$B$8,Sheet7!$C$4:$C$8)</f>
        <v>4</v>
      </c>
      <c r="L165" s="4"/>
      <c r="M165" s="4"/>
    </row>
    <row r="166" spans="1:13" x14ac:dyDescent="0.2">
      <c r="A166" t="s">
        <v>58</v>
      </c>
      <c r="B166" t="s">
        <v>15</v>
      </c>
      <c r="C166">
        <v>22</v>
      </c>
      <c r="D166" t="s">
        <v>13</v>
      </c>
      <c r="E166" s="3">
        <v>44446</v>
      </c>
      <c r="F166" t="s">
        <v>19</v>
      </c>
      <c r="G166" s="2">
        <v>112780</v>
      </c>
      <c r="H166" t="s">
        <v>206</v>
      </c>
      <c r="I166" s="4">
        <f ca="1">(TODAY()-Staff[[#This Row],[Date Joined]])/365</f>
        <v>2.3452054794520549</v>
      </c>
      <c r="J166" s="19">
        <f ca="1">ROUNDUP(IF(Staff[[#This Row],[Tenure]]&gt;2,3%,2%)*Staff[[#This Row],[Salary]],0)</f>
        <v>3384</v>
      </c>
      <c r="K166" s="20">
        <f>_xlfn.XLOOKUP(Staff[[#This Row],[Rating]],Sheet7!$B$4:$B$8,Sheet7!$C$4:$C$8)</f>
        <v>4</v>
      </c>
      <c r="L166" s="4"/>
      <c r="M166" s="4"/>
    </row>
    <row r="167" spans="1:13" x14ac:dyDescent="0.2">
      <c r="A167" t="s">
        <v>190</v>
      </c>
      <c r="B167" t="s">
        <v>15</v>
      </c>
      <c r="C167">
        <v>27</v>
      </c>
      <c r="D167" t="s">
        <v>42</v>
      </c>
      <c r="E167" s="3">
        <v>44547</v>
      </c>
      <c r="F167" t="s">
        <v>9</v>
      </c>
      <c r="G167" s="2">
        <v>113280</v>
      </c>
      <c r="H167" t="s">
        <v>204</v>
      </c>
      <c r="I167" s="4">
        <f ca="1">(TODAY()-Staff[[#This Row],[Date Joined]])/365</f>
        <v>2.0684931506849313</v>
      </c>
      <c r="J167" s="19">
        <f ca="1">ROUNDUP(IF(Staff[[#This Row],[Tenure]]&gt;2,3%,2%)*Staff[[#This Row],[Salary]],0)</f>
        <v>3399</v>
      </c>
      <c r="K167" s="20">
        <f>_xlfn.XLOOKUP(Staff[[#This Row],[Rating]],Sheet7!$B$4:$B$8,Sheet7!$C$4:$C$8)</f>
        <v>1</v>
      </c>
      <c r="L167" s="4"/>
      <c r="M167" s="4"/>
    </row>
    <row r="168" spans="1:13" x14ac:dyDescent="0.2">
      <c r="A168" t="s">
        <v>98</v>
      </c>
      <c r="B168" t="s">
        <v>15</v>
      </c>
      <c r="C168">
        <v>27</v>
      </c>
      <c r="D168" t="s">
        <v>42</v>
      </c>
      <c r="E168" s="3">
        <v>44609</v>
      </c>
      <c r="F168" t="s">
        <v>9</v>
      </c>
      <c r="G168" s="2">
        <v>113280</v>
      </c>
      <c r="H168" t="s">
        <v>206</v>
      </c>
      <c r="I168" s="4">
        <f ca="1">(TODAY()-Staff[[#This Row],[Date Joined]])/365</f>
        <v>1.8986301369863015</v>
      </c>
      <c r="J168" s="19">
        <f ca="1">ROUNDUP(IF(Staff[[#This Row],[Tenure]]&gt;2,3%,2%)*Staff[[#This Row],[Salary]],0)</f>
        <v>2266</v>
      </c>
      <c r="K168" s="20">
        <f>_xlfn.XLOOKUP(Staff[[#This Row],[Rating]],Sheet7!$B$4:$B$8,Sheet7!$C$4:$C$8)</f>
        <v>1</v>
      </c>
      <c r="L168" s="4"/>
      <c r="M168" s="4"/>
    </row>
    <row r="169" spans="1:13" x14ac:dyDescent="0.2">
      <c r="A169" t="s">
        <v>146</v>
      </c>
      <c r="B169" t="s">
        <v>8</v>
      </c>
      <c r="C169">
        <v>30</v>
      </c>
      <c r="D169" t="s">
        <v>16</v>
      </c>
      <c r="E169" s="3">
        <v>44789</v>
      </c>
      <c r="F169" t="s">
        <v>9</v>
      </c>
      <c r="G169" s="2">
        <v>114180</v>
      </c>
      <c r="H169" t="s">
        <v>204</v>
      </c>
      <c r="I169" s="4">
        <f ca="1">(TODAY()-Staff[[#This Row],[Date Joined]])/365</f>
        <v>1.4054794520547946</v>
      </c>
      <c r="J169" s="19">
        <f ca="1">ROUNDUP(IF(Staff[[#This Row],[Tenure]]&gt;2,3%,2%)*Staff[[#This Row],[Salary]],0)</f>
        <v>2284</v>
      </c>
      <c r="K169" s="20">
        <f>_xlfn.XLOOKUP(Staff[[#This Row],[Rating]],Sheet7!$B$4:$B$8,Sheet7!$C$4:$C$8)</f>
        <v>3</v>
      </c>
      <c r="L169" s="4"/>
      <c r="M169" s="4"/>
    </row>
    <row r="170" spans="1:13" x14ac:dyDescent="0.2">
      <c r="A170" t="s">
        <v>54</v>
      </c>
      <c r="B170" t="s">
        <v>8</v>
      </c>
      <c r="C170">
        <v>30</v>
      </c>
      <c r="D170" t="s">
        <v>16</v>
      </c>
      <c r="E170" s="3">
        <v>44850</v>
      </c>
      <c r="F170" t="s">
        <v>9</v>
      </c>
      <c r="G170" s="2">
        <v>114180</v>
      </c>
      <c r="H170" t="s">
        <v>206</v>
      </c>
      <c r="I170" s="4">
        <f ca="1">(TODAY()-Staff[[#This Row],[Date Joined]])/365</f>
        <v>1.2383561643835617</v>
      </c>
      <c r="J170" s="19">
        <f ca="1">ROUNDUP(IF(Staff[[#This Row],[Tenure]]&gt;2,3%,2%)*Staff[[#This Row],[Salary]],0)</f>
        <v>2284</v>
      </c>
      <c r="K170" s="20">
        <f>_xlfn.XLOOKUP(Staff[[#This Row],[Rating]],Sheet7!$B$4:$B$8,Sheet7!$C$4:$C$8)</f>
        <v>3</v>
      </c>
      <c r="L170" s="4"/>
      <c r="M170" s="4"/>
    </row>
    <row r="171" spans="1:13" x14ac:dyDescent="0.2">
      <c r="A171" t="s">
        <v>113</v>
      </c>
      <c r="B171" t="s">
        <v>8</v>
      </c>
      <c r="C171">
        <v>44</v>
      </c>
      <c r="D171" t="s">
        <v>16</v>
      </c>
      <c r="E171" s="3">
        <v>44985</v>
      </c>
      <c r="F171" t="s">
        <v>12</v>
      </c>
      <c r="G171" s="2">
        <v>114870</v>
      </c>
      <c r="H171" t="s">
        <v>204</v>
      </c>
      <c r="I171" s="4">
        <f ca="1">(TODAY()-Staff[[#This Row],[Date Joined]])/365</f>
        <v>0.86849315068493149</v>
      </c>
      <c r="J171" s="19">
        <f ca="1">ROUNDUP(IF(Staff[[#This Row],[Tenure]]&gt;2,3%,2%)*Staff[[#This Row],[Salary]],0)</f>
        <v>2298</v>
      </c>
      <c r="K171" s="20">
        <f>_xlfn.XLOOKUP(Staff[[#This Row],[Rating]],Sheet7!$B$4:$B$8,Sheet7!$C$4:$C$8)</f>
        <v>3</v>
      </c>
      <c r="L171" s="4"/>
      <c r="M171" s="4"/>
    </row>
    <row r="172" spans="1:13" x14ac:dyDescent="0.2">
      <c r="A172" t="s">
        <v>17</v>
      </c>
      <c r="B172" t="s">
        <v>8</v>
      </c>
      <c r="C172">
        <v>43</v>
      </c>
      <c r="D172" t="s">
        <v>16</v>
      </c>
      <c r="E172" s="3">
        <v>45045</v>
      </c>
      <c r="F172" t="s">
        <v>12</v>
      </c>
      <c r="G172" s="2">
        <v>114870</v>
      </c>
      <c r="H172" t="s">
        <v>206</v>
      </c>
      <c r="I172" s="4">
        <f ca="1">(TODAY()-Staff[[#This Row],[Date Joined]])/365</f>
        <v>0.70410958904109588</v>
      </c>
      <c r="J172" s="19">
        <f ca="1">ROUNDUP(IF(Staff[[#This Row],[Tenure]]&gt;2,3%,2%)*Staff[[#This Row],[Salary]],0)</f>
        <v>2298</v>
      </c>
      <c r="K172" s="20">
        <f>_xlfn.XLOOKUP(Staff[[#This Row],[Rating]],Sheet7!$B$4:$B$8,Sheet7!$C$4:$C$8)</f>
        <v>3</v>
      </c>
      <c r="L172" s="4"/>
      <c r="M172" s="4"/>
    </row>
    <row r="173" spans="1:13" x14ac:dyDescent="0.2">
      <c r="A173" t="s">
        <v>174</v>
      </c>
      <c r="B173" t="s">
        <v>8</v>
      </c>
      <c r="C173">
        <v>36</v>
      </c>
      <c r="D173" t="s">
        <v>16</v>
      </c>
      <c r="E173" s="3">
        <v>44023</v>
      </c>
      <c r="F173" t="s">
        <v>9</v>
      </c>
      <c r="G173" s="2">
        <v>114890</v>
      </c>
      <c r="H173" t="s">
        <v>204</v>
      </c>
      <c r="I173" s="4">
        <f ca="1">(TODAY()-Staff[[#This Row],[Date Joined]])/365</f>
        <v>3.504109589041096</v>
      </c>
      <c r="J173" s="19">
        <f ca="1">ROUNDUP(IF(Staff[[#This Row],[Tenure]]&gt;2,3%,2%)*Staff[[#This Row],[Salary]],0)</f>
        <v>3447</v>
      </c>
      <c r="K173" s="20">
        <f>_xlfn.XLOOKUP(Staff[[#This Row],[Rating]],Sheet7!$B$4:$B$8,Sheet7!$C$4:$C$8)</f>
        <v>3</v>
      </c>
      <c r="L173" s="4"/>
      <c r="M173" s="4"/>
    </row>
    <row r="174" spans="1:13" x14ac:dyDescent="0.2">
      <c r="A174" t="s">
        <v>83</v>
      </c>
      <c r="B174" t="s">
        <v>8</v>
      </c>
      <c r="C174">
        <v>36</v>
      </c>
      <c r="D174" t="s">
        <v>16</v>
      </c>
      <c r="E174" s="3">
        <v>44085</v>
      </c>
      <c r="F174" t="s">
        <v>9</v>
      </c>
      <c r="G174" s="2">
        <v>114890</v>
      </c>
      <c r="H174" t="s">
        <v>206</v>
      </c>
      <c r="I174" s="4">
        <f ca="1">(TODAY()-Staff[[#This Row],[Date Joined]])/365</f>
        <v>3.3342465753424659</v>
      </c>
      <c r="J174" s="19">
        <f ca="1">ROUNDUP(IF(Staff[[#This Row],[Tenure]]&gt;2,3%,2%)*Staff[[#This Row],[Salary]],0)</f>
        <v>3447</v>
      </c>
      <c r="K174" s="20">
        <f>_xlfn.XLOOKUP(Staff[[#This Row],[Rating]],Sheet7!$B$4:$B$8,Sheet7!$C$4:$C$8)</f>
        <v>3</v>
      </c>
      <c r="L174" s="4"/>
      <c r="M174" s="4"/>
    </row>
    <row r="175" spans="1:13" x14ac:dyDescent="0.2">
      <c r="A175" t="s">
        <v>141</v>
      </c>
      <c r="B175" t="s">
        <v>205</v>
      </c>
      <c r="C175">
        <v>37</v>
      </c>
      <c r="D175" t="s">
        <v>24</v>
      </c>
      <c r="E175" s="3">
        <v>44085</v>
      </c>
      <c r="F175" t="s">
        <v>21</v>
      </c>
      <c r="G175" s="2">
        <v>115440</v>
      </c>
      <c r="H175" t="s">
        <v>204</v>
      </c>
      <c r="I175" s="4">
        <f ca="1">(TODAY()-Staff[[#This Row],[Date Joined]])/365</f>
        <v>3.3342465753424659</v>
      </c>
      <c r="J175" s="19">
        <f ca="1">ROUNDUP(IF(Staff[[#This Row],[Tenure]]&gt;2,3%,2%)*Staff[[#This Row],[Salary]],0)</f>
        <v>3464</v>
      </c>
      <c r="K175" s="20">
        <f>_xlfn.XLOOKUP(Staff[[#This Row],[Rating]],Sheet7!$B$4:$B$8,Sheet7!$C$4:$C$8)</f>
        <v>2</v>
      </c>
      <c r="L175" s="4"/>
      <c r="M175" s="4"/>
    </row>
    <row r="176" spans="1:13" x14ac:dyDescent="0.2">
      <c r="A176" t="s">
        <v>49</v>
      </c>
      <c r="B176" t="s">
        <v>205</v>
      </c>
      <c r="C176">
        <v>37</v>
      </c>
      <c r="D176" t="s">
        <v>24</v>
      </c>
      <c r="E176" s="3">
        <v>44146</v>
      </c>
      <c r="F176" t="s">
        <v>21</v>
      </c>
      <c r="G176" s="2">
        <v>115440</v>
      </c>
      <c r="H176" t="s">
        <v>206</v>
      </c>
      <c r="I176" s="4">
        <f ca="1">(TODAY()-Staff[[#This Row],[Date Joined]])/365</f>
        <v>3.1671232876712327</v>
      </c>
      <c r="J176" s="19">
        <f ca="1">ROUNDUP(IF(Staff[[#This Row],[Tenure]]&gt;2,3%,2%)*Staff[[#This Row],[Salary]],0)</f>
        <v>3464</v>
      </c>
      <c r="K176" s="20">
        <f>_xlfn.XLOOKUP(Staff[[#This Row],[Rating]],Sheet7!$B$4:$B$8,Sheet7!$C$4:$C$8)</f>
        <v>2</v>
      </c>
      <c r="L176" s="4"/>
      <c r="M176" s="4"/>
    </row>
    <row r="177" spans="1:13" x14ac:dyDescent="0.2">
      <c r="A177" t="s">
        <v>133</v>
      </c>
      <c r="B177" t="s">
        <v>15</v>
      </c>
      <c r="C177">
        <v>33</v>
      </c>
      <c r="D177" t="s">
        <v>16</v>
      </c>
      <c r="E177" s="3">
        <v>44103</v>
      </c>
      <c r="F177" t="s">
        <v>9</v>
      </c>
      <c r="G177" s="2">
        <v>115920</v>
      </c>
      <c r="H177" t="s">
        <v>204</v>
      </c>
      <c r="I177" s="4">
        <f ca="1">(TODAY()-Staff[[#This Row],[Date Joined]])/365</f>
        <v>3.2849315068493152</v>
      </c>
      <c r="J177" s="19">
        <f ca="1">ROUNDUP(IF(Staff[[#This Row],[Tenure]]&gt;2,3%,2%)*Staff[[#This Row],[Salary]],0)</f>
        <v>3478</v>
      </c>
      <c r="K177" s="20">
        <f>_xlfn.XLOOKUP(Staff[[#This Row],[Rating]],Sheet7!$B$4:$B$8,Sheet7!$C$4:$C$8)</f>
        <v>3</v>
      </c>
      <c r="L177" s="4"/>
      <c r="M177" s="4"/>
    </row>
    <row r="178" spans="1:13" x14ac:dyDescent="0.2">
      <c r="A178" t="s">
        <v>40</v>
      </c>
      <c r="B178" t="s">
        <v>15</v>
      </c>
      <c r="C178">
        <v>33</v>
      </c>
      <c r="D178" t="s">
        <v>16</v>
      </c>
      <c r="E178" s="3">
        <v>44164</v>
      </c>
      <c r="F178" t="s">
        <v>9</v>
      </c>
      <c r="G178" s="2">
        <v>115920</v>
      </c>
      <c r="H178" t="s">
        <v>206</v>
      </c>
      <c r="I178" s="4">
        <f ca="1">(TODAY()-Staff[[#This Row],[Date Joined]])/365</f>
        <v>3.117808219178082</v>
      </c>
      <c r="J178" s="19">
        <f ca="1">ROUNDUP(IF(Staff[[#This Row],[Tenure]]&gt;2,3%,2%)*Staff[[#This Row],[Salary]],0)</f>
        <v>3478</v>
      </c>
      <c r="K178" s="20">
        <f>_xlfn.XLOOKUP(Staff[[#This Row],[Rating]],Sheet7!$B$4:$B$8,Sheet7!$C$4:$C$8)</f>
        <v>3</v>
      </c>
      <c r="L178" s="4"/>
      <c r="M178" s="4"/>
    </row>
    <row r="179" spans="1:13" x14ac:dyDescent="0.2">
      <c r="A179" t="s">
        <v>147</v>
      </c>
      <c r="B179" t="s">
        <v>8</v>
      </c>
      <c r="C179">
        <v>37</v>
      </c>
      <c r="D179" t="s">
        <v>16</v>
      </c>
      <c r="E179" s="3">
        <v>44389</v>
      </c>
      <c r="F179" t="s">
        <v>56</v>
      </c>
      <c r="G179" s="2">
        <v>118100</v>
      </c>
      <c r="H179" t="s">
        <v>204</v>
      </c>
      <c r="I179" s="4">
        <f ca="1">(TODAY()-Staff[[#This Row],[Date Joined]])/365</f>
        <v>2.5013698630136987</v>
      </c>
      <c r="J179" s="19">
        <f ca="1">ROUNDUP(IF(Staff[[#This Row],[Tenure]]&gt;2,3%,2%)*Staff[[#This Row],[Salary]],0)</f>
        <v>3543</v>
      </c>
      <c r="K179" s="20">
        <f>_xlfn.XLOOKUP(Staff[[#This Row],[Rating]],Sheet7!$B$4:$B$8,Sheet7!$C$4:$C$8)</f>
        <v>3</v>
      </c>
      <c r="L179" s="4"/>
      <c r="M179" s="4"/>
    </row>
    <row r="180" spans="1:13" x14ac:dyDescent="0.2">
      <c r="A180" t="s">
        <v>55</v>
      </c>
      <c r="B180" t="s">
        <v>8</v>
      </c>
      <c r="C180">
        <v>37</v>
      </c>
      <c r="D180" t="s">
        <v>16</v>
      </c>
      <c r="E180" s="3">
        <v>44451</v>
      </c>
      <c r="F180" t="s">
        <v>56</v>
      </c>
      <c r="G180" s="2">
        <v>118100</v>
      </c>
      <c r="H180" t="s">
        <v>206</v>
      </c>
      <c r="I180" s="4">
        <f ca="1">(TODAY()-Staff[[#This Row],[Date Joined]])/365</f>
        <v>2.3315068493150686</v>
      </c>
      <c r="J180" s="19">
        <f ca="1">ROUNDUP(IF(Staff[[#This Row],[Tenure]]&gt;2,3%,2%)*Staff[[#This Row],[Salary]],0)</f>
        <v>3543</v>
      </c>
      <c r="K180" s="20">
        <f>_xlfn.XLOOKUP(Staff[[#This Row],[Rating]],Sheet7!$B$4:$B$8,Sheet7!$C$4:$C$8)</f>
        <v>3</v>
      </c>
      <c r="L180" s="4"/>
      <c r="M180" s="4"/>
    </row>
    <row r="181" spans="1:13" x14ac:dyDescent="0.2">
      <c r="A181" t="s">
        <v>198</v>
      </c>
      <c r="B181" t="s">
        <v>15</v>
      </c>
      <c r="C181">
        <v>36</v>
      </c>
      <c r="D181" t="s">
        <v>16</v>
      </c>
      <c r="E181" s="3">
        <v>43958</v>
      </c>
      <c r="F181" t="s">
        <v>12</v>
      </c>
      <c r="G181" s="2">
        <v>118840</v>
      </c>
      <c r="H181" t="s">
        <v>204</v>
      </c>
      <c r="I181" s="4">
        <f ca="1">(TODAY()-Staff[[#This Row],[Date Joined]])/365</f>
        <v>3.6821917808219178</v>
      </c>
      <c r="J181" s="19">
        <f ca="1">ROUNDUP(IF(Staff[[#This Row],[Tenure]]&gt;2,3%,2%)*Staff[[#This Row],[Salary]],0)</f>
        <v>3566</v>
      </c>
      <c r="K181" s="20">
        <f>_xlfn.XLOOKUP(Staff[[#This Row],[Rating]],Sheet7!$B$4:$B$8,Sheet7!$C$4:$C$8)</f>
        <v>3</v>
      </c>
      <c r="L181" s="4"/>
      <c r="M181" s="4"/>
    </row>
    <row r="182" spans="1:13" x14ac:dyDescent="0.2">
      <c r="A182" t="s">
        <v>106</v>
      </c>
      <c r="B182" t="s">
        <v>15</v>
      </c>
      <c r="C182">
        <v>36</v>
      </c>
      <c r="D182" t="s">
        <v>16</v>
      </c>
      <c r="E182" s="3">
        <v>44019</v>
      </c>
      <c r="F182" t="s">
        <v>12</v>
      </c>
      <c r="G182" s="2">
        <v>118840</v>
      </c>
      <c r="H182" t="s">
        <v>206</v>
      </c>
      <c r="I182" s="4">
        <f ca="1">(TODAY()-Staff[[#This Row],[Date Joined]])/365</f>
        <v>3.515068493150685</v>
      </c>
      <c r="J182" s="19">
        <f ca="1">ROUNDUP(IF(Staff[[#This Row],[Tenure]]&gt;2,3%,2%)*Staff[[#This Row],[Salary]],0)</f>
        <v>3566</v>
      </c>
      <c r="K182" s="20">
        <f>_xlfn.XLOOKUP(Staff[[#This Row],[Rating]],Sheet7!$B$4:$B$8,Sheet7!$C$4:$C$8)</f>
        <v>3</v>
      </c>
      <c r="L182" s="4"/>
      <c r="M182" s="4"/>
    </row>
    <row r="183" spans="1:13" x14ac:dyDescent="0.2">
      <c r="A183" t="s">
        <v>151</v>
      </c>
      <c r="B183" t="s">
        <v>8</v>
      </c>
      <c r="C183">
        <v>27</v>
      </c>
      <c r="D183" t="s">
        <v>16</v>
      </c>
      <c r="E183" s="3">
        <v>44061</v>
      </c>
      <c r="F183" t="s">
        <v>56</v>
      </c>
      <c r="G183" s="2">
        <v>119110</v>
      </c>
      <c r="H183" t="s">
        <v>204</v>
      </c>
      <c r="I183" s="4">
        <f ca="1">(TODAY()-Staff[[#This Row],[Date Joined]])/365</f>
        <v>3.4</v>
      </c>
      <c r="J183" s="19">
        <f ca="1">ROUNDUP(IF(Staff[[#This Row],[Tenure]]&gt;2,3%,2%)*Staff[[#This Row],[Salary]],0)</f>
        <v>3574</v>
      </c>
      <c r="K183" s="20">
        <f>_xlfn.XLOOKUP(Staff[[#This Row],[Rating]],Sheet7!$B$4:$B$8,Sheet7!$C$4:$C$8)</f>
        <v>3</v>
      </c>
      <c r="L183" s="4"/>
      <c r="M183" s="4"/>
    </row>
    <row r="184" spans="1:13" x14ac:dyDescent="0.2">
      <c r="A184" t="s">
        <v>60</v>
      </c>
      <c r="B184" t="s">
        <v>8</v>
      </c>
      <c r="C184">
        <v>27</v>
      </c>
      <c r="D184" t="s">
        <v>16</v>
      </c>
      <c r="E184" s="3">
        <v>44122</v>
      </c>
      <c r="F184" t="s">
        <v>56</v>
      </c>
      <c r="G184" s="2">
        <v>119110</v>
      </c>
      <c r="H184" t="s">
        <v>206</v>
      </c>
      <c r="I184" s="4">
        <f ca="1">(TODAY()-Staff[[#This Row],[Date Joined]])/365</f>
        <v>3.2328767123287672</v>
      </c>
      <c r="J184" s="19">
        <f ca="1">ROUNDUP(IF(Staff[[#This Row],[Tenure]]&gt;2,3%,2%)*Staff[[#This Row],[Salary]],0)</f>
        <v>3574</v>
      </c>
      <c r="K184" s="20">
        <f>_xlfn.XLOOKUP(Staff[[#This Row],[Rating]],Sheet7!$B$4:$B$8,Sheet7!$C$4:$C$8)</f>
        <v>3</v>
      </c>
      <c r="L184" s="4"/>
      <c r="M184" s="4"/>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1099-CC5A-44B6-AE35-CF1AA90AD772}">
  <sheetPr codeName="Sheet4"/>
  <dimension ref="B3:Q39"/>
  <sheetViews>
    <sheetView zoomScale="79" workbookViewId="0">
      <selection activeCell="AA11" sqref="AA11"/>
    </sheetView>
  </sheetViews>
  <sheetFormatPr baseColWidth="10" defaultColWidth="8.83203125" defaultRowHeight="15" x14ac:dyDescent="0.2"/>
  <cols>
    <col min="2" max="2" width="13.1640625" bestFit="1" customWidth="1"/>
    <col min="3" max="3" width="14.5" bestFit="1" customWidth="1"/>
    <col min="4" max="6" width="9.6640625" bestFit="1" customWidth="1"/>
    <col min="7" max="7" width="8.6640625" bestFit="1" customWidth="1"/>
    <col min="8" max="14" width="9.6640625" bestFit="1" customWidth="1"/>
    <col min="15" max="15" width="11.33203125" customWidth="1"/>
    <col min="16" max="16" width="10.5" customWidth="1"/>
    <col min="17" max="17" width="13.33203125" bestFit="1" customWidth="1"/>
    <col min="18" max="18" width="9.6640625" bestFit="1" customWidth="1"/>
    <col min="19" max="23" width="10.6640625" bestFit="1" customWidth="1"/>
    <col min="24" max="24" width="9.6640625" bestFit="1" customWidth="1"/>
    <col min="25" max="28" width="10.6640625" bestFit="1" customWidth="1"/>
    <col min="29" max="29" width="9.6640625" bestFit="1" customWidth="1"/>
    <col min="30" max="34" width="10.6640625" bestFit="1" customWidth="1"/>
    <col min="35" max="36" width="8.6640625" bestFit="1" customWidth="1"/>
    <col min="37" max="40" width="9.6640625" bestFit="1" customWidth="1"/>
    <col min="41" max="41" width="8.6640625" bestFit="1" customWidth="1"/>
    <col min="42" max="44" width="9.6640625" bestFit="1" customWidth="1"/>
    <col min="45" max="46" width="8.6640625" bestFit="1" customWidth="1"/>
    <col min="47" max="52" width="9.6640625" bestFit="1" customWidth="1"/>
    <col min="53" max="53" width="8.6640625" bestFit="1" customWidth="1"/>
    <col min="54" max="57" width="9.6640625" bestFit="1" customWidth="1"/>
    <col min="58" max="61" width="8.6640625" bestFit="1" customWidth="1"/>
    <col min="62" max="67" width="9.6640625" bestFit="1" customWidth="1"/>
    <col min="68" max="69" width="8.6640625" bestFit="1" customWidth="1"/>
    <col min="70" max="73" width="9.6640625" bestFit="1" customWidth="1"/>
    <col min="74" max="78" width="8.6640625" bestFit="1" customWidth="1"/>
    <col min="79" max="83" width="9.6640625" bestFit="1" customWidth="1"/>
    <col min="84" max="84" width="8.6640625" bestFit="1" customWidth="1"/>
    <col min="85" max="87" width="9.6640625" bestFit="1" customWidth="1"/>
    <col min="88" max="91" width="8.6640625" bestFit="1" customWidth="1"/>
    <col min="92" max="97" width="9.6640625" bestFit="1" customWidth="1"/>
    <col min="98" max="99" width="10.6640625" bestFit="1" customWidth="1"/>
    <col min="100" max="101" width="9.6640625" bestFit="1" customWidth="1"/>
    <col min="102" max="103" width="10.6640625" bestFit="1" customWidth="1"/>
    <col min="104" max="105" width="9.6640625" bestFit="1" customWidth="1"/>
    <col min="106" max="110" width="10.6640625" bestFit="1" customWidth="1"/>
    <col min="111" max="111" width="8.6640625" bestFit="1" customWidth="1"/>
    <col min="112" max="113" width="9.6640625" bestFit="1" customWidth="1"/>
    <col min="114" max="115" width="8.6640625" bestFit="1" customWidth="1"/>
    <col min="116" max="123" width="9.6640625" bestFit="1" customWidth="1"/>
    <col min="124" max="124" width="8.6640625" bestFit="1" customWidth="1"/>
    <col min="125" max="129" width="9.6640625" bestFit="1" customWidth="1"/>
    <col min="130" max="131" width="8.6640625" bestFit="1" customWidth="1"/>
    <col min="132" max="136" width="9.6640625" bestFit="1" customWidth="1"/>
    <col min="137" max="138" width="8.6640625" bestFit="1" customWidth="1"/>
    <col min="139" max="141" width="9.6640625" bestFit="1" customWidth="1"/>
    <col min="142" max="144" width="8.6640625" bestFit="1" customWidth="1"/>
    <col min="145" max="148" width="9.6640625" bestFit="1" customWidth="1"/>
    <col min="149" max="150" width="8.6640625" bestFit="1" customWidth="1"/>
    <col min="151" max="152" width="9.6640625" bestFit="1" customWidth="1"/>
    <col min="153" max="154" width="8.6640625" bestFit="1" customWidth="1"/>
    <col min="155" max="156" width="9.6640625" bestFit="1" customWidth="1"/>
    <col min="157" max="157" width="8.6640625" bestFit="1" customWidth="1"/>
    <col min="158" max="158" width="9.6640625" bestFit="1" customWidth="1"/>
    <col min="159" max="160" width="10.6640625" bestFit="1" customWidth="1"/>
    <col min="161" max="162" width="9.6640625" bestFit="1" customWidth="1"/>
    <col min="163" max="163" width="11.33203125" bestFit="1" customWidth="1"/>
  </cols>
  <sheetData>
    <row r="3" spans="2:17" x14ac:dyDescent="0.2">
      <c r="O3" t="s">
        <v>242</v>
      </c>
      <c r="P3" t="s">
        <v>243</v>
      </c>
      <c r="Q3" t="s">
        <v>244</v>
      </c>
    </row>
    <row r="4" spans="2:17" x14ac:dyDescent="0.2">
      <c r="B4" s="17" t="s">
        <v>227</v>
      </c>
      <c r="C4" t="s">
        <v>228</v>
      </c>
      <c r="N4" cm="1">
        <f t="array" ref="N4:N39">_xlfn.SEQUENCE(36)</f>
        <v>1</v>
      </c>
      <c r="O4" s="3" cm="1">
        <f t="array" ref="O4:O39">EDATE(DATE(2020,4,1),_xlfn.ANCHORARRAY(N4)+0)</f>
        <v>43952</v>
      </c>
      <c r="P4">
        <f>COUNTIFS(Staff[Date Joined],"&gt;="&amp;O4,Staff[Date Joined],"&lt;="&amp;EOMONTH(O4,0))</f>
        <v>3</v>
      </c>
      <c r="Q4">
        <f>SUM($P$4:P4)</f>
        <v>3</v>
      </c>
    </row>
    <row r="5" spans="2:17" x14ac:dyDescent="0.2">
      <c r="B5" s="6" t="s">
        <v>238</v>
      </c>
      <c r="C5">
        <v>37</v>
      </c>
      <c r="N5">
        <v>2</v>
      </c>
      <c r="O5" s="3">
        <v>43983</v>
      </c>
      <c r="P5">
        <f>COUNTIFS(Staff[Date Joined],"&gt;="&amp;O5,Staff[Date Joined],"&lt;="&amp;EOMONTH(O5,0))</f>
        <v>1</v>
      </c>
      <c r="Q5">
        <f>SUM($P$4:P5)</f>
        <v>4</v>
      </c>
    </row>
    <row r="6" spans="2:17" x14ac:dyDescent="0.2">
      <c r="B6" s="6" t="s">
        <v>239</v>
      </c>
      <c r="C6">
        <v>82</v>
      </c>
      <c r="N6">
        <v>3</v>
      </c>
      <c r="O6" s="3">
        <v>44013</v>
      </c>
      <c r="P6">
        <f>COUNTIFS(Staff[Date Joined],"&gt;="&amp;O6,Staff[Date Joined],"&lt;="&amp;EOMONTH(O6,0))</f>
        <v>5</v>
      </c>
      <c r="Q6">
        <f>SUM($P$4:P6)</f>
        <v>9</v>
      </c>
    </row>
    <row r="7" spans="2:17" x14ac:dyDescent="0.2">
      <c r="B7" s="6" t="s">
        <v>240</v>
      </c>
      <c r="C7">
        <v>62</v>
      </c>
      <c r="N7">
        <v>4</v>
      </c>
      <c r="O7" s="3">
        <v>44044</v>
      </c>
      <c r="P7">
        <f>COUNTIFS(Staff[Date Joined],"&gt;="&amp;O7,Staff[Date Joined],"&lt;="&amp;EOMONTH(O7,0))</f>
        <v>3</v>
      </c>
      <c r="Q7">
        <f>SUM($P$4:P7)</f>
        <v>12</v>
      </c>
    </row>
    <row r="8" spans="2:17" x14ac:dyDescent="0.2">
      <c r="B8" s="6" t="s">
        <v>241</v>
      </c>
      <c r="C8">
        <v>2</v>
      </c>
      <c r="N8">
        <v>5</v>
      </c>
      <c r="O8" s="3">
        <v>44075</v>
      </c>
      <c r="P8">
        <f>COUNTIFS(Staff[Date Joined],"&gt;="&amp;O8,Staff[Date Joined],"&lt;="&amp;EOMONTH(O8,0))</f>
        <v>6</v>
      </c>
      <c r="Q8">
        <f>SUM($P$4:P8)</f>
        <v>18</v>
      </c>
    </row>
    <row r="9" spans="2:17" x14ac:dyDescent="0.2">
      <c r="B9" s="6" t="s">
        <v>226</v>
      </c>
      <c r="C9">
        <v>183</v>
      </c>
      <c r="N9">
        <v>6</v>
      </c>
      <c r="O9" s="3">
        <v>44105</v>
      </c>
      <c r="P9">
        <f>COUNTIFS(Staff[Date Joined],"&gt;="&amp;O9,Staff[Date Joined],"&lt;="&amp;EOMONTH(O9,0))</f>
        <v>6</v>
      </c>
      <c r="Q9">
        <f>SUM($P$4:P9)</f>
        <v>24</v>
      </c>
    </row>
    <row r="10" spans="2:17" x14ac:dyDescent="0.2">
      <c r="N10">
        <v>7</v>
      </c>
      <c r="O10" s="3">
        <v>44136</v>
      </c>
      <c r="P10">
        <f>COUNTIFS(Staff[Date Joined],"&gt;="&amp;O10,Staff[Date Joined],"&lt;="&amp;EOMONTH(O10,0))</f>
        <v>6</v>
      </c>
      <c r="Q10">
        <f>SUM($P$4:P10)</f>
        <v>30</v>
      </c>
    </row>
    <row r="11" spans="2:17" x14ac:dyDescent="0.2">
      <c r="N11">
        <v>8</v>
      </c>
      <c r="O11" s="3">
        <v>44166</v>
      </c>
      <c r="P11">
        <f>COUNTIFS(Staff[Date Joined],"&gt;="&amp;O11,Staff[Date Joined],"&lt;="&amp;EOMONTH(O11,0))</f>
        <v>7</v>
      </c>
      <c r="Q11">
        <f>SUM($P$4:P11)</f>
        <v>37</v>
      </c>
    </row>
    <row r="12" spans="2:17" x14ac:dyDescent="0.2">
      <c r="N12">
        <v>9</v>
      </c>
      <c r="O12" s="3">
        <v>44197</v>
      </c>
      <c r="P12">
        <f>COUNTIFS(Staff[Date Joined],"&gt;="&amp;O12,Staff[Date Joined],"&lt;="&amp;EOMONTH(O12,0))</f>
        <v>6</v>
      </c>
      <c r="Q12">
        <f>SUM($P$4:P12)</f>
        <v>43</v>
      </c>
    </row>
    <row r="13" spans="2:17" x14ac:dyDescent="0.2">
      <c r="N13">
        <v>10</v>
      </c>
      <c r="O13" s="3">
        <v>44228</v>
      </c>
      <c r="P13">
        <f>COUNTIFS(Staff[Date Joined],"&gt;="&amp;O13,Staff[Date Joined],"&lt;="&amp;EOMONTH(O13,0))</f>
        <v>4</v>
      </c>
      <c r="Q13">
        <f>SUM($P$4:P13)</f>
        <v>47</v>
      </c>
    </row>
    <row r="14" spans="2:17" x14ac:dyDescent="0.2">
      <c r="N14">
        <v>11</v>
      </c>
      <c r="O14" s="3">
        <v>44256</v>
      </c>
      <c r="P14">
        <f>COUNTIFS(Staff[Date Joined],"&gt;="&amp;O14,Staff[Date Joined],"&lt;="&amp;EOMONTH(O14,0))</f>
        <v>9</v>
      </c>
      <c r="Q14">
        <f>SUM($P$4:P14)</f>
        <v>56</v>
      </c>
    </row>
    <row r="15" spans="2:17" x14ac:dyDescent="0.2">
      <c r="N15">
        <v>12</v>
      </c>
      <c r="O15" s="3">
        <v>44287</v>
      </c>
      <c r="P15">
        <f>COUNTIFS(Staff[Date Joined],"&gt;="&amp;O15,Staff[Date Joined],"&lt;="&amp;EOMONTH(O15,0))</f>
        <v>5</v>
      </c>
      <c r="Q15">
        <f>SUM($P$4:P15)</f>
        <v>61</v>
      </c>
    </row>
    <row r="16" spans="2:17" x14ac:dyDescent="0.2">
      <c r="N16">
        <v>13</v>
      </c>
      <c r="O16" s="3">
        <v>44317</v>
      </c>
      <c r="P16">
        <f>COUNTIFS(Staff[Date Joined],"&gt;="&amp;O16,Staff[Date Joined],"&lt;="&amp;EOMONTH(O16,0))</f>
        <v>10</v>
      </c>
      <c r="Q16">
        <f>SUM($P$4:P16)</f>
        <v>71</v>
      </c>
    </row>
    <row r="17" spans="14:17" x14ac:dyDescent="0.2">
      <c r="N17">
        <v>14</v>
      </c>
      <c r="O17" s="3">
        <v>44348</v>
      </c>
      <c r="P17">
        <f>COUNTIFS(Staff[Date Joined],"&gt;="&amp;O17,Staff[Date Joined],"&lt;="&amp;EOMONTH(O17,0))</f>
        <v>6</v>
      </c>
      <c r="Q17">
        <f>SUM($P$4:P17)</f>
        <v>77</v>
      </c>
    </row>
    <row r="18" spans="14:17" x14ac:dyDescent="0.2">
      <c r="N18">
        <v>15</v>
      </c>
      <c r="O18" s="3">
        <v>44378</v>
      </c>
      <c r="P18">
        <f>COUNTIFS(Staff[Date Joined],"&gt;="&amp;O18,Staff[Date Joined],"&lt;="&amp;EOMONTH(O18,0))</f>
        <v>13</v>
      </c>
      <c r="Q18">
        <f>SUM($P$4:P18)</f>
        <v>90</v>
      </c>
    </row>
    <row r="19" spans="14:17" x14ac:dyDescent="0.2">
      <c r="N19">
        <v>16</v>
      </c>
      <c r="O19" s="3">
        <v>44409</v>
      </c>
      <c r="P19">
        <f>COUNTIFS(Staff[Date Joined],"&gt;="&amp;O19,Staff[Date Joined],"&lt;="&amp;EOMONTH(O19,0))</f>
        <v>4</v>
      </c>
      <c r="Q19">
        <f>SUM($P$4:P19)</f>
        <v>94</v>
      </c>
    </row>
    <row r="20" spans="14:17" x14ac:dyDescent="0.2">
      <c r="N20">
        <v>17</v>
      </c>
      <c r="O20" s="3">
        <v>44440</v>
      </c>
      <c r="P20">
        <f>COUNTIFS(Staff[Date Joined],"&gt;="&amp;O20,Staff[Date Joined],"&lt;="&amp;EOMONTH(O20,0))</f>
        <v>11</v>
      </c>
      <c r="Q20">
        <f>SUM($P$4:P20)</f>
        <v>105</v>
      </c>
    </row>
    <row r="21" spans="14:17" x14ac:dyDescent="0.2">
      <c r="N21">
        <v>18</v>
      </c>
      <c r="O21" s="3">
        <v>44470</v>
      </c>
      <c r="P21">
        <f>COUNTIFS(Staff[Date Joined],"&gt;="&amp;O21,Staff[Date Joined],"&lt;="&amp;EOMONTH(O21,0))</f>
        <v>3</v>
      </c>
      <c r="Q21">
        <f>SUM($P$4:P21)</f>
        <v>108</v>
      </c>
    </row>
    <row r="22" spans="14:17" x14ac:dyDescent="0.2">
      <c r="N22">
        <v>19</v>
      </c>
      <c r="O22" s="3">
        <v>44501</v>
      </c>
      <c r="P22">
        <f>COUNTIFS(Staff[Date Joined],"&gt;="&amp;O22,Staff[Date Joined],"&lt;="&amp;EOMONTH(O22,0))</f>
        <v>4</v>
      </c>
      <c r="Q22">
        <f>SUM($P$4:P22)</f>
        <v>112</v>
      </c>
    </row>
    <row r="23" spans="14:17" x14ac:dyDescent="0.2">
      <c r="N23">
        <v>20</v>
      </c>
      <c r="O23" s="3">
        <v>44531</v>
      </c>
      <c r="P23">
        <f>COUNTIFS(Staff[Date Joined],"&gt;="&amp;O23,Staff[Date Joined],"&lt;="&amp;EOMONTH(O23,0))</f>
        <v>7</v>
      </c>
      <c r="Q23">
        <f>SUM($P$4:P23)</f>
        <v>119</v>
      </c>
    </row>
    <row r="24" spans="14:17" x14ac:dyDescent="0.2">
      <c r="N24">
        <v>21</v>
      </c>
      <c r="O24" s="3">
        <v>44562</v>
      </c>
      <c r="P24">
        <f>COUNTIFS(Staff[Date Joined],"&gt;="&amp;O24,Staff[Date Joined],"&lt;="&amp;EOMONTH(O24,0))</f>
        <v>3</v>
      </c>
      <c r="Q24">
        <f>SUM($P$4:P24)</f>
        <v>122</v>
      </c>
    </row>
    <row r="25" spans="14:17" x14ac:dyDescent="0.2">
      <c r="N25">
        <v>22</v>
      </c>
      <c r="O25" s="3">
        <v>44593</v>
      </c>
      <c r="P25">
        <f>COUNTIFS(Staff[Date Joined],"&gt;="&amp;O25,Staff[Date Joined],"&lt;="&amp;EOMONTH(O25,0))</f>
        <v>10</v>
      </c>
      <c r="Q25">
        <f>SUM($P$4:P25)</f>
        <v>132</v>
      </c>
    </row>
    <row r="26" spans="14:17" x14ac:dyDescent="0.2">
      <c r="N26">
        <v>23</v>
      </c>
      <c r="O26" s="3">
        <v>44621</v>
      </c>
      <c r="P26">
        <f>COUNTIFS(Staff[Date Joined],"&gt;="&amp;O26,Staff[Date Joined],"&lt;="&amp;EOMONTH(O26,0))</f>
        <v>9</v>
      </c>
      <c r="Q26">
        <f>SUM($P$4:P26)</f>
        <v>141</v>
      </c>
    </row>
    <row r="27" spans="14:17" x14ac:dyDescent="0.2">
      <c r="N27">
        <v>24</v>
      </c>
      <c r="O27" s="3">
        <v>44652</v>
      </c>
      <c r="P27">
        <f>COUNTIFS(Staff[Date Joined],"&gt;="&amp;O27,Staff[Date Joined],"&lt;="&amp;EOMONTH(O27,0))</f>
        <v>9</v>
      </c>
      <c r="Q27">
        <f>SUM($P$4:P27)</f>
        <v>150</v>
      </c>
    </row>
    <row r="28" spans="14:17" x14ac:dyDescent="0.2">
      <c r="N28">
        <v>25</v>
      </c>
      <c r="O28" s="3">
        <v>44682</v>
      </c>
      <c r="P28">
        <f>COUNTIFS(Staff[Date Joined],"&gt;="&amp;O28,Staff[Date Joined],"&lt;="&amp;EOMONTH(O28,0))</f>
        <v>9</v>
      </c>
      <c r="Q28">
        <f>SUM($P$4:P28)</f>
        <v>159</v>
      </c>
    </row>
    <row r="29" spans="14:17" x14ac:dyDescent="0.2">
      <c r="N29">
        <v>26</v>
      </c>
      <c r="O29" s="3">
        <v>44713</v>
      </c>
      <c r="P29">
        <f>COUNTIFS(Staff[Date Joined],"&gt;="&amp;O29,Staff[Date Joined],"&lt;="&amp;EOMONTH(O29,0))</f>
        <v>7</v>
      </c>
      <c r="Q29">
        <f>SUM($P$4:P29)</f>
        <v>166</v>
      </c>
    </row>
    <row r="30" spans="14:17" x14ac:dyDescent="0.2">
      <c r="N30">
        <v>27</v>
      </c>
      <c r="O30" s="3">
        <v>44743</v>
      </c>
      <c r="P30">
        <f>COUNTIFS(Staff[Date Joined],"&gt;="&amp;O30,Staff[Date Joined],"&lt;="&amp;EOMONTH(O30,0))</f>
        <v>5</v>
      </c>
      <c r="Q30">
        <f>SUM($P$4:P30)</f>
        <v>171</v>
      </c>
    </row>
    <row r="31" spans="14:17" x14ac:dyDescent="0.2">
      <c r="N31">
        <v>28</v>
      </c>
      <c r="O31" s="3">
        <v>44774</v>
      </c>
      <c r="P31">
        <f>COUNTIFS(Staff[Date Joined],"&gt;="&amp;O31,Staff[Date Joined],"&lt;="&amp;EOMONTH(O31,0))</f>
        <v>5</v>
      </c>
      <c r="Q31">
        <f>SUM($P$4:P31)</f>
        <v>176</v>
      </c>
    </row>
    <row r="32" spans="14:17" x14ac:dyDescent="0.2">
      <c r="N32">
        <v>29</v>
      </c>
      <c r="O32" s="3">
        <v>44805</v>
      </c>
      <c r="P32">
        <f>COUNTIFS(Staff[Date Joined],"&gt;="&amp;O32,Staff[Date Joined],"&lt;="&amp;EOMONTH(O32,0))</f>
        <v>2</v>
      </c>
      <c r="Q32">
        <f>SUM($P$4:P32)</f>
        <v>178</v>
      </c>
    </row>
    <row r="33" spans="14:17" x14ac:dyDescent="0.2">
      <c r="N33">
        <v>30</v>
      </c>
      <c r="O33" s="3">
        <v>44835</v>
      </c>
      <c r="P33">
        <f>COUNTIFS(Staff[Date Joined],"&gt;="&amp;O33,Staff[Date Joined],"&lt;="&amp;EOMONTH(O33,0))</f>
        <v>3</v>
      </c>
      <c r="Q33">
        <f>SUM($P$4:P33)</f>
        <v>181</v>
      </c>
    </row>
    <row r="34" spans="14:17" x14ac:dyDescent="0.2">
      <c r="N34">
        <v>31</v>
      </c>
      <c r="O34" s="3">
        <v>44866</v>
      </c>
      <c r="P34">
        <f>COUNTIFS(Staff[Date Joined],"&gt;="&amp;O34,Staff[Date Joined],"&lt;="&amp;EOMONTH(O34,0))</f>
        <v>0</v>
      </c>
      <c r="Q34">
        <f>SUM($P$4:P34)</f>
        <v>181</v>
      </c>
    </row>
    <row r="35" spans="14:17" x14ac:dyDescent="0.2">
      <c r="N35">
        <v>32</v>
      </c>
      <c r="O35" s="3">
        <v>44896</v>
      </c>
      <c r="P35">
        <f>COUNTIFS(Staff[Date Joined],"&gt;="&amp;O35,Staff[Date Joined],"&lt;="&amp;EOMONTH(O35,0))</f>
        <v>0</v>
      </c>
      <c r="Q35">
        <f>SUM($P$4:P35)</f>
        <v>181</v>
      </c>
    </row>
    <row r="36" spans="14:17" x14ac:dyDescent="0.2">
      <c r="N36">
        <v>33</v>
      </c>
      <c r="O36" s="3">
        <v>44927</v>
      </c>
      <c r="P36">
        <f>COUNTIFS(Staff[Date Joined],"&gt;="&amp;O36,Staff[Date Joined],"&lt;="&amp;EOMONTH(O36,0))</f>
        <v>0</v>
      </c>
      <c r="Q36">
        <f>SUM($P$4:P36)</f>
        <v>181</v>
      </c>
    </row>
    <row r="37" spans="14:17" x14ac:dyDescent="0.2">
      <c r="N37">
        <v>34</v>
      </c>
      <c r="O37" s="3">
        <v>44958</v>
      </c>
      <c r="P37">
        <f>COUNTIFS(Staff[Date Joined],"&gt;="&amp;O37,Staff[Date Joined],"&lt;="&amp;EOMONTH(O37,0))</f>
        <v>1</v>
      </c>
      <c r="Q37">
        <f>SUM($P$4:P37)</f>
        <v>182</v>
      </c>
    </row>
    <row r="38" spans="14:17" x14ac:dyDescent="0.2">
      <c r="N38">
        <v>35</v>
      </c>
      <c r="O38" s="3">
        <v>44986</v>
      </c>
      <c r="P38">
        <f>COUNTIFS(Staff[Date Joined],"&gt;="&amp;O38,Staff[Date Joined],"&lt;="&amp;EOMONTH(O38,0))</f>
        <v>0</v>
      </c>
      <c r="Q38">
        <f>SUM($P$4:P38)</f>
        <v>182</v>
      </c>
    </row>
    <row r="39" spans="14:17" x14ac:dyDescent="0.2">
      <c r="N39">
        <v>36</v>
      </c>
      <c r="O39" s="3">
        <v>45017</v>
      </c>
      <c r="P39">
        <f>COUNTIFS(Staff[Date Joined],"&gt;="&amp;O39,Staff[Date Joined],"&lt;="&amp;EOMONTH(O39,0))</f>
        <v>1</v>
      </c>
      <c r="Q39">
        <v>183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8E4F4-9F2D-4AB8-A7F8-C67190AB2EB1}">
  <sheetPr codeName="Sheet5"/>
  <dimension ref="C1:N7"/>
  <sheetViews>
    <sheetView zoomScale="52" workbookViewId="0">
      <selection activeCell="P16" sqref="P16"/>
    </sheetView>
  </sheetViews>
  <sheetFormatPr baseColWidth="10" defaultColWidth="8.83203125" defaultRowHeight="15" x14ac:dyDescent="0.2"/>
  <cols>
    <col min="3" max="3" width="30.1640625" customWidth="1"/>
    <col min="4" max="4" width="1.83203125" customWidth="1"/>
    <col min="5" max="5" width="30.1640625" customWidth="1"/>
    <col min="6" max="6" width="1.5" customWidth="1"/>
    <col min="7" max="7" width="29.83203125" customWidth="1"/>
    <col min="10" max="10" width="30.1640625" customWidth="1"/>
    <col min="11" max="11" width="1.83203125" customWidth="1"/>
    <col min="12" max="12" width="30.1640625" customWidth="1"/>
    <col min="13" max="13" width="1.5" customWidth="1"/>
    <col min="14" max="14" width="29.83203125" customWidth="1"/>
  </cols>
  <sheetData>
    <row r="1" spans="3:14" ht="69" customHeight="1" x14ac:dyDescent="0.2">
      <c r="E1" s="28" t="s">
        <v>245</v>
      </c>
      <c r="L1" s="28" t="s">
        <v>246</v>
      </c>
    </row>
    <row r="2" spans="3:14" ht="84" customHeight="1" x14ac:dyDescent="0.2">
      <c r="C2" s="22">
        <f>COUNTIFS(Staff[Country],"NZ")</f>
        <v>91</v>
      </c>
      <c r="E2" s="24">
        <f>COUNTIFS(Staff[Country],"NZ",Staff[Gender],"Female")/C2</f>
        <v>0.47252747252747251</v>
      </c>
      <c r="G2" s="23">
        <f>AVERAGEIFS(Staff[Salary],Staff[Country],"NZ")</f>
        <v>76978.791208791212</v>
      </c>
      <c r="J2" s="25">
        <f>COUNTIFS(Staff[Country],"IN")</f>
        <v>92</v>
      </c>
      <c r="K2" t="e">
        <f>COUNTIFS(Staff[Country],"NZ",Staff[Gender],"Female")/I2</f>
        <v>#DIV/0!</v>
      </c>
      <c r="L2" s="26">
        <f>COUNTIFS(Staff[Country],"NZ",Staff[Gender],"Female")/J2</f>
        <v>0.46739130434782611</v>
      </c>
      <c r="N2" s="27">
        <f>AVERAGEIFS(Staff[Salary],Staff[Country],"IN")</f>
        <v>77366.521739130432</v>
      </c>
    </row>
    <row r="5" spans="3:14" x14ac:dyDescent="0.2">
      <c r="C5" s="21"/>
      <c r="D5" s="21"/>
      <c r="E5" s="21"/>
      <c r="F5" s="21"/>
      <c r="G5" s="21"/>
      <c r="H5" s="21"/>
      <c r="I5" s="21"/>
      <c r="J5" s="21"/>
      <c r="K5" s="21"/>
      <c r="L5" s="21"/>
      <c r="M5" s="21"/>
      <c r="N5" s="21"/>
    </row>
    <row r="6" spans="3:14" ht="31" x14ac:dyDescent="0.35">
      <c r="C6" s="21"/>
      <c r="D6" s="21"/>
      <c r="E6" s="21"/>
      <c r="F6" s="21"/>
      <c r="G6" s="21" t="s">
        <v>247</v>
      </c>
      <c r="H6" s="21"/>
      <c r="I6" s="21"/>
      <c r="J6" s="21"/>
      <c r="K6" s="21"/>
      <c r="L6" s="21"/>
      <c r="M6" s="21"/>
      <c r="N6" s="21"/>
    </row>
    <row r="7" spans="3:14" x14ac:dyDescent="0.2">
      <c r="C7" s="21"/>
      <c r="D7" s="21"/>
      <c r="E7" s="21"/>
      <c r="F7" s="21"/>
      <c r="G7" s="21"/>
      <c r="H7" s="21"/>
      <c r="I7" s="21"/>
      <c r="J7" s="21"/>
      <c r="K7" s="21"/>
      <c r="L7" s="21"/>
      <c r="M7" s="21"/>
      <c r="N7" s="2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36684-095E-489F-985E-D3696793EA0D}">
  <sheetPr codeName="Sheet6"/>
  <dimension ref="D2:M10"/>
  <sheetViews>
    <sheetView topLeftCell="H8" zoomScale="110" workbookViewId="0">
      <selection activeCell="H21" sqref="H21"/>
    </sheetView>
  </sheetViews>
  <sheetFormatPr baseColWidth="10" defaultColWidth="8.83203125" defaultRowHeight="15" x14ac:dyDescent="0.2"/>
  <cols>
    <col min="3" max="3" width="1.83203125" customWidth="1"/>
    <col min="4" max="4" width="21.5" customWidth="1"/>
    <col min="5" max="5" width="25" customWidth="1"/>
    <col min="8" max="9" width="14.5" bestFit="1" customWidth="1"/>
    <col min="11" max="11" width="2.5" customWidth="1"/>
    <col min="12" max="12" width="22.83203125" customWidth="1"/>
    <col min="13" max="13" width="23.1640625" customWidth="1"/>
  </cols>
  <sheetData>
    <row r="2" spans="4:13" x14ac:dyDescent="0.2">
      <c r="D2" s="17" t="s">
        <v>203</v>
      </c>
      <c r="E2" t="s" vm="1">
        <v>204</v>
      </c>
      <c r="L2" s="17" t="s">
        <v>203</v>
      </c>
      <c r="M2" t="s" vm="2">
        <v>206</v>
      </c>
    </row>
    <row r="4" spans="4:13" x14ac:dyDescent="0.2">
      <c r="D4" s="17" t="s">
        <v>227</v>
      </c>
      <c r="E4" t="s">
        <v>228</v>
      </c>
      <c r="L4" s="17" t="s">
        <v>227</v>
      </c>
      <c r="M4" t="s">
        <v>228</v>
      </c>
    </row>
    <row r="5" spans="4:13" x14ac:dyDescent="0.2">
      <c r="D5" s="6" t="s">
        <v>9</v>
      </c>
      <c r="E5">
        <v>28</v>
      </c>
      <c r="L5" s="6" t="s">
        <v>12</v>
      </c>
      <c r="M5">
        <v>27</v>
      </c>
    </row>
    <row r="6" spans="4:13" x14ac:dyDescent="0.2">
      <c r="D6" s="6" t="s">
        <v>12</v>
      </c>
      <c r="E6">
        <v>27</v>
      </c>
      <c r="L6" s="6" t="s">
        <v>9</v>
      </c>
      <c r="M6">
        <v>27</v>
      </c>
    </row>
    <row r="7" spans="4:13" x14ac:dyDescent="0.2">
      <c r="D7" s="6" t="s">
        <v>21</v>
      </c>
      <c r="E7">
        <v>19</v>
      </c>
      <c r="L7" s="6" t="s">
        <v>21</v>
      </c>
      <c r="M7">
        <v>19</v>
      </c>
    </row>
    <row r="8" spans="4:13" x14ac:dyDescent="0.2">
      <c r="D8" s="6" t="s">
        <v>19</v>
      </c>
      <c r="E8">
        <v>14</v>
      </c>
      <c r="L8" s="6" t="s">
        <v>19</v>
      </c>
      <c r="M8">
        <v>14</v>
      </c>
    </row>
    <row r="9" spans="4:13" x14ac:dyDescent="0.2">
      <c r="D9" s="6" t="s">
        <v>56</v>
      </c>
      <c r="E9">
        <v>4</v>
      </c>
      <c r="L9" s="6" t="s">
        <v>56</v>
      </c>
      <c r="M9">
        <v>4</v>
      </c>
    </row>
    <row r="10" spans="4:13" x14ac:dyDescent="0.2">
      <c r="D10" s="6" t="s">
        <v>226</v>
      </c>
      <c r="E10">
        <v>92</v>
      </c>
      <c r="L10" s="6" t="s">
        <v>226</v>
      </c>
      <c r="M10">
        <v>91</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14405-DA16-4050-8658-B6C78564F645}">
  <sheetPr codeName="Sheet7"/>
  <dimension ref="F2:Q39"/>
  <sheetViews>
    <sheetView topLeftCell="D1" zoomScale="55" zoomScaleNormal="95" workbookViewId="0">
      <selection activeCell="H18" sqref="H18"/>
    </sheetView>
  </sheetViews>
  <sheetFormatPr baseColWidth="10" defaultColWidth="8.83203125" defaultRowHeight="15" x14ac:dyDescent="0.2"/>
  <sheetData>
    <row r="2" spans="6:15" x14ac:dyDescent="0.2">
      <c r="F2" t="s">
        <v>236</v>
      </c>
    </row>
    <row r="3" spans="6:15" x14ac:dyDescent="0.2">
      <c r="O3" t="s">
        <v>242</v>
      </c>
    </row>
    <row r="39" spans="17:17" x14ac:dyDescent="0.2">
      <c r="Q39">
        <v>183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B0714-3EEC-4AE1-8840-9A827AE87D85}">
  <sheetPr codeName="Sheet8"/>
  <dimension ref="B1:J34"/>
  <sheetViews>
    <sheetView zoomScale="88" workbookViewId="0">
      <selection activeCell="Q39" sqref="Q24:T39"/>
    </sheetView>
  </sheetViews>
  <sheetFormatPr baseColWidth="10" defaultColWidth="8.83203125" defaultRowHeight="15" x14ac:dyDescent="0.2"/>
  <cols>
    <col min="2" max="2" width="26.5" customWidth="1"/>
    <col min="3" max="3" width="13.6640625" customWidth="1"/>
    <col min="4" max="4" width="14.6640625" customWidth="1"/>
  </cols>
  <sheetData>
    <row r="1" spans="2:10" x14ac:dyDescent="0.2">
      <c r="C1" s="5" t="s">
        <v>221</v>
      </c>
    </row>
    <row r="3" spans="2:10" x14ac:dyDescent="0.2">
      <c r="H3" t="s">
        <v>234</v>
      </c>
    </row>
    <row r="5" spans="2:10" x14ac:dyDescent="0.2">
      <c r="B5" s="5" t="s">
        <v>222</v>
      </c>
      <c r="C5" s="5" t="s">
        <v>19</v>
      </c>
    </row>
    <row r="6" spans="2:10" x14ac:dyDescent="0.2">
      <c r="B6" t="s">
        <v>223</v>
      </c>
      <c r="C6" s="2" t="s">
        <v>5</v>
      </c>
      <c r="D6" t="s">
        <v>6</v>
      </c>
    </row>
    <row r="7" spans="2:10" x14ac:dyDescent="0.2">
      <c r="B7" t="str" cm="1">
        <f t="array" aca="1" ref="B7:D34" ca="1">_xlfn._xlws.SORT(_xlfn.CHOOSECOLS(_xlfn._xlws.FILTER(Staff[],Staff[Department]=C5),1,7,4),2,-1)</f>
        <v>Krishnakanta Vellanki</v>
      </c>
      <c r="C7" s="2">
        <f ca="1"/>
        <v>112780</v>
      </c>
      <c r="D7" t="str">
        <f ca="1"/>
        <v>Above average</v>
      </c>
    </row>
    <row r="8" spans="2:10" x14ac:dyDescent="0.2">
      <c r="B8" t="str">
        <f ca="1"/>
        <v>Lindy Guillet</v>
      </c>
      <c r="C8" s="2">
        <f ca="1"/>
        <v>112780</v>
      </c>
      <c r="D8" t="str">
        <f ca="1"/>
        <v>Above average</v>
      </c>
    </row>
    <row r="9" spans="2:10" x14ac:dyDescent="0.2">
      <c r="B9" t="str">
        <f ca="1"/>
        <v>Sawini Chandan</v>
      </c>
      <c r="C9" s="2">
        <f ca="1"/>
        <v>109160</v>
      </c>
      <c r="D9" t="str">
        <f ca="1"/>
        <v>Exceptional</v>
      </c>
    </row>
    <row r="10" spans="2:10" x14ac:dyDescent="0.2">
      <c r="B10" t="str">
        <f ca="1"/>
        <v>Rafaelita Blaksland</v>
      </c>
      <c r="C10" s="2">
        <f ca="1"/>
        <v>109160</v>
      </c>
      <c r="D10" t="str">
        <f ca="1"/>
        <v>Exceptional</v>
      </c>
      <c r="H10" t="s">
        <v>224</v>
      </c>
      <c r="J10">
        <f>COUNTIF(Staff[Department],C5)</f>
        <v>28</v>
      </c>
    </row>
    <row r="11" spans="2:10" x14ac:dyDescent="0.2">
      <c r="B11" t="str">
        <f ca="1"/>
        <v>Purnendu Vijayarangan</v>
      </c>
      <c r="C11" s="2">
        <f ca="1"/>
        <v>92700</v>
      </c>
      <c r="D11" t="str">
        <f ca="1"/>
        <v>Average</v>
      </c>
    </row>
    <row r="12" spans="2:10" x14ac:dyDescent="0.2">
      <c r="B12" t="str">
        <f ca="1"/>
        <v>Hinda Label</v>
      </c>
      <c r="C12" s="2">
        <f ca="1"/>
        <v>92700</v>
      </c>
      <c r="D12" t="str">
        <f ca="1"/>
        <v>Average</v>
      </c>
    </row>
    <row r="13" spans="2:10" x14ac:dyDescent="0.2">
      <c r="B13" t="str">
        <f ca="1"/>
        <v>Shulabh Qutub Sundaramoorthy</v>
      </c>
      <c r="C13" s="2">
        <f ca="1"/>
        <v>78540</v>
      </c>
      <c r="D13" t="str">
        <f ca="1"/>
        <v>Average</v>
      </c>
    </row>
    <row r="14" spans="2:10" x14ac:dyDescent="0.2">
      <c r="B14" t="str">
        <f ca="1"/>
        <v>Gray Seamon</v>
      </c>
      <c r="C14" s="2">
        <f ca="1"/>
        <v>78540</v>
      </c>
      <c r="D14" t="str">
        <f ca="1"/>
        <v>Average</v>
      </c>
    </row>
    <row r="15" spans="2:10" x14ac:dyDescent="0.2">
      <c r="B15" t="str">
        <f ca="1"/>
        <v>Yauvani Tarpa</v>
      </c>
      <c r="C15" s="2">
        <f ca="1"/>
        <v>74550</v>
      </c>
      <c r="D15" t="str">
        <f ca="1"/>
        <v>Average</v>
      </c>
    </row>
    <row r="16" spans="2:10" x14ac:dyDescent="0.2">
      <c r="B16" t="str">
        <f ca="1"/>
        <v>Gigi Bohling</v>
      </c>
      <c r="C16" s="2">
        <f ca="1"/>
        <v>74550</v>
      </c>
      <c r="D16" t="str">
        <f ca="1"/>
        <v>Average</v>
      </c>
    </row>
    <row r="17" spans="2:4" x14ac:dyDescent="0.2">
      <c r="B17" t="str">
        <f ca="1"/>
        <v>Devasree Fullara Saurin</v>
      </c>
      <c r="C17" s="2">
        <f ca="1"/>
        <v>68900</v>
      </c>
      <c r="D17" t="str">
        <f ca="1"/>
        <v>Poor</v>
      </c>
    </row>
    <row r="18" spans="2:4" x14ac:dyDescent="0.2">
      <c r="B18" t="str">
        <f ca="1"/>
        <v>Hyacinthie Braybrooke</v>
      </c>
      <c r="C18" s="2">
        <f ca="1"/>
        <v>68900</v>
      </c>
      <c r="D18" t="str">
        <f ca="1"/>
        <v>Poor</v>
      </c>
    </row>
    <row r="19" spans="2:4" x14ac:dyDescent="0.2">
      <c r="B19" t="str">
        <f ca="1"/>
        <v>Abhaya Priyavardhan</v>
      </c>
      <c r="C19" s="2">
        <f ca="1"/>
        <v>65700</v>
      </c>
      <c r="D19" t="str">
        <f ca="1"/>
        <v>Average</v>
      </c>
    </row>
    <row r="20" spans="2:4" x14ac:dyDescent="0.2">
      <c r="B20" t="str">
        <f ca="1"/>
        <v>Kath Bletsoe</v>
      </c>
      <c r="C20" s="2">
        <f ca="1"/>
        <v>65700</v>
      </c>
      <c r="D20" t="str">
        <f ca="1"/>
        <v>Average</v>
      </c>
    </row>
    <row r="21" spans="2:4" x14ac:dyDescent="0.2">
      <c r="B21" t="str">
        <f ca="1"/>
        <v>Mirium Seemantini Shivakumar</v>
      </c>
      <c r="C21" s="2">
        <f ca="1"/>
        <v>56870</v>
      </c>
      <c r="D21" t="str">
        <f ca="1"/>
        <v>Above average</v>
      </c>
    </row>
    <row r="22" spans="2:4" x14ac:dyDescent="0.2">
      <c r="B22" t="str">
        <f ca="1"/>
        <v>Oran Buxcy</v>
      </c>
      <c r="C22" s="2">
        <f ca="1"/>
        <v>56870</v>
      </c>
      <c r="D22" t="str">
        <f ca="1"/>
        <v>Above average</v>
      </c>
    </row>
    <row r="23" spans="2:4" x14ac:dyDescent="0.2">
      <c r="B23" t="str">
        <f ca="1"/>
        <v>Sanchali Shirish</v>
      </c>
      <c r="C23" s="2">
        <f ca="1"/>
        <v>54970</v>
      </c>
      <c r="D23" t="str">
        <f ca="1"/>
        <v>Average</v>
      </c>
    </row>
    <row r="24" spans="2:4" x14ac:dyDescent="0.2">
      <c r="B24" t="str">
        <f ca="1"/>
        <v>Alta Kaszper</v>
      </c>
      <c r="C24" s="2">
        <f ca="1"/>
        <v>54970</v>
      </c>
      <c r="D24" t="str">
        <f ca="1"/>
        <v>Average</v>
      </c>
    </row>
    <row r="25" spans="2:4" x14ac:dyDescent="0.2">
      <c r="B25" t="str">
        <f ca="1"/>
        <v>Geena Raghavanpillai</v>
      </c>
      <c r="C25" s="2">
        <f ca="1"/>
        <v>53540</v>
      </c>
      <c r="D25" t="str">
        <f ca="1"/>
        <v>Average</v>
      </c>
    </row>
    <row r="26" spans="2:4" x14ac:dyDescent="0.2">
      <c r="B26" t="str">
        <f ca="1"/>
        <v>Hoyt D'Alesco</v>
      </c>
      <c r="C26" s="2">
        <f ca="1"/>
        <v>53540</v>
      </c>
      <c r="D26" t="str">
        <f ca="1"/>
        <v>Average</v>
      </c>
    </row>
    <row r="27" spans="2:4" x14ac:dyDescent="0.2">
      <c r="B27" t="str">
        <f ca="1"/>
        <v>Anumati Shyamari Meherhomji</v>
      </c>
      <c r="C27" s="2">
        <f ca="1"/>
        <v>53240</v>
      </c>
      <c r="D27" t="str">
        <f ca="1"/>
        <v>Average</v>
      </c>
    </row>
    <row r="28" spans="2:4" x14ac:dyDescent="0.2">
      <c r="B28" t="str">
        <f ca="1"/>
        <v>Tatum Hush</v>
      </c>
      <c r="C28" s="2">
        <f ca="1"/>
        <v>53240</v>
      </c>
      <c r="D28" t="str">
        <f ca="1"/>
        <v>Average</v>
      </c>
    </row>
    <row r="29" spans="2:4" x14ac:dyDescent="0.2">
      <c r="B29" t="str">
        <f ca="1"/>
        <v>Daruka Ghazali</v>
      </c>
      <c r="C29" s="2">
        <f ca="1"/>
        <v>49630</v>
      </c>
      <c r="D29" t="str">
        <f ca="1"/>
        <v>Poor</v>
      </c>
    </row>
    <row r="30" spans="2:4" x14ac:dyDescent="0.2">
      <c r="B30" t="str">
        <f ca="1"/>
        <v>Violante Courtonne</v>
      </c>
      <c r="C30" s="2">
        <f ca="1"/>
        <v>49630</v>
      </c>
      <c r="D30" t="str">
        <f ca="1"/>
        <v>Poor</v>
      </c>
    </row>
    <row r="31" spans="2:4" x14ac:dyDescent="0.2">
      <c r="B31" t="str">
        <f ca="1"/>
        <v>Rupak Mehra</v>
      </c>
      <c r="C31" s="2">
        <f ca="1"/>
        <v>43510</v>
      </c>
      <c r="D31" t="str">
        <f ca="1"/>
        <v>Very poor</v>
      </c>
    </row>
    <row r="32" spans="2:4" x14ac:dyDescent="0.2">
      <c r="B32" t="str">
        <f ca="1"/>
        <v>Drusy MacCombe</v>
      </c>
      <c r="C32" s="2">
        <f ca="1"/>
        <v>43510</v>
      </c>
      <c r="D32" t="str">
        <f ca="1"/>
        <v>Very poor</v>
      </c>
    </row>
    <row r="33" spans="2:4" x14ac:dyDescent="0.2">
      <c r="B33" t="str">
        <f ca="1"/>
        <v>Waheeda Vasuman</v>
      </c>
      <c r="C33" s="2">
        <f ca="1"/>
        <v>36040</v>
      </c>
      <c r="D33" t="str">
        <f ca="1"/>
        <v>Average</v>
      </c>
    </row>
    <row r="34" spans="2:4" x14ac:dyDescent="0.2">
      <c r="B34" t="str">
        <f ca="1"/>
        <v>Bili Sizey</v>
      </c>
      <c r="C34" s="2">
        <f ca="1"/>
        <v>36040</v>
      </c>
      <c r="D34" t="str">
        <f ca="1"/>
        <v>Average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F5ADF-8C81-42BB-A410-40D6EA650A19}">
  <sheetPr codeName="Sheet9"/>
  <dimension ref="B3:Q39"/>
  <sheetViews>
    <sheetView tabSelected="1" topLeftCell="B3" zoomScale="95" zoomScaleNormal="95" workbookViewId="0">
      <selection activeCell="H18" sqref="H18"/>
    </sheetView>
  </sheetViews>
  <sheetFormatPr baseColWidth="10" defaultColWidth="8.83203125" defaultRowHeight="15" x14ac:dyDescent="0.2"/>
  <cols>
    <col min="2" max="2" width="14.33203125" bestFit="1" customWidth="1"/>
    <col min="3" max="3" width="14.6640625" bestFit="1" customWidth="1"/>
    <col min="4" max="4" width="17" bestFit="1" customWidth="1"/>
  </cols>
  <sheetData>
    <row r="3" spans="2:15" x14ac:dyDescent="0.2">
      <c r="O3" t="s">
        <v>242</v>
      </c>
    </row>
    <row r="4" spans="2:15" x14ac:dyDescent="0.2">
      <c r="B4" s="17" t="s">
        <v>227</v>
      </c>
      <c r="C4" t="s">
        <v>228</v>
      </c>
      <c r="D4" t="s">
        <v>231</v>
      </c>
    </row>
    <row r="5" spans="2:15" x14ac:dyDescent="0.2">
      <c r="B5" s="6" t="s">
        <v>10</v>
      </c>
      <c r="C5">
        <v>4</v>
      </c>
      <c r="D5" s="19">
        <v>92080</v>
      </c>
    </row>
    <row r="6" spans="2:15" x14ac:dyDescent="0.2">
      <c r="B6" s="6" t="s">
        <v>13</v>
      </c>
      <c r="C6">
        <v>20</v>
      </c>
      <c r="D6" s="19">
        <v>75933</v>
      </c>
    </row>
    <row r="7" spans="2:15" x14ac:dyDescent="0.2">
      <c r="B7" s="6" t="s">
        <v>16</v>
      </c>
      <c r="C7">
        <v>137</v>
      </c>
      <c r="D7" s="19">
        <v>76798.759124087592</v>
      </c>
    </row>
    <row r="8" spans="2:15" x14ac:dyDescent="0.2">
      <c r="B8" s="6" t="s">
        <v>24</v>
      </c>
      <c r="C8">
        <v>16</v>
      </c>
      <c r="D8" s="19">
        <v>78115</v>
      </c>
    </row>
    <row r="9" spans="2:15" x14ac:dyDescent="0.2">
      <c r="B9" s="6" t="s">
        <v>42</v>
      </c>
      <c r="C9">
        <v>6</v>
      </c>
      <c r="D9" s="19">
        <v>77423.333333333328</v>
      </c>
    </row>
    <row r="10" spans="2:15" x14ac:dyDescent="0.2">
      <c r="B10" s="6" t="s">
        <v>226</v>
      </c>
      <c r="C10">
        <v>183</v>
      </c>
      <c r="D10" s="19">
        <v>77173.715846994543</v>
      </c>
    </row>
    <row r="39" spans="17:17" x14ac:dyDescent="0.2">
      <c r="Q39">
        <v>183</v>
      </c>
    </row>
  </sheetData>
  <conditionalFormatting pivot="1" sqref="D5:D9">
    <cfRule type="dataBar" priority="1">
      <dataBar>
        <cfvo type="min"/>
        <cfvo type="max"/>
        <color rgb="FF638EC6"/>
      </dataBar>
      <extLst>
        <ext xmlns:x14="http://schemas.microsoft.com/office/spreadsheetml/2009/9/main" uri="{B025F937-C7B1-47D3-B67F-A62EFF666E3E}">
          <x14:id>{89538A73-DC7E-4735-B1F5-5DADF787AA9D}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9538A73-DC7E-4735-B1F5-5DADF787AA9D}">
            <x14:dataBar minLength="0" maxLength="100" border="1" negativeBarBorderColorSameAsPositive="0">
              <x14:cfvo type="autoMin"/>
              <x14:cfvo type="autoMax"/>
              <x14:borderColor rgb="FF638EC6"/>
              <x14:negativeFillColor rgb="FFFF0000"/>
              <x14:negativeBorderColor rgb="FFFF0000"/>
              <x14:axisColor rgb="FF000000"/>
            </x14:dataBar>
          </x14:cfRule>
          <xm:sqref>D5:D9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2F7C9-B3A1-4941-BB43-479503A4F1A1}">
  <sheetPr codeName="Sheet10"/>
  <dimension ref="B3:F16"/>
  <sheetViews>
    <sheetView zoomScale="77" workbookViewId="0">
      <selection activeCell="G17" sqref="G17"/>
    </sheetView>
  </sheetViews>
  <sheetFormatPr baseColWidth="10" defaultColWidth="8.83203125" defaultRowHeight="15" x14ac:dyDescent="0.2"/>
  <cols>
    <col min="2" max="2" width="17.5" bestFit="1" customWidth="1"/>
    <col min="3" max="3" width="16.6640625" bestFit="1" customWidth="1"/>
    <col min="4" max="4" width="9.5" bestFit="1" customWidth="1"/>
    <col min="5" max="5" width="8.6640625" bestFit="1" customWidth="1"/>
    <col min="6" max="6" width="12.33203125" bestFit="1" customWidth="1"/>
    <col min="7" max="7" width="12.5" bestFit="1" customWidth="1"/>
    <col min="8" max="8" width="16.33203125" bestFit="1" customWidth="1"/>
    <col min="9" max="10" width="19.5" bestFit="1" customWidth="1"/>
  </cols>
  <sheetData>
    <row r="3" spans="2:6" x14ac:dyDescent="0.2">
      <c r="F3" t="s">
        <v>235</v>
      </c>
    </row>
    <row r="11" spans="2:6" x14ac:dyDescent="0.2">
      <c r="C11" s="17" t="s">
        <v>225</v>
      </c>
    </row>
    <row r="12" spans="2:6" x14ac:dyDescent="0.2">
      <c r="B12" s="17" t="s">
        <v>230</v>
      </c>
      <c r="C12" t="s">
        <v>8</v>
      </c>
      <c r="D12" t="s">
        <v>15</v>
      </c>
    </row>
    <row r="13" spans="2:6" x14ac:dyDescent="0.2">
      <c r="B13" s="6" t="s">
        <v>228</v>
      </c>
      <c r="C13">
        <v>86</v>
      </c>
      <c r="D13">
        <v>89</v>
      </c>
    </row>
    <row r="14" spans="2:6" x14ac:dyDescent="0.2">
      <c r="B14" s="6" t="s">
        <v>229</v>
      </c>
      <c r="C14" s="4">
        <v>31.406976744186046</v>
      </c>
      <c r="D14" s="4">
        <v>29.393258426966291</v>
      </c>
    </row>
    <row r="15" spans="2:6" x14ac:dyDescent="0.2">
      <c r="B15" s="6" t="s">
        <v>231</v>
      </c>
      <c r="C15" s="4">
        <v>78284.186046511633</v>
      </c>
      <c r="D15" s="4">
        <v>74915.168539325838</v>
      </c>
    </row>
    <row r="16" spans="2:6" x14ac:dyDescent="0.2">
      <c r="B16" s="6" t="s">
        <v>232</v>
      </c>
      <c r="C16" s="4">
        <v>2.3805670595731123</v>
      </c>
      <c r="D16" s="4">
        <v>2.3714637525011542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18D-4261-4588-AC12-2664A937A5A0}">
  <sheetPr codeName="Sheet11"/>
  <dimension ref="B3:Q39"/>
  <sheetViews>
    <sheetView zoomScale="95" zoomScaleNormal="95" workbookViewId="0">
      <selection activeCell="G19" sqref="G19"/>
    </sheetView>
  </sheetViews>
  <sheetFormatPr baseColWidth="10" defaultColWidth="8.83203125" defaultRowHeight="15" x14ac:dyDescent="0.2"/>
  <cols>
    <col min="2" max="2" width="15.33203125" customWidth="1"/>
  </cols>
  <sheetData>
    <row r="3" spans="2:15" x14ac:dyDescent="0.2">
      <c r="B3" s="8" t="s">
        <v>10</v>
      </c>
      <c r="C3" s="7">
        <v>5</v>
      </c>
      <c r="O3" t="s">
        <v>242</v>
      </c>
    </row>
    <row r="4" spans="2:15" x14ac:dyDescent="0.2">
      <c r="B4" s="8" t="s">
        <v>13</v>
      </c>
      <c r="C4" s="7">
        <v>4</v>
      </c>
    </row>
    <row r="5" spans="2:15" x14ac:dyDescent="0.2">
      <c r="B5" s="8" t="s">
        <v>16</v>
      </c>
      <c r="C5" s="7">
        <v>3</v>
      </c>
    </row>
    <row r="6" spans="2:15" x14ac:dyDescent="0.2">
      <c r="B6" s="8" t="s">
        <v>24</v>
      </c>
      <c r="C6" s="7">
        <v>2</v>
      </c>
    </row>
    <row r="7" spans="2:15" x14ac:dyDescent="0.2">
      <c r="B7" s="8" t="s">
        <v>42</v>
      </c>
      <c r="C7" s="7">
        <v>1</v>
      </c>
    </row>
    <row r="39" spans="17:17" x14ac:dyDescent="0.2">
      <c r="Q39">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09F101-6F50-4DCF-82A5-ADCF68704C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No of People</vt:lpstr>
      <vt:lpstr>Final Report</vt:lpstr>
      <vt:lpstr>Sheet2</vt:lpstr>
      <vt:lpstr>Salary Spread</vt:lpstr>
      <vt:lpstr>info finder</vt:lpstr>
      <vt:lpstr>Salary vs Rating</vt:lpstr>
      <vt:lpstr>Male vs Female</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18574234399</cp:lastModifiedBy>
  <dcterms:created xsi:type="dcterms:W3CDTF">2021-03-14T20:21:32Z</dcterms:created>
  <dcterms:modified xsi:type="dcterms:W3CDTF">2024-01-12T01:22:36Z</dcterms:modified>
</cp:coreProperties>
</file>