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154" documentId="13_ncr:1_{D7F5FF9D-C593-4A24-95BA-AD3D8DCA13FF}" xr6:coauthVersionLast="47" xr6:coauthVersionMax="47" xr10:uidLastSave="{2D173A79-CEC8-4CCA-9F63-02C83732DD29}"/>
  <bookViews>
    <workbookView xWindow="19090" yWindow="-110" windowWidth="19420" windowHeight="12220" firstSheet="1" activeTab="6"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9" l="1"/>
  <c r="D36" i="9" s="1"/>
  <c r="P7" i="13"/>
  <c r="O6" i="13"/>
  <c r="P6" i="13"/>
  <c r="N7" i="13"/>
  <c r="N6" i="13"/>
  <c r="U13" i="24"/>
  <c r="U14" i="24"/>
  <c r="U12" i="24"/>
  <c r="T10" i="24"/>
  <c r="T8" i="24"/>
  <c r="T6" i="24"/>
  <c r="S8" i="24"/>
  <c r="R10" i="24"/>
  <c r="R8" i="24"/>
  <c r="R6" i="24"/>
  <c r="Z8" i="9"/>
  <c r="X10" i="9"/>
  <c r="Z12" i="9"/>
  <c r="X30" i="9"/>
  <c r="Y14" i="9"/>
  <c r="Z30" i="9"/>
  <c r="Z16" i="9"/>
  <c r="X32" i="9"/>
  <c r="Z32" i="9"/>
  <c r="AA32" i="9"/>
  <c r="X19" i="9"/>
  <c r="Z19" i="9"/>
  <c r="X21" i="9"/>
  <c r="X22" i="9"/>
  <c r="X23" i="9"/>
  <c r="Z23" i="9"/>
  <c r="AA23" i="9"/>
  <c r="Z24" i="9"/>
  <c r="AA24" i="9"/>
  <c r="X26" i="9"/>
  <c r="Z28" i="9"/>
  <c r="X34" i="9"/>
  <c r="X35" i="9"/>
  <c r="Z35" i="9"/>
  <c r="AB7" i="9"/>
  <c r="X8" i="9"/>
  <c r="AA8" i="9"/>
  <c r="AB8" i="9"/>
  <c r="AB9" i="9"/>
  <c r="Z10" i="9"/>
  <c r="AB10" i="9"/>
  <c r="AB11" i="9"/>
  <c r="X12" i="9"/>
  <c r="AB12" i="9"/>
  <c r="AB13" i="9"/>
  <c r="AB14" i="9"/>
  <c r="AB15" i="9"/>
  <c r="X16" i="9"/>
  <c r="AB16" i="9"/>
  <c r="AB17" i="9"/>
  <c r="Z18" i="9"/>
  <c r="AA18" i="9"/>
  <c r="AB18" i="9"/>
  <c r="AA19" i="9"/>
  <c r="AB19" i="9"/>
  <c r="X20" i="9"/>
  <c r="Z20" i="9"/>
  <c r="AA20" i="9"/>
  <c r="AB20" i="9"/>
  <c r="Z21" i="9"/>
  <c r="AA21" i="9"/>
  <c r="AB21" i="9"/>
  <c r="Z22" i="9"/>
  <c r="AA22" i="9"/>
  <c r="AB22" i="9"/>
  <c r="AB23" i="9"/>
  <c r="X24" i="9"/>
  <c r="AB24" i="9"/>
  <c r="AB25" i="9"/>
  <c r="Z26" i="9"/>
  <c r="AB26" i="9"/>
  <c r="AB27" i="9"/>
  <c r="X28" i="9"/>
  <c r="AB28" i="9"/>
  <c r="AB30" i="9"/>
  <c r="AB32" i="9"/>
  <c r="X33" i="9"/>
  <c r="Z33" i="9"/>
  <c r="AA33" i="9"/>
  <c r="AB33" i="9"/>
  <c r="Z34" i="9"/>
  <c r="AA34" i="9"/>
  <c r="AB34" i="9"/>
  <c r="AA35" i="9"/>
  <c r="AB35" i="9"/>
  <c r="Z6" i="9"/>
  <c r="AA6" i="9"/>
  <c r="AB6" i="9"/>
  <c r="X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c r="B28" i="9"/>
  <c r="H14" i="9"/>
  <c r="H30" i="9"/>
  <c r="H12" i="9"/>
  <c r="H28" i="9"/>
  <c r="H10" i="9"/>
  <c r="H26" i="9"/>
  <c r="H6" i="9"/>
  <c r="H24" i="9"/>
  <c r="J9" i="7"/>
  <c r="J12" i="7"/>
  <c r="K8" i="10"/>
  <c r="L14" i="10"/>
  <c r="J14" i="10"/>
  <c r="L13" i="10"/>
  <c r="J13" i="10"/>
  <c r="L12" i="10"/>
  <c r="J12" i="10"/>
  <c r="I8" i="7"/>
  <c r="G7" i="7"/>
  <c r="H7" i="7"/>
  <c r="L9" i="7"/>
  <c r="L15" i="7"/>
  <c r="K9" i="7"/>
  <c r="K15" i="7"/>
  <c r="I9" i="7"/>
  <c r="I15" i="7"/>
  <c r="L8" i="7"/>
  <c r="L14" i="7"/>
  <c r="K8" i="7"/>
  <c r="K14" i="7"/>
  <c r="I12" i="7"/>
  <c r="J8" i="10"/>
  <c r="J17" i="10"/>
  <c r="L11" i="7"/>
  <c r="I11" i="7"/>
  <c r="J6" i="10"/>
  <c r="L10" i="7"/>
  <c r="K10" i="7"/>
  <c r="I10" i="7"/>
  <c r="I13" i="7"/>
  <c r="J10" i="10"/>
  <c r="K3" i="7"/>
  <c r="I3" i="7"/>
  <c r="H3" i="7"/>
  <c r="G4" i="7"/>
  <c r="G3" i="7"/>
  <c r="L3" i="7"/>
  <c r="M3" i="7"/>
  <c r="A17" i="10"/>
  <c r="O4" i="7"/>
  <c r="O3" i="7"/>
  <c r="L16" i="7"/>
  <c r="L13" i="7"/>
  <c r="L4" i="7"/>
  <c r="I7" i="7"/>
  <c r="O6" i="10"/>
  <c r="P30" i="9"/>
  <c r="P28" i="9"/>
  <c r="P26" i="9"/>
  <c r="P24" i="9"/>
  <c r="P16" i="9"/>
  <c r="P14" i="9"/>
  <c r="P12" i="9"/>
  <c r="P10" i="9"/>
  <c r="P8" i="9"/>
  <c r="P6" i="9"/>
  <c r="K6" i="21"/>
  <c r="O8" i="10"/>
  <c r="O10" i="10"/>
  <c r="M4" i="7"/>
  <c r="K16" i="7"/>
  <c r="K13" i="7"/>
  <c r="L10" i="10"/>
  <c r="K7" i="7"/>
  <c r="K4" i="7"/>
  <c r="I16" i="7"/>
  <c r="I4" i="7"/>
  <c r="E6" i="21"/>
  <c r="E8" i="21"/>
  <c r="A9" i="21"/>
  <c r="G10" i="21"/>
  <c r="B18" i="21"/>
  <c r="A8" i="21"/>
  <c r="C18" i="21"/>
  <c r="C25" i="21"/>
  <c r="B25" i="21"/>
  <c r="D8" i="21"/>
  <c r="D11" i="21"/>
  <c r="B6" i="21"/>
  <c r="A6" i="21"/>
  <c r="C7" i="21"/>
  <c r="F6" i="21"/>
  <c r="G9" i="21"/>
  <c r="C80" i="9"/>
  <c r="B80" i="9"/>
  <c r="D32" i="9"/>
  <c r="C74" i="9"/>
  <c r="B74" i="9"/>
  <c r="D18" i="9"/>
  <c r="B24" i="9"/>
  <c r="A24" i="9"/>
  <c r="C25" i="9" s="1"/>
  <c r="B6" i="9"/>
  <c r="I38" i="9"/>
  <c r="I37" i="9"/>
  <c r="D39" i="9"/>
  <c r="A37" i="9"/>
  <c r="A6" i="9"/>
  <c r="C7" i="9"/>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H16" i="9"/>
  <c r="G16" i="9"/>
  <c r="G23" i="9"/>
  <c r="F23" i="9"/>
  <c r="G14" i="9"/>
  <c r="G30" i="9" s="1"/>
  <c r="G35" i="9" s="1"/>
  <c r="G22" i="9"/>
  <c r="F22" i="9"/>
  <c r="A16" i="9"/>
  <c r="C17" i="9"/>
  <c r="A14" i="9"/>
  <c r="C15" i="9"/>
  <c r="C83" i="9"/>
  <c r="B83" i="9"/>
  <c r="D35" i="9"/>
  <c r="C79" i="9"/>
  <c r="B79" i="9"/>
  <c r="D23" i="9"/>
  <c r="C78" i="9"/>
  <c r="B78" i="9"/>
  <c r="D22" i="9"/>
  <c r="C65" i="9"/>
  <c r="B65" i="9"/>
  <c r="A35" i="9"/>
  <c r="C61" i="9"/>
  <c r="B61" i="9"/>
  <c r="A23" i="9"/>
  <c r="C60" i="9"/>
  <c r="B60" i="9"/>
  <c r="A22" i="9"/>
  <c r="C11" i="10"/>
  <c r="C31" i="9"/>
  <c r="B58" i="9"/>
  <c r="A20" i="9"/>
  <c r="C58" i="9"/>
  <c r="B75" i="9"/>
  <c r="D19" i="9" s="1"/>
  <c r="C75" i="9"/>
  <c r="F32" i="9"/>
  <c r="A26" i="9"/>
  <c r="C27" i="9" s="1"/>
  <c r="A28" i="9"/>
  <c r="C29" i="9" s="1"/>
  <c r="C82" i="9"/>
  <c r="B82" i="9"/>
  <c r="D34" i="9"/>
  <c r="C81" i="9"/>
  <c r="B81" i="9"/>
  <c r="D33" i="9" s="1"/>
  <c r="B62" i="9"/>
  <c r="A32" i="9" s="1"/>
  <c r="C64" i="9"/>
  <c r="B64" i="9"/>
  <c r="A34" i="9"/>
  <c r="C63" i="9"/>
  <c r="B63" i="9"/>
  <c r="A33" i="9" s="1"/>
  <c r="C62" i="9"/>
  <c r="B56" i="9"/>
  <c r="A18" i="9" s="1"/>
  <c r="F33" i="9"/>
  <c r="F19" i="9"/>
  <c r="A8" i="9"/>
  <c r="C9" i="9" s="1"/>
  <c r="C57" i="9"/>
  <c r="B57" i="9"/>
  <c r="A19" i="9"/>
  <c r="M12" i="10"/>
  <c r="H8" i="9"/>
  <c r="G6" i="14"/>
  <c r="C36" i="10"/>
  <c r="B36" i="10"/>
  <c r="D12" i="10"/>
  <c r="C25" i="10"/>
  <c r="B25" i="10"/>
  <c r="A12" i="10"/>
  <c r="B59" i="9"/>
  <c r="A21" i="9"/>
  <c r="F21" i="9"/>
  <c r="G10" i="9"/>
  <c r="G20" i="9"/>
  <c r="G33" i="9"/>
  <c r="G26" i="9"/>
  <c r="B76" i="9"/>
  <c r="D20" i="9" s="1"/>
  <c r="C76" i="9"/>
  <c r="B77" i="9"/>
  <c r="D21" i="9"/>
  <c r="C77" i="9"/>
  <c r="C59" i="9"/>
  <c r="C56"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L6" i="10"/>
  <c r="C7" i="10"/>
  <c r="K12" i="7"/>
  <c r="L8" i="10"/>
  <c r="L17" i="10"/>
  <c r="L12" i="7"/>
  <c r="M13" i="10"/>
  <c r="J15" i="7"/>
  <c r="G28" i="9"/>
  <c r="Z14" i="9" l="1"/>
  <c r="X18" i="9"/>
  <c r="X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<sst xmlns="http://schemas.openxmlformats.org/spreadsheetml/2006/main" count="1286" uniqueCount="399">
  <si>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</si>
  <si>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</si>
  <si>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</si>
  <si>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</si>
  <si>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</si>
  <si>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</si>
  <si>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</si>
  <si>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</si>
  <si>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</si>
  <si>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</si>
  <si>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</si>
  <si>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</si>
  <si>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</si>
  <si>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</si>
  <si>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</si>
  <si>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</si>
  <si>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</si>
  <si>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</si>
  <si>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</si>
  <si>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</si>
  <si>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</si>
  <si>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</si>
  <si>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</si>
  <si>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</si>
  <si>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</si>
  <si>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</si>
  <si>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</si>
  <si>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</si>
  <si>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</si>
  <si>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</si>
  <si>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</si>
  <si>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</si>
  <si>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</si>
  <si>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</si>
  <si>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</si>
  <si>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</si>
  <si>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</si>
  <si>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</si>
  <si>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</si>
  <si>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</si>
  <si>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</si>
  <si>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</si>
  <si>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</si>
  <si>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</si>
  <si>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</si>
  <si>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</si>
  <si>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</si>
  <si>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</si>
  <si>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</si>
  <si>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</si>
  <si>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</si>
  <si>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</si>
  <si>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</si>
  <si>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</si>
  <si>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</si>
  <si>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</si>
  <si>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</si>
  <si>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</si>
  <si>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</si>
  <si>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</si>
  <si>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</si>
  <si>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</si>
  <si>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</si>
  <si>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</si>
  <si>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</si>
  <si>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</si>
  <si>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</si>
  <si>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</si>
  <si>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</si>
  <si>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</si>
  <si>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</si>
  <si>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</si>
  <si>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</si>
  <si>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</si>
  <si>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</si>
  <si>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</si>
  <si>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</si>
  <si>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</si>
  <si>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</si>
  <si>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</si>
  <si>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</si>
  <si>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</si>
  <si>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</si>
  <si>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</si>
  <si>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</si>
  <si>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</si>
  <si>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</si>
  <si>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</si>
  <si>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</si>
  <si>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</si>
  <si>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</si>
  <si>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</si>
  <si>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</si>
  <si>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</si>
  <si>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</si>
  <si>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</si>
  <si>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</si>
  <si>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</si>
  <si>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</si>
  <si>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</si>
  <si>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</si>
  <si>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</si>
  <si>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</si>
  <si>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</si>
  <si>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</si>
  <si>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</si>
  <si>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</si>
  <si>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</si>
  <si>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</si>
  <si>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</si>
  <si>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</si>
  <si>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</si>
  <si>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</si>
  <si>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</si>
  <si>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</si>
  <si>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</si>
  <si>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</si>
  <si>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</si>
  <si>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</si>
  <si>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</si>
  <si>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</si>
  <si>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</si>
  <si>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</si>
  <si>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</si>
  <si>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</si>
  <si>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</si>
  <si>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</si>
  <si>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</si>
  <si>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</si>
  <si>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</si>
  <si>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</si>
  <si>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</si>
  <si>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</si>
  <si>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</si>
  <si>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</si>
  <si>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</si>
  <si>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</si>
  <si>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</si>
  <si>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</si>
  <si>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</si>
  <si>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</si>
  <si>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</si>
  <si>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</si>
  <si>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</si>
  <si>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</si>
  <si>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</si>
  <si>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</si>
  <si>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</si>
  <si>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</si>
  <si>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</si>
  <si>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</si>
  <si>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</si>
  <si>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</si>
  <si>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</si>
  <si>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</si>
  <si>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</si>
  <si>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</si>
  <si>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</si>
  <si>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</si>
  <si>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</si>
  <si>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</si>
  <si>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</si>
  <si>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</si>
  <si>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</si>
  <si>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</si>
  <si>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</si>
  <si>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</si>
  <si>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</si>
  <si>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</si>
  <si>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</si>
  <si>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</si>
  <si>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</si>
  <si>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</si>
  <si>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</si>
  <si>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</si>
  <si>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</si>
  <si>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</si>
  <si>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</si>
  <si>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</si>
  <si>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</si>
  <si>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</si>
  <si>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</si>
  <si>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</si>
  <si>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</si>
  <si>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</si>
  <si>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</si>
  <si>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</si>
  <si>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</si>
  <si>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</si>
  <si>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</si>
  <si>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</si>
  <si>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</si>
  <si>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</si>
  <si>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</si>
  <si>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</si>
  <si>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</si>
  <si>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</si>
  <si>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</si>
  <si>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</si>
  <si>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</si>
  <si>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</si>
  <si>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</si>
  <si>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</si>
  <si>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</si>
  <si>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</si>
  <si>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</si>
  <si>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</si>
  <si>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</si>
  <si>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</si>
  <si>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</si>
  <si>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</si>
  <si>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</si>
  <si>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</si>
  <si>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</si>
  <si>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</si>
  <si>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</si>
  <si>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</si>
  <si>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</si>
  <si>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</si>
  <si>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</si>
  <si>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</si>
  <si>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</si>
  <si>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</si>
  <si>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</si>
  <si>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</si>
  <si>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</si>
  <si>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</si>
  <si>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</si>
  <si>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</si>
  <si>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</si>
  <si>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</si>
  <si>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</si>
  <si>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</si>
  <si>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</si>
  <si>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</si>
  <si>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</si>
  <si>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</si>
  <si>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</si>
  <si>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</si>
  <si>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</si>
  <si>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</si>
  <si>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</si>
  <si>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</si>
  <si>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</si>
  <si>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</si>
  <si>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</si>
  <si>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</si>
  <si>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</si>
  <si>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</si>
  <si>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</si>
  <si>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</si>
  <si>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</si>
  <si>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</si>
  <si>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</si>
  <si>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</si>
  <si>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</si>
  <si>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</si>
  <si>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</si>
  <si>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</si>
  <si>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</si>
  <si>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</si>
  <si>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</si>
  <si>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</si>
  <si>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</si>
  <si>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</si>
  <si>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</si>
  <si>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</si>
  <si>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</si>
  <si>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</si>
  <si>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</si>
  <si>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</si>
  <si>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</si>
  <si>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</si>
  <si>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</si>
  <si>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</si>
  <si>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</si>
  <si>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</si>
  <si>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</si>
  <si>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</si>
  <si>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</si>
  <si>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</si>
  <si>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</si>
  <si>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</si>
  <si>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</si>
  <si>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</si>
  <si>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</si>
  <si>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</si>
  <si>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</si>
  <si>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</si>
  <si>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</si>
  <si>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</si>
  <si>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</si>
  <si>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</si>
  <si>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</si>
  <si>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</si>
  <si>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</si>
  <si>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</si>
  <si>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</si>
  <si>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</si>
  <si>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</si>
  <si>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</si>
  <si>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</si>
  <si>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</si>
  <si>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</si>
  <si>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</si>
  <si>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</si>
  <si>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</si>
  <si>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</si>
  <si>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</si>
  <si>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</si>
  <si>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</si>
  <si>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</si>
  <si>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</si>
  <si>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</si>
  <si>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</si>
  <si>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</si>
  <si>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</si>
  <si>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</si>
  <si>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</si>
  <si>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</si>
  <si>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</si>
  <si>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</si>
  <si>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</si>
  <si>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</si>
  <si>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</si>
  <si>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</si>
  <si>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</si>
  <si>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</si>
  <si>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</si>
  <si>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</si>
  <si>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</si>
  <si>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</si>
  <si>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</si>
  <si>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</si>
  <si>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</si>
  <si>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</si>
  <si>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</si>
  <si>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</si>
  <si>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</si>
  <si>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</si>
  <si>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</si>
  <si>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</si>
  <si>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</si>
  <si>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</si>
  <si>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</si>
  <si>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</si>
  <si>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</si>
  <si>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</si>
  <si>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</si>
  <si>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</si>
  <si>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</si>
  <si>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</si>
  <si>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</si>
  <si>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</si>
  <si>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</si>
  <si>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</si>
  <si>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</si>
  <si>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</si>
  <si>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</si>
  <si>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</si>
  <si>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</si>
  <si>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</si>
  <si>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</si>
  <si>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</si>
  <si>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</si>
  <si>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</si>
  <si>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</si>
  <si>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</si>
  <si>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</si>
  <si>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</si>
  <si>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</si>
  <si>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</si>
  <si>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</si>
  <si>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</si>
  <si>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</si>
  <si>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</si>
  <si>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</si>
  <si>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</si>
  <si>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</si>
  <si>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</si>
  <si>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</si>
  <si>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</si>
  <si>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</si>
  <si>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</si>
  <si>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</si>
  <si>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</si>
  <si>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</si>
  <si>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</si>
  <si>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</si>
  <si>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</si>
  <si>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</si>
  <si>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</si>
  <si>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</si>
  <si>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</si>
  <si>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</si>
  <si>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</si>
  <si>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</si>
  <si>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*The EFF was added temporaly because of the tech bug prohibiting the running</t>
  </si>
  <si>
    <t>INVCOST~2030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</si>
</sst>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06">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 fontId="122" fillId="0" borderId="1" xfId="0"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1" fontId="122" fillId="32" borderId="0" xfId="0" applyNumberFormat="1" applyFont="1" applyFill="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19</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251460</xdr:colOff>
      <xdr:row>55</xdr:row>
      <xdr:rowOff>7620</xdr:rowOff>
    </xdr:from>
    <xdr:to>
      <xdr:col>20</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211231</xdr:colOff>
      <xdr:row>52</xdr:row>
      <xdr:rowOff>6128</xdr:rowOff>
    </xdr:from>
    <xdr:to>
      <xdr:col>20</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20</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21</xdr:col>
      <xdr:colOff>0</xdr:colOff>
      <xdr:row>55</xdr:row>
      <xdr:rowOff>179070</xdr:rowOff>
    </xdr:from>
    <xdr:to>
      <xdr:col>21</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opLeftCell="G1" zoomScale="115" zoomScaleNormal="115" workbookViewId="0">
      <selection activeCell="P16" sqref="P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4" width="11.42578125" style="19"/>
    <col min="15" max="15" width="12" style="19" bestFit="1" customWidth="1"/>
    <col min="16" max="16384" width="11.42578125" style="19"/>
  </cols>
  <sheetData>
    <row r="1" spans="1:17" ht="23.25">
      <c r="A1" s="22" t="s">
        <v>268</v>
      </c>
    </row>
    <row r="2" spans="1:17" ht="15.75">
      <c r="A2" s="23"/>
      <c r="P2" s="378" t="s">
        <v>397</v>
      </c>
    </row>
    <row r="3" spans="1:17">
      <c r="C3" s="24"/>
      <c r="D3" s="26" t="s">
        <v>0</v>
      </c>
      <c r="F3" s="24"/>
      <c r="G3" s="24"/>
      <c r="H3" s="24"/>
    </row>
    <row r="4" spans="1:17" ht="25.5">
      <c r="A4" s="1" t="s">
        <v>1</v>
      </c>
      <c r="B4" s="1" t="s">
        <v>3</v>
      </c>
      <c r="C4" s="1" t="s">
        <v>74</v>
      </c>
      <c r="D4" s="1" t="s">
        <v>4</v>
      </c>
      <c r="E4" s="21" t="s">
        <v>78</v>
      </c>
      <c r="F4" s="56" t="s">
        <v>77</v>
      </c>
      <c r="G4" s="21" t="s">
        <v>49</v>
      </c>
      <c r="H4" s="56" t="s">
        <v>111</v>
      </c>
      <c r="I4" s="21" t="s">
        <v>6</v>
      </c>
      <c r="J4" s="21" t="s">
        <v>37</v>
      </c>
      <c r="K4" s="21" t="s">
        <v>72</v>
      </c>
      <c r="L4" s="56" t="s">
        <v>114</v>
      </c>
      <c r="M4" s="56" t="s">
        <v>115</v>
      </c>
      <c r="N4" s="378" t="s">
        <v>167</v>
      </c>
      <c r="O4" s="56" t="s">
        <v>263</v>
      </c>
      <c r="P4" s="56" t="s">
        <v>76</v>
      </c>
      <c r="Q4" s="21"/>
    </row>
    <row r="5" spans="1:17" ht="26.25" thickBot="1">
      <c r="A5" s="27" t="s">
        <v>42</v>
      </c>
      <c r="B5" s="27" t="s">
        <v>35</v>
      </c>
      <c r="C5" s="27" t="s">
        <v>84</v>
      </c>
      <c r="D5" s="27" t="s">
        <v>36</v>
      </c>
      <c r="E5" s="28" t="s">
        <v>80</v>
      </c>
      <c r="F5" s="28" t="s">
        <v>82</v>
      </c>
      <c r="G5" s="28"/>
      <c r="H5" s="28"/>
      <c r="I5" s="28" t="s">
        <v>112</v>
      </c>
      <c r="J5" s="28" t="s">
        <v>81</v>
      </c>
      <c r="K5" s="28"/>
      <c r="L5" s="28" t="s">
        <v>116</v>
      </c>
      <c r="M5" s="28" t="s">
        <v>117</v>
      </c>
    </row>
    <row r="6" spans="1:17">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O6" s="405">
        <v>44.517543859649123</v>
      </c>
      <c r="P6" s="405">
        <v>33</v>
      </c>
      <c r="Q6" s="405"/>
    </row>
    <row r="7" spans="1:17">
      <c r="A7" s="87"/>
      <c r="B7" s="87"/>
      <c r="C7" s="91" t="str">
        <f>"AUX_"&amp;A6</f>
        <v>AUX_ESTCAESS00</v>
      </c>
      <c r="D7" s="91"/>
      <c r="E7" s="89"/>
      <c r="F7" s="89"/>
      <c r="G7" s="89">
        <v>1</v>
      </c>
      <c r="H7" s="87"/>
      <c r="I7" s="89"/>
      <c r="J7" s="313"/>
      <c r="K7" s="89"/>
      <c r="L7" s="87"/>
      <c r="M7" s="92"/>
      <c r="O7" s="378"/>
      <c r="P7" s="378"/>
      <c r="Q7" s="378"/>
    </row>
    <row r="8" spans="1:17">
      <c r="A8" s="82" t="str">
        <f>B18</f>
        <v>P_ESTCAESS00</v>
      </c>
      <c r="B8" s="82" t="s">
        <v>264</v>
      </c>
      <c r="C8" s="82"/>
      <c r="D8" s="66" t="str">
        <f>B25</f>
        <v>AUX_ESTCAESS00</v>
      </c>
      <c r="E8" s="31">
        <f>E6</f>
        <v>20</v>
      </c>
      <c r="F8" s="358">
        <v>0.42</v>
      </c>
      <c r="G8" s="66"/>
      <c r="H8" s="66"/>
      <c r="I8" s="93">
        <v>11.769157870692306</v>
      </c>
      <c r="J8" s="48"/>
      <c r="K8" s="49">
        <v>31.54</v>
      </c>
      <c r="L8" s="48"/>
      <c r="M8" s="48"/>
      <c r="N8" s="378">
        <v>0.5</v>
      </c>
      <c r="O8" s="405">
        <v>44.517543859649123</v>
      </c>
      <c r="P8" s="405">
        <v>33</v>
      </c>
      <c r="Q8" s="378"/>
    </row>
    <row r="9" spans="1:17">
      <c r="A9" s="91" t="str">
        <f>B19</f>
        <v>DUMDCAES00</v>
      </c>
      <c r="B9" s="91" t="s">
        <v>41</v>
      </c>
      <c r="C9" s="91"/>
      <c r="D9" s="91"/>
      <c r="E9" s="174"/>
      <c r="F9" s="359">
        <v>0.42</v>
      </c>
      <c r="G9" s="175">
        <f>'NOINPUT-Input_DATA'!P26/('NOINPUT-Input_DATA'!$P$26+'NOINPUT-Input_DATA'!$Q$26)</f>
        <v>0.36871508379888268</v>
      </c>
      <c r="H9" s="91"/>
      <c r="I9" s="174"/>
      <c r="J9" s="174"/>
      <c r="K9" s="174">
        <v>1</v>
      </c>
      <c r="L9" s="91"/>
      <c r="M9" s="176"/>
      <c r="O9" s="405">
        <v>44.517543859649123</v>
      </c>
      <c r="P9" s="405">
        <v>33</v>
      </c>
      <c r="Q9" s="378"/>
    </row>
    <row r="10" spans="1:17" ht="15">
      <c r="A10" s="177"/>
      <c r="B10" s="91" t="s">
        <v>75</v>
      </c>
      <c r="C10" s="91"/>
      <c r="D10" s="91"/>
      <c r="E10" s="174"/>
      <c r="F10" s="174"/>
      <c r="G10" s="175">
        <f>'NOINPUT-Input_DATA'!Q26/('NOINPUT-Input_DATA'!$P$26+'NOINPUT-Input_DATA'!$Q$26)</f>
        <v>0.63128491620111726</v>
      </c>
      <c r="H10" s="91"/>
      <c r="I10" s="174"/>
      <c r="J10" s="174"/>
      <c r="K10" s="174"/>
      <c r="L10" s="91"/>
      <c r="M10" s="176"/>
    </row>
    <row r="11" spans="1:17" ht="15">
      <c r="A11" s="182"/>
      <c r="B11" s="96"/>
      <c r="C11" s="96"/>
      <c r="D11" s="96" t="str">
        <f>B26</f>
        <v>DUMDCAES00</v>
      </c>
      <c r="E11" s="183"/>
      <c r="F11" s="183"/>
      <c r="G11" s="183"/>
      <c r="H11" s="184">
        <v>1</v>
      </c>
      <c r="I11" s="183"/>
      <c r="J11" s="183"/>
      <c r="K11" s="183"/>
      <c r="L11" s="96"/>
      <c r="M11" s="184"/>
    </row>
    <row r="12" spans="1:17">
      <c r="A12" s="29"/>
      <c r="B12" s="30"/>
      <c r="C12" s="30"/>
      <c r="D12" s="30"/>
      <c r="E12" s="33"/>
      <c r="F12" s="33"/>
      <c r="G12" s="34"/>
      <c r="H12" s="33"/>
      <c r="I12" s="33"/>
      <c r="J12" s="37"/>
      <c r="K12" s="33"/>
      <c r="L12" s="32"/>
      <c r="M12" s="67"/>
    </row>
    <row r="13" spans="1:17">
      <c r="A13" s="29"/>
      <c r="B13" s="30"/>
      <c r="C13" s="30"/>
      <c r="D13" s="30"/>
      <c r="E13" s="31"/>
      <c r="F13" s="31"/>
      <c r="G13" s="41"/>
      <c r="H13" s="32"/>
      <c r="I13" s="40"/>
      <c r="J13" s="33"/>
      <c r="K13" s="32"/>
    </row>
    <row r="14" spans="1:17">
      <c r="A14" s="243" t="s">
        <v>18</v>
      </c>
      <c r="B14" s="243"/>
      <c r="C14" s="244"/>
      <c r="D14" s="244"/>
      <c r="E14" s="244"/>
      <c r="F14" s="244"/>
      <c r="G14" s="244"/>
      <c r="H14" s="244"/>
      <c r="K14" s="33"/>
      <c r="L14" s="32"/>
    </row>
    <row r="15" spans="1:17">
      <c r="A15" s="245" t="s">
        <v>17</v>
      </c>
      <c r="B15" s="245" t="s">
        <v>1</v>
      </c>
      <c r="C15" s="245" t="s">
        <v>2</v>
      </c>
      <c r="D15" s="245" t="s">
        <v>19</v>
      </c>
      <c r="E15" s="245" t="s">
        <v>20</v>
      </c>
      <c r="F15" s="245" t="s">
        <v>21</v>
      </c>
      <c r="G15" s="245" t="s">
        <v>22</v>
      </c>
      <c r="H15" s="245" t="s">
        <v>23</v>
      </c>
      <c r="K15" s="33"/>
      <c r="L15" s="32"/>
    </row>
    <row r="16" spans="1:17" ht="39" thickBot="1">
      <c r="A16" s="246" t="s">
        <v>203</v>
      </c>
      <c r="B16" s="246" t="s">
        <v>30</v>
      </c>
      <c r="C16" s="246" t="s">
        <v>31</v>
      </c>
      <c r="D16" s="246" t="s">
        <v>32</v>
      </c>
      <c r="E16" s="246" t="s">
        <v>33</v>
      </c>
      <c r="F16" s="246" t="s">
        <v>44</v>
      </c>
      <c r="G16" s="246" t="s">
        <v>43</v>
      </c>
      <c r="H16" s="246" t="s">
        <v>34</v>
      </c>
      <c r="I16" s="48"/>
      <c r="J16" s="49"/>
      <c r="K16" s="32"/>
    </row>
    <row r="17" spans="1:19">
      <c r="A17" s="247" t="s">
        <v>266</v>
      </c>
      <c r="B17" s="248" t="s">
        <v>285</v>
      </c>
      <c r="C17" s="247" t="s">
        <v>286</v>
      </c>
      <c r="D17" s="249" t="s">
        <v>39</v>
      </c>
      <c r="E17" s="250" t="s">
        <v>205</v>
      </c>
      <c r="F17" s="249" t="s">
        <v>40</v>
      </c>
      <c r="G17" s="249" t="s">
        <v>83</v>
      </c>
      <c r="H17" s="251"/>
    </row>
    <row r="18" spans="1:19"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S18" s="20"/>
    </row>
    <row r="19" spans="1:19" ht="15">
      <c r="A19" s="254" t="s">
        <v>158</v>
      </c>
      <c r="B19" s="254" t="s">
        <v>295</v>
      </c>
      <c r="C19" s="254" t="s">
        <v>296</v>
      </c>
      <c r="D19" s="255" t="s">
        <v>39</v>
      </c>
      <c r="E19" s="254" t="s">
        <v>205</v>
      </c>
      <c r="F19" s="255" t="s">
        <v>40</v>
      </c>
      <c r="G19" s="256"/>
      <c r="H19" s="256"/>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43" t="s">
        <v>8</v>
      </c>
      <c r="B22" s="257"/>
      <c r="C22" s="257"/>
      <c r="D22" s="257"/>
      <c r="E22" s="257"/>
      <c r="F22" s="257"/>
      <c r="G22" s="257"/>
      <c r="H22" s="257"/>
      <c r="P22" s="20"/>
    </row>
    <row r="23" spans="1:19" ht="15">
      <c r="A23" s="258" t="s">
        <v>9</v>
      </c>
      <c r="B23" s="258" t="s">
        <v>7</v>
      </c>
      <c r="C23" s="258" t="s">
        <v>10</v>
      </c>
      <c r="D23" s="259" t="s">
        <v>11</v>
      </c>
      <c r="E23" s="259" t="s">
        <v>12</v>
      </c>
      <c r="F23" s="259" t="s">
        <v>13</v>
      </c>
      <c r="G23" s="259" t="s">
        <v>14</v>
      </c>
      <c r="H23" s="259" t="s">
        <v>15</v>
      </c>
      <c r="P23" s="20"/>
    </row>
    <row r="24" spans="1:19" ht="39" thickBot="1">
      <c r="A24" s="260" t="s">
        <v>202</v>
      </c>
      <c r="B24" s="260" t="s">
        <v>24</v>
      </c>
      <c r="C24" s="260" t="s">
        <v>25</v>
      </c>
      <c r="D24" s="260" t="s">
        <v>11</v>
      </c>
      <c r="E24" s="260" t="s">
        <v>26</v>
      </c>
      <c r="F24" s="260" t="s">
        <v>27</v>
      </c>
      <c r="G24" s="260" t="s">
        <v>28</v>
      </c>
      <c r="H24" s="260" t="s">
        <v>29</v>
      </c>
      <c r="I24" s="30"/>
      <c r="J24" s="51"/>
      <c r="K24" s="30"/>
      <c r="L24" s="29"/>
      <c r="M24" s="30"/>
      <c r="N24" s="30"/>
      <c r="P24" s="20"/>
    </row>
    <row r="25" spans="1:19" ht="15">
      <c r="A25" s="261" t="s">
        <v>342</v>
      </c>
      <c r="B25" s="262" t="str">
        <f>"AUX_"&amp;B17</f>
        <v>AUX_ESTCAESS00</v>
      </c>
      <c r="C25" s="261" t="str">
        <f>"Auxiliary input for "&amp;C17</f>
        <v>Auxiliary input for BY-Diabatic CAES ELC Storage: DayNite</v>
      </c>
      <c r="D25" s="261" t="s">
        <v>39</v>
      </c>
      <c r="E25" s="263" t="s">
        <v>328</v>
      </c>
      <c r="F25" s="261" t="s">
        <v>40</v>
      </c>
      <c r="G25" s="261"/>
      <c r="H25" s="261"/>
      <c r="I25" s="30"/>
      <c r="J25" s="51"/>
      <c r="K25" s="30"/>
      <c r="L25" s="29"/>
      <c r="M25" s="30"/>
      <c r="N25" s="30"/>
      <c r="P25" s="20"/>
    </row>
    <row r="26" spans="1:19" ht="15">
      <c r="A26" s="256" t="s">
        <v>83</v>
      </c>
      <c r="B26" s="264" t="s">
        <v>295</v>
      </c>
      <c r="C26" s="264" t="s">
        <v>271</v>
      </c>
      <c r="D26" s="264" t="s">
        <v>39</v>
      </c>
      <c r="E26" s="265"/>
      <c r="F26" s="264" t="s">
        <v>40</v>
      </c>
      <c r="G26" s="264"/>
      <c r="H26" s="264"/>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L16" sqref="L16"/>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7"/>
  <sheetViews>
    <sheetView topLeftCell="D1" zoomScale="70" zoomScaleNormal="70" workbookViewId="0">
      <selection activeCell="I17" sqref="I17"/>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23" width="11.42578125" style="19"/>
    <col min="24" max="24" width="12" style="19" bestFit="1" customWidth="1"/>
    <col min="25" max="16384" width="11.42578125" style="19"/>
  </cols>
  <sheetData>
    <row r="1" spans="1:28" ht="23.25">
      <c r="A1" s="22" t="s">
        <v>268</v>
      </c>
    </row>
    <row r="2" spans="1:28" ht="15.75">
      <c r="A2" s="23"/>
    </row>
    <row r="3" spans="1:28">
      <c r="E3" s="360" t="s">
        <v>0</v>
      </c>
      <c r="H3" s="24"/>
      <c r="I3" s="24"/>
      <c r="J3" s="24"/>
      <c r="K3" s="24"/>
      <c r="L3" s="25"/>
      <c r="M3" s="25"/>
      <c r="V3" s="45"/>
    </row>
    <row r="4" spans="1:28" ht="25.5">
      <c r="A4" s="1" t="s">
        <v>1</v>
      </c>
      <c r="B4" s="1" t="s">
        <v>3</v>
      </c>
      <c r="C4" s="1" t="s">
        <v>74</v>
      </c>
      <c r="D4" s="1" t="s">
        <v>4</v>
      </c>
      <c r="E4" s="1" t="s">
        <v>371</v>
      </c>
      <c r="F4" s="21" t="s">
        <v>16</v>
      </c>
      <c r="G4" s="21" t="s">
        <v>78</v>
      </c>
      <c r="H4" s="21" t="s">
        <v>77</v>
      </c>
      <c r="I4" s="21" t="s">
        <v>49</v>
      </c>
      <c r="J4" s="56" t="s">
        <v>111</v>
      </c>
      <c r="K4" s="56" t="s">
        <v>263</v>
      </c>
      <c r="L4" s="56" t="s">
        <v>398</v>
      </c>
      <c r="M4" s="21" t="s">
        <v>76</v>
      </c>
      <c r="N4" s="56" t="s">
        <v>386</v>
      </c>
      <c r="O4" s="56" t="s">
        <v>387</v>
      </c>
      <c r="P4" s="21" t="s">
        <v>72</v>
      </c>
      <c r="Q4" s="56" t="s">
        <v>114</v>
      </c>
      <c r="R4" s="56" t="s">
        <v>115</v>
      </c>
      <c r="S4" s="401" t="s">
        <v>167</v>
      </c>
      <c r="U4" s="74" t="s">
        <v>113</v>
      </c>
      <c r="V4" s="74" t="s">
        <v>130</v>
      </c>
    </row>
    <row r="5" spans="1:28" ht="39" thickBot="1">
      <c r="A5" s="27" t="s">
        <v>42</v>
      </c>
      <c r="B5" s="27" t="s">
        <v>35</v>
      </c>
      <c r="C5" s="27" t="s">
        <v>84</v>
      </c>
      <c r="D5" s="27" t="s">
        <v>36</v>
      </c>
      <c r="E5" s="27" t="s">
        <v>372</v>
      </c>
      <c r="F5" s="28"/>
      <c r="G5" s="28" t="s">
        <v>80</v>
      </c>
      <c r="H5" s="28" t="s">
        <v>82</v>
      </c>
      <c r="I5" s="28"/>
      <c r="J5" s="28"/>
      <c r="K5" s="28" t="s">
        <v>345</v>
      </c>
      <c r="L5" s="28" t="s">
        <v>345</v>
      </c>
      <c r="M5" s="28" t="s">
        <v>345</v>
      </c>
      <c r="N5" s="28" t="s">
        <v>345</v>
      </c>
      <c r="O5" s="28" t="s">
        <v>81</v>
      </c>
      <c r="P5" s="28"/>
      <c r="Q5" s="28" t="s">
        <v>116</v>
      </c>
      <c r="R5" s="28" t="s">
        <v>117</v>
      </c>
      <c r="S5" s="379"/>
      <c r="U5" s="28"/>
      <c r="V5" s="28"/>
    </row>
    <row r="6" spans="1:28">
      <c r="A6" s="65" t="str">
        <f>B46</f>
        <v>ESTCAESS101</v>
      </c>
      <c r="B6" s="65" t="str">
        <f>B85</f>
        <v>DUMDCAES</v>
      </c>
      <c r="C6" s="65"/>
      <c r="D6" s="65" t="s">
        <v>41</v>
      </c>
      <c r="E6" s="65"/>
      <c r="F6" s="346">
        <v>2020</v>
      </c>
      <c r="G6" s="60">
        <v>45</v>
      </c>
      <c r="H6" s="61">
        <f>'NOINPUT-Input_DATA'!R3/SUM('NOINPUT-Input_DATA'!P3:Q3)</f>
        <v>0.55865921787709494</v>
      </c>
      <c r="I6" s="68"/>
      <c r="J6" s="68"/>
      <c r="K6" s="62">
        <v>44.517543859649123</v>
      </c>
      <c r="L6" s="62"/>
      <c r="M6" s="62">
        <v>33.388157894736842</v>
      </c>
      <c r="N6" s="63">
        <v>6.6816E-2</v>
      </c>
      <c r="O6" s="309"/>
      <c r="P6" s="64">
        <f t="shared" ref="P6:P16" si="0">3.6/1000</f>
        <v>3.5999999999999999E-3</v>
      </c>
      <c r="Q6" s="58"/>
      <c r="R6" s="62"/>
      <c r="S6" s="62"/>
      <c r="U6" s="60">
        <v>0</v>
      </c>
      <c r="V6" s="60">
        <v>5</v>
      </c>
      <c r="X6" s="19">
        <f>K6*1.45</f>
        <v>64.550438596491233</v>
      </c>
      <c r="Z6" s="19">
        <f t="shared" ref="Z6:AB6" si="1">M6*1.45</f>
        <v>48.412828947368418</v>
      </c>
      <c r="AA6" s="19">
        <f t="shared" si="1"/>
        <v>9.6883200000000003E-2</v>
      </c>
      <c r="AB6" s="19">
        <f t="shared" si="1"/>
        <v>0</v>
      </c>
    </row>
    <row r="7" spans="1:28">
      <c r="A7" s="65"/>
      <c r="B7" s="65"/>
      <c r="C7" s="65" t="str">
        <f>"AUX_"&amp;A6</f>
        <v>AUX_ESTCAESS101</v>
      </c>
      <c r="D7" s="65"/>
      <c r="E7" s="322" t="str">
        <f>$B$84</f>
        <v>AUX_VARSOUT</v>
      </c>
      <c r="F7" s="346"/>
      <c r="G7" s="60"/>
      <c r="H7" s="61"/>
      <c r="I7" s="62"/>
      <c r="J7" s="68"/>
      <c r="K7" s="62"/>
      <c r="L7" s="62"/>
      <c r="M7" s="62"/>
      <c r="N7" s="63"/>
      <c r="O7" s="309"/>
      <c r="P7" s="64"/>
      <c r="Q7" s="58"/>
      <c r="R7" s="62"/>
      <c r="S7" s="62"/>
      <c r="U7" s="60"/>
      <c r="V7" s="60"/>
      <c r="AB7" s="19">
        <f t="shared" ref="AB7:AB35" si="2">O7*1.45</f>
        <v>0</v>
      </c>
    </row>
    <row r="8" spans="1:28">
      <c r="A8" s="51" t="str">
        <f>B47</f>
        <v>ESTCAESS102</v>
      </c>
      <c r="B8" s="51" t="s">
        <v>41</v>
      </c>
      <c r="C8" s="51"/>
      <c r="D8" s="51" t="s">
        <v>41</v>
      </c>
      <c r="E8" s="51"/>
      <c r="F8" s="346">
        <v>2020</v>
      </c>
      <c r="G8" s="33">
        <v>45</v>
      </c>
      <c r="H8" s="71">
        <f>'NOINPUT-Input_DATA'!D4</f>
        <v>0.69930069930069938</v>
      </c>
      <c r="I8" s="35"/>
      <c r="J8" s="35"/>
      <c r="K8" s="36">
        <v>65.933819999999997</v>
      </c>
      <c r="L8" s="36"/>
      <c r="M8" s="36">
        <v>65.933819999999997</v>
      </c>
      <c r="N8" s="37">
        <v>6.6816E-2</v>
      </c>
      <c r="O8" s="309"/>
      <c r="P8" s="67">
        <f t="shared" si="0"/>
        <v>3.5999999999999999E-3</v>
      </c>
      <c r="Q8" s="33"/>
      <c r="R8" s="33"/>
      <c r="S8" s="33"/>
      <c r="U8" s="33"/>
      <c r="V8" s="33"/>
      <c r="X8" s="19">
        <f t="shared" ref="X8:X35" si="3">K8*1.45</f>
        <v>95.604038999999986</v>
      </c>
      <c r="Z8" s="19">
        <f t="shared" ref="Z8:Z35" si="4">M8*1.45</f>
        <v>95.604038999999986</v>
      </c>
      <c r="AA8" s="19">
        <f t="shared" ref="AA8:AA35" si="5">N8*1.45</f>
        <v>9.6883200000000003E-2</v>
      </c>
      <c r="AB8" s="19">
        <f t="shared" si="2"/>
        <v>0</v>
      </c>
    </row>
    <row r="9" spans="1:28">
      <c r="A9" s="51"/>
      <c r="B9" s="51"/>
      <c r="C9" s="51" t="str">
        <f>"AUX_"&amp;A8</f>
        <v>AUX_ESTCAESS102</v>
      </c>
      <c r="D9" s="51"/>
      <c r="E9" s="322" t="str">
        <f>$B$84</f>
        <v>AUX_VARSOUT</v>
      </c>
      <c r="F9" s="346"/>
      <c r="G9" s="33"/>
      <c r="H9" s="71"/>
      <c r="I9" s="35"/>
      <c r="J9" s="35"/>
      <c r="K9" s="36"/>
      <c r="L9" s="36"/>
      <c r="M9" s="36"/>
      <c r="N9" s="37"/>
      <c r="O9" s="309"/>
      <c r="P9" s="67"/>
      <c r="Q9" s="33"/>
      <c r="R9" s="33"/>
      <c r="S9" s="33"/>
      <c r="U9" s="33"/>
      <c r="V9" s="33"/>
      <c r="AB9" s="19">
        <f t="shared" si="2"/>
        <v>0</v>
      </c>
    </row>
    <row r="10" spans="1:28">
      <c r="A10" s="65" t="str">
        <f>B48</f>
        <v>ESTHYDPS101</v>
      </c>
      <c r="B10" s="65" t="s">
        <v>41</v>
      </c>
      <c r="C10" s="65"/>
      <c r="D10" s="65" t="str">
        <f>B10</f>
        <v>ELC</v>
      </c>
      <c r="E10" s="65"/>
      <c r="F10" s="346">
        <v>2020</v>
      </c>
      <c r="G10" s="60">
        <f>'NOINPUT-Input_DATA'!E7</f>
        <v>60</v>
      </c>
      <c r="H10" s="61">
        <f>'NOINPUT-Input_DATA'!D7</f>
        <v>0.8</v>
      </c>
      <c r="I10" s="60"/>
      <c r="J10" s="60"/>
      <c r="K10" s="62">
        <v>142.40682000000001</v>
      </c>
      <c r="L10" s="62"/>
      <c r="M10" s="62">
        <v>142.40682000000001</v>
      </c>
      <c r="N10" s="63"/>
      <c r="O10" s="310"/>
      <c r="P10" s="64">
        <f t="shared" si="0"/>
        <v>3.5999999999999999E-3</v>
      </c>
      <c r="Q10" s="64"/>
      <c r="R10" s="64"/>
      <c r="S10" s="64"/>
      <c r="U10" s="60">
        <v>0</v>
      </c>
      <c r="V10" s="60">
        <v>5</v>
      </c>
      <c r="X10" s="19">
        <f t="shared" si="3"/>
        <v>206.48988900000001</v>
      </c>
      <c r="Z10" s="19">
        <f t="shared" si="4"/>
        <v>206.48988900000001</v>
      </c>
      <c r="AB10" s="19">
        <f t="shared" si="2"/>
        <v>0</v>
      </c>
    </row>
    <row r="11" spans="1:28">
      <c r="A11" s="65"/>
      <c r="B11" s="65"/>
      <c r="C11" s="65" t="str">
        <f>"AUX_"&amp;A10</f>
        <v>AUX_ESTHYDPS101</v>
      </c>
      <c r="D11" s="65"/>
      <c r="E11" s="322" t="str">
        <f>$B$84</f>
        <v>AUX_VARSOUT</v>
      </c>
      <c r="F11" s="346"/>
      <c r="G11" s="60"/>
      <c r="H11" s="61"/>
      <c r="I11" s="60"/>
      <c r="J11" s="60"/>
      <c r="K11" s="62"/>
      <c r="L11" s="62"/>
      <c r="M11" s="62"/>
      <c r="N11" s="63"/>
      <c r="O11" s="310"/>
      <c r="P11" s="64"/>
      <c r="Q11" s="64"/>
      <c r="R11" s="64"/>
      <c r="S11" s="64"/>
      <c r="U11" s="60"/>
      <c r="V11" s="60"/>
      <c r="AB11" s="19">
        <f t="shared" si="2"/>
        <v>0</v>
      </c>
    </row>
    <row r="12" spans="1:28">
      <c r="A12" s="51" t="str">
        <f>B49</f>
        <v>ESTBATS101</v>
      </c>
      <c r="B12" s="51" t="s">
        <v>41</v>
      </c>
      <c r="C12" s="51"/>
      <c r="D12" s="51" t="s">
        <v>41</v>
      </c>
      <c r="E12" s="51"/>
      <c r="F12" s="346">
        <v>2020</v>
      </c>
      <c r="G12" s="33">
        <f>'NOINPUT-Input_DATA'!E8</f>
        <v>8</v>
      </c>
      <c r="H12" s="71">
        <f>'NOINPUT-Input_DATA'!D8</f>
        <v>0.8</v>
      </c>
      <c r="I12" s="35"/>
      <c r="J12" s="35"/>
      <c r="K12" s="36">
        <v>254.47499999999999</v>
      </c>
      <c r="L12" s="36"/>
      <c r="M12" s="36">
        <v>195.75</v>
      </c>
      <c r="N12" s="37"/>
      <c r="O12" s="309"/>
      <c r="P12" s="67">
        <f t="shared" si="0"/>
        <v>3.5999999999999999E-3</v>
      </c>
      <c r="Q12" s="33"/>
      <c r="R12" s="33"/>
      <c r="S12" s="33"/>
      <c r="U12" s="33">
        <v>0</v>
      </c>
      <c r="V12" s="33">
        <v>5</v>
      </c>
      <c r="X12" s="19">
        <f t="shared" si="3"/>
        <v>368.98874999999998</v>
      </c>
      <c r="Z12" s="19">
        <f t="shared" si="4"/>
        <v>283.83749999999998</v>
      </c>
      <c r="AB12" s="19">
        <f t="shared" si="2"/>
        <v>0</v>
      </c>
    </row>
    <row r="13" spans="1:28">
      <c r="A13" s="51"/>
      <c r="B13" s="51"/>
      <c r="C13" s="51" t="str">
        <f>"AUX_"&amp;A12</f>
        <v>AUX_ESTBATS101</v>
      </c>
      <c r="D13" s="51"/>
      <c r="E13" s="322" t="str">
        <f>$B$84</f>
        <v>AUX_VARSOUT</v>
      </c>
      <c r="F13" s="346"/>
      <c r="G13" s="33"/>
      <c r="H13" s="71"/>
      <c r="I13" s="35"/>
      <c r="J13" s="35"/>
      <c r="K13" s="36"/>
      <c r="L13" s="36"/>
      <c r="M13" s="36"/>
      <c r="N13" s="37"/>
      <c r="O13" s="309"/>
      <c r="P13" s="67"/>
      <c r="Q13" s="33"/>
      <c r="R13" s="33"/>
      <c r="S13" s="33"/>
      <c r="U13" s="33"/>
      <c r="V13" s="33"/>
      <c r="AB13" s="19">
        <f t="shared" si="2"/>
        <v>0</v>
      </c>
    </row>
    <row r="14" spans="1:28">
      <c r="A14" s="65" t="str">
        <f>B50</f>
        <v>ESTBATS102</v>
      </c>
      <c r="B14" s="65" t="s">
        <v>41</v>
      </c>
      <c r="C14" s="65"/>
      <c r="D14" s="65" t="s">
        <v>41</v>
      </c>
      <c r="E14" s="65"/>
      <c r="F14" s="346">
        <v>2020</v>
      </c>
      <c r="G14" s="60">
        <f>'NOINPUT-Input_DATA'!E9</f>
        <v>10</v>
      </c>
      <c r="H14" s="61">
        <f>'NOINPUT-Input_DATA'!D9</f>
        <v>0.9</v>
      </c>
      <c r="I14" s="60"/>
      <c r="J14" s="60"/>
      <c r="K14" s="62">
        <v>956.49122807017557</v>
      </c>
      <c r="L14" s="62">
        <v>324.34210526315792</v>
      </c>
      <c r="M14" s="62">
        <v>312.89473684210526</v>
      </c>
      <c r="N14" s="63"/>
      <c r="O14" s="310"/>
      <c r="P14" s="64">
        <f t="shared" si="0"/>
        <v>3.5999999999999999E-3</v>
      </c>
      <c r="Q14" s="64"/>
      <c r="R14" s="64"/>
      <c r="S14" s="64"/>
      <c r="U14" s="60">
        <v>0</v>
      </c>
      <c r="V14" s="60">
        <v>5</v>
      </c>
      <c r="X14" s="19">
        <f t="shared" si="3"/>
        <v>1386.9122807017545</v>
      </c>
      <c r="Y14" s="19">
        <f t="shared" ref="Y14" si="6">L14*1.45</f>
        <v>470.29605263157896</v>
      </c>
      <c r="Z14" s="19">
        <f t="shared" si="4"/>
        <v>453.6973684210526</v>
      </c>
      <c r="AB14" s="19">
        <f t="shared" si="2"/>
        <v>0</v>
      </c>
    </row>
    <row r="15" spans="1:28">
      <c r="A15" s="65"/>
      <c r="B15" s="65"/>
      <c r="C15" s="65" t="str">
        <f>"AUX_"&amp;A14</f>
        <v>AUX_ESTBATS102</v>
      </c>
      <c r="D15" s="65"/>
      <c r="E15" s="322" t="str">
        <f>$B$84</f>
        <v>AUX_VARSOUT</v>
      </c>
      <c r="F15" s="346"/>
      <c r="G15" s="60"/>
      <c r="H15" s="61"/>
      <c r="I15" s="60"/>
      <c r="J15" s="60"/>
      <c r="K15" s="62"/>
      <c r="L15" s="62"/>
      <c r="M15" s="62"/>
      <c r="N15" s="63"/>
      <c r="O15" s="310"/>
      <c r="P15" s="64"/>
      <c r="Q15" s="64"/>
      <c r="R15" s="64"/>
      <c r="S15" s="64"/>
      <c r="U15" s="60"/>
      <c r="V15" s="60"/>
      <c r="AB15" s="19">
        <f t="shared" si="2"/>
        <v>0</v>
      </c>
    </row>
    <row r="16" spans="1:28">
      <c r="A16" s="51" t="str">
        <f t="shared" ref="A16" si="7">B51</f>
        <v>ESTBATS103</v>
      </c>
      <c r="B16" s="51" t="s">
        <v>41</v>
      </c>
      <c r="C16" s="51"/>
      <c r="D16" s="51" t="s">
        <v>41</v>
      </c>
      <c r="E16" s="51"/>
      <c r="F16" s="346">
        <v>2020</v>
      </c>
      <c r="G16" s="33">
        <f>'NOINPUT-Input_DATA'!E10</f>
        <v>10</v>
      </c>
      <c r="H16" s="71">
        <f>'NOINPUT-Input_DATA'!D10</f>
        <v>0.85</v>
      </c>
      <c r="I16" s="35"/>
      <c r="J16" s="35"/>
      <c r="K16" s="36">
        <v>445.17543859649123</v>
      </c>
      <c r="L16" s="36"/>
      <c r="M16" s="36">
        <v>375.21929824561403</v>
      </c>
      <c r="N16" s="37"/>
      <c r="O16" s="309"/>
      <c r="P16" s="67">
        <f t="shared" si="0"/>
        <v>3.5999999999999999E-3</v>
      </c>
      <c r="Q16" s="33"/>
      <c r="R16" s="33"/>
      <c r="S16" s="33"/>
      <c r="U16" s="33"/>
      <c r="V16" s="33"/>
      <c r="X16" s="19">
        <f t="shared" si="3"/>
        <v>645.50438596491222</v>
      </c>
      <c r="Z16" s="19">
        <f t="shared" si="4"/>
        <v>544.06798245614027</v>
      </c>
      <c r="AB16" s="19">
        <f t="shared" si="2"/>
        <v>0</v>
      </c>
    </row>
    <row r="17" spans="1:28">
      <c r="A17" s="51"/>
      <c r="B17" s="51"/>
      <c r="C17" s="51" t="str">
        <f>"AUX_"&amp;A16</f>
        <v>AUX_ESTBATS103</v>
      </c>
      <c r="D17" s="51"/>
      <c r="E17" s="322" t="str">
        <f>$B$84</f>
        <v>AUX_VARSOUT</v>
      </c>
      <c r="F17" s="33"/>
      <c r="G17" s="33"/>
      <c r="H17" s="71"/>
      <c r="I17" s="35"/>
      <c r="J17" s="35"/>
      <c r="K17" s="36"/>
      <c r="L17" s="36"/>
      <c r="M17" s="36"/>
      <c r="N17" s="37"/>
      <c r="O17" s="309"/>
      <c r="P17" s="67"/>
      <c r="Q17" s="33"/>
      <c r="R17" s="33"/>
      <c r="S17" s="33"/>
      <c r="U17" s="33"/>
      <c r="V17" s="33"/>
      <c r="AB17" s="19">
        <f t="shared" si="2"/>
        <v>0</v>
      </c>
    </row>
    <row r="18" spans="1:28" s="387" customFormat="1">
      <c r="A18" s="381" t="str">
        <f t="shared" ref="A18:A23" si="8">B56</f>
        <v>P_ESTCAESS101</v>
      </c>
      <c r="B18" s="381" t="s">
        <v>264</v>
      </c>
      <c r="C18" s="381"/>
      <c r="D18" s="381" t="str">
        <f t="shared" ref="D18:D23" si="9">B74</f>
        <v>AUX_ESTCAESS101</v>
      </c>
      <c r="E18" s="381"/>
      <c r="F18" s="382">
        <f>F6</f>
        <v>2020</v>
      </c>
      <c r="G18" s="382">
        <v>30</v>
      </c>
      <c r="H18" s="356">
        <v>0.8</v>
      </c>
      <c r="I18" s="381"/>
      <c r="J18" s="381"/>
      <c r="K18" s="383">
        <v>763.1578947368422</v>
      </c>
      <c r="L18" s="383"/>
      <c r="M18" s="383">
        <v>572.36842105263156</v>
      </c>
      <c r="N18" s="384">
        <v>9.9210526315789487</v>
      </c>
      <c r="O18" s="385"/>
      <c r="P18" s="386">
        <v>31.54</v>
      </c>
      <c r="Q18" s="385"/>
      <c r="R18" s="385"/>
      <c r="S18" s="400">
        <v>0.8</v>
      </c>
      <c r="U18" s="386">
        <v>0</v>
      </c>
      <c r="V18" s="386">
        <v>5</v>
      </c>
      <c r="X18" s="387">
        <f t="shared" si="3"/>
        <v>1106.578947368421</v>
      </c>
      <c r="Z18" s="387">
        <f t="shared" si="4"/>
        <v>829.93421052631572</v>
      </c>
      <c r="AA18" s="387">
        <f t="shared" si="5"/>
        <v>14.385526315789475</v>
      </c>
      <c r="AB18" s="387">
        <f t="shared" si="2"/>
        <v>0</v>
      </c>
    </row>
    <row r="19" spans="1:28" s="387" customFormat="1">
      <c r="A19" s="388" t="str">
        <f t="shared" si="8"/>
        <v>P_ESTCAESS102</v>
      </c>
      <c r="B19" s="388" t="s">
        <v>264</v>
      </c>
      <c r="C19" s="388"/>
      <c r="D19" s="388" t="str">
        <f t="shared" si="9"/>
        <v>AUX_ESTCAESS102</v>
      </c>
      <c r="E19" s="388"/>
      <c r="F19" s="389">
        <f>F8</f>
        <v>2020</v>
      </c>
      <c r="G19" s="389">
        <v>30</v>
      </c>
      <c r="H19" s="356">
        <v>0.8</v>
      </c>
      <c r="I19" s="388"/>
      <c r="J19" s="388"/>
      <c r="K19" s="337">
        <v>826.75438596491233</v>
      </c>
      <c r="L19" s="337"/>
      <c r="M19" s="337">
        <v>708.82428084851358</v>
      </c>
      <c r="N19" s="339">
        <v>10.73</v>
      </c>
      <c r="O19" s="331"/>
      <c r="P19" s="333">
        <v>31.54</v>
      </c>
      <c r="Q19" s="331"/>
      <c r="R19" s="331"/>
      <c r="S19" s="400">
        <v>0.8</v>
      </c>
      <c r="U19" s="333"/>
      <c r="V19" s="333"/>
      <c r="X19" s="387">
        <f t="shared" si="3"/>
        <v>1198.7938596491229</v>
      </c>
      <c r="Z19" s="387">
        <f t="shared" si="4"/>
        <v>1027.7952072303447</v>
      </c>
      <c r="AA19" s="387">
        <f t="shared" si="5"/>
        <v>15.5585</v>
      </c>
      <c r="AB19" s="387">
        <f t="shared" si="2"/>
        <v>0</v>
      </c>
    </row>
    <row r="20" spans="1:28" s="387" customFormat="1">
      <c r="A20" s="388" t="str">
        <f t="shared" si="8"/>
        <v>P_ESTHYDPS101</v>
      </c>
      <c r="B20" s="388" t="s">
        <v>264</v>
      </c>
      <c r="C20" s="388"/>
      <c r="D20" s="388" t="str">
        <f t="shared" si="9"/>
        <v>AUX_ESTHYDPS101</v>
      </c>
      <c r="E20" s="388"/>
      <c r="F20" s="389">
        <v>2020</v>
      </c>
      <c r="G20" s="389">
        <f>G10</f>
        <v>60</v>
      </c>
      <c r="H20" s="356">
        <v>0.8</v>
      </c>
      <c r="I20" s="388"/>
      <c r="J20" s="388"/>
      <c r="K20" s="337">
        <v>1907.8947368421054</v>
      </c>
      <c r="L20" s="337"/>
      <c r="M20" s="337">
        <v>1907.8947368421054</v>
      </c>
      <c r="N20" s="339">
        <v>28.618421052631579</v>
      </c>
      <c r="O20" s="331"/>
      <c r="P20" s="333">
        <v>31.54</v>
      </c>
      <c r="Q20" s="331"/>
      <c r="R20" s="331"/>
      <c r="S20" s="400">
        <v>0.8</v>
      </c>
      <c r="U20" s="333">
        <v>0</v>
      </c>
      <c r="V20" s="333">
        <v>5</v>
      </c>
      <c r="X20" s="387">
        <f t="shared" si="3"/>
        <v>2766.4473684210529</v>
      </c>
      <c r="Z20" s="387">
        <f t="shared" si="4"/>
        <v>2766.4473684210529</v>
      </c>
      <c r="AA20" s="387">
        <f t="shared" si="5"/>
        <v>41.496710526315788</v>
      </c>
      <c r="AB20" s="387">
        <f t="shared" si="2"/>
        <v>0</v>
      </c>
    </row>
    <row r="21" spans="1:28" s="387" customFormat="1">
      <c r="A21" s="388" t="str">
        <f t="shared" si="8"/>
        <v>P_ESTBATS101</v>
      </c>
      <c r="B21" s="388" t="s">
        <v>264</v>
      </c>
      <c r="C21" s="388"/>
      <c r="D21" s="388" t="str">
        <f t="shared" si="9"/>
        <v>AUX_ESTBATS101</v>
      </c>
      <c r="E21" s="388"/>
      <c r="F21" s="389">
        <f>F12</f>
        <v>2020</v>
      </c>
      <c r="G21" s="389">
        <f>G12</f>
        <v>8</v>
      </c>
      <c r="H21" s="356">
        <v>0.8</v>
      </c>
      <c r="I21" s="388"/>
      <c r="J21" s="388"/>
      <c r="K21" s="337">
        <v>435</v>
      </c>
      <c r="L21" s="337"/>
      <c r="M21" s="337">
        <v>253.75</v>
      </c>
      <c r="N21" s="339">
        <v>6.09</v>
      </c>
      <c r="O21" s="331"/>
      <c r="P21" s="333">
        <v>31.54</v>
      </c>
      <c r="Q21" s="331"/>
      <c r="R21" s="331"/>
      <c r="S21" s="400">
        <v>0.8</v>
      </c>
      <c r="U21" s="333">
        <v>0</v>
      </c>
      <c r="V21" s="333">
        <v>5</v>
      </c>
      <c r="X21" s="387">
        <f t="shared" si="3"/>
        <v>630.75</v>
      </c>
      <c r="Z21" s="387">
        <f t="shared" si="4"/>
        <v>367.9375</v>
      </c>
      <c r="AA21" s="387">
        <f t="shared" si="5"/>
        <v>8.8304999999999989</v>
      </c>
      <c r="AB21" s="387">
        <f t="shared" si="2"/>
        <v>0</v>
      </c>
    </row>
    <row r="22" spans="1:28" s="387" customFormat="1">
      <c r="A22" s="388" t="str">
        <f t="shared" si="8"/>
        <v>P_ESTBATS102</v>
      </c>
      <c r="B22" s="388" t="s">
        <v>264</v>
      </c>
      <c r="C22" s="388"/>
      <c r="D22" s="388" t="str">
        <f t="shared" si="9"/>
        <v>AUX_ESTBATS102</v>
      </c>
      <c r="E22" s="388"/>
      <c r="F22" s="389">
        <f>F14</f>
        <v>2020</v>
      </c>
      <c r="G22" s="389">
        <f>G14</f>
        <v>10</v>
      </c>
      <c r="H22" s="356">
        <v>0.8</v>
      </c>
      <c r="I22" s="388"/>
      <c r="J22" s="388"/>
      <c r="K22" s="337">
        <v>435</v>
      </c>
      <c r="L22" s="337"/>
      <c r="M22" s="337">
        <v>253.75</v>
      </c>
      <c r="N22" s="339">
        <v>6.09</v>
      </c>
      <c r="O22" s="331"/>
      <c r="P22" s="333">
        <v>31.54</v>
      </c>
      <c r="Q22" s="331"/>
      <c r="R22" s="331"/>
      <c r="S22" s="400">
        <v>0.8</v>
      </c>
      <c r="U22" s="333">
        <v>0</v>
      </c>
      <c r="V22" s="333">
        <v>5</v>
      </c>
      <c r="X22" s="387">
        <f t="shared" si="3"/>
        <v>630.75</v>
      </c>
      <c r="Z22" s="387">
        <f t="shared" si="4"/>
        <v>367.9375</v>
      </c>
      <c r="AA22" s="387">
        <f t="shared" si="5"/>
        <v>8.8304999999999989</v>
      </c>
      <c r="AB22" s="387">
        <f t="shared" si="2"/>
        <v>0</v>
      </c>
    </row>
    <row r="23" spans="1:28" s="387" customFormat="1">
      <c r="A23" s="390" t="str">
        <f t="shared" si="8"/>
        <v>P_ESTBATS103</v>
      </c>
      <c r="B23" s="390" t="s">
        <v>264</v>
      </c>
      <c r="C23" s="390"/>
      <c r="D23" s="390" t="str">
        <f t="shared" si="9"/>
        <v>AUX_ESTBATS103</v>
      </c>
      <c r="E23" s="390"/>
      <c r="F23" s="391">
        <f t="shared" ref="F23" si="10">F16</f>
        <v>2020</v>
      </c>
      <c r="G23" s="391">
        <f>G16</f>
        <v>10</v>
      </c>
      <c r="H23" s="356">
        <v>0.8</v>
      </c>
      <c r="I23" s="390"/>
      <c r="J23" s="390"/>
      <c r="K23" s="392">
        <v>435</v>
      </c>
      <c r="L23" s="392"/>
      <c r="M23" s="392">
        <v>253.75</v>
      </c>
      <c r="N23" s="393">
        <v>6.5249999999999995</v>
      </c>
      <c r="O23" s="394"/>
      <c r="P23" s="395">
        <v>31.54</v>
      </c>
      <c r="Q23" s="394"/>
      <c r="R23" s="394"/>
      <c r="S23" s="400">
        <v>0.8</v>
      </c>
      <c r="U23" s="395"/>
      <c r="V23" s="395"/>
      <c r="X23" s="387">
        <f t="shared" si="3"/>
        <v>630.75</v>
      </c>
      <c r="Z23" s="387">
        <f t="shared" si="4"/>
        <v>367.9375</v>
      </c>
      <c r="AA23" s="387">
        <f t="shared" si="5"/>
        <v>9.4612499999999997</v>
      </c>
      <c r="AB23" s="387">
        <f t="shared" si="2"/>
        <v>0</v>
      </c>
    </row>
    <row r="24" spans="1:28">
      <c r="A24" s="30" t="str">
        <f>B52</f>
        <v>ESTCAESS201</v>
      </c>
      <c r="B24" s="30" t="str">
        <f>B85</f>
        <v>DUMDCAES</v>
      </c>
      <c r="C24" s="30"/>
      <c r="D24" s="30" t="s">
        <v>41</v>
      </c>
      <c r="E24" s="30"/>
      <c r="F24" s="33">
        <v>2020</v>
      </c>
      <c r="G24" s="33">
        <f>G6</f>
        <v>45</v>
      </c>
      <c r="H24" s="137">
        <f>H6-0.05</f>
        <v>0.50865921787709489</v>
      </c>
      <c r="I24" s="57"/>
      <c r="J24" s="57"/>
      <c r="K24" s="36">
        <v>44.517543859649123</v>
      </c>
      <c r="L24" s="36"/>
      <c r="M24" s="36">
        <v>33.388157894736842</v>
      </c>
      <c r="N24" s="37">
        <v>6.6816E-2</v>
      </c>
      <c r="O24" s="309"/>
      <c r="P24" s="67">
        <f>3.6/1000</f>
        <v>3.5999999999999999E-3</v>
      </c>
      <c r="Q24" s="29"/>
      <c r="R24" s="36"/>
      <c r="S24" s="36"/>
      <c r="U24" s="33"/>
      <c r="V24" s="33"/>
      <c r="X24" s="19">
        <f t="shared" si="3"/>
        <v>64.550438596491233</v>
      </c>
      <c r="Z24" s="19">
        <f t="shared" si="4"/>
        <v>48.412828947368418</v>
      </c>
      <c r="AA24" s="19">
        <f t="shared" si="5"/>
        <v>9.6883200000000003E-2</v>
      </c>
      <c r="AB24" s="19">
        <f t="shared" si="2"/>
        <v>0</v>
      </c>
    </row>
    <row r="25" spans="1:28">
      <c r="A25" s="30"/>
      <c r="B25" s="30"/>
      <c r="C25" s="30" t="str">
        <f>"AUX_"&amp;A24</f>
        <v>AUX_ESTCAESS201</v>
      </c>
      <c r="D25" s="30"/>
      <c r="E25" s="322" t="str">
        <f>$B$84</f>
        <v>AUX_VARSOUT</v>
      </c>
      <c r="F25" s="33"/>
      <c r="G25" s="33"/>
      <c r="H25" s="137"/>
      <c r="I25" s="57"/>
      <c r="J25" s="57"/>
      <c r="K25" s="36"/>
      <c r="L25" s="36"/>
      <c r="M25" s="36"/>
      <c r="N25" s="37"/>
      <c r="O25" s="309"/>
      <c r="P25" s="67"/>
      <c r="Q25" s="29"/>
      <c r="R25" s="36"/>
      <c r="S25" s="36"/>
      <c r="U25" s="33"/>
      <c r="V25" s="33"/>
      <c r="AB25" s="19">
        <f t="shared" si="2"/>
        <v>0</v>
      </c>
    </row>
    <row r="26" spans="1:28">
      <c r="A26" s="59" t="str">
        <f>B53</f>
        <v>ESTHYDPS201</v>
      </c>
      <c r="B26" s="59" t="s">
        <v>41</v>
      </c>
      <c r="C26" s="59"/>
      <c r="D26" s="59" t="str">
        <f>B26</f>
        <v>ELC</v>
      </c>
      <c r="E26" s="59"/>
      <c r="F26" s="60">
        <v>2020</v>
      </c>
      <c r="G26" s="60">
        <f>G10</f>
        <v>60</v>
      </c>
      <c r="H26" s="61">
        <f>H10-0.05</f>
        <v>0.75</v>
      </c>
      <c r="I26" s="60"/>
      <c r="J26" s="60"/>
      <c r="K26" s="62">
        <v>142.40682000000001</v>
      </c>
      <c r="L26" s="62"/>
      <c r="M26" s="62">
        <v>142.40682000000001</v>
      </c>
      <c r="N26" s="63"/>
      <c r="O26" s="310"/>
      <c r="P26" s="64">
        <f>3.6/1000</f>
        <v>3.5999999999999999E-3</v>
      </c>
      <c r="Q26" s="64"/>
      <c r="R26" s="64"/>
      <c r="S26" s="64"/>
      <c r="U26" s="60"/>
      <c r="V26" s="60"/>
      <c r="X26" s="19">
        <f t="shared" si="3"/>
        <v>206.48988900000001</v>
      </c>
      <c r="Z26" s="19">
        <f t="shared" si="4"/>
        <v>206.48988900000001</v>
      </c>
      <c r="AB26" s="19">
        <f t="shared" si="2"/>
        <v>0</v>
      </c>
    </row>
    <row r="27" spans="1:28">
      <c r="A27" s="59"/>
      <c r="B27" s="59"/>
      <c r="C27" s="59" t="str">
        <f>"AUX_"&amp;A26</f>
        <v>AUX_ESTHYDPS201</v>
      </c>
      <c r="D27" s="59"/>
      <c r="E27" s="322" t="str">
        <f>$B$84</f>
        <v>AUX_VARSOUT</v>
      </c>
      <c r="F27" s="60"/>
      <c r="G27" s="60"/>
      <c r="H27" s="61"/>
      <c r="I27" s="60"/>
      <c r="J27" s="60"/>
      <c r="K27" s="62"/>
      <c r="L27" s="62"/>
      <c r="M27" s="62"/>
      <c r="N27" s="63"/>
      <c r="O27" s="310"/>
      <c r="P27" s="64"/>
      <c r="Q27" s="64"/>
      <c r="R27" s="64"/>
      <c r="S27" s="64"/>
      <c r="U27" s="60"/>
      <c r="V27" s="60"/>
      <c r="AB27" s="19">
        <f t="shared" si="2"/>
        <v>0</v>
      </c>
    </row>
    <row r="28" spans="1:28">
      <c r="A28" s="51" t="str">
        <f>B54</f>
        <v>ESTBATS201</v>
      </c>
      <c r="B28" s="51" t="str">
        <f>B26</f>
        <v>ELC</v>
      </c>
      <c r="C28" s="51"/>
      <c r="D28" s="51" t="str">
        <f>D26</f>
        <v>ELC</v>
      </c>
      <c r="E28" s="51"/>
      <c r="F28" s="33">
        <v>2020</v>
      </c>
      <c r="G28" s="33">
        <f>G12</f>
        <v>8</v>
      </c>
      <c r="H28" s="34">
        <f>H12-0.05</f>
        <v>0.75</v>
      </c>
      <c r="I28" s="33"/>
      <c r="J28" s="33"/>
      <c r="K28" s="36">
        <v>254.47499999999999</v>
      </c>
      <c r="L28" s="36"/>
      <c r="M28" s="36">
        <v>195.75</v>
      </c>
      <c r="N28" s="37"/>
      <c r="O28" s="310"/>
      <c r="P28" s="67">
        <f>3.6/1000</f>
        <v>3.5999999999999999E-3</v>
      </c>
      <c r="Q28" s="67"/>
      <c r="R28" s="67"/>
      <c r="S28" s="67"/>
      <c r="U28" s="33"/>
      <c r="V28" s="33"/>
      <c r="X28" s="19">
        <f t="shared" si="3"/>
        <v>368.98874999999998</v>
      </c>
      <c r="Z28" s="19">
        <f t="shared" si="4"/>
        <v>283.83749999999998</v>
      </c>
      <c r="AB28" s="19">
        <f t="shared" si="2"/>
        <v>0</v>
      </c>
    </row>
    <row r="29" spans="1:28">
      <c r="A29" s="51"/>
      <c r="B29" s="51"/>
      <c r="C29" s="51" t="str">
        <f>"AUX_"&amp;A28</f>
        <v>AUX_ESTBATS201</v>
      </c>
      <c r="D29" s="51"/>
      <c r="E29" s="322" t="str">
        <f>$B$84</f>
        <v>AUX_VARSOUT</v>
      </c>
      <c r="F29" s="33"/>
      <c r="G29" s="33"/>
      <c r="H29" s="34"/>
      <c r="I29" s="33"/>
      <c r="J29" s="33"/>
      <c r="K29" s="36"/>
      <c r="L29" s="36"/>
      <c r="M29" s="36"/>
      <c r="N29" s="37"/>
      <c r="O29" s="310"/>
      <c r="P29" s="67"/>
      <c r="Q29" s="67"/>
      <c r="R29" s="67"/>
      <c r="S29" s="67"/>
      <c r="U29" s="33"/>
      <c r="V29" s="33"/>
    </row>
    <row r="30" spans="1:28">
      <c r="A30" s="59" t="str">
        <f>B55</f>
        <v>ESTBATS202</v>
      </c>
      <c r="B30" s="59" t="s">
        <v>41</v>
      </c>
      <c r="C30" s="59"/>
      <c r="D30" s="59" t="s">
        <v>41</v>
      </c>
      <c r="E30" s="59"/>
      <c r="F30" s="60">
        <v>2020</v>
      </c>
      <c r="G30" s="60">
        <f>G14</f>
        <v>10</v>
      </c>
      <c r="H30" s="61">
        <f>H14-0.05</f>
        <v>0.85</v>
      </c>
      <c r="I30" s="60"/>
      <c r="J30" s="60"/>
      <c r="K30" s="62">
        <v>956.49122807017557</v>
      </c>
      <c r="L30" s="62"/>
      <c r="M30" s="62">
        <v>312.89473684210526</v>
      </c>
      <c r="N30" s="63"/>
      <c r="O30" s="310"/>
      <c r="P30" s="64">
        <f>3.6/1000</f>
        <v>3.5999999999999999E-3</v>
      </c>
      <c r="Q30" s="64"/>
      <c r="R30" s="64"/>
      <c r="S30" s="64"/>
      <c r="U30" s="60"/>
      <c r="V30" s="60"/>
      <c r="X30" s="19">
        <f t="shared" si="3"/>
        <v>1386.9122807017545</v>
      </c>
      <c r="Z30" s="19">
        <f t="shared" si="4"/>
        <v>453.6973684210526</v>
      </c>
      <c r="AB30" s="19">
        <f t="shared" si="2"/>
        <v>0</v>
      </c>
    </row>
    <row r="31" spans="1:28">
      <c r="A31" s="59"/>
      <c r="B31" s="59"/>
      <c r="C31" s="59" t="str">
        <f>"AUX_"&amp;A30</f>
        <v>AUX_ESTBATS202</v>
      </c>
      <c r="D31" s="59"/>
      <c r="E31" s="322" t="str">
        <f>$B$84</f>
        <v>AUX_VARSOUT</v>
      </c>
      <c r="F31" s="60"/>
      <c r="G31" s="60"/>
      <c r="H31" s="61"/>
      <c r="I31" s="60"/>
      <c r="J31" s="60"/>
      <c r="K31" s="62"/>
      <c r="L31" s="62"/>
      <c r="M31" s="62"/>
      <c r="N31" s="63"/>
      <c r="O31" s="310"/>
      <c r="P31" s="64"/>
      <c r="Q31" s="64"/>
      <c r="R31" s="64"/>
      <c r="S31" s="64"/>
      <c r="U31" s="60"/>
      <c r="V31" s="60"/>
    </row>
    <row r="32" spans="1:28" s="387" customFormat="1">
      <c r="A32" s="396" t="str">
        <f>B62</f>
        <v>P_ESTCAESS201</v>
      </c>
      <c r="B32" s="396" t="s">
        <v>264</v>
      </c>
      <c r="C32" s="396"/>
      <c r="D32" s="396" t="str">
        <f>B80</f>
        <v>AUX_ESTCAESS201</v>
      </c>
      <c r="E32" s="396"/>
      <c r="F32" s="389">
        <f>F24</f>
        <v>2020</v>
      </c>
      <c r="G32" s="389">
        <f>G18</f>
        <v>30</v>
      </c>
      <c r="H32" s="357">
        <v>0.8</v>
      </c>
      <c r="I32" s="396"/>
      <c r="J32" s="396"/>
      <c r="K32" s="397">
        <v>763.1578947368422</v>
      </c>
      <c r="L32" s="397"/>
      <c r="M32" s="397">
        <v>572.36842105263156</v>
      </c>
      <c r="N32" s="398">
        <v>9.9210526315789487</v>
      </c>
      <c r="P32" s="399">
        <v>31.54</v>
      </c>
      <c r="S32" s="387">
        <v>0.8</v>
      </c>
      <c r="U32" s="399"/>
      <c r="V32" s="399"/>
      <c r="X32" s="387">
        <f t="shared" si="3"/>
        <v>1106.578947368421</v>
      </c>
      <c r="Z32" s="387">
        <f t="shared" si="4"/>
        <v>829.93421052631572</v>
      </c>
      <c r="AA32" s="387">
        <f t="shared" si="5"/>
        <v>14.385526315789475</v>
      </c>
      <c r="AB32" s="387">
        <f t="shared" si="2"/>
        <v>0</v>
      </c>
    </row>
    <row r="33" spans="1:28" s="387" customFormat="1">
      <c r="A33" s="396" t="str">
        <f>B63</f>
        <v>P_ESTHYDPS201</v>
      </c>
      <c r="B33" s="396" t="s">
        <v>264</v>
      </c>
      <c r="C33" s="396"/>
      <c r="D33" s="396" t="str">
        <f>B81</f>
        <v>AUX_ESTHYDPS201</v>
      </c>
      <c r="E33" s="396"/>
      <c r="F33" s="389">
        <f>F26</f>
        <v>2020</v>
      </c>
      <c r="G33" s="389">
        <f>G20</f>
        <v>60</v>
      </c>
      <c r="H33" s="357">
        <v>0.8</v>
      </c>
      <c r="I33" s="396"/>
      <c r="J33" s="396"/>
      <c r="K33" s="397">
        <v>1907.8947368421054</v>
      </c>
      <c r="L33" s="397"/>
      <c r="M33" s="397">
        <v>1907.8947368421054</v>
      </c>
      <c r="N33" s="398">
        <v>28.618421052631579</v>
      </c>
      <c r="P33" s="399">
        <v>31.54</v>
      </c>
      <c r="S33" s="387">
        <v>0.8</v>
      </c>
      <c r="U33" s="399"/>
      <c r="V33" s="399"/>
      <c r="X33" s="387">
        <f t="shared" si="3"/>
        <v>2766.4473684210529</v>
      </c>
      <c r="Z33" s="387">
        <f t="shared" si="4"/>
        <v>2766.4473684210529</v>
      </c>
      <c r="AA33" s="387">
        <f t="shared" si="5"/>
        <v>41.496710526315788</v>
      </c>
      <c r="AB33" s="387">
        <f t="shared" si="2"/>
        <v>0</v>
      </c>
    </row>
    <row r="34" spans="1:28" s="387" customFormat="1">
      <c r="A34" s="396" t="str">
        <f>B64</f>
        <v>P_ESTBATS201</v>
      </c>
      <c r="B34" s="396" t="s">
        <v>264</v>
      </c>
      <c r="C34" s="396"/>
      <c r="D34" s="396" t="str">
        <f>B82</f>
        <v>AUX_ESTBATS201</v>
      </c>
      <c r="E34" s="396"/>
      <c r="F34" s="389">
        <f>F28</f>
        <v>2020</v>
      </c>
      <c r="G34" s="389">
        <f>G21</f>
        <v>8</v>
      </c>
      <c r="H34" s="357">
        <v>0.8</v>
      </c>
      <c r="I34" s="396"/>
      <c r="J34" s="396"/>
      <c r="K34" s="397">
        <v>435</v>
      </c>
      <c r="L34" s="397"/>
      <c r="M34" s="397">
        <v>253.75</v>
      </c>
      <c r="N34" s="398">
        <v>6.09</v>
      </c>
      <c r="P34" s="399">
        <v>31.54</v>
      </c>
      <c r="S34" s="387">
        <v>0.8</v>
      </c>
      <c r="U34" s="399"/>
      <c r="V34" s="399"/>
      <c r="X34" s="387">
        <f t="shared" si="3"/>
        <v>630.75</v>
      </c>
      <c r="Z34" s="387">
        <f t="shared" si="4"/>
        <v>367.9375</v>
      </c>
      <c r="AA34" s="387">
        <f t="shared" si="5"/>
        <v>8.8304999999999989</v>
      </c>
      <c r="AB34" s="387">
        <f t="shared" si="2"/>
        <v>0</v>
      </c>
    </row>
    <row r="35" spans="1:28" s="387" customFormat="1">
      <c r="A35" s="390" t="str">
        <f>B65</f>
        <v>P_ESTBATS202</v>
      </c>
      <c r="B35" s="390" t="s">
        <v>264</v>
      </c>
      <c r="C35" s="390"/>
      <c r="D35" s="390" t="str">
        <f>B83</f>
        <v>AUX_ESTBATS202</v>
      </c>
      <c r="E35" s="390"/>
      <c r="F35" s="391">
        <f>F30</f>
        <v>2020</v>
      </c>
      <c r="G35" s="391">
        <f>G30</f>
        <v>10</v>
      </c>
      <c r="H35" s="357">
        <v>0.8</v>
      </c>
      <c r="I35" s="390"/>
      <c r="J35" s="390"/>
      <c r="K35" s="392">
        <v>435</v>
      </c>
      <c r="L35" s="392"/>
      <c r="M35" s="392">
        <v>253.75</v>
      </c>
      <c r="N35" s="393">
        <v>6.09</v>
      </c>
      <c r="O35" s="394"/>
      <c r="P35" s="395">
        <v>31.54</v>
      </c>
      <c r="Q35" s="394"/>
      <c r="R35" s="394"/>
      <c r="S35" s="387">
        <v>0.8</v>
      </c>
      <c r="U35" s="395"/>
      <c r="V35" s="395"/>
      <c r="X35" s="387">
        <f t="shared" si="3"/>
        <v>630.75</v>
      </c>
      <c r="Z35" s="387">
        <f t="shared" si="4"/>
        <v>367.9375</v>
      </c>
      <c r="AA35" s="387">
        <f t="shared" si="5"/>
        <v>8.8304999999999989</v>
      </c>
      <c r="AB35" s="387">
        <f t="shared" si="2"/>
        <v>0</v>
      </c>
    </row>
    <row r="36" spans="1:28" s="378" customFormat="1">
      <c r="A36" s="371" t="str">
        <f>B67</f>
        <v>DUMSTOR</v>
      </c>
      <c r="B36" s="372"/>
      <c r="C36" s="372"/>
      <c r="D36" s="371" t="str">
        <f>A36</f>
        <v>DUMSTOR</v>
      </c>
      <c r="E36" s="372"/>
      <c r="F36" s="373">
        <v>2020</v>
      </c>
      <c r="G36" s="374"/>
      <c r="H36" s="372"/>
      <c r="I36" s="372"/>
      <c r="J36" s="372"/>
      <c r="K36" s="375"/>
      <c r="L36" s="375"/>
      <c r="M36" s="375"/>
      <c r="N36" s="376"/>
      <c r="O36" s="372"/>
      <c r="P36" s="377"/>
      <c r="Q36" s="372"/>
      <c r="R36" s="372"/>
      <c r="S36" s="380"/>
      <c r="U36" s="377"/>
      <c r="V36" s="377"/>
    </row>
    <row r="37" spans="1:28">
      <c r="A37" s="65" t="str">
        <f>B66</f>
        <v>DUMDCAES</v>
      </c>
      <c r="B37" s="65" t="s">
        <v>41</v>
      </c>
      <c r="C37" s="65"/>
      <c r="D37" s="65"/>
      <c r="E37" s="65"/>
      <c r="F37" s="353">
        <v>2020</v>
      </c>
      <c r="G37" s="150"/>
      <c r="H37" s="150"/>
      <c r="I37" s="151">
        <f>'NOINPUT-Input_DATA'!P3/('NOINPUT-Input_DATA'!$P$3+'NOINPUT-Input_DATA'!$Q$3)</f>
        <v>0.36871508379888268</v>
      </c>
      <c r="J37" s="65"/>
      <c r="K37" s="150"/>
      <c r="L37" s="150"/>
      <c r="M37" s="150"/>
      <c r="N37" s="150"/>
      <c r="O37" s="150"/>
      <c r="P37" s="150">
        <v>1</v>
      </c>
      <c r="Q37" s="65"/>
      <c r="R37" s="152"/>
      <c r="S37" s="152"/>
      <c r="U37" s="150"/>
      <c r="V37" s="150"/>
    </row>
    <row r="38" spans="1:28">
      <c r="A38" s="65"/>
      <c r="B38" s="65" t="s">
        <v>75</v>
      </c>
      <c r="C38" s="65"/>
      <c r="D38" s="65"/>
      <c r="E38" s="65"/>
      <c r="F38" s="150"/>
      <c r="G38" s="150"/>
      <c r="H38" s="150"/>
      <c r="I38" s="151">
        <f>'NOINPUT-Input_DATA'!Q3/('NOINPUT-Input_DATA'!$P$3+'NOINPUT-Input_DATA'!$Q$3)</f>
        <v>0.63128491620111726</v>
      </c>
      <c r="J38" s="65"/>
      <c r="K38" s="150"/>
      <c r="L38" s="150"/>
      <c r="M38" s="150"/>
      <c r="N38" s="150"/>
      <c r="O38" s="150"/>
      <c r="P38" s="150"/>
      <c r="Q38" s="65"/>
      <c r="R38" s="152"/>
      <c r="S38" s="152"/>
      <c r="U38" s="150"/>
      <c r="V38" s="150"/>
    </row>
    <row r="39" spans="1:28">
      <c r="A39" s="65"/>
      <c r="B39" s="65"/>
      <c r="C39" s="65"/>
      <c r="D39" s="65" t="str">
        <f>B85</f>
        <v>DUMDCAES</v>
      </c>
      <c r="E39" s="65"/>
      <c r="F39" s="150"/>
      <c r="G39" s="150"/>
      <c r="H39" s="150"/>
      <c r="I39" s="150"/>
      <c r="J39" s="152">
        <v>1</v>
      </c>
      <c r="K39" s="150"/>
      <c r="L39" s="150"/>
      <c r="M39" s="150"/>
      <c r="N39" s="150"/>
      <c r="O39" s="150"/>
      <c r="P39" s="150"/>
      <c r="Q39" s="65"/>
      <c r="R39" s="152"/>
      <c r="S39" s="152"/>
      <c r="U39" s="150"/>
      <c r="V39" s="150"/>
    </row>
    <row r="40" spans="1:28">
      <c r="A40" s="82"/>
      <c r="B40" s="82"/>
      <c r="C40" s="82"/>
      <c r="D40" s="66"/>
      <c r="E40" s="31"/>
      <c r="F40" s="31"/>
      <c r="G40" s="66"/>
      <c r="H40" s="66"/>
      <c r="I40" s="66"/>
      <c r="J40" s="90"/>
      <c r="K40" s="90"/>
      <c r="L40" s="90"/>
      <c r="M40" s="93"/>
      <c r="N40" s="48"/>
      <c r="O40" s="49"/>
      <c r="P40" s="48"/>
      <c r="Q40" s="48"/>
      <c r="T40" s="49"/>
      <c r="U40" s="49"/>
    </row>
    <row r="41" spans="1:28">
      <c r="A41" s="82"/>
      <c r="B41" s="82"/>
      <c r="C41" s="82"/>
      <c r="D41" s="66"/>
      <c r="E41" s="31"/>
      <c r="F41" s="31"/>
      <c r="G41" s="66"/>
      <c r="H41" s="66"/>
      <c r="I41" s="66"/>
      <c r="J41" s="90"/>
      <c r="K41" s="90"/>
      <c r="L41" s="90"/>
      <c r="M41" s="93"/>
      <c r="N41" s="48"/>
      <c r="O41" s="49"/>
      <c r="P41" s="67"/>
      <c r="Q41" s="67"/>
      <c r="T41" s="33"/>
      <c r="U41" s="33"/>
    </row>
    <row r="42" spans="1:28">
      <c r="A42" s="29"/>
      <c r="B42" s="30"/>
      <c r="C42" s="30"/>
      <c r="D42" s="30"/>
      <c r="E42" s="31"/>
      <c r="F42" s="31"/>
      <c r="G42" s="41"/>
      <c r="H42" s="32"/>
      <c r="I42" s="32"/>
      <c r="J42" s="32"/>
      <c r="K42" s="32"/>
      <c r="L42" s="40"/>
      <c r="M42" s="33"/>
      <c r="N42" s="32"/>
    </row>
    <row r="43" spans="1:28">
      <c r="A43" s="243" t="s">
        <v>18</v>
      </c>
      <c r="B43" s="243"/>
      <c r="C43" s="244"/>
      <c r="D43" s="244"/>
      <c r="E43" s="244"/>
      <c r="F43" s="244"/>
      <c r="G43" s="244"/>
      <c r="H43" s="244"/>
      <c r="N43" s="33"/>
      <c r="O43" s="32"/>
    </row>
    <row r="44" spans="1:28">
      <c r="A44" s="245" t="s">
        <v>17</v>
      </c>
      <c r="B44" s="245" t="s">
        <v>1</v>
      </c>
      <c r="C44" s="245" t="s">
        <v>2</v>
      </c>
      <c r="D44" s="245" t="s">
        <v>19</v>
      </c>
      <c r="E44" s="245" t="s">
        <v>20</v>
      </c>
      <c r="F44" s="245" t="s">
        <v>21</v>
      </c>
      <c r="G44" s="245" t="s">
        <v>22</v>
      </c>
      <c r="H44" s="245" t="s">
        <v>23</v>
      </c>
      <c r="N44" s="33"/>
      <c r="O44" s="32"/>
    </row>
    <row r="45" spans="1:28" ht="26.25" thickBot="1">
      <c r="A45" s="246" t="s">
        <v>203</v>
      </c>
      <c r="B45" s="246" t="s">
        <v>30</v>
      </c>
      <c r="C45" s="246" t="s">
        <v>31</v>
      </c>
      <c r="D45" s="246" t="s">
        <v>32</v>
      </c>
      <c r="E45" s="246" t="s">
        <v>33</v>
      </c>
      <c r="F45" s="246" t="s">
        <v>44</v>
      </c>
      <c r="G45" s="246" t="s">
        <v>43</v>
      </c>
      <c r="H45" s="246" t="s">
        <v>34</v>
      </c>
      <c r="K45" s="48"/>
      <c r="L45" s="48"/>
      <c r="M45" s="49"/>
      <c r="N45" s="32"/>
    </row>
    <row r="46" spans="1:28" ht="15.75">
      <c r="A46" s="247" t="s">
        <v>266</v>
      </c>
      <c r="B46" s="248" t="s">
        <v>120</v>
      </c>
      <c r="C46" s="247" t="s">
        <v>388</v>
      </c>
      <c r="D46" s="249" t="s">
        <v>39</v>
      </c>
      <c r="E46" s="250" t="s">
        <v>205</v>
      </c>
      <c r="F46" s="249" t="s">
        <v>40</v>
      </c>
      <c r="G46" s="249" t="s">
        <v>83</v>
      </c>
      <c r="H46" s="251"/>
      <c r="I46" s="149"/>
      <c r="T46" s="30"/>
      <c r="U46" s="30"/>
    </row>
    <row r="47" spans="1:28">
      <c r="A47" s="244"/>
      <c r="B47" s="248" t="s">
        <v>123</v>
      </c>
      <c r="C47" s="247" t="s">
        <v>142</v>
      </c>
      <c r="D47" s="249" t="s">
        <v>39</v>
      </c>
      <c r="E47" s="250" t="s">
        <v>205</v>
      </c>
      <c r="F47" s="249" t="s">
        <v>40</v>
      </c>
      <c r="G47" s="249"/>
      <c r="H47" s="252"/>
      <c r="I47" s="30"/>
      <c r="K47" s="48"/>
    </row>
    <row r="48" spans="1:28" ht="18">
      <c r="A48" s="266"/>
      <c r="B48" s="248" t="s">
        <v>121</v>
      </c>
      <c r="C48" s="248" t="s">
        <v>389</v>
      </c>
      <c r="D48" s="249" t="s">
        <v>39</v>
      </c>
      <c r="E48" s="250" t="s">
        <v>205</v>
      </c>
      <c r="F48" s="249" t="s">
        <v>40</v>
      </c>
      <c r="G48" s="249"/>
      <c r="H48" s="252"/>
      <c r="I48" s="30"/>
      <c r="K48" s="48"/>
      <c r="L48" s="50"/>
      <c r="M48" s="49"/>
      <c r="N48" s="32"/>
      <c r="U48" s="20"/>
      <c r="V48" s="20"/>
      <c r="W48" s="20"/>
    </row>
    <row r="49" spans="1:26" ht="15.75">
      <c r="A49" s="267"/>
      <c r="B49" s="250" t="s">
        <v>122</v>
      </c>
      <c r="C49" s="250" t="s">
        <v>390</v>
      </c>
      <c r="D49" s="268" t="s">
        <v>39</v>
      </c>
      <c r="E49" s="250" t="s">
        <v>205</v>
      </c>
      <c r="F49" s="268" t="s">
        <v>40</v>
      </c>
      <c r="G49" s="268"/>
      <c r="H49" s="269"/>
      <c r="I49" s="66"/>
      <c r="K49" s="48"/>
      <c r="L49" s="50"/>
      <c r="M49" s="49"/>
      <c r="N49" s="32"/>
      <c r="U49" s="20"/>
      <c r="V49" s="20"/>
      <c r="W49" s="20"/>
    </row>
    <row r="50" spans="1:26" ht="15">
      <c r="A50" s="267"/>
      <c r="B50" s="250" t="s">
        <v>140</v>
      </c>
      <c r="C50" s="250" t="s">
        <v>143</v>
      </c>
      <c r="D50" s="268" t="s">
        <v>39</v>
      </c>
      <c r="E50" s="250" t="s">
        <v>205</v>
      </c>
      <c r="F50" s="268" t="s">
        <v>40</v>
      </c>
      <c r="G50" s="268"/>
      <c r="H50" s="269"/>
      <c r="I50" s="66"/>
      <c r="K50" s="48"/>
      <c r="L50" s="50"/>
      <c r="M50" s="49"/>
      <c r="N50" s="32"/>
      <c r="U50" s="20"/>
      <c r="V50" s="20"/>
      <c r="W50" s="20"/>
    </row>
    <row r="51" spans="1:26" ht="15">
      <c r="A51" s="270"/>
      <c r="B51" s="271" t="s">
        <v>141</v>
      </c>
      <c r="C51" s="272" t="s">
        <v>144</v>
      </c>
      <c r="D51" s="273" t="s">
        <v>39</v>
      </c>
      <c r="E51" s="271" t="s">
        <v>205</v>
      </c>
      <c r="F51" s="273" t="s">
        <v>40</v>
      </c>
      <c r="G51" s="273"/>
      <c r="H51" s="272"/>
      <c r="I51" s="66"/>
      <c r="K51" s="48"/>
      <c r="L51" s="50"/>
      <c r="M51" s="49"/>
      <c r="N51" s="32"/>
      <c r="U51" s="20"/>
      <c r="V51" s="20"/>
      <c r="W51" s="20"/>
    </row>
    <row r="52" spans="1:26" ht="15">
      <c r="A52" s="320" t="s">
        <v>348</v>
      </c>
      <c r="B52" s="248" t="s">
        <v>124</v>
      </c>
      <c r="C52" s="247" t="s">
        <v>127</v>
      </c>
      <c r="D52" s="249" t="s">
        <v>39</v>
      </c>
      <c r="E52" s="250" t="s">
        <v>205</v>
      </c>
      <c r="F52" s="249" t="s">
        <v>40</v>
      </c>
      <c r="G52" s="268" t="s">
        <v>83</v>
      </c>
      <c r="H52" s="269"/>
      <c r="I52" s="66"/>
      <c r="K52" s="48"/>
      <c r="L52" s="20"/>
      <c r="M52" s="20"/>
      <c r="N52" s="20"/>
      <c r="O52" s="20"/>
      <c r="P52" s="20"/>
      <c r="Q52" s="20"/>
      <c r="R52" s="20"/>
      <c r="S52" s="20"/>
      <c r="T52" s="20"/>
      <c r="U52" s="20"/>
      <c r="V52" s="20"/>
    </row>
    <row r="53" spans="1:26" ht="15">
      <c r="A53" s="267"/>
      <c r="B53" s="248" t="s">
        <v>125</v>
      </c>
      <c r="C53" s="252" t="s">
        <v>128</v>
      </c>
      <c r="D53" s="249" t="s">
        <v>39</v>
      </c>
      <c r="E53" s="250" t="s">
        <v>205</v>
      </c>
      <c r="F53" s="249" t="s">
        <v>40</v>
      </c>
      <c r="G53" s="268"/>
      <c r="H53" s="269"/>
      <c r="I53" s="66"/>
      <c r="L53" s="20"/>
      <c r="M53" s="20"/>
      <c r="N53" s="20"/>
      <c r="O53" s="20"/>
      <c r="P53" s="20"/>
      <c r="Q53" s="20"/>
      <c r="R53" s="20"/>
      <c r="S53" s="20"/>
      <c r="T53" s="20"/>
      <c r="U53" s="20"/>
      <c r="V53" s="20"/>
      <c r="Z53" s="20"/>
    </row>
    <row r="54" spans="1:26" ht="15">
      <c r="A54" s="267"/>
      <c r="B54" s="250" t="s">
        <v>126</v>
      </c>
      <c r="C54" s="250" t="s">
        <v>147</v>
      </c>
      <c r="D54" s="268" t="s">
        <v>39</v>
      </c>
      <c r="E54" s="250" t="s">
        <v>205</v>
      </c>
      <c r="F54" s="268" t="s">
        <v>40</v>
      </c>
      <c r="G54" s="268"/>
      <c r="H54" s="269"/>
      <c r="I54" s="66"/>
      <c r="L54" s="20"/>
      <c r="M54" s="20"/>
      <c r="N54" s="20"/>
      <c r="O54" s="20"/>
      <c r="P54" s="20"/>
      <c r="Q54" s="20"/>
      <c r="R54" s="20"/>
      <c r="S54" s="20"/>
      <c r="T54" s="20"/>
      <c r="U54" s="20"/>
      <c r="V54" s="20"/>
      <c r="Z54" s="20"/>
    </row>
    <row r="55" spans="1:26" ht="15">
      <c r="A55" s="270"/>
      <c r="B55" s="271" t="s">
        <v>145</v>
      </c>
      <c r="C55" s="271" t="s">
        <v>146</v>
      </c>
      <c r="D55" s="273" t="s">
        <v>39</v>
      </c>
      <c r="E55" s="271" t="s">
        <v>205</v>
      </c>
      <c r="F55" s="273" t="s">
        <v>40</v>
      </c>
      <c r="G55" s="273"/>
      <c r="H55" s="272"/>
      <c r="I55" s="66"/>
      <c r="L55" s="20"/>
      <c r="M55" s="20"/>
      <c r="N55" s="20"/>
      <c r="O55" s="20"/>
      <c r="P55" s="20"/>
      <c r="Q55" s="20"/>
      <c r="R55" s="20"/>
      <c r="S55" s="20"/>
      <c r="T55" s="20"/>
      <c r="U55" s="20"/>
      <c r="V55" s="20"/>
      <c r="Z55" s="20"/>
    </row>
    <row r="56" spans="1:26" ht="15">
      <c r="A56" s="247" t="s">
        <v>158</v>
      </c>
      <c r="B56" s="252" t="str">
        <f>"P_"&amp;B46</f>
        <v>P_ESTCAESS101</v>
      </c>
      <c r="C56" s="253" t="str">
        <f>C46&amp;" (accompanying tech to represent power)"</f>
        <v>Diabatic CAES ELC Storage: DayNite---Compressed Air Energy Storage (accompanying tech to represent power)</v>
      </c>
      <c r="D56" s="249" t="s">
        <v>39</v>
      </c>
      <c r="E56" s="252" t="s">
        <v>71</v>
      </c>
      <c r="F56" s="249" t="s">
        <v>40</v>
      </c>
      <c r="G56" s="244"/>
      <c r="H56" s="244"/>
      <c r="J56" s="35"/>
      <c r="L56" s="20"/>
      <c r="M56" s="20"/>
      <c r="N56" s="20"/>
      <c r="O56" s="20"/>
      <c r="P56" s="20"/>
      <c r="Q56" s="20"/>
      <c r="R56" s="20"/>
      <c r="S56" s="20"/>
      <c r="T56" s="20"/>
      <c r="U56" s="20"/>
      <c r="V56" s="20"/>
      <c r="Z56" s="20"/>
    </row>
    <row r="57" spans="1:26" ht="15">
      <c r="A57" s="244"/>
      <c r="B57" s="252" t="str">
        <f t="shared" ref="B57:B63" si="11">"P_"&amp;B47</f>
        <v>P_ESTCAESS102</v>
      </c>
      <c r="C57" s="253" t="str">
        <f t="shared" ref="C57:C63" si="12">C47&amp;" (accompanying tech to represent power)"</f>
        <v>Adiabatic CAES ELC Storage: DayNite (accompanying tech to represent power)</v>
      </c>
      <c r="D57" s="249" t="s">
        <v>39</v>
      </c>
      <c r="E57" s="252" t="s">
        <v>71</v>
      </c>
      <c r="F57" s="249" t="s">
        <v>40</v>
      </c>
      <c r="G57" s="249"/>
      <c r="H57" s="252"/>
      <c r="N57" s="20"/>
      <c r="O57" s="20"/>
      <c r="P57" s="20"/>
      <c r="Q57" s="20"/>
      <c r="R57" s="20"/>
      <c r="S57" s="20"/>
      <c r="T57" s="20"/>
      <c r="U57" s="20"/>
      <c r="V57" s="20"/>
      <c r="Z57" s="20"/>
    </row>
    <row r="58" spans="1:26" ht="15">
      <c r="A58" s="267"/>
      <c r="B58" s="269" t="str">
        <f t="shared" si="11"/>
        <v>P_ESTHYDPS101</v>
      </c>
      <c r="C58" s="274" t="str">
        <f t="shared" si="12"/>
        <v>Pumped Hydro ELC Storage: DayNite (accompanying tech to represent power)</v>
      </c>
      <c r="D58" s="268" t="s">
        <v>39</v>
      </c>
      <c r="E58" s="269" t="s">
        <v>71</v>
      </c>
      <c r="F58" s="268" t="s">
        <v>40</v>
      </c>
      <c r="G58" s="268"/>
      <c r="H58" s="269"/>
      <c r="L58" s="20"/>
      <c r="M58" s="20"/>
      <c r="N58" s="20"/>
      <c r="O58" s="20"/>
      <c r="P58" s="20"/>
      <c r="Q58" s="20"/>
      <c r="R58" s="20"/>
      <c r="S58" s="20"/>
      <c r="T58" s="20"/>
      <c r="U58" s="20"/>
      <c r="V58" s="20"/>
      <c r="Z58" s="20"/>
    </row>
    <row r="59" spans="1:26" ht="15">
      <c r="A59" s="267"/>
      <c r="B59" s="275" t="str">
        <f t="shared" si="11"/>
        <v>P_ESTBATS101</v>
      </c>
      <c r="C59" s="275" t="str">
        <f t="shared" si="12"/>
        <v>Battery (Lead-acid) Bulk ELC Storage: DayNite (accompanying tech to represent power)</v>
      </c>
      <c r="D59" s="268" t="s">
        <v>39</v>
      </c>
      <c r="E59" s="269" t="s">
        <v>71</v>
      </c>
      <c r="F59" s="268" t="s">
        <v>40</v>
      </c>
      <c r="G59" s="268"/>
      <c r="H59" s="269"/>
      <c r="L59" s="20"/>
      <c r="M59" s="20"/>
      <c r="N59" s="20"/>
      <c r="O59" s="20"/>
      <c r="P59" s="20"/>
      <c r="Q59" s="20"/>
      <c r="R59" s="20"/>
      <c r="S59" s="20"/>
      <c r="T59" s="20"/>
      <c r="U59" s="20"/>
      <c r="V59" s="20"/>
      <c r="Z59" s="20"/>
    </row>
    <row r="60" spans="1:26" ht="15">
      <c r="A60" s="267"/>
      <c r="B60" s="275" t="str">
        <f t="shared" si="11"/>
        <v>P_ESTBATS102</v>
      </c>
      <c r="C60" s="275" t="str">
        <f t="shared" si="12"/>
        <v>Battery (Li-ion) Bulk ELC Storage: DayNite (accompanying tech to represent power)</v>
      </c>
      <c r="D60" s="268" t="s">
        <v>39</v>
      </c>
      <c r="E60" s="269" t="s">
        <v>71</v>
      </c>
      <c r="F60" s="268" t="s">
        <v>40</v>
      </c>
      <c r="G60" s="268"/>
      <c r="H60" s="269"/>
      <c r="L60" s="20"/>
      <c r="M60" s="20"/>
      <c r="N60" s="20"/>
      <c r="O60" s="20"/>
      <c r="P60" s="20"/>
      <c r="Q60" s="20"/>
      <c r="R60" s="20"/>
      <c r="S60" s="20"/>
      <c r="T60" s="20"/>
      <c r="U60" s="20"/>
      <c r="V60" s="20"/>
      <c r="Z60" s="20"/>
    </row>
    <row r="61" spans="1:26" ht="15">
      <c r="A61" s="267"/>
      <c r="B61" s="275" t="str">
        <f t="shared" si="11"/>
        <v>P_ESTBATS103</v>
      </c>
      <c r="C61" s="275" t="str">
        <f t="shared" si="12"/>
        <v>Battery (NaS) Bulk ELC Storage: DayNite (accompanying tech to represent power)</v>
      </c>
      <c r="D61" s="268" t="s">
        <v>39</v>
      </c>
      <c r="E61" s="269" t="s">
        <v>71</v>
      </c>
      <c r="F61" s="268" t="s">
        <v>40</v>
      </c>
      <c r="G61" s="268"/>
      <c r="H61" s="269"/>
      <c r="L61" s="20"/>
      <c r="M61" s="20"/>
      <c r="N61" s="20"/>
      <c r="O61" s="20"/>
      <c r="P61" s="20"/>
      <c r="Q61" s="20"/>
      <c r="R61" s="20"/>
      <c r="S61" s="20"/>
      <c r="T61" s="20"/>
      <c r="U61" s="20"/>
      <c r="V61" s="20"/>
      <c r="Z61" s="20"/>
    </row>
    <row r="62" spans="1:26" ht="15">
      <c r="A62" s="267"/>
      <c r="B62" s="252" t="str">
        <f t="shared" si="11"/>
        <v>P_ESTCAESS201</v>
      </c>
      <c r="C62" s="253" t="str">
        <f t="shared" si="12"/>
        <v>Diabatic CAES ELC Storage: DayNite/Seasonal (accompanying tech to represent power)</v>
      </c>
      <c r="D62" s="249" t="s">
        <v>39</v>
      </c>
      <c r="E62" s="252" t="s">
        <v>71</v>
      </c>
      <c r="F62" s="249" t="s">
        <v>40</v>
      </c>
      <c r="G62" s="268"/>
      <c r="H62" s="269"/>
      <c r="L62" s="20"/>
      <c r="M62" s="20"/>
      <c r="N62" s="20"/>
      <c r="O62" s="20"/>
      <c r="P62" s="20"/>
      <c r="Q62" s="20"/>
      <c r="R62" s="20"/>
      <c r="S62" s="20"/>
      <c r="T62" s="20"/>
      <c r="U62" s="20"/>
      <c r="V62" s="20"/>
      <c r="Z62" s="20"/>
    </row>
    <row r="63" spans="1:26" ht="15">
      <c r="A63" s="267"/>
      <c r="B63" s="269" t="str">
        <f t="shared" si="11"/>
        <v>P_ESTHYDPS201</v>
      </c>
      <c r="C63" s="274" t="str">
        <f t="shared" si="12"/>
        <v>Pumped Hydro ELC Storage: DayNite/Seasonal (accompanying tech to represent power)</v>
      </c>
      <c r="D63" s="268" t="s">
        <v>39</v>
      </c>
      <c r="E63" s="269" t="s">
        <v>71</v>
      </c>
      <c r="F63" s="268" t="s">
        <v>40</v>
      </c>
      <c r="G63" s="268"/>
      <c r="H63" s="269"/>
      <c r="L63" s="20"/>
      <c r="M63" s="20"/>
      <c r="N63" s="20"/>
      <c r="O63" s="20"/>
      <c r="P63" s="20"/>
      <c r="Q63" s="20"/>
      <c r="R63" s="20"/>
      <c r="S63" s="20"/>
      <c r="T63" s="20"/>
      <c r="U63" s="20"/>
      <c r="V63" s="20"/>
      <c r="Z63" s="20"/>
    </row>
    <row r="64" spans="1:26" ht="15">
      <c r="A64" s="267"/>
      <c r="B64" s="275" t="str">
        <f>"P_"&amp;B54</f>
        <v>P_ESTBATS201</v>
      </c>
      <c r="C64" s="275" t="str">
        <f>C54&amp;" (accompanying tech to represent power)"</f>
        <v>Battery (Lead-acid) Bulk ELC Storage: DayNite/Seasonal (accompanying tech to represent power)</v>
      </c>
      <c r="D64" s="268" t="s">
        <v>39</v>
      </c>
      <c r="E64" s="269" t="s">
        <v>71</v>
      </c>
      <c r="F64" s="268" t="s">
        <v>40</v>
      </c>
      <c r="G64" s="268"/>
      <c r="H64" s="269"/>
      <c r="W64" s="20"/>
      <c r="Z64" s="20"/>
    </row>
    <row r="65" spans="1:26" ht="15">
      <c r="A65" s="270"/>
      <c r="B65" s="276" t="str">
        <f>"P_"&amp;B55</f>
        <v>P_ESTBATS202</v>
      </c>
      <c r="C65" s="276" t="str">
        <f>C55&amp;" (accompanying tech to represent power)"</f>
        <v>Battery (Li-ion) Bulk ELC Storage: DayNite/Seasonal (accompanying tech to represent power)</v>
      </c>
      <c r="D65" s="273" t="s">
        <v>39</v>
      </c>
      <c r="E65" s="272" t="s">
        <v>71</v>
      </c>
      <c r="F65" s="273" t="s">
        <v>40</v>
      </c>
      <c r="G65" s="273"/>
      <c r="H65" s="272"/>
      <c r="W65" s="20"/>
      <c r="Z65" s="20"/>
    </row>
    <row r="66" spans="1:26" ht="15">
      <c r="A66" s="254" t="s">
        <v>158</v>
      </c>
      <c r="B66" s="254" t="s">
        <v>269</v>
      </c>
      <c r="C66" s="254" t="s">
        <v>270</v>
      </c>
      <c r="D66" s="255" t="s">
        <v>39</v>
      </c>
      <c r="E66" s="254" t="s">
        <v>205</v>
      </c>
      <c r="F66" s="255" t="s">
        <v>40</v>
      </c>
      <c r="G66" s="256"/>
      <c r="H66" s="256"/>
      <c r="W66" s="20"/>
    </row>
    <row r="67" spans="1:26" ht="15">
      <c r="A67" s="250" t="s">
        <v>103</v>
      </c>
      <c r="B67" s="244" t="s">
        <v>264</v>
      </c>
      <c r="C67" s="244" t="s">
        <v>265</v>
      </c>
      <c r="D67" s="268" t="s">
        <v>39</v>
      </c>
      <c r="E67" s="244"/>
      <c r="F67" s="268" t="s">
        <v>40</v>
      </c>
      <c r="G67" s="244"/>
      <c r="H67" s="244"/>
      <c r="W67" s="20"/>
    </row>
    <row r="68" spans="1:26" ht="15">
      <c r="A68" s="248"/>
      <c r="B68" s="290"/>
      <c r="C68" s="290"/>
      <c r="D68" s="248"/>
      <c r="E68" s="248"/>
      <c r="F68" s="248"/>
      <c r="G68" s="249"/>
      <c r="H68" s="252"/>
      <c r="I68" s="30"/>
      <c r="W68" s="20"/>
    </row>
    <row r="69" spans="1:26" ht="15">
      <c r="A69" s="248"/>
      <c r="B69" s="290"/>
      <c r="C69" s="290"/>
      <c r="D69" s="248"/>
      <c r="E69" s="248"/>
      <c r="F69" s="248"/>
      <c r="G69" s="249"/>
      <c r="H69" s="252"/>
      <c r="I69" s="30"/>
      <c r="W69" s="20"/>
    </row>
    <row r="70" spans="1:26" ht="15">
      <c r="A70" s="30"/>
      <c r="B70" s="52"/>
      <c r="C70" s="25"/>
      <c r="D70" s="30"/>
      <c r="E70" s="30"/>
      <c r="F70" s="30"/>
      <c r="G70" s="29"/>
      <c r="H70" s="30"/>
      <c r="I70" s="30"/>
      <c r="W70" s="20"/>
    </row>
    <row r="71" spans="1:26" ht="15">
      <c r="A71" s="243" t="s">
        <v>8</v>
      </c>
      <c r="B71" s="257"/>
      <c r="C71" s="257"/>
      <c r="D71" s="257"/>
      <c r="E71" s="257"/>
      <c r="F71" s="257"/>
      <c r="G71" s="257"/>
      <c r="H71" s="257"/>
      <c r="I71" s="30"/>
      <c r="W71" s="20"/>
    </row>
    <row r="72" spans="1:26" ht="15">
      <c r="A72" s="258" t="s">
        <v>9</v>
      </c>
      <c r="B72" s="258" t="s">
        <v>7</v>
      </c>
      <c r="C72" s="258" t="s">
        <v>10</v>
      </c>
      <c r="D72" s="259" t="s">
        <v>11</v>
      </c>
      <c r="E72" s="259" t="s">
        <v>12</v>
      </c>
      <c r="F72" s="259" t="s">
        <v>13</v>
      </c>
      <c r="G72" s="259" t="s">
        <v>14</v>
      </c>
      <c r="H72" s="259" t="s">
        <v>15</v>
      </c>
      <c r="I72" s="30"/>
      <c r="W72" s="20"/>
    </row>
    <row r="73" spans="1:26" ht="26.25" thickBot="1">
      <c r="A73" s="260" t="s">
        <v>202</v>
      </c>
      <c r="B73" s="260" t="s">
        <v>24</v>
      </c>
      <c r="C73" s="260" t="s">
        <v>25</v>
      </c>
      <c r="D73" s="260" t="s">
        <v>11</v>
      </c>
      <c r="E73" s="260" t="s">
        <v>26</v>
      </c>
      <c r="F73" s="260" t="s">
        <v>27</v>
      </c>
      <c r="G73" s="260" t="s">
        <v>28</v>
      </c>
      <c r="H73" s="260" t="s">
        <v>29</v>
      </c>
      <c r="I73" s="30"/>
      <c r="L73" s="30"/>
      <c r="M73" s="51"/>
      <c r="N73" s="30"/>
      <c r="O73" s="29"/>
      <c r="P73" s="30"/>
      <c r="W73" s="20"/>
    </row>
    <row r="74" spans="1:26" ht="15">
      <c r="A74" s="248" t="s">
        <v>342</v>
      </c>
      <c r="B74" s="252" t="str">
        <f t="shared" ref="B74:B80" si="13">"AUX_"&amp;B46</f>
        <v>AUX_ESTCAESS101</v>
      </c>
      <c r="C74" s="248" t="str">
        <f t="shared" ref="C74:C80" si="14">"Auxiliary input for "&amp;C46</f>
        <v>Auxiliary input for Diabatic CAES ELC Storage: DayNite---Compressed Air Energy Storage</v>
      </c>
      <c r="D74" s="248" t="s">
        <v>39</v>
      </c>
      <c r="E74" s="250" t="s">
        <v>328</v>
      </c>
      <c r="F74" s="248" t="s">
        <v>40</v>
      </c>
      <c r="G74" s="252"/>
      <c r="H74" s="252"/>
      <c r="I74" s="30"/>
      <c r="L74" s="30"/>
      <c r="M74" s="51"/>
      <c r="N74" s="30"/>
      <c r="O74" s="29"/>
      <c r="P74" s="30"/>
      <c r="W74" s="20"/>
    </row>
    <row r="75" spans="1:26" ht="15">
      <c r="A75" s="244"/>
      <c r="B75" s="252" t="str">
        <f t="shared" si="13"/>
        <v>AUX_ESTCAESS102</v>
      </c>
      <c r="C75" s="248" t="str">
        <f t="shared" si="14"/>
        <v>Auxiliary input for Adiabatic CAES ELC Storage: DayNite</v>
      </c>
      <c r="D75" s="252" t="s">
        <v>39</v>
      </c>
      <c r="E75" s="250" t="s">
        <v>328</v>
      </c>
      <c r="F75" s="252" t="s">
        <v>40</v>
      </c>
      <c r="G75" s="252"/>
      <c r="H75" s="252"/>
      <c r="I75" s="30"/>
      <c r="L75" s="29"/>
      <c r="M75" s="29"/>
      <c r="N75" s="29"/>
      <c r="O75" s="29"/>
      <c r="P75" s="29"/>
      <c r="W75" s="20"/>
    </row>
    <row r="76" spans="1:26" ht="15">
      <c r="A76" s="248"/>
      <c r="B76" s="252" t="str">
        <f t="shared" si="13"/>
        <v>AUX_ESTHYDPS101</v>
      </c>
      <c r="C76" s="248" t="str">
        <f t="shared" si="14"/>
        <v>Auxiliary input for Pumped Hydro ELC Storage: DayNite</v>
      </c>
      <c r="D76" s="252" t="s">
        <v>39</v>
      </c>
      <c r="E76" s="250" t="s">
        <v>328</v>
      </c>
      <c r="F76" s="252" t="s">
        <v>40</v>
      </c>
      <c r="G76" s="252"/>
      <c r="H76" s="252"/>
      <c r="I76" s="30"/>
      <c r="L76" s="29"/>
      <c r="M76" s="29"/>
      <c r="N76" s="29"/>
      <c r="O76" s="29"/>
      <c r="P76" s="29"/>
      <c r="W76" s="20"/>
    </row>
    <row r="77" spans="1:26" ht="15">
      <c r="A77" s="248"/>
      <c r="B77" s="252" t="str">
        <f t="shared" si="13"/>
        <v>AUX_ESTBATS101</v>
      </c>
      <c r="C77" s="248" t="str">
        <f t="shared" si="14"/>
        <v>Auxiliary input for Battery (Lead-acid) Bulk ELC Storage: DayNite</v>
      </c>
      <c r="D77" s="252" t="s">
        <v>39</v>
      </c>
      <c r="E77" s="250" t="s">
        <v>328</v>
      </c>
      <c r="F77" s="252" t="s">
        <v>40</v>
      </c>
      <c r="G77" s="252"/>
      <c r="H77" s="252"/>
      <c r="L77" s="29"/>
      <c r="M77" s="29"/>
      <c r="N77" s="29"/>
      <c r="O77" s="29"/>
      <c r="P77" s="29"/>
      <c r="W77" s="20"/>
    </row>
    <row r="78" spans="1:26" ht="15">
      <c r="A78" s="248"/>
      <c r="B78" s="252" t="str">
        <f t="shared" si="13"/>
        <v>AUX_ESTBATS102</v>
      </c>
      <c r="C78" s="248" t="str">
        <f t="shared" si="14"/>
        <v>Auxiliary input for Battery (Li-ion) Bulk ELC Storage: DayNite</v>
      </c>
      <c r="D78" s="252" t="s">
        <v>39</v>
      </c>
      <c r="E78" s="250" t="s">
        <v>328</v>
      </c>
      <c r="F78" s="252" t="s">
        <v>40</v>
      </c>
      <c r="G78" s="252"/>
      <c r="H78" s="252"/>
      <c r="L78" s="29"/>
      <c r="M78" s="29"/>
      <c r="N78" s="29"/>
      <c r="O78" s="29"/>
      <c r="P78" s="29"/>
      <c r="W78" s="20"/>
    </row>
    <row r="79" spans="1:26" ht="15">
      <c r="A79" s="248"/>
      <c r="B79" s="252" t="str">
        <f t="shared" si="13"/>
        <v>AUX_ESTBATS103</v>
      </c>
      <c r="C79" s="248" t="str">
        <f t="shared" si="14"/>
        <v>Auxiliary input for Battery (NaS) Bulk ELC Storage: DayNite</v>
      </c>
      <c r="D79" s="252" t="s">
        <v>39</v>
      </c>
      <c r="E79" s="250" t="s">
        <v>328</v>
      </c>
      <c r="F79" s="252" t="s">
        <v>40</v>
      </c>
      <c r="G79" s="252"/>
      <c r="H79" s="252"/>
      <c r="L79" s="30"/>
      <c r="M79" s="51"/>
      <c r="N79" s="30"/>
      <c r="O79" s="29"/>
      <c r="P79" s="30"/>
      <c r="Q79" s="20"/>
      <c r="R79" s="20"/>
      <c r="S79" s="20"/>
      <c r="T79" s="20"/>
      <c r="U79" s="20"/>
      <c r="V79" s="20"/>
      <c r="W79" s="20"/>
    </row>
    <row r="80" spans="1:26" ht="15">
      <c r="A80" s="248"/>
      <c r="B80" s="252" t="str">
        <f t="shared" si="13"/>
        <v>AUX_ESTCAESS201</v>
      </c>
      <c r="C80" s="248" t="str">
        <f t="shared" si="14"/>
        <v>Auxiliary input for Diabatic CAES ELC Storage: DayNite/Seasonal</v>
      </c>
      <c r="D80" s="252" t="s">
        <v>39</v>
      </c>
      <c r="E80" s="250" t="s">
        <v>328</v>
      </c>
      <c r="F80" s="252" t="s">
        <v>40</v>
      </c>
      <c r="G80" s="252"/>
      <c r="H80" s="252"/>
      <c r="L80" s="30"/>
      <c r="M80" s="51"/>
      <c r="N80" s="30"/>
      <c r="O80" s="29"/>
      <c r="P80" s="30"/>
      <c r="Q80" s="20"/>
      <c r="R80" s="20"/>
      <c r="S80" s="20"/>
      <c r="T80" s="20"/>
      <c r="U80" s="20"/>
      <c r="V80" s="20"/>
      <c r="W80" s="20"/>
    </row>
    <row r="81" spans="1:20" ht="15">
      <c r="A81" s="248"/>
      <c r="B81" s="252" t="str">
        <f>"AUX_"&amp;B53</f>
        <v>AUX_ESTHYDPS201</v>
      </c>
      <c r="C81" s="248" t="str">
        <f>"Auxiliary input for "&amp;C53</f>
        <v>Auxiliary input for Pumped Hydro ELC Storage: DayNite/Seasonal</v>
      </c>
      <c r="D81" s="252" t="s">
        <v>39</v>
      </c>
      <c r="E81" s="250" t="s">
        <v>328</v>
      </c>
      <c r="F81" s="252" t="s">
        <v>40</v>
      </c>
      <c r="G81" s="252"/>
      <c r="H81" s="252"/>
      <c r="L81" s="20"/>
      <c r="M81" s="20"/>
      <c r="N81" s="20"/>
      <c r="O81" s="20"/>
      <c r="P81" s="20"/>
      <c r="Q81" s="20"/>
      <c r="R81" s="20"/>
      <c r="S81" s="20"/>
      <c r="T81" s="20"/>
    </row>
    <row r="82" spans="1:20" ht="15">
      <c r="A82" s="248"/>
      <c r="B82" s="252" t="str">
        <f>"AUX_"&amp;B54</f>
        <v>AUX_ESTBATS201</v>
      </c>
      <c r="C82" s="248" t="str">
        <f>"Auxiliary input for "&amp;C54</f>
        <v>Auxiliary input for Battery (Lead-acid) Bulk ELC Storage: DayNite/Seasonal</v>
      </c>
      <c r="D82" s="252" t="s">
        <v>39</v>
      </c>
      <c r="E82" s="250" t="s">
        <v>328</v>
      </c>
      <c r="F82" s="252" t="s">
        <v>40</v>
      </c>
      <c r="G82" s="252"/>
      <c r="H82" s="252"/>
      <c r="L82" s="20"/>
      <c r="M82" s="20"/>
      <c r="N82" s="20"/>
      <c r="O82" s="20"/>
      <c r="P82" s="20"/>
      <c r="Q82" s="20"/>
      <c r="R82" s="20"/>
      <c r="S82" s="20"/>
      <c r="T82" s="20"/>
    </row>
    <row r="83" spans="1:20" ht="15">
      <c r="A83" s="284"/>
      <c r="B83" s="269" t="str">
        <f>"AUX_"&amp;B55</f>
        <v>AUX_ESTBATS202</v>
      </c>
      <c r="C83" s="250" t="str">
        <f>"Auxiliary input for "&amp;C55</f>
        <v>Auxiliary input for Battery (Li-ion) Bulk ELC Storage: DayNite/Seasonal</v>
      </c>
      <c r="D83" s="269" t="s">
        <v>39</v>
      </c>
      <c r="E83" s="250" t="s">
        <v>328</v>
      </c>
      <c r="F83" s="269" t="s">
        <v>40</v>
      </c>
      <c r="G83" s="284"/>
      <c r="H83" s="284"/>
      <c r="L83" s="20"/>
      <c r="M83" s="20"/>
      <c r="N83" s="20"/>
      <c r="O83" s="20"/>
      <c r="P83" s="20"/>
      <c r="Q83" s="20"/>
      <c r="R83" s="20"/>
      <c r="S83" s="20"/>
      <c r="T83" s="20"/>
    </row>
    <row r="84" spans="1:20" ht="15">
      <c r="A84" s="284" t="s">
        <v>83</v>
      </c>
      <c r="B84" s="250" t="s">
        <v>369</v>
      </c>
      <c r="C84" s="250" t="s">
        <v>370</v>
      </c>
      <c r="D84" s="250" t="s">
        <v>39</v>
      </c>
      <c r="E84" s="250" t="s">
        <v>328</v>
      </c>
      <c r="F84" s="250" t="s">
        <v>40</v>
      </c>
      <c r="G84" s="284"/>
      <c r="H84" s="284"/>
      <c r="L84" s="20"/>
      <c r="M84" s="20"/>
      <c r="N84" s="20"/>
      <c r="O84" s="20"/>
      <c r="P84" s="20"/>
      <c r="Q84" s="20"/>
      <c r="R84" s="20"/>
      <c r="S84" s="20"/>
      <c r="T84" s="20"/>
    </row>
    <row r="85" spans="1:20" ht="15">
      <c r="A85" s="265"/>
      <c r="B85" s="264" t="s">
        <v>269</v>
      </c>
      <c r="C85" s="264" t="s">
        <v>271</v>
      </c>
      <c r="D85" s="264" t="s">
        <v>39</v>
      </c>
      <c r="E85" s="265"/>
      <c r="F85" s="264" t="s">
        <v>40</v>
      </c>
      <c r="G85" s="265"/>
      <c r="H85" s="265"/>
      <c r="L85" s="20"/>
      <c r="M85" s="20"/>
      <c r="N85" s="20"/>
      <c r="O85" s="20"/>
      <c r="P85" s="20"/>
      <c r="Q85" s="20"/>
      <c r="R85" s="20"/>
      <c r="S85" s="20"/>
      <c r="T85" s="20"/>
    </row>
    <row r="86" spans="1:20" ht="15">
      <c r="A86" s="244"/>
      <c r="B86" s="244"/>
      <c r="C86" s="244"/>
      <c r="D86" s="244"/>
      <c r="E86" s="244"/>
      <c r="F86" s="244"/>
      <c r="G86" s="244"/>
      <c r="H86" s="244"/>
      <c r="L86" s="20"/>
      <c r="M86" s="20"/>
      <c r="N86" s="20"/>
      <c r="O86" s="20"/>
      <c r="P86" s="20"/>
      <c r="Q86" s="20"/>
      <c r="R86" s="20"/>
      <c r="S86" s="20"/>
      <c r="T86" s="20"/>
    </row>
    <row r="98" spans="1:20">
      <c r="A98" s="51"/>
      <c r="E98" s="29"/>
      <c r="F98" s="30"/>
      <c r="G98" s="30"/>
      <c r="H98" s="30"/>
      <c r="I98" s="30"/>
    </row>
    <row r="99" spans="1:20">
      <c r="A99" s="30"/>
      <c r="B99" s="30"/>
      <c r="C99" s="30"/>
      <c r="D99" s="30"/>
      <c r="E99" s="29"/>
      <c r="F99" s="30"/>
      <c r="G99" s="30"/>
      <c r="H99" s="30"/>
      <c r="I99" s="30"/>
    </row>
    <row r="106" spans="1:20" s="42" customFormat="1">
      <c r="A106" s="19"/>
      <c r="B106" s="19"/>
      <c r="C106" s="19"/>
      <c r="D106" s="19"/>
      <c r="E106" s="19"/>
      <c r="F106" s="19"/>
      <c r="G106" s="19"/>
      <c r="H106" s="19"/>
      <c r="I106" s="19"/>
      <c r="J106" s="19"/>
      <c r="K106" s="19"/>
      <c r="L106" s="19"/>
      <c r="M106" s="19"/>
      <c r="N106" s="19"/>
      <c r="O106" s="19"/>
      <c r="P106" s="19"/>
      <c r="Q106" s="19"/>
      <c r="R106" s="19"/>
      <c r="S106" s="19"/>
      <c r="T106" s="19"/>
    </row>
    <row r="107" spans="1:20" s="43" customFormat="1" ht="15" customHeight="1">
      <c r="A107" s="19"/>
      <c r="B107" s="19"/>
      <c r="C107" s="19"/>
      <c r="D107" s="19"/>
      <c r="E107" s="19"/>
      <c r="F107" s="19"/>
      <c r="G107" s="19"/>
      <c r="H107" s="19"/>
      <c r="I107" s="19"/>
      <c r="J107" s="19"/>
      <c r="K107" s="19"/>
      <c r="L107" s="19"/>
      <c r="M107" s="19"/>
      <c r="N107" s="19"/>
      <c r="O107" s="19"/>
      <c r="P107" s="19"/>
      <c r="Q107" s="19"/>
      <c r="R107" s="19"/>
      <c r="S107" s="19"/>
      <c r="T107" s="19"/>
    </row>
    <row r="108" spans="1:20" s="44" customFormat="1">
      <c r="A108" s="19"/>
      <c r="B108" s="19"/>
      <c r="C108" s="19"/>
      <c r="D108" s="19"/>
      <c r="E108" s="19"/>
      <c r="F108" s="19"/>
      <c r="G108" s="19"/>
      <c r="H108" s="19"/>
      <c r="I108" s="19"/>
      <c r="J108" s="19"/>
      <c r="K108" s="19"/>
      <c r="L108" s="19"/>
      <c r="M108" s="19"/>
      <c r="N108" s="19"/>
      <c r="O108" s="19"/>
      <c r="P108" s="19"/>
      <c r="Q108" s="19"/>
      <c r="R108" s="19"/>
      <c r="S108" s="19"/>
      <c r="T108" s="19"/>
    </row>
    <row r="109" spans="1:20" s="44" customFormat="1">
      <c r="A109" s="19"/>
      <c r="B109" s="19"/>
      <c r="C109" s="19"/>
      <c r="D109" s="19"/>
      <c r="E109" s="19"/>
      <c r="F109" s="19"/>
      <c r="G109" s="19"/>
      <c r="H109" s="19"/>
      <c r="I109" s="19"/>
      <c r="J109" s="19"/>
      <c r="K109" s="19"/>
      <c r="L109" s="19"/>
      <c r="M109" s="19"/>
      <c r="N109" s="19"/>
      <c r="O109" s="19"/>
      <c r="P109" s="19"/>
      <c r="Q109" s="19"/>
      <c r="R109" s="19"/>
      <c r="S109" s="19"/>
      <c r="T109" s="19"/>
    </row>
    <row r="112" spans="1:20">
      <c r="L112" s="42"/>
      <c r="M112" s="42"/>
      <c r="N112" s="42"/>
      <c r="O112" s="42"/>
      <c r="P112" s="42"/>
      <c r="Q112" s="42"/>
      <c r="R112" s="42"/>
      <c r="S112" s="42"/>
      <c r="T112" s="42"/>
    </row>
    <row r="113" spans="1:20">
      <c r="L113" s="43"/>
      <c r="M113" s="43"/>
      <c r="N113" s="43"/>
      <c r="O113" s="43"/>
      <c r="P113" s="43"/>
      <c r="Q113" s="43"/>
      <c r="R113" s="43"/>
      <c r="S113" s="43"/>
      <c r="T113" s="43"/>
    </row>
    <row r="114" spans="1:20">
      <c r="K114" s="42"/>
      <c r="L114" s="44"/>
      <c r="M114" s="44"/>
      <c r="N114" s="44"/>
      <c r="O114" s="44"/>
      <c r="P114" s="44"/>
      <c r="Q114" s="44"/>
      <c r="R114" s="44"/>
      <c r="S114" s="44"/>
      <c r="T114" s="44"/>
    </row>
    <row r="115" spans="1:20">
      <c r="A115" s="44"/>
      <c r="B115" s="44"/>
      <c r="C115" s="44"/>
      <c r="D115" s="44"/>
      <c r="E115" s="44"/>
      <c r="F115" s="44"/>
      <c r="G115" s="44"/>
      <c r="H115" s="44"/>
      <c r="I115" s="44"/>
      <c r="J115" s="44"/>
      <c r="K115" s="43"/>
      <c r="L115" s="44"/>
      <c r="M115" s="44"/>
      <c r="N115" s="44"/>
      <c r="O115" s="44"/>
      <c r="P115" s="44"/>
      <c r="Q115" s="44"/>
      <c r="R115" s="44"/>
      <c r="S115" s="44"/>
      <c r="T115" s="44"/>
    </row>
    <row r="116" spans="1:20">
      <c r="K116" s="44"/>
    </row>
    <row r="117" spans="1:20">
      <c r="K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topLeftCell="B1" zoomScale="73" zoomScaleNormal="100" workbookViewId="0">
      <selection activeCell="I20" sqref="I20"/>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6" ht="23.25">
      <c r="A1" s="22" t="s">
        <v>91</v>
      </c>
    </row>
    <row r="3" spans="1:16">
      <c r="E3" s="360" t="s">
        <v>0</v>
      </c>
      <c r="G3" s="24"/>
      <c r="H3" s="24"/>
    </row>
    <row r="4" spans="1:16"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c r="P4" s="52" t="s">
        <v>167</v>
      </c>
    </row>
    <row r="5" spans="1:16"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16">
      <c r="A6" s="29" t="str">
        <f>B22</f>
        <v>RSDBATS01</v>
      </c>
      <c r="B6" s="30" t="s">
        <v>41</v>
      </c>
      <c r="C6" s="30"/>
      <c r="D6" s="30" t="s">
        <v>87</v>
      </c>
      <c r="E6" s="30"/>
      <c r="F6" s="346">
        <v>2020</v>
      </c>
      <c r="G6" s="33">
        <f>'NOINPUT-Input_DATA'!E11</f>
        <v>8</v>
      </c>
      <c r="H6" s="34">
        <f>'NOINPUT-Input_DATA'!D11</f>
        <v>0.8</v>
      </c>
      <c r="I6" s="34"/>
      <c r="J6" s="36">
        <f>'NOINPUT-Input_DATA'!I11</f>
        <v>175.5</v>
      </c>
      <c r="K6" s="36"/>
      <c r="L6" s="36">
        <f>'NOINPUT-Input_DATA'!K11</f>
        <v>135</v>
      </c>
      <c r="M6" s="37"/>
      <c r="N6" s="310"/>
      <c r="O6" s="199">
        <f>3.6/1000</f>
        <v>3.5999999999999999E-3</v>
      </c>
    </row>
    <row r="7" spans="1:16">
      <c r="A7" s="29"/>
      <c r="B7" s="30"/>
      <c r="C7" s="252" t="str">
        <f>B36</f>
        <v>AUX_RSDBATS01</v>
      </c>
      <c r="D7" s="30"/>
      <c r="E7" s="30" t="str">
        <f>ELC_BulkEES!$B$84</f>
        <v>AUX_VARSOUT</v>
      </c>
      <c r="F7" s="346"/>
      <c r="G7" s="33"/>
      <c r="H7" s="34"/>
      <c r="I7" s="70"/>
      <c r="J7" s="36"/>
      <c r="K7" s="36"/>
      <c r="L7" s="36"/>
      <c r="M7" s="37"/>
      <c r="N7" s="310"/>
      <c r="O7" s="199"/>
    </row>
    <row r="8" spans="1:16">
      <c r="A8" s="58" t="str">
        <f>B23</f>
        <v>RSDBATS02</v>
      </c>
      <c r="B8" s="59" t="s">
        <v>41</v>
      </c>
      <c r="C8" s="59"/>
      <c r="D8" s="59" t="s">
        <v>87</v>
      </c>
      <c r="E8" s="59"/>
      <c r="F8" s="346">
        <v>2020</v>
      </c>
      <c r="G8" s="60">
        <f>'NOINPUT-Input_DATA'!E12</f>
        <v>10</v>
      </c>
      <c r="H8" s="61">
        <f>'NOINPUT-Input_DATA'!D12</f>
        <v>0.9</v>
      </c>
      <c r="I8" s="61"/>
      <c r="J8" s="62">
        <f>'NOINPUT-Input_DATA'!I12</f>
        <v>659.64912280701765</v>
      </c>
      <c r="K8" s="62">
        <f>'NOINPUT-Input_DATA'!J12</f>
        <v>223.68421052631581</v>
      </c>
      <c r="L8" s="62">
        <f>'NOINPUT-Input_DATA'!K12</f>
        <v>215.78947368421055</v>
      </c>
      <c r="M8" s="63"/>
      <c r="N8" s="310"/>
      <c r="O8" s="200">
        <f>3.6/1000</f>
        <v>3.5999999999999999E-3</v>
      </c>
    </row>
    <row r="9" spans="1:16">
      <c r="A9" s="58"/>
      <c r="B9" s="59"/>
      <c r="C9" s="88" t="str">
        <f>"AUX_"&amp;A8</f>
        <v>AUX_RSDBATS02</v>
      </c>
      <c r="D9" s="59"/>
      <c r="E9" s="59" t="str">
        <f>ELC_BulkEES!$B$84</f>
        <v>AUX_VARSOUT</v>
      </c>
      <c r="F9" s="352"/>
      <c r="G9" s="58"/>
      <c r="H9" s="58"/>
      <c r="I9" s="99"/>
      <c r="J9" s="58"/>
      <c r="K9" s="58"/>
      <c r="L9" s="58"/>
      <c r="M9" s="58"/>
      <c r="N9" s="311"/>
      <c r="O9" s="201"/>
    </row>
    <row r="10" spans="1:16">
      <c r="A10" s="29" t="str">
        <f>B24</f>
        <v>RSDBATS03</v>
      </c>
      <c r="B10" s="30" t="s">
        <v>41</v>
      </c>
      <c r="C10" s="30"/>
      <c r="D10" s="30" t="s">
        <v>87</v>
      </c>
      <c r="E10" s="30"/>
      <c r="F10" s="346">
        <v>2020</v>
      </c>
      <c r="G10" s="33">
        <f>'NOINPUT-Input_DATA'!E13</f>
        <v>10</v>
      </c>
      <c r="H10" s="34">
        <f>'NOINPUT-Input_DATA'!D13</f>
        <v>0.9</v>
      </c>
      <c r="I10" s="34"/>
      <c r="J10" s="36">
        <f>'NOINPUT-Input_DATA'!I13</f>
        <v>156.90240000000003</v>
      </c>
      <c r="K10" s="36"/>
      <c r="L10" s="36">
        <f>'NOINPUT-Input_DATA'!K13</f>
        <v>68.378399999999999</v>
      </c>
      <c r="M10" s="37"/>
      <c r="N10" s="310"/>
      <c r="O10" s="199">
        <f>3.6/1000</f>
        <v>3.5999999999999999E-3</v>
      </c>
    </row>
    <row r="11" spans="1:16">
      <c r="A11" s="29"/>
      <c r="B11" s="30"/>
      <c r="C11" s="66" t="str">
        <f>"AUX_"&amp;A10</f>
        <v>AUX_RSDBATS03</v>
      </c>
      <c r="E11" s="19" t="str">
        <f>ELC_BulkEES!$B$84</f>
        <v>AUX_VARSOUT</v>
      </c>
      <c r="F11" s="346"/>
      <c r="G11" s="33"/>
      <c r="H11" s="34"/>
      <c r="I11" s="70"/>
      <c r="J11" s="36"/>
      <c r="K11" s="36"/>
      <c r="L11" s="36"/>
      <c r="M11" s="37"/>
      <c r="N11" s="310"/>
      <c r="O11" s="199"/>
    </row>
    <row r="12" spans="1:16" s="387" customFormat="1">
      <c r="A12" s="331" t="str">
        <f>B25</f>
        <v>P_RSDBATS01</v>
      </c>
      <c r="B12" s="331" t="s">
        <v>264</v>
      </c>
      <c r="C12" s="388"/>
      <c r="D12" s="331" t="str">
        <f>B36</f>
        <v>AUX_RSDBATS01</v>
      </c>
      <c r="E12" s="331"/>
      <c r="F12" s="333">
        <f>F6</f>
        <v>2020</v>
      </c>
      <c r="G12" s="333">
        <f>G6</f>
        <v>8</v>
      </c>
      <c r="H12" s="336">
        <v>0.8</v>
      </c>
      <c r="I12" s="333"/>
      <c r="J12" s="333" t="str">
        <f>IF('NOINPUT-Input_DATA'!G11=0,"",'NOINPUT-Input_DATA'!G11)</f>
        <v/>
      </c>
      <c r="K12" s="333"/>
      <c r="L12" s="333" t="str">
        <f>IF('NOINPUT-Input_DATA'!H11=0,"",'NOINPUT-Input_DATA'!H11)</f>
        <v/>
      </c>
      <c r="M12" s="339">
        <f>'NOINPUT-Input_DATA'!L11</f>
        <v>4.2</v>
      </c>
      <c r="N12" s="333"/>
      <c r="O12" s="333">
        <v>31.54</v>
      </c>
      <c r="P12" s="402">
        <v>0.8</v>
      </c>
    </row>
    <row r="13" spans="1:16" s="387" customFormat="1">
      <c r="A13" s="331" t="str">
        <f>B26</f>
        <v>P_RSDBATS02</v>
      </c>
      <c r="B13" s="331" t="s">
        <v>264</v>
      </c>
      <c r="C13" s="388"/>
      <c r="D13" s="331" t="str">
        <f>B37</f>
        <v>AUX_RSDBATS02</v>
      </c>
      <c r="E13" s="331"/>
      <c r="F13" s="333">
        <f>F8</f>
        <v>2020</v>
      </c>
      <c r="G13" s="333">
        <f>G8</f>
        <v>10</v>
      </c>
      <c r="H13" s="336">
        <v>0.8</v>
      </c>
      <c r="I13" s="333"/>
      <c r="J13" s="333" t="str">
        <f>IF('NOINPUT-Input_DATA'!G12=0,"",'NOINPUT-Input_DATA'!G12)</f>
        <v/>
      </c>
      <c r="K13" s="333"/>
      <c r="L13" s="333" t="str">
        <f>IF('NOINPUT-Input_DATA'!H12=0,"",'NOINPUT-Input_DATA'!H12)</f>
        <v/>
      </c>
      <c r="M13" s="339">
        <f>'NOINPUT-Input_DATA'!L12</f>
        <v>4.2</v>
      </c>
      <c r="N13" s="333"/>
      <c r="O13" s="333">
        <v>31.54</v>
      </c>
      <c r="P13" s="402">
        <v>0.8</v>
      </c>
    </row>
    <row r="14" spans="1:16" s="387" customFormat="1">
      <c r="A14" s="394" t="str">
        <f>B27</f>
        <v>P_RSDBATS03</v>
      </c>
      <c r="B14" s="394" t="s">
        <v>264</v>
      </c>
      <c r="C14" s="390"/>
      <c r="D14" s="394" t="str">
        <f>B38</f>
        <v>AUX_RSDBATS03</v>
      </c>
      <c r="E14" s="394"/>
      <c r="F14" s="395">
        <f>F10</f>
        <v>2020</v>
      </c>
      <c r="G14" s="395">
        <f>G10</f>
        <v>10</v>
      </c>
      <c r="H14" s="336">
        <v>0.8</v>
      </c>
      <c r="I14" s="395"/>
      <c r="J14" s="395" t="str">
        <f>IF('NOINPUT-Input_DATA'!G13=0,"",'NOINPUT-Input_DATA'!G13)</f>
        <v/>
      </c>
      <c r="K14" s="395"/>
      <c r="L14" s="395" t="str">
        <f>IF('NOINPUT-Input_DATA'!H13=0,"",'NOINPUT-Input_DATA'!H13)</f>
        <v/>
      </c>
      <c r="M14" s="393">
        <f>'NOINPUT-Input_DATA'!L13</f>
        <v>10.1</v>
      </c>
      <c r="N14" s="395"/>
      <c r="O14" s="395">
        <v>31.54</v>
      </c>
      <c r="P14" s="402">
        <v>0.8</v>
      </c>
    </row>
    <row r="15" spans="1:16" ht="27.75" customHeight="1">
      <c r="F15" s="352"/>
    </row>
    <row r="16" spans="1:16" ht="14.25" customHeight="1">
      <c r="A16" s="19" t="s">
        <v>343</v>
      </c>
      <c r="F16" s="352"/>
    </row>
    <row r="17" spans="1:16">
      <c r="A17" s="273" t="str">
        <f>B30</f>
        <v>EUPVSOLRS01</v>
      </c>
      <c r="B17" s="47" t="s">
        <v>92</v>
      </c>
      <c r="C17" s="47"/>
      <c r="D17" s="47" t="s">
        <v>41</v>
      </c>
      <c r="E17" s="45"/>
      <c r="F17" s="351">
        <v>2020</v>
      </c>
      <c r="G17" s="69">
        <v>30</v>
      </c>
      <c r="H17" s="128">
        <v>0.9</v>
      </c>
      <c r="I17" s="128"/>
      <c r="J17" s="73">
        <f>J8</f>
        <v>659.64912280701765</v>
      </c>
      <c r="K17" s="73"/>
      <c r="L17" s="73">
        <f>L8</f>
        <v>215.78947368421055</v>
      </c>
      <c r="M17" s="95"/>
      <c r="N17" s="69"/>
      <c r="O17" s="204">
        <v>3.5999999999999999E-3</v>
      </c>
      <c r="P17" s="19" t="s">
        <v>325</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342</v>
      </c>
      <c r="B36" s="252" t="str">
        <f>"AUX_"&amp;B22</f>
        <v>AUX_RSDBATS01</v>
      </c>
      <c r="C36" s="287" t="str">
        <f>"Auxiliary input for "&amp;C22</f>
        <v>Auxiliary input for RSD - Battery (Lead-acid) ELC Storage: DayNite</v>
      </c>
      <c r="D36" s="252" t="s">
        <v>39</v>
      </c>
      <c r="E36" s="288" t="s">
        <v>328</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328</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328</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C1" zoomScaleNormal="100" workbookViewId="0">
      <selection activeCell="Q9" sqref="Q9"/>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c r="P4" s="52" t="s">
        <v>167</v>
      </c>
    </row>
    <row r="5" spans="1:21"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ELC_BulkEES!$B$84</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ELC_BulkEES!$B$84</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ELC_BulkEES!$B$84</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v>0.8</v>
      </c>
      <c r="I12" s="49"/>
      <c r="J12" s="49"/>
      <c r="K12" s="49"/>
      <c r="L12" s="49"/>
      <c r="M12" s="93">
        <v>6.09</v>
      </c>
      <c r="N12" s="49"/>
      <c r="O12" s="49">
        <v>31.54</v>
      </c>
      <c r="P12" s="378">
        <v>0.8</v>
      </c>
      <c r="U12" s="19">
        <f>M12*1.45</f>
        <v>8.8304999999999989</v>
      </c>
    </row>
    <row r="13" spans="1:21">
      <c r="A13" s="87" t="str">
        <f>B24</f>
        <v>P_COMBATS02</v>
      </c>
      <c r="B13" s="87" t="s">
        <v>264</v>
      </c>
      <c r="C13" s="88"/>
      <c r="D13" s="87" t="str">
        <f>B34</f>
        <v>AUX_COMBATS02</v>
      </c>
      <c r="E13" s="87"/>
      <c r="F13" s="350">
        <f>F8</f>
        <v>2020</v>
      </c>
      <c r="G13" s="89">
        <f>G8</f>
        <v>10</v>
      </c>
      <c r="H13" s="355">
        <v>0.8</v>
      </c>
      <c r="I13" s="89"/>
      <c r="J13" s="89"/>
      <c r="K13" s="89"/>
      <c r="L13" s="89"/>
      <c r="M13" s="94">
        <v>6.09</v>
      </c>
      <c r="N13" s="89"/>
      <c r="O13" s="89">
        <v>31.54</v>
      </c>
      <c r="P13" s="378">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v>0.8</v>
      </c>
      <c r="I14" s="69"/>
      <c r="J14" s="69"/>
      <c r="K14" s="69"/>
      <c r="L14" s="69"/>
      <c r="M14" s="95">
        <v>14.645</v>
      </c>
      <c r="N14" s="69"/>
      <c r="O14" s="69">
        <v>31.54</v>
      </c>
      <c r="P14" s="378">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342</v>
      </c>
      <c r="B33" s="252" t="str">
        <f>"AUX_"&amp;B20</f>
        <v>AUX_COMBATS01</v>
      </c>
      <c r="C33" s="287" t="str">
        <f>"Auxiliary input for "&amp;C20</f>
        <v>Auxiliary input for COM - Battery (Lead-acid) ELC Storage: DayNite</v>
      </c>
      <c r="D33" s="252" t="s">
        <v>39</v>
      </c>
      <c r="E33" s="288" t="s">
        <v>328</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328</v>
      </c>
      <c r="F34" s="269" t="s">
        <v>40</v>
      </c>
      <c r="G34" s="284"/>
      <c r="H34" s="284"/>
    </row>
    <row r="35" spans="1:8" ht="25.5">
      <c r="A35" s="265"/>
      <c r="B35" s="272" t="str">
        <f t="shared" si="3"/>
        <v>AUX_COMBATS03</v>
      </c>
      <c r="C35" s="326" t="str">
        <f t="shared" si="4"/>
        <v>Auxiliary input for COM - Battery (NaNiCl ZEBRA) ELC Storage: DayNite</v>
      </c>
      <c r="D35" s="272" t="s">
        <v>39</v>
      </c>
      <c r="E35" s="327" t="s">
        <v>328</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J14" sqref="J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386</v>
      </c>
      <c r="J4" s="347" t="s">
        <v>387</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391</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392</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386</v>
      </c>
      <c r="J4" s="1" t="s">
        <v>387</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392</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393</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394</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373</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abSelected="1" topLeftCell="B16" zoomScale="70" workbookViewId="0">
      <selection activeCell="D50" sqref="D50"/>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395</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334</v>
      </c>
      <c r="O3" s="229" t="s">
        <v>341</v>
      </c>
    </row>
    <row r="4" spans="1:15" ht="13.5" thickBot="1">
      <c r="B4" s="225"/>
      <c r="C4" s="225"/>
      <c r="D4" s="225"/>
      <c r="E4" s="225" t="s">
        <v>329</v>
      </c>
      <c r="F4" s="220"/>
      <c r="G4" s="220" t="s">
        <v>330</v>
      </c>
      <c r="H4" s="220" t="s">
        <v>331</v>
      </c>
      <c r="I4" s="220" t="s">
        <v>330</v>
      </c>
      <c r="J4" s="220" t="s">
        <v>173</v>
      </c>
      <c r="K4" s="231"/>
      <c r="L4" s="231"/>
      <c r="M4" s="230"/>
      <c r="N4" s="239"/>
      <c r="O4" s="239"/>
    </row>
    <row r="5" spans="1:15" s="364" customFormat="1" ht="30">
      <c r="B5" s="365" t="s">
        <v>373</v>
      </c>
      <c r="C5" s="366" t="s">
        <v>333</v>
      </c>
      <c r="D5" s="367" t="s">
        <v>41</v>
      </c>
      <c r="E5" s="368" t="s">
        <v>41</v>
      </c>
      <c r="F5" s="367">
        <v>0.96830000000000005</v>
      </c>
      <c r="G5" s="367">
        <v>1E-4</v>
      </c>
      <c r="H5" s="369">
        <v>2.64</v>
      </c>
      <c r="I5" s="367">
        <v>1.0000000000000001E-5</v>
      </c>
      <c r="J5" s="367">
        <v>31.536000000000001</v>
      </c>
      <c r="M5" s="370">
        <v>10</v>
      </c>
    </row>
    <row r="6" spans="1:15" s="239" customFormat="1" ht="15">
      <c r="A6" s="354"/>
      <c r="B6" s="242" t="s">
        <v>340</v>
      </c>
      <c r="C6" s="240" t="s">
        <v>339</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335</v>
      </c>
      <c r="C7" s="233" t="s">
        <v>336</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373</v>
      </c>
      <c r="C20" s="363" t="s">
        <v>332</v>
      </c>
      <c r="D20" s="363" t="s">
        <v>333</v>
      </c>
      <c r="E20" s="363" t="s">
        <v>39</v>
      </c>
      <c r="F20" s="363" t="s">
        <v>71</v>
      </c>
      <c r="G20" s="363" t="s">
        <v>40</v>
      </c>
      <c r="H20" s="363"/>
      <c r="I20" s="363"/>
    </row>
    <row r="21" spans="2:14" s="239" customFormat="1" ht="15">
      <c r="B21" s="295" t="s">
        <v>158</v>
      </c>
      <c r="C21" s="297" t="s">
        <v>340</v>
      </c>
      <c r="D21" s="296" t="s">
        <v>339</v>
      </c>
      <c r="E21" s="296" t="s">
        <v>39</v>
      </c>
      <c r="F21" s="296" t="s">
        <v>71</v>
      </c>
      <c r="G21" s="296" t="s">
        <v>40</v>
      </c>
      <c r="H21" s="316"/>
      <c r="I21" s="298"/>
    </row>
    <row r="22" spans="2:14">
      <c r="B22" s="295" t="s">
        <v>158</v>
      </c>
      <c r="C22" s="299" t="s">
        <v>335</v>
      </c>
      <c r="D22" s="298" t="s">
        <v>336</v>
      </c>
      <c r="E22" s="298" t="s">
        <v>39</v>
      </c>
      <c r="F22" s="298" t="s">
        <v>71</v>
      </c>
      <c r="G22" s="298" t="s">
        <v>40</v>
      </c>
      <c r="H22" s="298"/>
      <c r="I22" s="298"/>
    </row>
    <row r="23" spans="2:14" s="239" customFormat="1">
      <c r="B23" s="295" t="s">
        <v>158</v>
      </c>
      <c r="C23" s="299" t="s">
        <v>351</v>
      </c>
      <c r="D23" s="298" t="s">
        <v>349</v>
      </c>
      <c r="E23" s="298" t="s">
        <v>39</v>
      </c>
      <c r="F23" s="298" t="s">
        <v>71</v>
      </c>
      <c r="G23" s="298" t="s">
        <v>40</v>
      </c>
      <c r="H23" s="298"/>
      <c r="I23" s="298"/>
    </row>
    <row r="24" spans="2:14" s="239" customFormat="1">
      <c r="B24" s="295" t="s">
        <v>158</v>
      </c>
      <c r="C24" s="299" t="s">
        <v>374</v>
      </c>
      <c r="D24" s="295" t="s">
        <v>376</v>
      </c>
      <c r="E24" s="298" t="s">
        <v>39</v>
      </c>
      <c r="F24" s="298" t="s">
        <v>71</v>
      </c>
      <c r="G24" s="298" t="s">
        <v>40</v>
      </c>
      <c r="H24" s="298"/>
      <c r="I24" s="298"/>
    </row>
    <row r="25" spans="2:14" s="239" customFormat="1">
      <c r="B25" s="295" t="s">
        <v>158</v>
      </c>
      <c r="C25" s="299" t="s">
        <v>375</v>
      </c>
      <c r="D25" s="295" t="s">
        <v>377</v>
      </c>
      <c r="E25" s="298" t="s">
        <v>39</v>
      </c>
      <c r="F25" s="298" t="s">
        <v>71</v>
      </c>
      <c r="G25" s="298" t="s">
        <v>40</v>
      </c>
      <c r="H25" s="298"/>
      <c r="I25" s="298"/>
    </row>
    <row r="26" spans="2:14" s="239" customFormat="1">
      <c r="B26" s="295" t="s">
        <v>158</v>
      </c>
      <c r="C26" s="299" t="s">
        <v>352</v>
      </c>
      <c r="D26" s="298" t="s">
        <v>350</v>
      </c>
      <c r="E26" s="298" t="s">
        <v>39</v>
      </c>
      <c r="F26" s="298" t="s">
        <v>71</v>
      </c>
      <c r="G26" s="298" t="s">
        <v>40</v>
      </c>
      <c r="H26" s="298"/>
      <c r="I26" s="298"/>
    </row>
    <row r="27" spans="2:14" s="239" customFormat="1">
      <c r="B27" s="295" t="s">
        <v>158</v>
      </c>
      <c r="C27" s="299" t="s">
        <v>362</v>
      </c>
      <c r="D27" s="298" t="s">
        <v>364</v>
      </c>
      <c r="E27" s="298" t="s">
        <v>39</v>
      </c>
      <c r="F27" s="298" t="s">
        <v>71</v>
      </c>
      <c r="G27" s="298" t="s">
        <v>40</v>
      </c>
      <c r="H27" s="298"/>
      <c r="I27" s="298"/>
    </row>
    <row r="28" spans="2:14" s="239" customFormat="1">
      <c r="B28" s="295" t="s">
        <v>158</v>
      </c>
      <c r="C28" s="299" t="s">
        <v>382</v>
      </c>
      <c r="D28" s="298" t="s">
        <v>383</v>
      </c>
      <c r="E28" s="298" t="s">
        <v>39</v>
      </c>
      <c r="F28" s="298" t="s">
        <v>71</v>
      </c>
      <c r="G28" s="298" t="s">
        <v>40</v>
      </c>
      <c r="H28" s="298"/>
      <c r="I28" s="298"/>
    </row>
    <row r="29" spans="2:14" s="239" customFormat="1">
      <c r="B29" s="295" t="s">
        <v>158</v>
      </c>
      <c r="C29" s="299" t="s">
        <v>363</v>
      </c>
      <c r="D29" s="298" t="s">
        <v>361</v>
      </c>
      <c r="E29" s="298" t="s">
        <v>39</v>
      </c>
      <c r="F29" s="298" t="s">
        <v>71</v>
      </c>
      <c r="G29" s="298" t="s">
        <v>40</v>
      </c>
      <c r="H29" s="298"/>
      <c r="I29" s="298"/>
    </row>
    <row r="30" spans="2:14" s="239" customFormat="1">
      <c r="B30" s="295" t="s">
        <v>158</v>
      </c>
      <c r="C30" s="299" t="s">
        <v>367</v>
      </c>
      <c r="D30" s="298" t="s">
        <v>368</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337</v>
      </c>
      <c r="D34" s="299" t="s">
        <v>338</v>
      </c>
      <c r="E34" s="299" t="s">
        <v>39</v>
      </c>
      <c r="F34" s="304"/>
      <c r="G34" s="304"/>
      <c r="H34" s="304"/>
      <c r="I34" s="304"/>
    </row>
    <row r="35" spans="2:9" s="239" customFormat="1">
      <c r="B35" s="303" t="s">
        <v>83</v>
      </c>
      <c r="C35" s="299" t="s">
        <v>353</v>
      </c>
      <c r="D35" s="299" t="s">
        <v>355</v>
      </c>
      <c r="E35" s="299" t="s">
        <v>39</v>
      </c>
      <c r="F35" s="304"/>
      <c r="G35" s="304"/>
      <c r="H35" s="304"/>
      <c r="I35" s="304"/>
    </row>
    <row r="36" spans="2:9" s="239" customFormat="1">
      <c r="B36" s="303" t="s">
        <v>83</v>
      </c>
      <c r="C36" s="299" t="s">
        <v>378</v>
      </c>
      <c r="D36" s="299" t="s">
        <v>380</v>
      </c>
      <c r="E36" s="299" t="s">
        <v>39</v>
      </c>
      <c r="F36" s="304"/>
      <c r="G36" s="304"/>
      <c r="H36" s="304"/>
      <c r="I36" s="304"/>
    </row>
    <row r="37" spans="2:9" s="239" customFormat="1">
      <c r="B37" s="303" t="s">
        <v>83</v>
      </c>
      <c r="C37" s="299" t="s">
        <v>379</v>
      </c>
      <c r="D37" s="299" t="s">
        <v>381</v>
      </c>
      <c r="E37" s="299" t="s">
        <v>39</v>
      </c>
      <c r="F37" s="304"/>
      <c r="G37" s="304"/>
      <c r="H37" s="304"/>
      <c r="I37" s="304"/>
    </row>
    <row r="38" spans="2:9" s="239" customFormat="1">
      <c r="B38" s="303" t="s">
        <v>83</v>
      </c>
      <c r="C38" s="299" t="s">
        <v>354</v>
      </c>
      <c r="D38" s="299" t="s">
        <v>356</v>
      </c>
      <c r="E38" s="299" t="s">
        <v>39</v>
      </c>
      <c r="F38" s="304"/>
      <c r="G38" s="304"/>
      <c r="H38" s="304"/>
      <c r="I38" s="304"/>
    </row>
    <row r="39" spans="2:9" s="239" customFormat="1">
      <c r="B39" s="303" t="s">
        <v>83</v>
      </c>
      <c r="C39" s="299" t="s">
        <v>357</v>
      </c>
      <c r="D39" s="299" t="s">
        <v>359</v>
      </c>
      <c r="E39" s="299" t="s">
        <v>39</v>
      </c>
      <c r="F39" s="304"/>
      <c r="G39" s="304"/>
      <c r="H39" s="304"/>
      <c r="I39" s="304"/>
    </row>
    <row r="40" spans="2:9" s="239" customFormat="1">
      <c r="B40" s="303" t="s">
        <v>83</v>
      </c>
      <c r="C40" s="299" t="s">
        <v>384</v>
      </c>
      <c r="D40" s="299" t="s">
        <v>385</v>
      </c>
      <c r="E40" s="299" t="s">
        <v>39</v>
      </c>
      <c r="F40" s="304"/>
      <c r="G40" s="304"/>
      <c r="H40" s="304"/>
      <c r="I40" s="304"/>
    </row>
    <row r="41" spans="2:9" s="239" customFormat="1">
      <c r="B41" s="303" t="s">
        <v>83</v>
      </c>
      <c r="C41" s="299" t="s">
        <v>358</v>
      </c>
      <c r="D41" s="299" t="s">
        <v>360</v>
      </c>
      <c r="E41" s="299" t="s">
        <v>39</v>
      </c>
      <c r="F41" s="304"/>
      <c r="G41" s="304"/>
      <c r="H41" s="304"/>
      <c r="I41" s="304"/>
    </row>
    <row r="42" spans="2:9" s="239" customFormat="1">
      <c r="B42" s="303" t="s">
        <v>83</v>
      </c>
      <c r="C42" s="299" t="s">
        <v>365</v>
      </c>
      <c r="D42" s="299" t="s">
        <v>366</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326</v>
      </c>
      <c r="J1" s="54" t="s">
        <v>250</v>
      </c>
      <c r="K1" s="54" t="s">
        <v>106</v>
      </c>
      <c r="L1" s="54" t="s">
        <v>107</v>
      </c>
      <c r="M1" s="54" t="s">
        <v>108</v>
      </c>
      <c r="N1" s="54" t="s">
        <v>109</v>
      </c>
      <c r="O1" s="54" t="s">
        <v>110</v>
      </c>
      <c r="P1" s="403" t="s">
        <v>49</v>
      </c>
      <c r="Q1" s="403"/>
      <c r="R1" s="154" t="s">
        <v>111</v>
      </c>
      <c r="S1" s="3" t="s">
        <v>50</v>
      </c>
      <c r="T1" s="3" t="s">
        <v>51</v>
      </c>
      <c r="U1" s="404" t="s">
        <v>207</v>
      </c>
      <c r="V1" s="404"/>
      <c r="W1" s="404"/>
      <c r="X1" s="404"/>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344</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347</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346</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346</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03" t="s">
        <v>49</v>
      </c>
      <c r="Q24" s="403"/>
      <c r="R24" s="154" t="s">
        <v>111</v>
      </c>
      <c r="S24" s="3" t="s">
        <v>50</v>
      </c>
      <c r="T24" s="3" t="s">
        <v>51</v>
      </c>
      <c r="U24" s="404" t="s">
        <v>207</v>
      </c>
      <c r="V24" s="404"/>
      <c r="W24" s="404"/>
      <c r="X24" s="404"/>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2024-02-19T22:11:00Z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