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"/>
    </mc:Choice>
  </mc:AlternateContent>
  <xr:revisionPtr revIDLastSave="113" documentId="13_ncr:1_{68CB659D-FC65-4C87-A3F8-59E69D69EBDD}" xr6:coauthVersionLast="47" xr6:coauthVersionMax="47" xr10:uidLastSave="{0D2A04D2-57F6-4337-BCDE-A197AFD3920F}"/>
  <bookViews>
    <workbookView xWindow="-120" yWindow="-120" windowWidth="29040" windowHeight="16440" xr2:uid="{00000000-000D-0000-FFFF-FFFF00000000}"/>
  </bookViews>
  <sheets>
    <sheet name="ELC_ExistingStock" sheetId="4" r:id="rId1"/>
    <sheet name="FuelTech" sheetId="6" r:id="rId2"/>
    <sheet name="Emissions" sheetId="2" r:id="rId3"/>
    <sheet name="Dist He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17" i="4" l="1"/>
  <c r="P117" i="4"/>
  <c r="Q117" i="4"/>
  <c r="R117" i="4"/>
  <c r="S117" i="4"/>
  <c r="T117" i="4"/>
  <c r="N117" i="4"/>
  <c r="N113" i="4"/>
  <c r="O113" i="4"/>
  <c r="P113" i="4"/>
  <c r="Q113" i="4"/>
  <c r="R113" i="4"/>
  <c r="S113" i="4"/>
  <c r="T113" i="4"/>
  <c r="N114" i="4"/>
  <c r="O114" i="4"/>
  <c r="P114" i="4"/>
  <c r="Q114" i="4"/>
  <c r="R114" i="4"/>
  <c r="S114" i="4"/>
  <c r="T114" i="4"/>
  <c r="N115" i="4"/>
  <c r="O115" i="4"/>
  <c r="P115" i="4"/>
  <c r="Q115" i="4"/>
  <c r="R115" i="4"/>
  <c r="S115" i="4"/>
  <c r="T115" i="4"/>
  <c r="N116" i="4"/>
  <c r="O116" i="4"/>
  <c r="P116" i="4"/>
  <c r="Q116" i="4"/>
  <c r="R116" i="4"/>
  <c r="S116" i="4"/>
  <c r="T116" i="4"/>
  <c r="O112" i="4"/>
  <c r="P112" i="4"/>
  <c r="Q112" i="4"/>
  <c r="R112" i="4"/>
  <c r="S112" i="4"/>
  <c r="T112" i="4"/>
  <c r="N112" i="4"/>
  <c r="N104" i="4"/>
  <c r="N105" i="4" s="1"/>
  <c r="N106" i="4" s="1"/>
  <c r="O104" i="4"/>
  <c r="O105" i="4" s="1"/>
  <c r="O106" i="4" s="1"/>
  <c r="P104" i="4"/>
  <c r="Q104" i="4"/>
  <c r="R104" i="4"/>
  <c r="S104" i="4"/>
  <c r="T104" i="4"/>
  <c r="P105" i="4"/>
  <c r="Q105" i="4"/>
  <c r="R105" i="4"/>
  <c r="S105" i="4"/>
  <c r="T105" i="4"/>
  <c r="P106" i="4"/>
  <c r="Q106" i="4"/>
  <c r="R106" i="4"/>
  <c r="S106" i="4"/>
  <c r="T106" i="4"/>
  <c r="O103" i="4"/>
  <c r="P103" i="4"/>
  <c r="Q103" i="4"/>
  <c r="R103" i="4"/>
  <c r="S103" i="4"/>
  <c r="T103" i="4"/>
  <c r="N103" i="4"/>
  <c r="O102" i="4"/>
  <c r="P102" i="4"/>
  <c r="Q102" i="4"/>
  <c r="R102" i="4"/>
  <c r="S102" i="4"/>
  <c r="T102" i="4"/>
  <c r="N102" i="4"/>
  <c r="T101" i="4"/>
  <c r="S101" i="4"/>
  <c r="R101" i="4"/>
  <c r="Q101" i="4"/>
  <c r="P101" i="4"/>
  <c r="O101" i="4"/>
  <c r="N101" i="4"/>
  <c r="V100" i="4"/>
  <c r="O109" i="4"/>
  <c r="P109" i="4"/>
  <c r="Q109" i="4"/>
  <c r="R109" i="4"/>
  <c r="S109" i="4"/>
  <c r="T109" i="4"/>
  <c r="O110" i="4"/>
  <c r="P110" i="4"/>
  <c r="Q110" i="4"/>
  <c r="R110" i="4"/>
  <c r="S110" i="4"/>
  <c r="T110" i="4"/>
  <c r="N110" i="4"/>
  <c r="N109" i="4"/>
  <c r="O100" i="4"/>
  <c r="P100" i="4"/>
  <c r="Q100" i="4"/>
  <c r="R100" i="4"/>
  <c r="S100" i="4"/>
  <c r="T100" i="4"/>
  <c r="N100" i="4"/>
  <c r="X153" i="4"/>
  <c r="W153" i="4"/>
  <c r="V153" i="4"/>
  <c r="U153" i="4"/>
  <c r="T153" i="4"/>
  <c r="R153" i="4"/>
  <c r="P175" i="4"/>
  <c r="P174" i="4"/>
  <c r="P173" i="4"/>
  <c r="P172" i="4"/>
  <c r="P169" i="4"/>
  <c r="P168" i="4"/>
  <c r="P167" i="4"/>
  <c r="P166" i="4"/>
  <c r="P165" i="4"/>
  <c r="P164" i="4"/>
  <c r="P163" i="4"/>
  <c r="P162" i="4"/>
  <c r="P161" i="4"/>
  <c r="P160" i="4"/>
  <c r="P159" i="4"/>
  <c r="P158" i="4"/>
  <c r="P154" i="4"/>
  <c r="P153" i="4"/>
  <c r="R111" i="4"/>
  <c r="S111" i="4"/>
  <c r="O108" i="4"/>
  <c r="P108" i="4"/>
  <c r="Q108" i="4"/>
  <c r="R108" i="4"/>
  <c r="S108" i="4"/>
  <c r="T108" i="4"/>
  <c r="N108" i="4"/>
  <c r="O107" i="4"/>
  <c r="P107" i="4"/>
  <c r="Q107" i="4"/>
  <c r="R107" i="4"/>
  <c r="S107" i="4"/>
  <c r="T107" i="4"/>
  <c r="N107" i="4"/>
  <c r="O99" i="4"/>
  <c r="P99" i="4"/>
  <c r="Q99" i="4"/>
  <c r="R99" i="4"/>
  <c r="S99" i="4"/>
  <c r="T99" i="4"/>
  <c r="N99" i="4"/>
  <c r="T133" i="4"/>
  <c r="S133" i="4"/>
  <c r="R133" i="4"/>
  <c r="Q133" i="4"/>
  <c r="P133" i="4"/>
  <c r="O133" i="4"/>
  <c r="N133" i="4"/>
  <c r="B13" i="4"/>
  <c r="P49" i="3"/>
  <c r="O49" i="3"/>
  <c r="N49" i="3"/>
  <c r="M49" i="3"/>
  <c r="L49" i="3"/>
  <c r="K49" i="3"/>
  <c r="J49" i="3"/>
  <c r="P42" i="3"/>
  <c r="O42" i="3"/>
  <c r="N42" i="3"/>
  <c r="M42" i="3"/>
  <c r="L42" i="3"/>
  <c r="K42" i="3"/>
  <c r="J42" i="3"/>
  <c r="P35" i="3"/>
  <c r="O35" i="3"/>
  <c r="N35" i="3"/>
  <c r="M35" i="3"/>
  <c r="L35" i="3"/>
  <c r="K35" i="3"/>
  <c r="J35" i="3"/>
  <c r="P28" i="3"/>
  <c r="Y28" i="3" s="1"/>
  <c r="O28" i="3"/>
  <c r="N28" i="3"/>
  <c r="M28" i="3"/>
  <c r="L28" i="3"/>
  <c r="K28" i="3"/>
  <c r="J28" i="3"/>
  <c r="N21" i="3"/>
  <c r="W21" i="3" s="1"/>
  <c r="P21" i="3"/>
  <c r="Y21" i="3" s="1"/>
  <c r="L21" i="3"/>
  <c r="U21" i="3" s="1"/>
  <c r="K21" i="3"/>
  <c r="T21" i="3" s="1"/>
  <c r="J21" i="3"/>
  <c r="S21" i="3" s="1"/>
  <c r="X28" i="3"/>
  <c r="W28" i="3"/>
  <c r="V28" i="3"/>
  <c r="U28" i="3"/>
  <c r="T28" i="3"/>
  <c r="S28" i="3"/>
  <c r="O21" i="3"/>
  <c r="X21" i="3" s="1"/>
  <c r="M21" i="3"/>
  <c r="V21" i="3" s="1"/>
  <c r="I24" i="4"/>
  <c r="I11" i="4"/>
  <c r="I25" i="4"/>
  <c r="B4" i="3"/>
  <c r="E49" i="3"/>
  <c r="E50" i="3" s="1"/>
  <c r="E51" i="3" s="1"/>
  <c r="E52" i="3" s="1"/>
  <c r="E53" i="3" s="1"/>
  <c r="E54" i="3" s="1"/>
  <c r="E55" i="3" s="1"/>
  <c r="E42" i="3"/>
  <c r="E43" i="3" s="1"/>
  <c r="E44" i="3" s="1"/>
  <c r="E45" i="3" s="1"/>
  <c r="E46" i="3" s="1"/>
  <c r="E47" i="3" s="1"/>
  <c r="E48" i="3" s="1"/>
  <c r="E35" i="3"/>
  <c r="E36" i="3" s="1"/>
  <c r="E37" i="3" s="1"/>
  <c r="E38" i="3" s="1"/>
  <c r="E39" i="3" s="1"/>
  <c r="E40" i="3" s="1"/>
  <c r="E41" i="3" s="1"/>
  <c r="E28" i="3"/>
  <c r="E29" i="3" s="1"/>
  <c r="E30" i="3" s="1"/>
  <c r="E31" i="3" s="1"/>
  <c r="E32" i="3" s="1"/>
  <c r="E33" i="3" s="1"/>
  <c r="E34" i="3" s="1"/>
  <c r="E21" i="3"/>
  <c r="E22" i="3" s="1"/>
  <c r="E23" i="3" s="1"/>
  <c r="E24" i="3" s="1"/>
  <c r="E25" i="3" s="1"/>
  <c r="E26" i="3" s="1"/>
  <c r="E27" i="3" s="1"/>
  <c r="R27" i="4" l="1"/>
  <c r="I27" i="4"/>
  <c r="B27" i="4"/>
  <c r="R26" i="4" l="1"/>
  <c r="R25" i="4"/>
  <c r="C16" i="6" l="1"/>
  <c r="L16" i="6" s="1"/>
  <c r="C15" i="6"/>
  <c r="L15" i="6" s="1"/>
  <c r="R30" i="4" l="1"/>
  <c r="B30" i="4"/>
  <c r="L24" i="6" l="1"/>
  <c r="C21" i="6"/>
  <c r="C20" i="6"/>
  <c r="C19" i="6"/>
  <c r="I6" i="4"/>
  <c r="I7" i="4"/>
  <c r="I18" i="4"/>
  <c r="I19" i="4"/>
  <c r="I23" i="4"/>
  <c r="I26" i="4"/>
  <c r="C14" i="6"/>
  <c r="L14" i="6" s="1"/>
  <c r="C13" i="6"/>
  <c r="L13" i="6" s="1"/>
  <c r="C12" i="6"/>
  <c r="L12" i="6" s="1"/>
  <c r="C11" i="6"/>
  <c r="L11" i="6" s="1"/>
  <c r="C10" i="6"/>
  <c r="L10" i="6" s="1"/>
  <c r="C9" i="6"/>
  <c r="L9" i="6" s="1"/>
  <c r="C8" i="6"/>
  <c r="L8" i="6" s="1"/>
  <c r="C7" i="6"/>
  <c r="L7" i="6" s="1"/>
  <c r="C6" i="6"/>
  <c r="L6" i="6" s="1"/>
  <c r="C5" i="6"/>
  <c r="L5" i="6" s="1"/>
  <c r="Z9" i="4"/>
  <c r="B29" i="4"/>
  <c r="B28" i="4"/>
  <c r="Z4" i="4"/>
  <c r="Z5" i="4"/>
  <c r="Z6" i="4"/>
  <c r="Z8" i="4"/>
  <c r="Z3" i="4"/>
  <c r="B26" i="4"/>
  <c r="B24" i="4"/>
  <c r="R24" i="4"/>
  <c r="B25" i="4"/>
  <c r="R23" i="4"/>
  <c r="B23" i="4"/>
  <c r="R22" i="4"/>
  <c r="B22" i="4"/>
  <c r="R21" i="4"/>
  <c r="B21" i="4"/>
  <c r="R20" i="4"/>
  <c r="B20" i="4"/>
  <c r="R19" i="4"/>
  <c r="B19" i="4"/>
  <c r="R18" i="4"/>
  <c r="B18" i="4"/>
  <c r="R17" i="4"/>
  <c r="B17" i="4"/>
  <c r="R16" i="4"/>
  <c r="B16" i="4"/>
  <c r="R15" i="4"/>
  <c r="B15" i="4"/>
  <c r="R14" i="4"/>
  <c r="B14" i="4"/>
  <c r="R13" i="4"/>
  <c r="R12" i="4"/>
  <c r="B12" i="4"/>
  <c r="R11" i="4"/>
  <c r="B11" i="4"/>
  <c r="R10" i="4"/>
  <c r="B10" i="4"/>
  <c r="R9" i="4"/>
  <c r="B9" i="4"/>
  <c r="R8" i="4"/>
  <c r="B8" i="4"/>
  <c r="R7" i="4"/>
  <c r="B7" i="4"/>
  <c r="R6" i="4"/>
  <c r="B6" i="4"/>
  <c r="R5" i="4"/>
  <c r="B5" i="4"/>
  <c r="R4" i="4"/>
  <c r="B4" i="4"/>
  <c r="R3" i="4"/>
  <c r="B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ese-veda01</author>
  </authors>
  <commentList>
    <comment ref="H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ese-veda01:</t>
        </r>
        <r>
          <rPr>
            <sz val="9"/>
            <color indexed="81"/>
            <rFont val="Tahoma"/>
            <family val="2"/>
          </rPr>
          <t xml:space="preserve">
To prohibit investment in existing stock</t>
        </r>
      </text>
    </comment>
  </commentList>
</comments>
</file>

<file path=xl/sharedStrings.xml><?xml version="1.0" encoding="utf-8"?>
<sst xmlns="http://schemas.openxmlformats.org/spreadsheetml/2006/main" count="709" uniqueCount="252">
  <si>
    <t>~FI_T</t>
  </si>
  <si>
    <t>~FI_Process</t>
  </si>
  <si>
    <t>TechName</t>
  </si>
  <si>
    <t>Comm-IN</t>
  </si>
  <si>
    <t>Comm-OUT</t>
  </si>
  <si>
    <t>ELIFE</t>
  </si>
  <si>
    <t>EFF</t>
  </si>
  <si>
    <t>CHPR~FX</t>
  </si>
  <si>
    <t>Sets</t>
  </si>
  <si>
    <t>TechDesc</t>
  </si>
  <si>
    <t>Tact</t>
  </si>
  <si>
    <t>Tcap</t>
  </si>
  <si>
    <t>Tslvl</t>
  </si>
  <si>
    <t>Vintage</t>
  </si>
  <si>
    <t>CHP</t>
  </si>
  <si>
    <t>ECHP_biomass_thermal</t>
  </si>
  <si>
    <t>PJ</t>
  </si>
  <si>
    <t>GW</t>
  </si>
  <si>
    <t>DAYNITE</t>
  </si>
  <si>
    <t>YES</t>
  </si>
  <si>
    <t>ELCCOH</t>
  </si>
  <si>
    <t>SEASON</t>
  </si>
  <si>
    <t>ECHP_coal_thermal</t>
  </si>
  <si>
    <t>ELCHFO</t>
  </si>
  <si>
    <t>ECHP_HFO_thermal</t>
  </si>
  <si>
    <t>ELCDST</t>
  </si>
  <si>
    <t>ECHP_LFO_thermal</t>
  </si>
  <si>
    <t>ELCCOL</t>
  </si>
  <si>
    <t>ECHP_lignite_thermal</t>
  </si>
  <si>
    <t>ELCGAS</t>
  </si>
  <si>
    <t>ECHP_naturalgas_CCGT</t>
  </si>
  <si>
    <t>ECHP_naturalgas_OCGT</t>
  </si>
  <si>
    <t>ECHP_naturalgas_thermal</t>
  </si>
  <si>
    <t>ELCSOL</t>
  </si>
  <si>
    <t>ECHP_PV</t>
  </si>
  <si>
    <t>ELCHIG</t>
  </si>
  <si>
    <t>ELE</t>
  </si>
  <si>
    <t>EEPP_biomass_CCGT</t>
  </si>
  <si>
    <t>EEPP_biomass_thermal</t>
  </si>
  <si>
    <t>EEPP_coal_CCGT</t>
  </si>
  <si>
    <t>EEPP_coal_thermal</t>
  </si>
  <si>
    <t>ELCGEO</t>
  </si>
  <si>
    <t>EEPP_geothermal</t>
  </si>
  <si>
    <t>EEPP_HFO_thermal</t>
  </si>
  <si>
    <t>EEPP_LFO_thermal</t>
  </si>
  <si>
    <t>EEPP_lignite_thermal</t>
  </si>
  <si>
    <t>EEPP_naturalgas_CCGT</t>
  </si>
  <si>
    <t>EEPP_naturalgas_OCGT</t>
  </si>
  <si>
    <t>EEPP_naturalgas_thermal</t>
  </si>
  <si>
    <t>EEPP_PV</t>
  </si>
  <si>
    <t>ELCWIN</t>
  </si>
  <si>
    <t>ELCWOO</t>
  </si>
  <si>
    <t>FIXOM</t>
  </si>
  <si>
    <t>AFA</t>
  </si>
  <si>
    <t>LIFE</t>
  </si>
  <si>
    <t>Attribute</t>
  </si>
  <si>
    <t>FOMX</t>
  </si>
  <si>
    <t>EFFX</t>
  </si>
  <si>
    <t>EEPP_CSP</t>
  </si>
  <si>
    <t>EEPP_windOFF</t>
  </si>
  <si>
    <t>EEPP_windON</t>
  </si>
  <si>
    <t>HETHTH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</si>
  <si>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</si>
  <si>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</si>
  <si>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</si>
  <si>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</si>
  <si>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</si>
  <si>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</si>
  <si>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</si>
  <si>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</si>
  <si>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</si>
  <si>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ELC</t>
  </si>
  <si>
    <t>LTHEAT</t>
  </si>
  <si>
    <t>EUHYDDAM00</t>
  </si>
  <si>
    <t>EUHYDRUN00</t>
  </si>
  <si>
    <t>Existing Hydro Dams</t>
  </si>
  <si>
    <t>Existing Run-of-river hydro</t>
  </si>
  <si>
    <t>ELCHYD</t>
  </si>
  <si>
    <t>PrimaryCG</t>
  </si>
  <si>
    <t>PRE</t>
  </si>
  <si>
    <t>PJa</t>
  </si>
  <si>
    <t>COAHAR</t>
  </si>
  <si>
    <t>OILDST</t>
  </si>
  <si>
    <t>GASNAT</t>
  </si>
  <si>
    <t>RENGEO</t>
  </si>
  <si>
    <t>OILHFO</t>
  </si>
  <si>
    <t>RENSOL</t>
  </si>
  <si>
    <t>COALIG</t>
  </si>
  <si>
    <t>RENHYD</t>
  </si>
  <si>
    <t>RENWIN</t>
  </si>
  <si>
    <t>ANNUAL</t>
  </si>
  <si>
    <t>Electricity - High Voltage WITHOUT grid costs</t>
  </si>
  <si>
    <t>EVTRANS_H-H</t>
  </si>
  <si>
    <t>EVTRANS_H-M</t>
  </si>
  <si>
    <t>EVTRANS_M-L</t>
  </si>
  <si>
    <t>Grid High Voltage</t>
  </si>
  <si>
    <t>Grid medium Voltage and Voltage Transformer: High to Medium</t>
  </si>
  <si>
    <t>Grid low Voltage and Voltage Transformer: Medium to Low</t>
  </si>
  <si>
    <t>Cap2ACT</t>
  </si>
  <si>
    <t>~COMEMI</t>
  </si>
  <si>
    <t>ELCOIL</t>
  </si>
  <si>
    <t>ELCRFG</t>
  </si>
  <si>
    <t>ELCDGS</t>
  </si>
  <si>
    <t>ELCBGS</t>
  </si>
  <si>
    <t>ELCMUN</t>
  </si>
  <si>
    <t>ELCSLU</t>
  </si>
  <si>
    <t>ELCCO2N</t>
  </si>
  <si>
    <t>BIOGAS</t>
  </si>
  <si>
    <t>MovedToSysSettings</t>
  </si>
  <si>
    <t>ELE,STS</t>
  </si>
  <si>
    <t>EEPP_HYDPS</t>
  </si>
  <si>
    <t>BIOMUN</t>
  </si>
  <si>
    <t>BIOSLU</t>
  </si>
  <si>
    <t>AL</t>
  </si>
  <si>
    <t>AT</t>
  </si>
  <si>
    <t>EEHP_DistHeating</t>
  </si>
  <si>
    <t>Year</t>
  </si>
  <si>
    <t>HPL</t>
  </si>
  <si>
    <t>Existing Dist Heating Stock</t>
  </si>
  <si>
    <t>Fuel Tech - Hard Coal (ELC)</t>
  </si>
  <si>
    <t>Fuel Tech - Lignite (ELC)</t>
  </si>
  <si>
    <t>Fuel Tech - Diesel (ELC)</t>
  </si>
  <si>
    <t>Fuel Tech - Natural Gas  (ELC)</t>
  </si>
  <si>
    <t>Fuel Tech - Geothermal  (ELC)</t>
  </si>
  <si>
    <t>Fuel Tech - Heavy Fuel Oil  (ELC)</t>
  </si>
  <si>
    <t>Fuel Tech - Hydro (ELC)</t>
  </si>
  <si>
    <t>Fuel Tech - Solar  (ELC)</t>
  </si>
  <si>
    <t>Fuel Tech - Wind (ELC)</t>
  </si>
  <si>
    <t>Fuel Tech - Biomass (ELC)</t>
  </si>
  <si>
    <t>Fuel Tech - Biogas (ELC)</t>
  </si>
  <si>
    <t>Fuel Tech - Municipal Solid Waste (ELC)</t>
  </si>
  <si>
    <t>Fuel Tech - Sludge (ELC)</t>
  </si>
  <si>
    <t>EVTRANS_L-M</t>
  </si>
  <si>
    <t>Grid low Voltage and Voltage Transformer: Low to Medium</t>
  </si>
  <si>
    <t>Existing pumped storage was moved to non-EEpp processes</t>
  </si>
  <si>
    <t>EEPP_OCE</t>
  </si>
  <si>
    <t>ELCTID</t>
  </si>
  <si>
    <t>Used for FOMX</t>
  </si>
  <si>
    <t>NCAP_BND~UP~0</t>
  </si>
  <si>
    <t>ELC,HETHTH</t>
  </si>
  <si>
    <t>QU</t>
  </si>
  <si>
    <t>ON</t>
  </si>
  <si>
    <t>MA</t>
  </si>
  <si>
    <t>SA</t>
  </si>
  <si>
    <t>BC</t>
  </si>
  <si>
    <t>*</t>
  </si>
  <si>
    <t>WOOD</t>
  </si>
  <si>
    <t>CAP2ACT</t>
  </si>
  <si>
    <t>~FI_T: Share-I~UP</t>
  </si>
  <si>
    <t>LO</t>
  </si>
  <si>
    <t>PASTI</t>
  </si>
  <si>
    <t>NCAP_BND</t>
  </si>
  <si>
    <t>*average</t>
  </si>
  <si>
    <t>*No peak contribute here, compared with Demo</t>
  </si>
  <si>
    <t>*The EU defines in By-trans that all E* CAP2ACT is 31.536, but we only defined EL* as 31.536, (and we have deleted it in By_trans yet) so we complementarily defined it here</t>
  </si>
  <si>
    <t>*ELIFE is set as the half of LIFE for hydropower ,follwing the proportion of EU-TIMES</t>
  </si>
  <si>
    <t>*in base-year file, you don.t need to define the invescost because it was forbidened here</t>
  </si>
  <si>
    <t>*here the FOMX we think same as VAROM, but the unit is CAD/MWh, we not sure about this point</t>
  </si>
  <si>
    <t>*assumes same parameters for natural gas ccgt and ocgt</t>
  </si>
  <si>
    <t>*assumes same parameters for echp and eepp</t>
  </si>
  <si>
    <t>*assumes same parameters for concentrated solar and PV</t>
  </si>
  <si>
    <t>*delete ACT_BND because it makes the running unsolvable</t>
  </si>
  <si>
    <t>* all of the fixed operation cost unit is Meur/GW or Meur/PJ while for VAROM in Demos; while in NATEM it was CAD/kW, which is the same unit; the EU-TIMES same too</t>
  </si>
  <si>
    <t>*geothermal could live 200 years</t>
  </si>
  <si>
    <t>*Most cost (investment cost, fixed operation cost, variable operation cost) refers the NATEM because this part is open, and the lacking data we referred EU-TIMES</t>
  </si>
  <si>
    <t>STOCK</t>
  </si>
  <si>
    <t>Pset_PN</t>
  </si>
  <si>
    <t>AllRegions</t>
  </si>
  <si>
    <t>Canada's Bioenergy Installed Generating Capacity, by Province (2014, in megawatts)</t>
  </si>
  <si>
    <t>Provinces</t>
  </si>
  <si>
    <t>Total biomass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</si>
  <si>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</si>
  <si>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</si>
  <si>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</si>
  <si>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</si>
  <si>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</si>
  <si>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</si>
  <si>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</si>
  <si>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</si>
  <si>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</si>
  <si>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</t>
  </si>
  <si>
    <t>Canada</t>
  </si>
  <si>
    <t>About Renewable Energy (canada.ca)</t>
  </si>
  <si>
    <t>*Provincial biomass capacities</t>
  </si>
  <si>
    <t>*https://en.wikipedia.org/wiki/Geothermal_power_in_Canada</t>
  </si>
  <si>
    <t>Province</t>
  </si>
  <si>
    <t>Plant</t>
  </si>
  <si>
    <t>Operator</t>
  </si>
  <si>
    <t>Capacity</t>
  </si>
  <si>
    <t>Year Built</t>
  </si>
  <si>
    <t>Year Retired</t>
  </si>
  <si>
    <t>Battle River power station</t>
  </si>
  <si>
    <t>Atco Power</t>
  </si>
  <si>
    <t>165, 165, 405</t>
  </si>
  <si>
    <t>Genesee 3</t>
  </si>
  <si>
    <t>Capital Power Corporation</t>
  </si>
  <si>
    <t>430, 430, 450</t>
  </si>
  <si>
    <t>1989-2005</t>
  </si>
  <si>
    <t>H.R. Milner power station</t>
  </si>
  <si>
    <t>Maxim Power Corp</t>
  </si>
  <si>
    <t>Keephills</t>
  </si>
  <si>
    <t>TransAlta</t>
  </si>
  <si>
    <t>400, 400</t>
  </si>
  <si>
    <t>1983-1984</t>
  </si>
  <si>
    <t>Sheerness</t>
  </si>
  <si>
    <t>1986-1990</t>
  </si>
  <si>
    <t>Sundance</t>
  </si>
  <si>
    <t>304, 304, 380, 380, 380, 433</t>
  </si>
  <si>
    <t>1970-1980</t>
  </si>
  <si>
    <t>Wabamun Generating Station</t>
  </si>
  <si>
    <t>66, 66, 159, 279</t>
  </si>
  <si>
    <t>1958-1967</t>
  </si>
  <si>
    <t>2002-2004,2010</t>
  </si>
  <si>
    <t>Brandon Generating Station</t>
  </si>
  <si>
    <t>Manitoba Hydro</t>
  </si>
  <si>
    <t>33, 33, 33, 33, 33, 105</t>
  </si>
  <si>
    <t>1958-1969</t>
  </si>
  <si>
    <t>Belledune power station</t>
  </si>
  <si>
    <t>New Brunswick Power</t>
  </si>
  <si>
    <t>Dalhousie Generating Station</t>
  </si>
  <si>
    <t>Lingan power station</t>
  </si>
  <si>
    <t>Nova Scotia Power</t>
  </si>
  <si>
    <t>158, 158, 158, 158</t>
  </si>
  <si>
    <t>1979-1984</t>
  </si>
  <si>
    <t>Point Aconi Generating Station</t>
  </si>
  <si>
    <t>Point Tupper power station</t>
  </si>
  <si>
    <t>Trenton Generating Station</t>
  </si>
  <si>
    <t>150, 150</t>
  </si>
  <si>
    <t>1969-1991</t>
  </si>
  <si>
    <t>Ontaria</t>
  </si>
  <si>
    <t>Atikokan power station</t>
  </si>
  <si>
    <t>Ontario Power Generation</t>
  </si>
  <si>
    <t>211-230</t>
  </si>
  <si>
    <t>Hearn Generating Station</t>
  </si>
  <si>
    <t>1951-1961</t>
  </si>
  <si>
    <t>Lakeview Generating Station (retired)</t>
  </si>
  <si>
    <t>1962-1969</t>
  </si>
  <si>
    <t>Lambton generating station</t>
  </si>
  <si>
    <t>Nanticoke power station</t>
  </si>
  <si>
    <t>Thunder Bay power station</t>
  </si>
  <si>
    <t>165, 165</t>
  </si>
  <si>
    <t>Boundary Dam Power Station</t>
  </si>
  <si>
    <t>SaskPower</t>
  </si>
  <si>
    <t>66, 66, 150, 150, 292</t>
  </si>
  <si>
    <t>1959-1978</t>
  </si>
  <si>
    <t>Poplar River power station</t>
  </si>
  <si>
    <t>281, 281</t>
  </si>
  <si>
    <t>1980-1983</t>
  </si>
  <si>
    <t>Shand power station</t>
  </si>
  <si>
    <t>Grand Lake power station</t>
  </si>
  <si>
    <t>Existing coal plants in Canada - Global Energy Monitor (gem.wiki)</t>
  </si>
  <si>
    <t>*We don't have the data of oil-plants and gas-plants stock data, so we use the rest of coal and biomass and geothermal and split evenly to these plants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</si>
</sst>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\Te\x\t"/>
    <numFmt numFmtId="165" formatCode="0.00000%"/>
    <numFmt numFmtId="169" formatCode="_-* #,##0.00_-;\-* #,##0.00_-;_-* &quot;-&quot;??_-;_-@_-"/>
  </numFmts>
  <fonts count="45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0"/>
      <name val="Arial"/>
      <family val="2"/>
      <charset val="238"/>
    </font>
    <font>
      <sz val="10"/>
      <color indexed="8"/>
      <name val="Arial"/>
      <family val="2"/>
    </font>
    <font>
      <b/>
      <sz val="11"/>
      <color indexed="8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i/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10"/>
      <color theme="0" tint="-0.499984740745262"/>
      <name val="Arial"/>
      <family val="2"/>
    </font>
    <font>
      <sz val="10"/>
      <name val="Arial"/>
      <charset val="134"/>
    </font>
    <font>
      <u/>
      <sz val="10"/>
      <color theme="10"/>
      <name val="Arial"/>
      <family val="2"/>
    </font>
    <font>
      <sz val="10"/>
      <name val="Courier"/>
      <charset val="134"/>
    </font>
    <font>
      <b/>
      <sz val="12.1"/>
      <color rgb="FF333333"/>
      <name val="Calibri"/>
      <family val="2"/>
      <scheme val="minor"/>
    </font>
    <font>
      <b/>
      <sz val="15"/>
      <color rgb="FF333333"/>
      <name val="Noto Sans"/>
      <family val="2"/>
    </font>
    <font>
      <sz val="15"/>
      <color rgb="FF333333"/>
      <name val="Noto Sans"/>
      <family val="2"/>
    </font>
    <font>
      <b/>
      <sz val="11"/>
      <color rgb="FF222222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222222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/>
      <right style="medium">
        <color rgb="FFA2A9B1"/>
      </right>
      <top/>
      <bottom style="medium">
        <color rgb="FFA2A9B1"/>
      </bottom>
      <diagonal/>
    </border>
  </borders>
  <cellStyleXfs count="77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7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21" borderId="2" applyNumberFormat="0" applyAlignment="0" applyProtection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3" fillId="22" borderId="7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13" fillId="4" borderId="0" applyNumberFormat="0" applyBorder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" fillId="0" borderId="0"/>
    <xf numFmtId="0" fontId="16" fillId="0" borderId="0"/>
    <xf numFmtId="0" fontId="1" fillId="0" borderId="0"/>
    <xf numFmtId="0" fontId="17" fillId="0" borderId="0"/>
    <xf numFmtId="0" fontId="18" fillId="0" borderId="9" applyNumberFormat="0" applyFill="0" applyAlignment="0" applyProtection="0"/>
    <xf numFmtId="0" fontId="19" fillId="3" borderId="0" applyNumberFormat="0" applyBorder="0" applyAlignment="0" applyProtection="0"/>
    <xf numFmtId="0" fontId="20" fillId="23" borderId="0" applyNumberFormat="0" applyBorder="0" applyAlignment="0" applyProtection="0"/>
    <xf numFmtId="0" fontId="21" fillId="20" borderId="1" applyNumberFormat="0" applyAlignment="0" applyProtection="0"/>
    <xf numFmtId="0" fontId="22" fillId="24" borderId="0" applyNumberFormat="0" applyBorder="0" applyAlignment="0" applyProtection="0"/>
    <xf numFmtId="0" fontId="23" fillId="0" borderId="0"/>
    <xf numFmtId="0" fontId="23" fillId="0" borderId="0"/>
    <xf numFmtId="0" fontId="36" fillId="0" borderId="0"/>
    <xf numFmtId="0" fontId="37" fillId="0" borderId="0" applyNumberFormat="0" applyFill="0" applyBorder="0" applyAlignment="0" applyProtection="0"/>
    <xf numFmtId="169" fontId="23" fillId="0" borderId="0" applyFont="0" applyFill="0" applyBorder="0" applyAlignment="0" applyProtection="0"/>
    <xf numFmtId="0" fontId="1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38" fillId="0" borderId="0"/>
    <xf numFmtId="0" fontId="23" fillId="32" borderId="11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72">
    <xf numFmtId="0" fontId="0" fillId="0" borderId="0" xfId="0"/>
    <xf numFmtId="0" fontId="1" fillId="0" borderId="0" xfId="39"/>
    <xf numFmtId="0" fontId="2" fillId="0" borderId="0" xfId="39" applyFont="1"/>
    <xf numFmtId="164" fontId="1" fillId="0" borderId="0" xfId="39" applyNumberFormat="1"/>
    <xf numFmtId="164" fontId="0" fillId="0" borderId="0" xfId="0" applyNumberFormat="1"/>
    <xf numFmtId="0" fontId="0" fillId="0" borderId="0" xfId="0"/>
    <xf numFmtId="1" fontId="0" fillId="0" borderId="0" xfId="0" applyNumberFormat="1"/>
    <xf numFmtId="9" fontId="0" fillId="0" borderId="0" xfId="0" applyNumberFormat="1"/>
    <xf numFmtId="0" fontId="0" fillId="0" borderId="0" xfId="0"/>
    <xf numFmtId="0" fontId="1" fillId="0" borderId="0" xfId="39" applyFont="1"/>
    <xf numFmtId="0" fontId="0" fillId="25" borderId="0" xfId="0" applyFill="1"/>
    <xf numFmtId="0" fontId="1" fillId="27" borderId="0" xfId="39" applyFill="1"/>
    <xf numFmtId="164" fontId="1" fillId="27" borderId="0" xfId="39" applyNumberFormat="1" applyFill="1"/>
    <xf numFmtId="0" fontId="27" fillId="0" borderId="0" xfId="39" applyFont="1"/>
    <xf numFmtId="0" fontId="26" fillId="0" borderId="0" xfId="0" applyFont="1"/>
    <xf numFmtId="9" fontId="26" fillId="0" borderId="0" xfId="0" applyNumberFormat="1" applyFont="1" applyFill="1"/>
    <xf numFmtId="0" fontId="26" fillId="0" borderId="0" xfId="0" applyFont="1" applyFill="1"/>
    <xf numFmtId="1" fontId="26" fillId="0" borderId="0" xfId="0" applyNumberFormat="1" applyFont="1"/>
    <xf numFmtId="0" fontId="28" fillId="0" borderId="0" xfId="39" applyFont="1"/>
    <xf numFmtId="164" fontId="29" fillId="0" borderId="0" xfId="39" applyNumberFormat="1" applyFont="1"/>
    <xf numFmtId="0" fontId="1" fillId="28" borderId="0" xfId="39" applyFill="1"/>
    <xf numFmtId="0" fontId="2" fillId="28" borderId="0" xfId="39" applyFont="1" applyFill="1"/>
    <xf numFmtId="0" fontId="30" fillId="28" borderId="0" xfId="39" applyFont="1" applyFill="1"/>
    <xf numFmtId="0" fontId="31" fillId="28" borderId="0" xfId="39" applyFont="1" applyFill="1"/>
    <xf numFmtId="0" fontId="28" fillId="28" borderId="0" xfId="39" applyFont="1" applyFill="1"/>
    <xf numFmtId="9" fontId="30" fillId="28" borderId="0" xfId="39" applyNumberFormat="1" applyFont="1" applyFill="1"/>
    <xf numFmtId="0" fontId="1" fillId="29" borderId="0" xfId="39" applyFill="1"/>
    <xf numFmtId="0" fontId="27" fillId="28" borderId="0" xfId="39" applyFont="1" applyFill="1"/>
    <xf numFmtId="0" fontId="26" fillId="28" borderId="0" xfId="0" applyFont="1" applyFill="1"/>
    <xf numFmtId="164" fontId="1" fillId="28" borderId="0" xfId="39" applyNumberFormat="1" applyFill="1"/>
    <xf numFmtId="0" fontId="0" fillId="28" borderId="0" xfId="0" applyFill="1"/>
    <xf numFmtId="0" fontId="32" fillId="28" borderId="0" xfId="39" applyFont="1" applyFill="1"/>
    <xf numFmtId="9" fontId="1" fillId="28" borderId="0" xfId="39" applyNumberFormat="1" applyFill="1"/>
    <xf numFmtId="0" fontId="1" fillId="28" borderId="0" xfId="39" applyFont="1" applyFill="1"/>
    <xf numFmtId="0" fontId="33" fillId="0" borderId="0" xfId="39" applyFont="1"/>
    <xf numFmtId="9" fontId="32" fillId="28" borderId="0" xfId="39" applyNumberFormat="1" applyFont="1" applyFill="1"/>
    <xf numFmtId="0" fontId="22" fillId="29" borderId="0" xfId="47" applyFill="1"/>
    <xf numFmtId="164" fontId="27" fillId="0" borderId="0" xfId="39" applyNumberFormat="1" applyFont="1"/>
    <xf numFmtId="164" fontId="27" fillId="0" borderId="0" xfId="39" applyNumberFormat="1" applyFont="1" applyFill="1"/>
    <xf numFmtId="1" fontId="34" fillId="26" borderId="10" xfId="49" applyNumberFormat="1" applyFont="1" applyFill="1" applyBorder="1" applyAlignment="1">
      <alignment vertical="center"/>
    </xf>
    <xf numFmtId="9" fontId="26" fillId="0" borderId="0" xfId="0" applyNumberFormat="1" applyFont="1"/>
    <xf numFmtId="164" fontId="26" fillId="25" borderId="0" xfId="0" applyNumberFormat="1" applyFont="1" applyFill="1"/>
    <xf numFmtId="164" fontId="26" fillId="0" borderId="0" xfId="0" applyNumberFormat="1" applyFont="1"/>
    <xf numFmtId="1" fontId="34" fillId="30" borderId="10" xfId="49" applyNumberFormat="1" applyFont="1" applyFill="1" applyBorder="1" applyAlignment="1">
      <alignment vertical="center"/>
    </xf>
    <xf numFmtId="165" fontId="0" fillId="0" borderId="0" xfId="0" applyNumberFormat="1"/>
    <xf numFmtId="9" fontId="28" fillId="28" borderId="0" xfId="39" applyNumberFormat="1" applyFont="1" applyFill="1"/>
    <xf numFmtId="0" fontId="35" fillId="0" borderId="0" xfId="39" applyFont="1"/>
    <xf numFmtId="0" fontId="2" fillId="0" borderId="0" xfId="39" applyFont="1" applyFill="1"/>
    <xf numFmtId="0" fontId="1" fillId="0" borderId="0" xfId="39" applyFill="1"/>
    <xf numFmtId="0" fontId="36" fillId="0" borderId="12" xfId="50" applyBorder="1"/>
    <xf numFmtId="0" fontId="30" fillId="0" borderId="12" xfId="50" applyFont="1" applyBorder="1"/>
    <xf numFmtId="0" fontId="32" fillId="0" borderId="12" xfId="50" applyFont="1" applyBorder="1"/>
    <xf numFmtId="0" fontId="1" fillId="0" borderId="0" xfId="39" applyFont="1" applyFill="1"/>
    <xf numFmtId="0" fontId="30" fillId="0" borderId="0" xfId="39" applyFont="1" applyFill="1"/>
    <xf numFmtId="0" fontId="27" fillId="0" borderId="0" xfId="39" applyFont="1" applyFill="1"/>
    <xf numFmtId="0" fontId="40" fillId="31" borderId="13" xfId="0" applyFont="1" applyFill="1" applyBorder="1" applyAlignment="1">
      <alignment horizontal="left" vertical="top" wrapText="1"/>
    </xf>
    <xf numFmtId="0" fontId="41" fillId="31" borderId="13" xfId="0" applyFont="1" applyFill="1" applyBorder="1" applyAlignment="1">
      <alignment vertical="top" wrapText="1"/>
    </xf>
    <xf numFmtId="0" fontId="40" fillId="31" borderId="13" xfId="0" applyFont="1" applyFill="1" applyBorder="1" applyAlignment="1">
      <alignment vertical="top" wrapText="1"/>
    </xf>
    <xf numFmtId="3" fontId="40" fillId="31" borderId="13" xfId="0" applyNumberFormat="1" applyFont="1" applyFill="1" applyBorder="1" applyAlignment="1">
      <alignment vertical="top" wrapText="1"/>
    </xf>
    <xf numFmtId="0" fontId="39" fillId="31" borderId="14" xfId="0" applyFont="1" applyFill="1" applyBorder="1" applyAlignment="1">
      <alignment horizontal="left" vertical="center"/>
    </xf>
    <xf numFmtId="0" fontId="0" fillId="0" borderId="14" xfId="0" applyBorder="1"/>
    <xf numFmtId="0" fontId="37" fillId="0" borderId="0" xfId="51"/>
    <xf numFmtId="0" fontId="32" fillId="0" borderId="0" xfId="39" applyFont="1" applyFill="1"/>
    <xf numFmtId="164" fontId="32" fillId="0" borderId="0" xfId="39" applyNumberFormat="1" applyFont="1" applyFill="1"/>
    <xf numFmtId="0" fontId="42" fillId="34" borderId="15" xfId="0" applyFont="1" applyFill="1" applyBorder="1" applyAlignment="1">
      <alignment horizontal="center" vertical="center" wrapText="1"/>
    </xf>
    <xf numFmtId="0" fontId="43" fillId="33" borderId="15" xfId="0" applyFont="1" applyFill="1" applyBorder="1" applyAlignment="1">
      <alignment vertical="center" wrapText="1"/>
    </xf>
    <xf numFmtId="0" fontId="37" fillId="33" borderId="15" xfId="51" applyFill="1" applyBorder="1" applyAlignment="1">
      <alignment vertical="center" wrapText="1"/>
    </xf>
    <xf numFmtId="0" fontId="44" fillId="33" borderId="15" xfId="0" applyFont="1" applyFill="1" applyBorder="1" applyAlignment="1">
      <alignment horizontal="left" vertical="center" wrapText="1"/>
    </xf>
    <xf numFmtId="0" fontId="37" fillId="33" borderId="15" xfId="51" applyFill="1" applyBorder="1" applyAlignment="1">
      <alignment horizontal="left" vertical="center" wrapText="1"/>
    </xf>
    <xf numFmtId="0" fontId="0" fillId="33" borderId="16" xfId="0" applyFill="1" applyBorder="1"/>
    <xf numFmtId="0" fontId="30" fillId="0" borderId="0" xfId="39" applyFont="1"/>
    <xf numFmtId="0" fontId="31" fillId="0" borderId="12" xfId="50" applyFont="1" applyBorder="1"/>
  </cellXfs>
  <cellStyles count="77">
    <cellStyle name="20% - 1. jelölőszín" xfId="1" xr:uid="{00000000-0005-0000-0000-000000000000}"/>
    <cellStyle name="20% - 2. jelölőszín" xfId="2" xr:uid="{00000000-0005-0000-0000-000001000000}"/>
    <cellStyle name="20% - 3. jelölőszín" xfId="3" xr:uid="{00000000-0005-0000-0000-000002000000}"/>
    <cellStyle name="20% - 4. jelölőszín" xfId="4" xr:uid="{00000000-0005-0000-0000-000003000000}"/>
    <cellStyle name="20% - 5. jelölőszín" xfId="5" xr:uid="{00000000-0005-0000-0000-000004000000}"/>
    <cellStyle name="20% - 6. jelölőszín" xfId="6" xr:uid="{00000000-0005-0000-0000-000005000000}"/>
    <cellStyle name="40% - 1. jelölőszín" xfId="7" xr:uid="{00000000-0005-0000-0000-000006000000}"/>
    <cellStyle name="40% - 2. jelölőszín" xfId="8" xr:uid="{00000000-0005-0000-0000-000007000000}"/>
    <cellStyle name="40% - 3. jelölőszín" xfId="9" xr:uid="{00000000-0005-0000-0000-000008000000}"/>
    <cellStyle name="40% - 4. jelölőszín" xfId="10" xr:uid="{00000000-0005-0000-0000-000009000000}"/>
    <cellStyle name="40% - 5. jelölőszín" xfId="11" xr:uid="{00000000-0005-0000-0000-00000A000000}"/>
    <cellStyle name="40% - 6. jelölőszín" xfId="12" xr:uid="{00000000-0005-0000-0000-00000B000000}"/>
    <cellStyle name="60% - 1. jelölőszín" xfId="13" xr:uid="{00000000-0005-0000-0000-00000C000000}"/>
    <cellStyle name="60% - 2. jelölőszín" xfId="14" xr:uid="{00000000-0005-0000-0000-00000D000000}"/>
    <cellStyle name="60% - 3. jelölőszín" xfId="15" xr:uid="{00000000-0005-0000-0000-00000E000000}"/>
    <cellStyle name="60% - 4. jelölőszín" xfId="16" xr:uid="{00000000-0005-0000-0000-00000F000000}"/>
    <cellStyle name="60% - 5. jelölőszín" xfId="17" xr:uid="{00000000-0005-0000-0000-000010000000}"/>
    <cellStyle name="60% - 6. jelölőszín" xfId="18" xr:uid="{00000000-0005-0000-0000-000011000000}"/>
    <cellStyle name="Bevitel" xfId="19" xr:uid="{00000000-0005-0000-0000-000012000000}"/>
    <cellStyle name="Cím" xfId="20" xr:uid="{00000000-0005-0000-0000-000013000000}"/>
    <cellStyle name="Címsor 1" xfId="21" xr:uid="{00000000-0005-0000-0000-000014000000}"/>
    <cellStyle name="Címsor 2" xfId="22" xr:uid="{00000000-0005-0000-0000-000015000000}"/>
    <cellStyle name="Címsor 3" xfId="23" xr:uid="{00000000-0005-0000-0000-000016000000}"/>
    <cellStyle name="Címsor 4" xfId="24" xr:uid="{00000000-0005-0000-0000-000017000000}"/>
    <cellStyle name="Comma 2" xfId="52" xr:uid="{54351CE0-C749-4FA1-B4F1-1B7B93A82F73}"/>
    <cellStyle name="Ellenőrzőcella" xfId="25" xr:uid="{00000000-0005-0000-0000-000018000000}"/>
    <cellStyle name="Ezres_vegleges_en" xfId="26" xr:uid="{00000000-0005-0000-0000-000019000000}"/>
    <cellStyle name="Figyelmeztetés" xfId="27" xr:uid="{00000000-0005-0000-0000-00001A000000}"/>
    <cellStyle name="Hivatkozott cella" xfId="28" xr:uid="{00000000-0005-0000-0000-00001C000000}"/>
    <cellStyle name="Hyperlink" xfId="51" builtinId="8"/>
    <cellStyle name="Jegyzet" xfId="29" xr:uid="{00000000-0005-0000-0000-00001E000000}"/>
    <cellStyle name="Jelölőszín (1)" xfId="30" xr:uid="{00000000-0005-0000-0000-00001F000000}"/>
    <cellStyle name="Jelölőszín (2)" xfId="31" xr:uid="{00000000-0005-0000-0000-000020000000}"/>
    <cellStyle name="Jelölőszín (3)" xfId="32" xr:uid="{00000000-0005-0000-0000-000021000000}"/>
    <cellStyle name="Jelölőszín (4)" xfId="33" xr:uid="{00000000-0005-0000-0000-000022000000}"/>
    <cellStyle name="Jelölőszín (5)" xfId="34" xr:uid="{00000000-0005-0000-0000-000023000000}"/>
    <cellStyle name="Jelölőszín (6)" xfId="35" xr:uid="{00000000-0005-0000-0000-000024000000}"/>
    <cellStyle name="Jó" xfId="36" xr:uid="{00000000-0005-0000-0000-000025000000}"/>
    <cellStyle name="Kimenet" xfId="37" xr:uid="{00000000-0005-0000-0000-000026000000}"/>
    <cellStyle name="Magyarázó szöveg" xfId="38" xr:uid="{00000000-0005-0000-0000-000027000000}"/>
    <cellStyle name="Neutral" xfId="47" builtinId="28"/>
    <cellStyle name="Normal" xfId="0" builtinId="0"/>
    <cellStyle name="Normal 10" xfId="53" xr:uid="{C0403AD1-5044-4F80-9C8F-58039D14CAAC}"/>
    <cellStyle name="Normal 11 2" xfId="49" xr:uid="{4DBD86CF-702D-4850-BCB7-60B43B4968A7}"/>
    <cellStyle name="Normal 11 2 2" xfId="54" xr:uid="{7CABEEE3-A76D-4692-B15D-FE15F2695C38}"/>
    <cellStyle name="Normal 14" xfId="48" xr:uid="{00000000-0005-0000-0000-00002A000000}"/>
    <cellStyle name="Normal 2" xfId="39" xr:uid="{00000000-0005-0000-0000-00002B000000}"/>
    <cellStyle name="Normál 2" xfId="40" xr:uid="{00000000-0005-0000-0000-00002C000000}"/>
    <cellStyle name="Normal 3" xfId="55" xr:uid="{64D8096C-FA7B-4C15-A807-E0B772C4553E}"/>
    <cellStyle name="Normal 4" xfId="56" xr:uid="{BE3BDF34-F110-49F0-A0B1-27EE227D1DD7}"/>
    <cellStyle name="Normal 4 2" xfId="57" xr:uid="{2552C79B-27CD-446E-A68C-AEF3BD6D88DA}"/>
    <cellStyle name="Normal 5" xfId="58" xr:uid="{CAD679BB-8151-4778-AE1E-832AE9F7DC33}"/>
    <cellStyle name="Normal 6" xfId="50" xr:uid="{E65018BC-C5E5-4C79-A043-DB8E09333F6A}"/>
    <cellStyle name="Normal 8" xfId="59" xr:uid="{9A0285CC-30B4-42CA-8D43-20EDBE6D92A1}"/>
    <cellStyle name="Normal 9 2" xfId="60" xr:uid="{22A157D8-B63A-44BA-9741-22E562A188C9}"/>
    <cellStyle name="Normál_C3EM_v2" xfId="41" xr:uid="{00000000-0005-0000-0000-00002D000000}"/>
    <cellStyle name="Normale_B2020" xfId="61" xr:uid="{CB8A61A6-47E7-4881-8089-FFE30B974330}"/>
    <cellStyle name="normální_List1" xfId="42" xr:uid="{00000000-0005-0000-0000-00002E000000}"/>
    <cellStyle name="Note 2" xfId="62" xr:uid="{74D7B5F1-3D99-4B56-8FB0-713B0EC521F8}"/>
    <cellStyle name="Összesen" xfId="43" xr:uid="{00000000-0005-0000-0000-000030000000}"/>
    <cellStyle name="Percent 2" xfId="63" xr:uid="{F390BB98-4FF7-41D8-9741-C6B5B987A59E}"/>
    <cellStyle name="Percent 3" xfId="64" xr:uid="{F3661DEF-01BB-4DC3-8583-459DD514E0B3}"/>
    <cellStyle name="Percent 3 2" xfId="65" xr:uid="{F98525B9-9790-46C1-8721-6D54D255A648}"/>
    <cellStyle name="Percent 3 3" xfId="66" xr:uid="{26EAE02E-AE89-4837-B506-681F9436DA14}"/>
    <cellStyle name="Percent 3 4" xfId="67" xr:uid="{B16D9C51-07C1-4358-A2CB-77B35409D9A3}"/>
    <cellStyle name="Percent 4" xfId="68" xr:uid="{ADDC4E16-B1A7-476C-AEC6-6A5EBA099BE4}"/>
    <cellStyle name="Percent 4 2" xfId="69" xr:uid="{8207449D-41FE-43A5-AADF-933F594A9FDF}"/>
    <cellStyle name="Percent 4 3" xfId="70" xr:uid="{B402901F-9A7C-4051-AD3E-41B39F86EB4E}"/>
    <cellStyle name="Percent 4 4" xfId="71" xr:uid="{A580642A-D1F3-4D95-A3AB-AA93A9AAC720}"/>
    <cellStyle name="Percent 5" xfId="72" xr:uid="{A2945FA8-41EF-493E-8424-6CA8D866216D}"/>
    <cellStyle name="Percent 6" xfId="73" xr:uid="{722CB44E-057D-4253-B2A9-DA355BCC9766}"/>
    <cellStyle name="Percent 7" xfId="74" xr:uid="{8CB3D050-2D5F-470B-AF55-990112A715E8}"/>
    <cellStyle name="Percent 8" xfId="75" xr:uid="{4C9AFB47-B807-497E-85E5-0CC872ED5892}"/>
    <cellStyle name="Rossz" xfId="44" xr:uid="{00000000-0005-0000-0000-000032000000}"/>
    <cellStyle name="Semleges" xfId="45" xr:uid="{00000000-0005-0000-0000-000033000000}"/>
    <cellStyle name="Standard_Sce_D_Extraction" xfId="76" xr:uid="{B14458BA-3DC5-42BC-AE28-0EB7A485C131}"/>
    <cellStyle name="Számítás" xfId="46" xr:uid="{00000000-0005-0000-0000-00003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336177</xdr:colOff>
      <xdr:row>0</xdr:row>
      <xdr:rowOff>168088</xdr:rowOff>
    </xdr:from>
    <xdr:to>
      <xdr:col>34</xdr:col>
      <xdr:colOff>480763</xdr:colOff>
      <xdr:row>43</xdr:row>
      <xdr:rowOff>182824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A4EA3C-3D66-4F28-B38A-34EB08A4E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91648" y="168088"/>
          <a:ext cx="6912939" cy="79036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m.wiki/TransAlta" TargetMode="External"/><Relationship Id="rId18" Type="http://schemas.openxmlformats.org/officeDocument/2006/relationships/hyperlink" Target="https://www.gem.wiki/Belledune_power_station" TargetMode="External"/><Relationship Id="rId26" Type="http://schemas.openxmlformats.org/officeDocument/2006/relationships/hyperlink" Target="https://www.gem.wiki/Point_Tupper_power_station" TargetMode="External"/><Relationship Id="rId39" Type="http://schemas.openxmlformats.org/officeDocument/2006/relationships/hyperlink" Target="https://www.gem.wiki/w/index.php?title=Ontario_Power_Generation&amp;action=edit&amp;redlink=1" TargetMode="External"/><Relationship Id="rId21" Type="http://schemas.openxmlformats.org/officeDocument/2006/relationships/hyperlink" Target="https://www.gem.wiki/w/index.php?title=New_Brunswick_Power&amp;action=edit&amp;redlink=1" TargetMode="External"/><Relationship Id="rId34" Type="http://schemas.openxmlformats.org/officeDocument/2006/relationships/hyperlink" Target="https://www.gem.wiki/Lakeview_Generating_Station" TargetMode="External"/><Relationship Id="rId42" Type="http://schemas.openxmlformats.org/officeDocument/2006/relationships/hyperlink" Target="https://www.gem.wiki/Boundary_Dam_Power_Station" TargetMode="External"/><Relationship Id="rId47" Type="http://schemas.openxmlformats.org/officeDocument/2006/relationships/hyperlink" Target="https://www.gem.wiki/SaskPower" TargetMode="External"/><Relationship Id="rId50" Type="http://schemas.openxmlformats.org/officeDocument/2006/relationships/hyperlink" Target="https://www.gem.wiki/Existing_coal_plants_in_Canada" TargetMode="External"/><Relationship Id="rId7" Type="http://schemas.openxmlformats.org/officeDocument/2006/relationships/hyperlink" Target="https://www.gem.wiki/w/index.php?title=Maxim_Power_Corp&amp;action=edit&amp;redlink=1" TargetMode="External"/><Relationship Id="rId2" Type="http://schemas.openxmlformats.org/officeDocument/2006/relationships/hyperlink" Target="https://www.gem.wiki/Battle_River_power_station" TargetMode="External"/><Relationship Id="rId16" Type="http://schemas.openxmlformats.org/officeDocument/2006/relationships/hyperlink" Target="https://www.gem.wiki/Manitoba_Brandon_power_station" TargetMode="External"/><Relationship Id="rId29" Type="http://schemas.openxmlformats.org/officeDocument/2006/relationships/hyperlink" Target="https://www.gem.wiki/w/index.php?title=Nova_Scotia_Power&amp;action=edit&amp;redlink=1" TargetMode="External"/><Relationship Id="rId11" Type="http://schemas.openxmlformats.org/officeDocument/2006/relationships/hyperlink" Target="https://www.gem.wiki/w/index.php?title=Atco_Power&amp;action=edit&amp;redlink=1" TargetMode="External"/><Relationship Id="rId24" Type="http://schemas.openxmlformats.org/officeDocument/2006/relationships/hyperlink" Target="https://www.gem.wiki/Point_Aconi_Generating_Station" TargetMode="External"/><Relationship Id="rId32" Type="http://schemas.openxmlformats.org/officeDocument/2006/relationships/hyperlink" Target="https://www.gem.wiki/w/index.php?title=Hearn_Generating_Station&amp;action=edit&amp;redlink=1" TargetMode="External"/><Relationship Id="rId37" Type="http://schemas.openxmlformats.org/officeDocument/2006/relationships/hyperlink" Target="https://www.gem.wiki/w/index.php?title=Ontario_Power_Generation&amp;action=edit&amp;redlink=1" TargetMode="External"/><Relationship Id="rId40" Type="http://schemas.openxmlformats.org/officeDocument/2006/relationships/hyperlink" Target="https://www.gem.wiki/Thunder_Bay_power_station" TargetMode="External"/><Relationship Id="rId45" Type="http://schemas.openxmlformats.org/officeDocument/2006/relationships/hyperlink" Target="https://www.gem.wiki/SaskPower" TargetMode="External"/><Relationship Id="rId53" Type="http://schemas.openxmlformats.org/officeDocument/2006/relationships/vmlDrawing" Target="../drawings/vmlDrawing1.vml"/><Relationship Id="rId5" Type="http://schemas.openxmlformats.org/officeDocument/2006/relationships/hyperlink" Target="https://www.gem.wiki/w/index.php?title=Capital_Power_Corporation&amp;action=edit&amp;redlink=1" TargetMode="External"/><Relationship Id="rId10" Type="http://schemas.openxmlformats.org/officeDocument/2006/relationships/hyperlink" Target="https://www.gem.wiki/Sheerness" TargetMode="External"/><Relationship Id="rId19" Type="http://schemas.openxmlformats.org/officeDocument/2006/relationships/hyperlink" Target="https://www.gem.wiki/w/index.php?title=New_Brunswick_Power&amp;action=edit&amp;redlink=1" TargetMode="External"/><Relationship Id="rId31" Type="http://schemas.openxmlformats.org/officeDocument/2006/relationships/hyperlink" Target="https://www.gem.wiki/w/index.php?title=Ontario_Power_Generation&amp;action=edit&amp;redlink=1" TargetMode="External"/><Relationship Id="rId44" Type="http://schemas.openxmlformats.org/officeDocument/2006/relationships/hyperlink" Target="https://www.gem.wiki/Poplar_River_power_station" TargetMode="External"/><Relationship Id="rId52" Type="http://schemas.openxmlformats.org/officeDocument/2006/relationships/drawing" Target="../drawings/drawing1.xml"/><Relationship Id="rId4" Type="http://schemas.openxmlformats.org/officeDocument/2006/relationships/hyperlink" Target="https://www.gem.wiki/Genesee_3" TargetMode="External"/><Relationship Id="rId9" Type="http://schemas.openxmlformats.org/officeDocument/2006/relationships/hyperlink" Target="https://www.gem.wiki/TransAlta" TargetMode="External"/><Relationship Id="rId14" Type="http://schemas.openxmlformats.org/officeDocument/2006/relationships/hyperlink" Target="https://www.gem.wiki/Wabamum_Generating_Station" TargetMode="External"/><Relationship Id="rId22" Type="http://schemas.openxmlformats.org/officeDocument/2006/relationships/hyperlink" Target="https://www.gem.wiki/Lingan_power_station" TargetMode="External"/><Relationship Id="rId27" Type="http://schemas.openxmlformats.org/officeDocument/2006/relationships/hyperlink" Target="https://www.gem.wiki/w/index.php?title=Nova_Scotia_Power&amp;action=edit&amp;redlink=1" TargetMode="External"/><Relationship Id="rId30" Type="http://schemas.openxmlformats.org/officeDocument/2006/relationships/hyperlink" Target="https://www.gem.wiki/Atikokan_power_station" TargetMode="External"/><Relationship Id="rId35" Type="http://schemas.openxmlformats.org/officeDocument/2006/relationships/hyperlink" Target="https://www.gem.wiki/w/index.php?title=Ontario_Power_Generation&amp;action=edit&amp;redlink=1" TargetMode="External"/><Relationship Id="rId43" Type="http://schemas.openxmlformats.org/officeDocument/2006/relationships/hyperlink" Target="https://www.gem.wiki/SaskPower" TargetMode="External"/><Relationship Id="rId48" Type="http://schemas.openxmlformats.org/officeDocument/2006/relationships/hyperlink" Target="https://www.gem.wiki/Grand_Lake_power_station" TargetMode="External"/><Relationship Id="rId8" Type="http://schemas.openxmlformats.org/officeDocument/2006/relationships/hyperlink" Target="https://www.gem.wiki/Keephills" TargetMode="External"/><Relationship Id="rId51" Type="http://schemas.openxmlformats.org/officeDocument/2006/relationships/printerSettings" Target="../printerSettings/printerSettings1.bin"/><Relationship Id="rId3" Type="http://schemas.openxmlformats.org/officeDocument/2006/relationships/hyperlink" Target="https://www.gem.wiki/w/index.php?title=Atco_Power&amp;action=edit&amp;redlink=1" TargetMode="External"/><Relationship Id="rId12" Type="http://schemas.openxmlformats.org/officeDocument/2006/relationships/hyperlink" Target="https://www.gem.wiki/Sundance" TargetMode="External"/><Relationship Id="rId17" Type="http://schemas.openxmlformats.org/officeDocument/2006/relationships/hyperlink" Target="https://www.gem.wiki/w/index.php?title=Manitoba_Hydro&amp;action=edit&amp;redlink=1" TargetMode="External"/><Relationship Id="rId25" Type="http://schemas.openxmlformats.org/officeDocument/2006/relationships/hyperlink" Target="https://www.gem.wiki/w/index.php?title=Nova_Scotia_Power&amp;action=edit&amp;redlink=1" TargetMode="External"/><Relationship Id="rId33" Type="http://schemas.openxmlformats.org/officeDocument/2006/relationships/hyperlink" Target="https://www.gem.wiki/w/index.php?title=Ontario_Power_Generation&amp;action=edit&amp;redlink=1" TargetMode="External"/><Relationship Id="rId38" Type="http://schemas.openxmlformats.org/officeDocument/2006/relationships/hyperlink" Target="https://www.gem.wiki/Nanticoke_power_station" TargetMode="External"/><Relationship Id="rId46" Type="http://schemas.openxmlformats.org/officeDocument/2006/relationships/hyperlink" Target="https://www.gem.wiki/Shand_power_station" TargetMode="External"/><Relationship Id="rId20" Type="http://schemas.openxmlformats.org/officeDocument/2006/relationships/hyperlink" Target="https://www.gem.wiki/w/index.php?title=Dalhousie_Generating_Station&amp;action=edit&amp;redlink=1" TargetMode="External"/><Relationship Id="rId41" Type="http://schemas.openxmlformats.org/officeDocument/2006/relationships/hyperlink" Target="https://www.gem.wiki/w/index.php?title=Ontario_Power_Generation&amp;action=edit&amp;redlink=1" TargetMode="External"/><Relationship Id="rId54" Type="http://schemas.openxmlformats.org/officeDocument/2006/relationships/comments" Target="../comments1.xml"/><Relationship Id="rId1" Type="http://schemas.openxmlformats.org/officeDocument/2006/relationships/hyperlink" Target="https://natural-resources.canada.ca/our-natural-resources/energy-sources-distribution/renewable-energy/about-renewable-energy/7295" TargetMode="External"/><Relationship Id="rId6" Type="http://schemas.openxmlformats.org/officeDocument/2006/relationships/hyperlink" Target="https://www.gem.wiki/H.R._Milner_power_station" TargetMode="External"/><Relationship Id="rId15" Type="http://schemas.openxmlformats.org/officeDocument/2006/relationships/hyperlink" Target="https://www.gem.wiki/TransAlta" TargetMode="External"/><Relationship Id="rId23" Type="http://schemas.openxmlformats.org/officeDocument/2006/relationships/hyperlink" Target="https://www.gem.wiki/w/index.php?title=Nova_Scotia_Power&amp;action=edit&amp;redlink=1" TargetMode="External"/><Relationship Id="rId28" Type="http://schemas.openxmlformats.org/officeDocument/2006/relationships/hyperlink" Target="https://www.gem.wiki/Trenton_Generating_Station" TargetMode="External"/><Relationship Id="rId36" Type="http://schemas.openxmlformats.org/officeDocument/2006/relationships/hyperlink" Target="https://www.gem.wiki/Lambton_generating_station" TargetMode="External"/><Relationship Id="rId49" Type="http://schemas.openxmlformats.org/officeDocument/2006/relationships/hyperlink" Target="https://www.gem.wiki/w/index.php?title=New_Brunswick_Power&amp;action=edit&amp;redlink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AE176"/>
  <sheetViews>
    <sheetView tabSelected="1" zoomScale="62" zoomScaleNormal="85" workbookViewId="0">
      <pane xSplit="4" ySplit="2" topLeftCell="I90" activePane="bottomRight" state="frozen"/>
      <selection pane="topRight" activeCell="E1" sqref="E1"/>
      <selection pane="bottomLeft" activeCell="A3" sqref="A3"/>
      <selection pane="bottomRight" activeCell="M122" sqref="M122"/>
    </sheetView>
  </sheetViews>
  <sheetFormatPr defaultColWidth="9.140625" defaultRowHeight="12.75"/>
  <cols>
    <col min="1" max="1" width="2" style="1" bestFit="1" customWidth="1"/>
    <col min="2" max="2" width="23.28515625" style="1" bestFit="1" customWidth="1"/>
    <col min="3" max="3" width="9.28515625" style="1" bestFit="1" customWidth="1"/>
    <col min="4" max="4" width="15.5703125" style="1" bestFit="1" customWidth="1"/>
    <col min="5" max="5" width="6.140625" style="1" bestFit="1" customWidth="1"/>
    <col min="6" max="6" width="4.85546875" style="1" bestFit="1" customWidth="1"/>
    <col min="7" max="7" width="6.5703125" style="18" bestFit="1" customWidth="1"/>
    <col min="8" max="8" width="17" style="1" bestFit="1" customWidth="1"/>
    <col min="9" max="9" width="6.28515625" style="13" bestFit="1" customWidth="1"/>
    <col min="10" max="10" width="23.28515625" style="1" bestFit="1" customWidth="1"/>
    <col min="11" max="11" width="9.28515625" style="1" bestFit="1" customWidth="1"/>
    <col min="12" max="12" width="23.28515625" style="13" bestFit="1" customWidth="1"/>
    <col min="13" max="13" width="163.5703125" style="13" bestFit="1" customWidth="1"/>
    <col min="14" max="14" width="9.42578125" style="1" customWidth="1"/>
    <col min="15" max="15" width="8.140625" style="1" bestFit="1" customWidth="1"/>
    <col min="16" max="16" width="11.5703125" style="1" bestFit="1" customWidth="1"/>
    <col min="17" max="17" width="23.28515625" style="1" bestFit="1" customWidth="1"/>
    <col min="18" max="18" width="39.5703125" style="1" bestFit="1" customWidth="1"/>
    <col min="19" max="19" width="4.5703125" style="1" bestFit="1" customWidth="1"/>
    <col min="20" max="20" width="5" style="1" bestFit="1" customWidth="1"/>
    <col min="21" max="21" width="8.85546875" style="1" bestFit="1" customWidth="1"/>
    <col min="22" max="22" width="7.28515625" style="1" bestFit="1" customWidth="1"/>
    <col min="23" max="25" width="9.140625" style="1"/>
    <col min="26" max="26" width="10.7109375" style="1" bestFit="1" customWidth="1"/>
    <col min="27" max="16384" width="9.140625" style="1"/>
  </cols>
  <sheetData>
    <row r="1" spans="2:31" ht="15">
      <c r="D1" s="1" t="s">
        <v>0</v>
      </c>
      <c r="I1" s="13" t="s">
        <v>163</v>
      </c>
      <c r="M1" s="18" t="s">
        <v>154</v>
      </c>
      <c r="P1" s="3" t="s">
        <v>1</v>
      </c>
      <c r="Q1" s="3"/>
      <c r="R1" s="3"/>
      <c r="S1" s="3"/>
      <c r="T1" s="3"/>
      <c r="U1" s="3"/>
      <c r="V1" s="3"/>
      <c r="X1" s="3" t="s">
        <v>108</v>
      </c>
      <c r="Y1" s="3"/>
      <c r="Z1" s="3"/>
      <c r="AA1" s="3"/>
      <c r="AB1" s="19" t="s">
        <v>153</v>
      </c>
      <c r="AC1" s="3"/>
      <c r="AD1" s="3"/>
      <c r="AE1" s="3"/>
    </row>
    <row r="2" spans="2:31">
      <c r="B2" s="1" t="s">
        <v>2</v>
      </c>
      <c r="C2" s="2" t="s">
        <v>3</v>
      </c>
      <c r="D2" s="2" t="s">
        <v>4</v>
      </c>
      <c r="E2" s="2" t="s">
        <v>5</v>
      </c>
      <c r="F2" s="2" t="s">
        <v>54</v>
      </c>
      <c r="G2" s="18" t="s">
        <v>52</v>
      </c>
      <c r="H2" s="9" t="s">
        <v>138</v>
      </c>
      <c r="I2" s="13" t="s">
        <v>56</v>
      </c>
      <c r="J2" s="2" t="s">
        <v>53</v>
      </c>
      <c r="K2" s="2" t="s">
        <v>6</v>
      </c>
      <c r="L2" s="13" t="s">
        <v>57</v>
      </c>
      <c r="M2" s="13" t="s">
        <v>7</v>
      </c>
      <c r="N2" s="9" t="s">
        <v>147</v>
      </c>
      <c r="P2" s="3" t="s">
        <v>8</v>
      </c>
      <c r="Q2" s="3" t="s">
        <v>2</v>
      </c>
      <c r="R2" s="3" t="s">
        <v>9</v>
      </c>
      <c r="S2" s="3" t="s">
        <v>10</v>
      </c>
      <c r="T2" s="3" t="s">
        <v>11</v>
      </c>
      <c r="U2" s="3" t="s">
        <v>12</v>
      </c>
      <c r="V2" s="3" t="s">
        <v>13</v>
      </c>
      <c r="X2" s="3" t="s">
        <v>62</v>
      </c>
      <c r="Y2" s="3" t="s">
        <v>63</v>
      </c>
      <c r="Z2" s="3" t="s">
        <v>64</v>
      </c>
      <c r="AA2" s="3" t="s">
        <v>65</v>
      </c>
      <c r="AB2" s="3" t="s">
        <v>66</v>
      </c>
      <c r="AC2" s="3" t="s">
        <v>67</v>
      </c>
      <c r="AD2" s="3" t="s">
        <v>68</v>
      </c>
      <c r="AE2" s="3" t="s">
        <v>69</v>
      </c>
    </row>
    <row r="3" spans="2:31" s="20" customFormat="1" ht="15">
      <c r="B3" s="20" t="str">
        <f>Q3</f>
        <v>ECHP_biomass_thermal</v>
      </c>
      <c r="C3" s="21" t="s">
        <v>51</v>
      </c>
      <c r="D3" s="33" t="s">
        <v>139</v>
      </c>
      <c r="E3" s="20">
        <v>5</v>
      </c>
      <c r="F3" s="20">
        <v>30</v>
      </c>
      <c r="G3" s="23">
        <v>106</v>
      </c>
      <c r="H3" s="31">
        <v>2</v>
      </c>
      <c r="I3" s="31">
        <v>1.06</v>
      </c>
      <c r="J3" s="35">
        <v>0.75</v>
      </c>
      <c r="K3" s="35">
        <v>0.35</v>
      </c>
      <c r="L3" s="28"/>
      <c r="M3" s="27"/>
      <c r="N3" s="20">
        <v>31.54</v>
      </c>
      <c r="P3" s="29" t="s">
        <v>14</v>
      </c>
      <c r="Q3" s="29" t="s">
        <v>15</v>
      </c>
      <c r="R3" s="29" t="str">
        <f>"Existing CHP plant - " &amp; MID(Q3,6,50)</f>
        <v>Existing CHP plant - biomass_thermal</v>
      </c>
      <c r="S3" s="29" t="s">
        <v>16</v>
      </c>
      <c r="T3" s="29" t="s">
        <v>17</v>
      </c>
      <c r="U3" s="29" t="s">
        <v>18</v>
      </c>
      <c r="V3" s="29" t="s">
        <v>19</v>
      </c>
      <c r="X3" s="29" t="s">
        <v>70</v>
      </c>
      <c r="Y3" s="29" t="s">
        <v>51</v>
      </c>
      <c r="Z3" s="29" t="str">
        <f>Y3</f>
        <v>ELCWOO</v>
      </c>
      <c r="AA3" s="29" t="s">
        <v>16</v>
      </c>
      <c r="AB3" s="29"/>
      <c r="AC3" s="29"/>
      <c r="AD3" s="29"/>
      <c r="AE3" s="29"/>
    </row>
    <row r="4" spans="2:31" s="20" customFormat="1" ht="15">
      <c r="B4" s="20" t="str">
        <f t="shared" ref="B4:B25" si="0">Q4</f>
        <v>ECHP_coal_thermal</v>
      </c>
      <c r="C4" s="21" t="s">
        <v>20</v>
      </c>
      <c r="D4" s="21" t="s">
        <v>139</v>
      </c>
      <c r="E4" s="22">
        <v>5</v>
      </c>
      <c r="F4" s="22">
        <v>35</v>
      </c>
      <c r="G4" s="23">
        <v>26</v>
      </c>
      <c r="H4" s="22">
        <v>2</v>
      </c>
      <c r="I4" s="23">
        <v>1.05</v>
      </c>
      <c r="J4" s="22">
        <v>0.86</v>
      </c>
      <c r="K4" s="25">
        <v>0.38</v>
      </c>
      <c r="L4" s="28"/>
      <c r="M4" s="27"/>
      <c r="N4" s="20">
        <v>31.54</v>
      </c>
      <c r="P4" s="29" t="s">
        <v>14</v>
      </c>
      <c r="Q4" s="29" t="s">
        <v>22</v>
      </c>
      <c r="R4" s="29" t="str">
        <f t="shared" ref="R4:R11" si="1">"Existing CHP plant - " &amp; MID(Q4,6,50)</f>
        <v>Existing CHP plant - coal_thermal</v>
      </c>
      <c r="S4" s="29" t="s">
        <v>16</v>
      </c>
      <c r="T4" s="29" t="s">
        <v>17</v>
      </c>
      <c r="U4" s="29" t="s">
        <v>18</v>
      </c>
      <c r="V4" s="29" t="s">
        <v>19</v>
      </c>
      <c r="X4" s="29"/>
      <c r="Y4" s="29" t="s">
        <v>25</v>
      </c>
      <c r="Z4" s="29" t="str">
        <f t="shared" ref="Z4:Z9" si="2">Y4</f>
        <v>ELCDST</v>
      </c>
      <c r="AA4" s="29" t="s">
        <v>16</v>
      </c>
      <c r="AB4" s="29"/>
      <c r="AC4" s="29"/>
      <c r="AD4" s="29"/>
      <c r="AE4" s="29"/>
    </row>
    <row r="5" spans="2:31" s="20" customFormat="1" ht="15">
      <c r="B5" s="20" t="str">
        <f t="shared" si="0"/>
        <v>ECHP_HFO_thermal</v>
      </c>
      <c r="C5" s="21" t="s">
        <v>23</v>
      </c>
      <c r="D5" s="21" t="s">
        <v>139</v>
      </c>
      <c r="E5" s="20">
        <v>5</v>
      </c>
      <c r="F5" s="20">
        <v>35</v>
      </c>
      <c r="G5" s="23">
        <v>15</v>
      </c>
      <c r="H5" s="20">
        <v>2</v>
      </c>
      <c r="I5" s="27">
        <v>0.89</v>
      </c>
      <c r="J5" s="20">
        <v>0.6</v>
      </c>
      <c r="K5" s="32">
        <v>0.3</v>
      </c>
      <c r="L5" s="28"/>
      <c r="M5" s="27"/>
      <c r="N5" s="20">
        <v>31.54</v>
      </c>
      <c r="P5" s="29" t="s">
        <v>14</v>
      </c>
      <c r="Q5" s="29" t="s">
        <v>24</v>
      </c>
      <c r="R5" s="29" t="str">
        <f t="shared" si="1"/>
        <v>Existing CHP plant - HFO_thermal</v>
      </c>
      <c r="S5" s="29" t="s">
        <v>16</v>
      </c>
      <c r="T5" s="29" t="s">
        <v>17</v>
      </c>
      <c r="U5" s="29" t="s">
        <v>18</v>
      </c>
      <c r="V5" s="29" t="s">
        <v>19</v>
      </c>
      <c r="X5" s="29"/>
      <c r="Y5" s="29" t="s">
        <v>33</v>
      </c>
      <c r="Z5" s="29" t="str">
        <f t="shared" si="2"/>
        <v>ELCSOL</v>
      </c>
      <c r="AA5" s="29" t="s">
        <v>16</v>
      </c>
      <c r="AB5" s="29"/>
      <c r="AC5" s="29"/>
      <c r="AD5" s="29"/>
      <c r="AE5" s="29"/>
    </row>
    <row r="6" spans="2:31" s="13" customFormat="1" ht="15">
      <c r="B6" s="13" t="str">
        <f t="shared" si="0"/>
        <v>ECHP_LFO_thermal</v>
      </c>
      <c r="C6" s="13" t="s">
        <v>25</v>
      </c>
      <c r="D6" s="13" t="s">
        <v>139</v>
      </c>
      <c r="E6" s="13">
        <v>25</v>
      </c>
      <c r="F6" s="13">
        <v>200</v>
      </c>
      <c r="G6" s="18">
        <v>18</v>
      </c>
      <c r="H6" s="13">
        <v>2</v>
      </c>
      <c r="I6" s="13">
        <f t="shared" ref="I6:I27" si="3">IFERROR(VLOOKUP(G6,$B$40:$C$42,2,FALSE),"")</f>
        <v>4</v>
      </c>
      <c r="J6" s="13">
        <v>0.9</v>
      </c>
      <c r="L6" s="14">
        <v>11</v>
      </c>
      <c r="M6" s="13">
        <v>1.2</v>
      </c>
      <c r="N6" s="13">
        <v>31.54</v>
      </c>
      <c r="P6" s="37" t="s">
        <v>14</v>
      </c>
      <c r="Q6" s="37" t="s">
        <v>26</v>
      </c>
      <c r="R6" s="37" t="str">
        <f t="shared" si="1"/>
        <v>Existing CHP plant - LFO_thermal</v>
      </c>
      <c r="S6" s="37" t="s">
        <v>16</v>
      </c>
      <c r="T6" s="37" t="s">
        <v>17</v>
      </c>
      <c r="U6" s="37" t="s">
        <v>18</v>
      </c>
      <c r="V6" s="37" t="s">
        <v>19</v>
      </c>
      <c r="X6" s="37"/>
      <c r="Y6" s="37" t="s">
        <v>50</v>
      </c>
      <c r="Z6" s="37" t="str">
        <f t="shared" si="2"/>
        <v>ELCWIN</v>
      </c>
      <c r="AA6" s="37" t="s">
        <v>16</v>
      </c>
      <c r="AB6" s="37"/>
      <c r="AC6" s="37"/>
      <c r="AD6" s="37"/>
      <c r="AE6" s="37"/>
    </row>
    <row r="7" spans="2:31" s="13" customFormat="1" ht="15">
      <c r="B7" s="13" t="str">
        <f t="shared" si="0"/>
        <v>ECHP_lignite_thermal</v>
      </c>
      <c r="C7" s="13" t="s">
        <v>27</v>
      </c>
      <c r="D7" s="13" t="s">
        <v>139</v>
      </c>
      <c r="E7" s="13">
        <v>25</v>
      </c>
      <c r="F7" s="13">
        <v>200</v>
      </c>
      <c r="G7" s="18">
        <v>30</v>
      </c>
      <c r="H7" s="13">
        <v>2</v>
      </c>
      <c r="I7" s="13">
        <f t="shared" si="3"/>
        <v>2</v>
      </c>
      <c r="J7" s="13">
        <v>0.91</v>
      </c>
      <c r="L7" s="14">
        <v>11</v>
      </c>
      <c r="M7" s="13">
        <v>1.2</v>
      </c>
      <c r="N7" s="13">
        <v>31.54</v>
      </c>
      <c r="P7" s="37" t="s">
        <v>14</v>
      </c>
      <c r="Q7" s="37" t="s">
        <v>28</v>
      </c>
      <c r="R7" s="37" t="str">
        <f t="shared" si="1"/>
        <v>Existing CHP plant - lignite_thermal</v>
      </c>
      <c r="S7" s="37" t="s">
        <v>16</v>
      </c>
      <c r="T7" s="37" t="s">
        <v>17</v>
      </c>
      <c r="U7" s="37" t="s">
        <v>18</v>
      </c>
      <c r="V7" s="37" t="s">
        <v>19</v>
      </c>
      <c r="X7" s="37"/>
      <c r="Y7" s="38" t="s">
        <v>35</v>
      </c>
      <c r="Z7" s="37" t="s">
        <v>91</v>
      </c>
      <c r="AA7" s="37" t="s">
        <v>16</v>
      </c>
      <c r="AB7" s="37"/>
      <c r="AC7" s="37" t="s">
        <v>18</v>
      </c>
      <c r="AD7" s="37" t="s">
        <v>90</v>
      </c>
      <c r="AE7" s="37" t="s">
        <v>71</v>
      </c>
    </row>
    <row r="8" spans="2:31" s="20" customFormat="1" ht="15">
      <c r="B8" s="20" t="str">
        <f t="shared" si="0"/>
        <v>ECHP_naturalgas_CCGT</v>
      </c>
      <c r="C8" s="21" t="s">
        <v>29</v>
      </c>
      <c r="D8" s="21" t="s">
        <v>139</v>
      </c>
      <c r="E8" s="20">
        <v>25</v>
      </c>
      <c r="F8" s="20">
        <v>200</v>
      </c>
      <c r="G8" s="23">
        <v>7</v>
      </c>
      <c r="H8" s="20">
        <v>2</v>
      </c>
      <c r="I8" s="27">
        <v>0.65</v>
      </c>
      <c r="J8" s="20">
        <v>0.85</v>
      </c>
      <c r="K8" s="32">
        <v>0.97</v>
      </c>
      <c r="L8" s="28"/>
      <c r="M8" s="27"/>
      <c r="N8" s="20">
        <v>31.54</v>
      </c>
      <c r="P8" s="29" t="s">
        <v>14</v>
      </c>
      <c r="Q8" s="29" t="s">
        <v>30</v>
      </c>
      <c r="R8" s="29" t="str">
        <f t="shared" si="1"/>
        <v>Existing CHP plant - naturalgas_CCGT</v>
      </c>
      <c r="S8" s="29" t="s">
        <v>16</v>
      </c>
      <c r="T8" s="29" t="s">
        <v>17</v>
      </c>
      <c r="U8" s="29" t="s">
        <v>18</v>
      </c>
      <c r="V8" s="29" t="s">
        <v>19</v>
      </c>
      <c r="X8" s="29"/>
      <c r="Y8" s="29" t="s">
        <v>61</v>
      </c>
      <c r="Z8" s="29" t="str">
        <f t="shared" si="2"/>
        <v>HETHTH</v>
      </c>
      <c r="AA8" s="29" t="s">
        <v>16</v>
      </c>
      <c r="AB8" s="29"/>
      <c r="AC8" s="29" t="s">
        <v>21</v>
      </c>
      <c r="AD8" s="29" t="s">
        <v>90</v>
      </c>
      <c r="AE8" s="29" t="s">
        <v>72</v>
      </c>
    </row>
    <row r="9" spans="2:31" s="20" customFormat="1" ht="15">
      <c r="B9" s="20" t="str">
        <f t="shared" si="0"/>
        <v>ECHP_naturalgas_OCGT</v>
      </c>
      <c r="C9" s="21" t="s">
        <v>29</v>
      </c>
      <c r="D9" s="21" t="s">
        <v>139</v>
      </c>
      <c r="E9" s="20">
        <v>25</v>
      </c>
      <c r="F9" s="20">
        <v>200</v>
      </c>
      <c r="G9" s="23">
        <v>7</v>
      </c>
      <c r="H9" s="20">
        <v>2</v>
      </c>
      <c r="I9" s="27">
        <v>0.65</v>
      </c>
      <c r="J9" s="20">
        <v>0.85</v>
      </c>
      <c r="K9" s="32">
        <v>0.97</v>
      </c>
      <c r="L9" s="28"/>
      <c r="M9" s="27"/>
      <c r="N9" s="20">
        <v>31.54</v>
      </c>
      <c r="P9" s="29" t="s">
        <v>14</v>
      </c>
      <c r="Q9" s="29" t="s">
        <v>31</v>
      </c>
      <c r="R9" s="29" t="str">
        <f t="shared" si="1"/>
        <v>Existing CHP plant - naturalgas_OCGT</v>
      </c>
      <c r="S9" s="29" t="s">
        <v>16</v>
      </c>
      <c r="T9" s="29" t="s">
        <v>17</v>
      </c>
      <c r="U9" s="29" t="s">
        <v>18</v>
      </c>
      <c r="V9" s="29" t="s">
        <v>19</v>
      </c>
      <c r="Y9" s="29" t="s">
        <v>77</v>
      </c>
      <c r="Z9" s="20" t="str">
        <f t="shared" si="2"/>
        <v>ELCHYD</v>
      </c>
      <c r="AA9" s="29" t="s">
        <v>16</v>
      </c>
    </row>
    <row r="10" spans="2:31" s="20" customFormat="1" ht="15">
      <c r="B10" s="20" t="str">
        <f t="shared" si="0"/>
        <v>ECHP_naturalgas_thermal</v>
      </c>
      <c r="C10" s="21" t="s">
        <v>29</v>
      </c>
      <c r="D10" s="21" t="s">
        <v>139</v>
      </c>
      <c r="E10" s="20">
        <v>5</v>
      </c>
      <c r="F10" s="20">
        <v>35</v>
      </c>
      <c r="G10" s="23">
        <v>6</v>
      </c>
      <c r="H10" s="20">
        <v>2</v>
      </c>
      <c r="I10" s="27">
        <v>1.1200000000000001</v>
      </c>
      <c r="J10" s="20">
        <v>0.85</v>
      </c>
      <c r="K10" s="32">
        <v>0.4</v>
      </c>
      <c r="L10" s="28"/>
      <c r="M10" s="27"/>
      <c r="N10" s="20">
        <v>31.54</v>
      </c>
      <c r="P10" s="29" t="s">
        <v>14</v>
      </c>
      <c r="Q10" s="29" t="s">
        <v>32</v>
      </c>
      <c r="R10" s="29" t="str">
        <f t="shared" si="1"/>
        <v>Existing CHP plant - naturalgas_thermal</v>
      </c>
      <c r="S10" s="29" t="s">
        <v>16</v>
      </c>
      <c r="T10" s="29" t="s">
        <v>17</v>
      </c>
      <c r="U10" s="29" t="s">
        <v>18</v>
      </c>
      <c r="V10" s="29" t="s">
        <v>19</v>
      </c>
      <c r="Y10" s="30"/>
    </row>
    <row r="11" spans="2:31" s="20" customFormat="1" ht="15">
      <c r="B11" s="20" t="str">
        <f t="shared" si="0"/>
        <v>ECHP_PV</v>
      </c>
      <c r="C11" s="21" t="s">
        <v>33</v>
      </c>
      <c r="D11" s="21" t="s">
        <v>139</v>
      </c>
      <c r="E11" s="20">
        <v>20</v>
      </c>
      <c r="F11" s="20">
        <v>25</v>
      </c>
      <c r="G11" s="23">
        <v>57</v>
      </c>
      <c r="H11" s="20">
        <v>2</v>
      </c>
      <c r="I11" s="27" t="str">
        <f t="shared" ref="I11" si="4">IFERROR(VLOOKUP(G11,$B$40:$C$42,2,FALSE),"")</f>
        <v/>
      </c>
      <c r="K11" s="20">
        <v>1</v>
      </c>
      <c r="L11" s="28"/>
      <c r="M11" s="27"/>
      <c r="N11" s="20">
        <v>31.54</v>
      </c>
      <c r="P11" s="29" t="s">
        <v>14</v>
      </c>
      <c r="Q11" s="29" t="s">
        <v>34</v>
      </c>
      <c r="R11" s="29" t="str">
        <f t="shared" si="1"/>
        <v>Existing CHP plant - PV</v>
      </c>
      <c r="S11" s="29" t="s">
        <v>16</v>
      </c>
      <c r="T11" s="29" t="s">
        <v>17</v>
      </c>
      <c r="U11" s="29" t="s">
        <v>18</v>
      </c>
      <c r="V11" s="29" t="s">
        <v>19</v>
      </c>
      <c r="Y11" s="30"/>
    </row>
    <row r="12" spans="2:31" s="20" customFormat="1" ht="15">
      <c r="B12" s="20" t="str">
        <f t="shared" si="0"/>
        <v>EEPP_biomass_CCGT</v>
      </c>
      <c r="C12" s="21" t="s">
        <v>51</v>
      </c>
      <c r="D12" s="21" t="s">
        <v>71</v>
      </c>
      <c r="E12" s="20">
        <v>5</v>
      </c>
      <c r="F12" s="20">
        <v>30</v>
      </c>
      <c r="G12" s="23">
        <v>106</v>
      </c>
      <c r="H12" s="31">
        <v>2</v>
      </c>
      <c r="I12" s="31">
        <v>1.06</v>
      </c>
      <c r="J12" s="35">
        <v>0.75</v>
      </c>
      <c r="K12" s="35">
        <v>0.35</v>
      </c>
      <c r="L12" s="28"/>
      <c r="M12" s="27"/>
      <c r="N12" s="20">
        <v>31.54</v>
      </c>
      <c r="P12" s="29" t="s">
        <v>36</v>
      </c>
      <c r="Q12" s="29" t="s">
        <v>37</v>
      </c>
      <c r="R12" s="29" t="str">
        <f>"Existing Electricity plant - " &amp; MID(Q12,6,50)</f>
        <v>Existing Electricity plant - biomass_CCGT</v>
      </c>
      <c r="S12" s="29" t="s">
        <v>16</v>
      </c>
      <c r="T12" s="29" t="s">
        <v>17</v>
      </c>
      <c r="U12" s="29" t="s">
        <v>18</v>
      </c>
      <c r="V12" s="29" t="s">
        <v>19</v>
      </c>
      <c r="Y12" s="30"/>
    </row>
    <row r="13" spans="2:31" s="20" customFormat="1" ht="15">
      <c r="B13" s="29" t="str">
        <f>Q13</f>
        <v>EEPP_biomass_thermal</v>
      </c>
      <c r="C13" s="21" t="s">
        <v>51</v>
      </c>
      <c r="D13" s="21" t="s">
        <v>71</v>
      </c>
      <c r="E13" s="20">
        <v>5</v>
      </c>
      <c r="F13" s="20">
        <v>30</v>
      </c>
      <c r="G13" s="23">
        <v>106</v>
      </c>
      <c r="H13" s="31">
        <v>2</v>
      </c>
      <c r="I13" s="31">
        <v>1.06</v>
      </c>
      <c r="J13" s="35">
        <v>0.75</v>
      </c>
      <c r="K13" s="35">
        <v>0.35</v>
      </c>
      <c r="L13" s="28"/>
      <c r="M13" s="27"/>
      <c r="N13" s="20">
        <v>31.54</v>
      </c>
      <c r="P13" s="29" t="s">
        <v>36</v>
      </c>
      <c r="Q13" s="29" t="s">
        <v>38</v>
      </c>
      <c r="R13" s="29" t="str">
        <f t="shared" ref="R13:R23" si="5">"Existing Electricity plant - " &amp; MID(Q13,6,50)</f>
        <v>Existing Electricity plant - biomass_thermal</v>
      </c>
      <c r="S13" s="29" t="s">
        <v>16</v>
      </c>
      <c r="T13" s="29" t="s">
        <v>17</v>
      </c>
      <c r="U13" s="29" t="s">
        <v>18</v>
      </c>
      <c r="V13" s="29" t="s">
        <v>19</v>
      </c>
      <c r="Y13" s="30"/>
    </row>
    <row r="14" spans="2:31" s="20" customFormat="1" ht="15">
      <c r="B14" s="20" t="str">
        <f t="shared" si="0"/>
        <v>EEPP_coal_CCGT</v>
      </c>
      <c r="C14" s="21" t="s">
        <v>20</v>
      </c>
      <c r="D14" s="21" t="s">
        <v>71</v>
      </c>
      <c r="E14" s="20">
        <v>5</v>
      </c>
      <c r="F14" s="20">
        <v>40</v>
      </c>
      <c r="G14" s="23">
        <v>47</v>
      </c>
      <c r="H14" s="20">
        <v>2</v>
      </c>
      <c r="I14" s="27">
        <v>1.46</v>
      </c>
      <c r="J14" s="20">
        <v>0.86</v>
      </c>
      <c r="K14" s="32">
        <v>0.4</v>
      </c>
      <c r="L14" s="28"/>
      <c r="M14" s="27"/>
      <c r="N14" s="20">
        <v>31.54</v>
      </c>
      <c r="P14" s="29" t="s">
        <v>36</v>
      </c>
      <c r="Q14" s="29" t="s">
        <v>39</v>
      </c>
      <c r="R14" s="29" t="str">
        <f t="shared" si="5"/>
        <v>Existing Electricity plant - coal_CCGT</v>
      </c>
      <c r="S14" s="29" t="s">
        <v>16</v>
      </c>
      <c r="T14" s="29" t="s">
        <v>17</v>
      </c>
      <c r="U14" s="29" t="s">
        <v>18</v>
      </c>
      <c r="V14" s="29" t="s">
        <v>19</v>
      </c>
      <c r="Y14" s="30"/>
    </row>
    <row r="15" spans="2:31" s="20" customFormat="1" ht="15">
      <c r="B15" s="20" t="str">
        <f t="shared" si="0"/>
        <v>EEPP_coal_thermal</v>
      </c>
      <c r="C15" s="21" t="s">
        <v>20</v>
      </c>
      <c r="D15" s="21" t="s">
        <v>71</v>
      </c>
      <c r="E15" s="22">
        <v>5</v>
      </c>
      <c r="F15" s="22">
        <v>35</v>
      </c>
      <c r="G15" s="23">
        <v>26</v>
      </c>
      <c r="H15" s="22">
        <v>2</v>
      </c>
      <c r="I15" s="23">
        <v>1.05</v>
      </c>
      <c r="J15" s="22">
        <v>0.86</v>
      </c>
      <c r="K15" s="25">
        <v>0.38</v>
      </c>
      <c r="L15" s="28"/>
      <c r="M15" s="27"/>
      <c r="N15" s="20">
        <v>31.54</v>
      </c>
      <c r="P15" s="29" t="s">
        <v>36</v>
      </c>
      <c r="Q15" s="29" t="s">
        <v>40</v>
      </c>
      <c r="R15" s="29" t="str">
        <f t="shared" si="5"/>
        <v>Existing Electricity plant - coal_thermal</v>
      </c>
      <c r="S15" s="29" t="s">
        <v>16</v>
      </c>
      <c r="T15" s="29" t="s">
        <v>17</v>
      </c>
      <c r="U15" s="29" t="s">
        <v>18</v>
      </c>
      <c r="V15" s="29" t="s">
        <v>19</v>
      </c>
      <c r="Y15" s="30"/>
    </row>
    <row r="16" spans="2:31" s="20" customFormat="1" ht="15">
      <c r="B16" s="20" t="str">
        <f t="shared" si="0"/>
        <v>EEPP_geothermal</v>
      </c>
      <c r="C16" s="21" t="s">
        <v>41</v>
      </c>
      <c r="D16" s="21" t="s">
        <v>71</v>
      </c>
      <c r="E16" s="20">
        <v>25</v>
      </c>
      <c r="F16" s="20">
        <v>200</v>
      </c>
      <c r="G16" s="23">
        <v>100</v>
      </c>
      <c r="H16" s="20">
        <v>2</v>
      </c>
      <c r="I16" s="27">
        <v>15.93</v>
      </c>
      <c r="J16" s="20">
        <v>0.9</v>
      </c>
      <c r="K16" s="20">
        <v>1</v>
      </c>
      <c r="L16" s="28"/>
      <c r="M16" s="27"/>
      <c r="N16" s="20">
        <v>31.54</v>
      </c>
      <c r="P16" s="29" t="s">
        <v>36</v>
      </c>
      <c r="Q16" s="29" t="s">
        <v>42</v>
      </c>
      <c r="R16" s="29" t="str">
        <f t="shared" si="5"/>
        <v>Existing Electricity plant - geothermal</v>
      </c>
      <c r="S16" s="29" t="s">
        <v>16</v>
      </c>
      <c r="T16" s="29" t="s">
        <v>17</v>
      </c>
      <c r="U16" s="29" t="s">
        <v>18</v>
      </c>
      <c r="V16" s="29" t="s">
        <v>19</v>
      </c>
      <c r="Y16" s="30"/>
    </row>
    <row r="17" spans="2:25" s="20" customFormat="1" ht="15">
      <c r="B17" s="20" t="str">
        <f t="shared" si="0"/>
        <v>EEPP_HFO_thermal</v>
      </c>
      <c r="C17" s="21" t="s">
        <v>23</v>
      </c>
      <c r="D17" s="21" t="s">
        <v>71</v>
      </c>
      <c r="E17" s="20">
        <v>5</v>
      </c>
      <c r="F17" s="20">
        <v>35</v>
      </c>
      <c r="G17" s="23">
        <v>15</v>
      </c>
      <c r="H17" s="20">
        <v>2</v>
      </c>
      <c r="I17" s="27">
        <v>0.89</v>
      </c>
      <c r="J17" s="20">
        <v>0.6</v>
      </c>
      <c r="K17" s="32">
        <v>0.3</v>
      </c>
      <c r="L17" s="28"/>
      <c r="M17" s="27"/>
      <c r="N17" s="20">
        <v>31.54</v>
      </c>
      <c r="P17" s="29" t="s">
        <v>36</v>
      </c>
      <c r="Q17" s="29" t="s">
        <v>43</v>
      </c>
      <c r="R17" s="29" t="str">
        <f t="shared" si="5"/>
        <v>Existing Electricity plant - HFO_thermal</v>
      </c>
      <c r="S17" s="29" t="s">
        <v>16</v>
      </c>
      <c r="T17" s="29" t="s">
        <v>17</v>
      </c>
      <c r="U17" s="29" t="s">
        <v>18</v>
      </c>
      <c r="V17" s="29" t="s">
        <v>19</v>
      </c>
      <c r="Y17" s="30"/>
    </row>
    <row r="18" spans="2:25" s="13" customFormat="1" ht="15">
      <c r="B18" s="13" t="str">
        <f t="shared" si="0"/>
        <v>EEPP_LFO_thermal</v>
      </c>
      <c r="C18" s="13" t="s">
        <v>25</v>
      </c>
      <c r="D18" s="13" t="s">
        <v>71</v>
      </c>
      <c r="E18" s="13">
        <v>25</v>
      </c>
      <c r="F18" s="13">
        <v>200</v>
      </c>
      <c r="G18" s="18">
        <v>18</v>
      </c>
      <c r="H18" s="13">
        <v>2</v>
      </c>
      <c r="I18" s="13">
        <f t="shared" si="3"/>
        <v>4</v>
      </c>
      <c r="J18" s="13">
        <v>0.9</v>
      </c>
      <c r="L18" s="14">
        <v>11</v>
      </c>
      <c r="N18" s="13">
        <v>31.54</v>
      </c>
      <c r="P18" s="37" t="s">
        <v>36</v>
      </c>
      <c r="Q18" s="37" t="s">
        <v>44</v>
      </c>
      <c r="R18" s="37" t="str">
        <f t="shared" si="5"/>
        <v>Existing Electricity plant - LFO_thermal</v>
      </c>
      <c r="S18" s="37" t="s">
        <v>16</v>
      </c>
      <c r="T18" s="37" t="s">
        <v>17</v>
      </c>
      <c r="U18" s="37" t="s">
        <v>18</v>
      </c>
      <c r="V18" s="37" t="s">
        <v>19</v>
      </c>
      <c r="Y18" s="14"/>
    </row>
    <row r="19" spans="2:25" s="13" customFormat="1" ht="15">
      <c r="B19" s="13" t="str">
        <f t="shared" si="0"/>
        <v>EEPP_lignite_thermal</v>
      </c>
      <c r="C19" s="13" t="s">
        <v>27</v>
      </c>
      <c r="D19" s="13" t="s">
        <v>71</v>
      </c>
      <c r="E19" s="13">
        <v>25</v>
      </c>
      <c r="F19" s="13">
        <v>200</v>
      </c>
      <c r="G19" s="18">
        <v>30</v>
      </c>
      <c r="H19" s="13">
        <v>2</v>
      </c>
      <c r="I19" s="13">
        <f t="shared" si="3"/>
        <v>2</v>
      </c>
      <c r="J19" s="13">
        <v>0.9</v>
      </c>
      <c r="L19" s="14">
        <v>11</v>
      </c>
      <c r="N19" s="13">
        <v>31.54</v>
      </c>
      <c r="P19" s="37" t="s">
        <v>36</v>
      </c>
      <c r="Q19" s="37" t="s">
        <v>45</v>
      </c>
      <c r="R19" s="37" t="str">
        <f t="shared" si="5"/>
        <v>Existing Electricity plant - lignite_thermal</v>
      </c>
      <c r="S19" s="37" t="s">
        <v>16</v>
      </c>
      <c r="T19" s="37" t="s">
        <v>17</v>
      </c>
      <c r="U19" s="37" t="s">
        <v>18</v>
      </c>
      <c r="V19" s="37" t="s">
        <v>19</v>
      </c>
      <c r="Y19" s="14"/>
    </row>
    <row r="20" spans="2:25" s="20" customFormat="1" ht="15">
      <c r="B20" s="20" t="str">
        <f t="shared" si="0"/>
        <v>EEPP_naturalgas_CCGT</v>
      </c>
      <c r="C20" s="21" t="s">
        <v>29</v>
      </c>
      <c r="D20" s="21" t="s">
        <v>71</v>
      </c>
      <c r="E20" s="20">
        <v>25</v>
      </c>
      <c r="F20" s="20">
        <v>200</v>
      </c>
      <c r="G20" s="23">
        <v>7</v>
      </c>
      <c r="H20" s="20">
        <v>2</v>
      </c>
      <c r="I20" s="27">
        <v>0.65</v>
      </c>
      <c r="J20" s="20">
        <v>0.85</v>
      </c>
      <c r="K20" s="32">
        <v>0.97</v>
      </c>
      <c r="L20" s="28"/>
      <c r="M20" s="27"/>
      <c r="N20" s="20">
        <v>31.54</v>
      </c>
      <c r="P20" s="29" t="s">
        <v>36</v>
      </c>
      <c r="Q20" s="29" t="s">
        <v>46</v>
      </c>
      <c r="R20" s="29" t="str">
        <f t="shared" si="5"/>
        <v>Existing Electricity plant - naturalgas_CCGT</v>
      </c>
      <c r="S20" s="29" t="s">
        <v>16</v>
      </c>
      <c r="T20" s="29" t="s">
        <v>17</v>
      </c>
      <c r="U20" s="29" t="s">
        <v>18</v>
      </c>
      <c r="V20" s="29" t="s">
        <v>19</v>
      </c>
      <c r="Y20" s="30"/>
    </row>
    <row r="21" spans="2:25" s="20" customFormat="1" ht="15">
      <c r="B21" s="20" t="str">
        <f t="shared" si="0"/>
        <v>EEPP_naturalgas_OCGT</v>
      </c>
      <c r="C21" s="21" t="s">
        <v>29</v>
      </c>
      <c r="D21" s="21" t="s">
        <v>71</v>
      </c>
      <c r="E21" s="20">
        <v>25</v>
      </c>
      <c r="F21" s="20">
        <v>200</v>
      </c>
      <c r="G21" s="23">
        <v>7</v>
      </c>
      <c r="H21" s="20">
        <v>2</v>
      </c>
      <c r="I21" s="27">
        <v>0.65</v>
      </c>
      <c r="J21" s="20">
        <v>0.85</v>
      </c>
      <c r="K21" s="32">
        <v>0.97</v>
      </c>
      <c r="L21" s="28"/>
      <c r="M21" s="27"/>
      <c r="N21" s="20">
        <v>31.54</v>
      </c>
      <c r="P21" s="29" t="s">
        <v>36</v>
      </c>
      <c r="Q21" s="29" t="s">
        <v>47</v>
      </c>
      <c r="R21" s="29" t="str">
        <f t="shared" si="5"/>
        <v>Existing Electricity plant - naturalgas_OCGT</v>
      </c>
      <c r="S21" s="29" t="s">
        <v>16</v>
      </c>
      <c r="T21" s="29" t="s">
        <v>17</v>
      </c>
      <c r="U21" s="29" t="s">
        <v>18</v>
      </c>
      <c r="V21" s="29" t="s">
        <v>19</v>
      </c>
      <c r="Y21" s="30"/>
    </row>
    <row r="22" spans="2:25" s="20" customFormat="1" ht="15">
      <c r="B22" s="20" t="str">
        <f t="shared" si="0"/>
        <v>EEPP_naturalgas_thermal</v>
      </c>
      <c r="C22" s="21" t="s">
        <v>29</v>
      </c>
      <c r="D22" s="21" t="s">
        <v>71</v>
      </c>
      <c r="E22" s="20">
        <v>5</v>
      </c>
      <c r="F22" s="20">
        <v>35</v>
      </c>
      <c r="G22" s="23">
        <v>6</v>
      </c>
      <c r="H22" s="20">
        <v>2</v>
      </c>
      <c r="I22" s="27">
        <v>1.1200000000000001</v>
      </c>
      <c r="J22" s="20">
        <v>0.85</v>
      </c>
      <c r="K22" s="32">
        <v>0.4</v>
      </c>
      <c r="L22" s="28"/>
      <c r="M22" s="27"/>
      <c r="N22" s="20">
        <v>31.54</v>
      </c>
      <c r="P22" s="29" t="s">
        <v>36</v>
      </c>
      <c r="Q22" s="29" t="s">
        <v>48</v>
      </c>
      <c r="R22" s="29" t="str">
        <f t="shared" si="5"/>
        <v>Existing Electricity plant - naturalgas_thermal</v>
      </c>
      <c r="S22" s="29" t="s">
        <v>16</v>
      </c>
      <c r="T22" s="29" t="s">
        <v>17</v>
      </c>
      <c r="U22" s="29" t="s">
        <v>18</v>
      </c>
      <c r="V22" s="29" t="s">
        <v>19</v>
      </c>
      <c r="Y22" s="30"/>
    </row>
    <row r="23" spans="2:25" s="20" customFormat="1" ht="15">
      <c r="B23" s="20" t="str">
        <f t="shared" si="0"/>
        <v>EEPP_PV</v>
      </c>
      <c r="C23" s="21" t="s">
        <v>33</v>
      </c>
      <c r="D23" s="21" t="s">
        <v>71</v>
      </c>
      <c r="E23" s="20">
        <v>20</v>
      </c>
      <c r="F23" s="20">
        <v>25</v>
      </c>
      <c r="G23" s="23">
        <v>57</v>
      </c>
      <c r="H23" s="20">
        <v>2</v>
      </c>
      <c r="I23" s="27" t="str">
        <f t="shared" si="3"/>
        <v/>
      </c>
      <c r="K23" s="20">
        <v>1</v>
      </c>
      <c r="L23" s="28"/>
      <c r="M23" s="27"/>
      <c r="N23" s="20">
        <v>31.54</v>
      </c>
      <c r="P23" s="29" t="s">
        <v>36</v>
      </c>
      <c r="Q23" s="29" t="s">
        <v>49</v>
      </c>
      <c r="R23" s="29" t="str">
        <f t="shared" si="5"/>
        <v>Existing Electricity plant - PV</v>
      </c>
      <c r="S23" s="29" t="s">
        <v>16</v>
      </c>
      <c r="T23" s="29" t="s">
        <v>17</v>
      </c>
      <c r="U23" s="29" t="s">
        <v>18</v>
      </c>
      <c r="V23" s="29" t="s">
        <v>19</v>
      </c>
      <c r="Y23" s="30"/>
    </row>
    <row r="24" spans="2:25" s="20" customFormat="1" ht="15">
      <c r="B24" s="20" t="str">
        <f t="shared" si="0"/>
        <v>EEPP_CSP</v>
      </c>
      <c r="C24" s="21" t="s">
        <v>33</v>
      </c>
      <c r="D24" s="21" t="s">
        <v>71</v>
      </c>
      <c r="E24" s="20">
        <v>20</v>
      </c>
      <c r="F24" s="20">
        <v>25</v>
      </c>
      <c r="G24" s="23">
        <v>57</v>
      </c>
      <c r="H24" s="20">
        <v>2</v>
      </c>
      <c r="I24" s="27" t="str">
        <f t="shared" ref="I24" si="6">IFERROR(VLOOKUP(G24,$B$40:$C$42,2,FALSE),"")</f>
        <v/>
      </c>
      <c r="K24" s="20">
        <v>1</v>
      </c>
      <c r="L24" s="28"/>
      <c r="M24" s="27"/>
      <c r="N24" s="20">
        <v>31.54</v>
      </c>
      <c r="P24" s="29" t="s">
        <v>36</v>
      </c>
      <c r="Q24" s="29" t="s">
        <v>58</v>
      </c>
      <c r="R24" s="29" t="str">
        <f>"Existing Electricity plant - " &amp; MID(Q24,6,50)</f>
        <v>Existing Electricity plant - CSP</v>
      </c>
      <c r="S24" s="29" t="s">
        <v>16</v>
      </c>
      <c r="T24" s="29" t="s">
        <v>17</v>
      </c>
      <c r="U24" s="29" t="s">
        <v>18</v>
      </c>
      <c r="V24" s="29" t="s">
        <v>19</v>
      </c>
      <c r="Y24" s="30"/>
    </row>
    <row r="25" spans="2:25" s="20" customFormat="1" ht="15">
      <c r="B25" s="20" t="str">
        <f t="shared" si="0"/>
        <v>EEPP_windOFF</v>
      </c>
      <c r="C25" s="21" t="s">
        <v>50</v>
      </c>
      <c r="D25" s="21" t="s">
        <v>71</v>
      </c>
      <c r="E25" s="22">
        <v>25</v>
      </c>
      <c r="F25" s="23">
        <v>30</v>
      </c>
      <c r="G25" s="23">
        <v>68</v>
      </c>
      <c r="H25" s="20">
        <v>2</v>
      </c>
      <c r="I25" s="27" t="str">
        <f t="shared" ref="I25" si="7">IFERROR(VLOOKUP(G25,$B$40:$C$42,2,FALSE),"")</f>
        <v/>
      </c>
      <c r="K25" s="22">
        <v>1</v>
      </c>
      <c r="L25" s="28"/>
      <c r="M25" s="27"/>
      <c r="N25" s="20">
        <v>31.54</v>
      </c>
      <c r="P25" s="29" t="s">
        <v>36</v>
      </c>
      <c r="Q25" s="29" t="s">
        <v>59</v>
      </c>
      <c r="R25" s="29" t="str">
        <f>"Existing Electricity plant - " &amp; MID(Q25,6,50)&amp;" - offshore"</f>
        <v>Existing Electricity plant - windOFF - offshore</v>
      </c>
      <c r="S25" s="29" t="s">
        <v>16</v>
      </c>
      <c r="T25" s="29" t="s">
        <v>17</v>
      </c>
      <c r="U25" s="29" t="s">
        <v>18</v>
      </c>
      <c r="V25" s="29" t="s">
        <v>19</v>
      </c>
      <c r="Y25" s="30"/>
    </row>
    <row r="26" spans="2:25" s="20" customFormat="1" ht="15">
      <c r="B26" s="20" t="str">
        <f>Q26</f>
        <v>EEPP_windON</v>
      </c>
      <c r="C26" s="21" t="s">
        <v>50</v>
      </c>
      <c r="D26" s="21" t="s">
        <v>71</v>
      </c>
      <c r="E26" s="22">
        <v>25</v>
      </c>
      <c r="F26" s="23">
        <v>30</v>
      </c>
      <c r="G26" s="23">
        <v>68</v>
      </c>
      <c r="H26" s="20">
        <v>2</v>
      </c>
      <c r="I26" s="27" t="str">
        <f t="shared" si="3"/>
        <v/>
      </c>
      <c r="K26" s="22">
        <v>1</v>
      </c>
      <c r="L26" s="28"/>
      <c r="M26" s="27"/>
      <c r="N26" s="20">
        <v>31.54</v>
      </c>
      <c r="P26" s="29" t="s">
        <v>36</v>
      </c>
      <c r="Q26" s="29" t="s">
        <v>60</v>
      </c>
      <c r="R26" s="29" t="str">
        <f>"Existing Electricity plant - " &amp; MID(Q26,6,50)&amp;" - onshore"</f>
        <v>Existing Electricity plant - windON - onshore</v>
      </c>
      <c r="S26" s="29" t="s">
        <v>16</v>
      </c>
      <c r="T26" s="29" t="s">
        <v>17</v>
      </c>
      <c r="U26" s="29" t="s">
        <v>18</v>
      </c>
      <c r="V26" s="29" t="s">
        <v>19</v>
      </c>
      <c r="Y26" s="30"/>
    </row>
    <row r="27" spans="2:25" s="20" customFormat="1" ht="15">
      <c r="B27" s="20" t="str">
        <f t="shared" ref="B27" si="8">Q27</f>
        <v>EEPP_OCE</v>
      </c>
      <c r="C27" s="33" t="s">
        <v>136</v>
      </c>
      <c r="D27" s="21" t="s">
        <v>71</v>
      </c>
      <c r="E27" s="20">
        <v>20</v>
      </c>
      <c r="F27" s="20">
        <v>25</v>
      </c>
      <c r="G27" s="23">
        <v>128</v>
      </c>
      <c r="H27" s="20">
        <v>2</v>
      </c>
      <c r="I27" s="27" t="str">
        <f t="shared" si="3"/>
        <v/>
      </c>
      <c r="J27" s="20">
        <v>0.3</v>
      </c>
      <c r="K27" s="20">
        <v>1</v>
      </c>
      <c r="L27" s="28"/>
      <c r="M27" s="27"/>
      <c r="N27" s="20">
        <v>31.54</v>
      </c>
      <c r="P27" s="29" t="s">
        <v>145</v>
      </c>
      <c r="Q27" s="29" t="s">
        <v>135</v>
      </c>
      <c r="R27" s="29" t="str">
        <f>"Existing Electricity plant - " &amp; MID(Q27,6,50)&amp;" - offshore"</f>
        <v>Existing Electricity plant - OCE - offshore</v>
      </c>
      <c r="S27" s="29" t="s">
        <v>16</v>
      </c>
      <c r="T27" s="29" t="s">
        <v>17</v>
      </c>
      <c r="U27" s="29" t="s">
        <v>18</v>
      </c>
      <c r="V27" s="29" t="s">
        <v>19</v>
      </c>
      <c r="Y27" s="30"/>
    </row>
    <row r="28" spans="2:25">
      <c r="B28" s="20" t="str">
        <f t="shared" ref="B28:B29" si="9">Q28</f>
        <v>EUHYDDAM00</v>
      </c>
      <c r="C28" s="20" t="s">
        <v>77</v>
      </c>
      <c r="D28" s="21" t="s">
        <v>71</v>
      </c>
      <c r="E28" s="22">
        <v>50</v>
      </c>
      <c r="F28" s="22">
        <v>100</v>
      </c>
      <c r="G28" s="23">
        <v>17</v>
      </c>
      <c r="H28" s="22">
        <v>2</v>
      </c>
      <c r="I28" s="24">
        <v>0.63</v>
      </c>
      <c r="J28" s="22"/>
      <c r="K28" s="25">
        <v>0.97</v>
      </c>
      <c r="L28" s="24"/>
      <c r="M28" s="24"/>
      <c r="N28" s="22">
        <v>31.54</v>
      </c>
      <c r="P28" s="3" t="s">
        <v>36</v>
      </c>
      <c r="Q28" s="1" t="s">
        <v>73</v>
      </c>
      <c r="R28" s="1" t="s">
        <v>75</v>
      </c>
      <c r="S28" s="3" t="s">
        <v>16</v>
      </c>
      <c r="T28" s="3" t="s">
        <v>17</v>
      </c>
      <c r="U28" s="3" t="s">
        <v>18</v>
      </c>
      <c r="V28" s="3" t="s">
        <v>19</v>
      </c>
    </row>
    <row r="29" spans="2:25">
      <c r="B29" s="20" t="str">
        <f t="shared" si="9"/>
        <v>EUHYDRUN00</v>
      </c>
      <c r="C29" s="20" t="s">
        <v>77</v>
      </c>
      <c r="D29" s="21" t="s">
        <v>71</v>
      </c>
      <c r="E29" s="22">
        <v>50</v>
      </c>
      <c r="F29" s="22">
        <v>100</v>
      </c>
      <c r="G29" s="23">
        <v>24</v>
      </c>
      <c r="H29" s="22">
        <v>2</v>
      </c>
      <c r="I29" s="24"/>
      <c r="J29" s="22"/>
      <c r="K29" s="25">
        <v>0.97</v>
      </c>
      <c r="L29" s="24"/>
      <c r="M29" s="24"/>
      <c r="N29" s="22">
        <v>31.54</v>
      </c>
      <c r="P29" s="3" t="s">
        <v>36</v>
      </c>
      <c r="Q29" s="1" t="s">
        <v>74</v>
      </c>
      <c r="R29" s="1" t="s">
        <v>76</v>
      </c>
      <c r="S29" s="3" t="s">
        <v>16</v>
      </c>
      <c r="T29" s="3" t="s">
        <v>17</v>
      </c>
      <c r="U29" s="3" t="s">
        <v>18</v>
      </c>
      <c r="V29" s="3" t="s">
        <v>19</v>
      </c>
    </row>
    <row r="30" spans="2:25">
      <c r="B30" s="20" t="str">
        <f>Q30</f>
        <v>EEPP_HYDPS</v>
      </c>
      <c r="C30" s="20" t="s">
        <v>71</v>
      </c>
      <c r="D30" s="20" t="s">
        <v>71</v>
      </c>
      <c r="E30" s="20"/>
      <c r="F30" s="22">
        <v>100</v>
      </c>
      <c r="G30" s="24"/>
      <c r="H30" s="22"/>
      <c r="I30" s="24"/>
      <c r="J30" s="22"/>
      <c r="K30" s="45">
        <v>0.97</v>
      </c>
      <c r="L30" s="24"/>
      <c r="M30" s="24"/>
      <c r="N30" s="22">
        <v>31.54</v>
      </c>
      <c r="O30" s="11"/>
      <c r="P30" s="11" t="s">
        <v>109</v>
      </c>
      <c r="Q30" s="11" t="s">
        <v>110</v>
      </c>
      <c r="R30" s="11" t="str">
        <f>"Existing Pumped Storage Plants - "&amp;MID(Q30,8,55)</f>
        <v>Existing Pumped Storage Plants - DPS</v>
      </c>
      <c r="S30" s="12" t="s">
        <v>16</v>
      </c>
      <c r="T30" s="12" t="s">
        <v>17</v>
      </c>
      <c r="U30" s="12" t="s">
        <v>18</v>
      </c>
      <c r="V30" s="12" t="s">
        <v>19</v>
      </c>
    </row>
    <row r="31" spans="2:25">
      <c r="D31" s="2"/>
      <c r="P31" s="3"/>
      <c r="S31" s="3"/>
      <c r="T31" s="3"/>
      <c r="U31" s="3"/>
      <c r="V31" s="3"/>
    </row>
    <row r="32" spans="2:25">
      <c r="B32" s="1" t="s">
        <v>134</v>
      </c>
      <c r="D32" s="2"/>
      <c r="P32" s="3"/>
      <c r="S32" s="3"/>
      <c r="T32" s="3"/>
      <c r="U32" s="3"/>
      <c r="V32" s="3"/>
    </row>
    <row r="33" spans="2:17">
      <c r="E33" s="13" t="s">
        <v>155</v>
      </c>
    </row>
    <row r="34" spans="2:17">
      <c r="E34" s="13" t="s">
        <v>164</v>
      </c>
    </row>
    <row r="35" spans="2:17">
      <c r="E35" s="18" t="s">
        <v>162</v>
      </c>
    </row>
    <row r="36" spans="2:17" ht="15">
      <c r="E36" s="46" t="s">
        <v>156</v>
      </c>
      <c r="Q36"/>
    </row>
    <row r="37" spans="2:17" ht="15">
      <c r="E37" s="46" t="s">
        <v>157</v>
      </c>
      <c r="Q37"/>
    </row>
    <row r="38" spans="2:17" ht="15">
      <c r="E38" s="13" t="s">
        <v>158</v>
      </c>
      <c r="Q38"/>
    </row>
    <row r="39" spans="2:17" ht="15">
      <c r="B39" s="26" t="s">
        <v>137</v>
      </c>
      <c r="C39" s="26"/>
      <c r="E39" s="34" t="s">
        <v>159</v>
      </c>
      <c r="Q39"/>
    </row>
    <row r="40" spans="2:17" ht="15">
      <c r="B40" s="36">
        <v>23</v>
      </c>
      <c r="C40" s="36">
        <v>3</v>
      </c>
      <c r="E40" s="18" t="s">
        <v>160</v>
      </c>
      <c r="Q40"/>
    </row>
    <row r="41" spans="2:17" ht="15">
      <c r="B41" s="36">
        <v>18</v>
      </c>
      <c r="C41" s="36">
        <v>4</v>
      </c>
      <c r="Q41"/>
    </row>
    <row r="42" spans="2:17" ht="15">
      <c r="B42" s="36">
        <v>30</v>
      </c>
      <c r="C42" s="36">
        <v>2</v>
      </c>
      <c r="Q42"/>
    </row>
    <row r="43" spans="2:17" ht="15">
      <c r="Q43"/>
    </row>
    <row r="44" spans="2:17" ht="15">
      <c r="Q44"/>
    </row>
    <row r="45" spans="2:17" ht="15">
      <c r="Q45"/>
    </row>
    <row r="46" spans="2:17" ht="15">
      <c r="Q46"/>
    </row>
    <row r="47" spans="2:17" ht="15">
      <c r="Q47"/>
    </row>
    <row r="48" spans="2:17" ht="15">
      <c r="Q48"/>
    </row>
    <row r="49" spans="17:17" ht="15">
      <c r="Q49"/>
    </row>
    <row r="50" spans="17:17" ht="15">
      <c r="Q50"/>
    </row>
    <row r="51" spans="17:17" ht="15">
      <c r="Q51"/>
    </row>
    <row r="65" spans="10:13">
      <c r="J65" s="48"/>
      <c r="K65" s="48"/>
      <c r="L65" s="48"/>
      <c r="M65" s="48"/>
    </row>
    <row r="66" spans="10:13">
      <c r="J66" s="48"/>
      <c r="K66" s="47"/>
      <c r="L66" s="47"/>
      <c r="M66" s="52"/>
    </row>
    <row r="67" spans="10:13">
      <c r="J67" s="48"/>
      <c r="K67" s="47"/>
      <c r="L67" s="52"/>
      <c r="M67" s="48"/>
    </row>
    <row r="68" spans="10:13">
      <c r="J68" s="48"/>
      <c r="K68" s="47"/>
      <c r="L68" s="47"/>
      <c r="M68" s="53"/>
    </row>
    <row r="69" spans="10:13">
      <c r="J69" s="48"/>
      <c r="K69" s="47"/>
      <c r="L69" s="47"/>
      <c r="M69" s="48"/>
    </row>
    <row r="70" spans="10:13">
      <c r="J70" s="48"/>
      <c r="K70" s="54"/>
      <c r="L70" s="54"/>
      <c r="M70" s="54"/>
    </row>
    <row r="71" spans="10:13">
      <c r="J71" s="48"/>
      <c r="K71" s="54"/>
      <c r="L71" s="54"/>
      <c r="M71" s="54"/>
    </row>
    <row r="72" spans="10:13">
      <c r="J72" s="48"/>
      <c r="K72" s="47"/>
      <c r="L72" s="47"/>
      <c r="M72" s="48"/>
    </row>
    <row r="73" spans="10:13">
      <c r="J73" s="48"/>
      <c r="K73" s="47"/>
      <c r="L73" s="47"/>
      <c r="M73" s="48"/>
    </row>
    <row r="74" spans="10:13">
      <c r="J74" s="48"/>
      <c r="K74" s="47"/>
      <c r="L74" s="47"/>
      <c r="M74" s="48"/>
    </row>
    <row r="75" spans="10:13">
      <c r="J75" s="48"/>
      <c r="K75" s="47"/>
      <c r="L75" s="47"/>
      <c r="M75" s="48"/>
    </row>
    <row r="76" spans="10:13">
      <c r="J76" s="48"/>
      <c r="K76" s="47"/>
      <c r="L76" s="47"/>
      <c r="M76" s="48"/>
    </row>
    <row r="77" spans="10:13">
      <c r="J77" s="48"/>
      <c r="K77" s="47"/>
      <c r="L77" s="47"/>
      <c r="M77" s="48"/>
    </row>
    <row r="78" spans="10:13">
      <c r="J78" s="48"/>
      <c r="K78" s="47"/>
      <c r="L78" s="47"/>
      <c r="M78" s="48"/>
    </row>
    <row r="79" spans="10:13">
      <c r="J79" s="48"/>
      <c r="K79" s="47"/>
      <c r="L79" s="47"/>
      <c r="M79" s="53"/>
    </row>
    <row r="80" spans="10:13">
      <c r="J80" s="48"/>
      <c r="K80" s="47"/>
      <c r="L80" s="47"/>
      <c r="M80" s="48"/>
    </row>
    <row r="81" spans="10:13">
      <c r="J81" s="48"/>
      <c r="K81" s="47"/>
      <c r="L81" s="47"/>
      <c r="M81" s="48"/>
    </row>
    <row r="82" spans="10:13">
      <c r="J82" s="48"/>
      <c r="K82" s="54"/>
      <c r="L82" s="54"/>
      <c r="M82" s="54"/>
    </row>
    <row r="83" spans="10:13">
      <c r="J83" s="48"/>
      <c r="K83" s="54"/>
      <c r="L83" s="54"/>
      <c r="M83" s="54"/>
    </row>
    <row r="84" spans="10:13">
      <c r="J84" s="48"/>
      <c r="K84" s="47"/>
      <c r="L84" s="47"/>
      <c r="M84" s="48"/>
    </row>
    <row r="85" spans="10:13">
      <c r="J85" s="48"/>
      <c r="K85" s="47"/>
      <c r="L85" s="47"/>
      <c r="M85" s="48"/>
    </row>
    <row r="86" spans="10:13">
      <c r="J86" s="48"/>
      <c r="K86" s="47"/>
      <c r="L86" s="47"/>
      <c r="M86" s="48"/>
    </row>
    <row r="87" spans="10:13">
      <c r="J87" s="48"/>
      <c r="K87" s="47"/>
      <c r="L87" s="47"/>
      <c r="M87" s="48"/>
    </row>
    <row r="97" spans="10:23">
      <c r="L97" s="1" t="s">
        <v>0</v>
      </c>
    </row>
    <row r="98" spans="10:23">
      <c r="J98" s="49" t="s">
        <v>55</v>
      </c>
      <c r="K98" s="49" t="s">
        <v>116</v>
      </c>
      <c r="L98" s="49" t="s">
        <v>166</v>
      </c>
      <c r="M98" s="49" t="s">
        <v>167</v>
      </c>
      <c r="N98" s="49" t="s">
        <v>114</v>
      </c>
      <c r="O98" s="49" t="s">
        <v>140</v>
      </c>
      <c r="P98" s="49" t="s">
        <v>141</v>
      </c>
      <c r="Q98" s="49" t="s">
        <v>142</v>
      </c>
      <c r="R98" s="49" t="s">
        <v>143</v>
      </c>
      <c r="S98" s="49" t="s">
        <v>113</v>
      </c>
      <c r="T98" s="49" t="s">
        <v>144</v>
      </c>
    </row>
    <row r="99" spans="10:23">
      <c r="J99" s="50" t="s">
        <v>165</v>
      </c>
      <c r="K99" s="49">
        <v>2020</v>
      </c>
      <c r="L99" s="62" t="s">
        <v>15</v>
      </c>
      <c r="M99" s="49"/>
      <c r="N99" s="51">
        <f>N133/3</f>
        <v>6.933333333333333E-2</v>
      </c>
      <c r="O99" s="51">
        <f t="shared" ref="O99:T99" si="10">O133/3</f>
        <v>6.8333333333333329E-2</v>
      </c>
      <c r="P99" s="51">
        <f t="shared" si="10"/>
        <v>0.22700000000000001</v>
      </c>
      <c r="Q99" s="51">
        <f t="shared" si="10"/>
        <v>1.7333333333333333E-2</v>
      </c>
      <c r="R99" s="51">
        <f t="shared" si="10"/>
        <v>5.3333333333333332E-3</v>
      </c>
      <c r="S99" s="51">
        <f t="shared" si="10"/>
        <v>1.8333333333333333E-2</v>
      </c>
      <c r="T99" s="51">
        <f t="shared" si="10"/>
        <v>0.27566666666666667</v>
      </c>
    </row>
    <row r="100" spans="10:23">
      <c r="J100" s="50" t="s">
        <v>165</v>
      </c>
      <c r="K100" s="49"/>
      <c r="L100" s="62" t="s">
        <v>22</v>
      </c>
      <c r="M100" s="49"/>
      <c r="N100" s="51">
        <f>R153/3</f>
        <v>0.70066666666666666</v>
      </c>
      <c r="O100" s="51">
        <f t="shared" ref="O100:T100" si="11">S153/3</f>
        <v>0</v>
      </c>
      <c r="P100" s="51">
        <f t="shared" si="11"/>
        <v>1.3833333333333335</v>
      </c>
      <c r="Q100" s="51">
        <f t="shared" si="11"/>
        <v>9.0000000000000011E-2</v>
      </c>
      <c r="R100" s="51">
        <f t="shared" si="11"/>
        <v>0.52866666666666673</v>
      </c>
      <c r="S100" s="51">
        <f t="shared" si="11"/>
        <v>2.1019999999999999</v>
      </c>
      <c r="T100" s="51">
        <f t="shared" si="11"/>
        <v>0</v>
      </c>
      <c r="V100" s="1">
        <f>SUM(N99:T100,N107:T111)</f>
        <v>16.499000000000002</v>
      </c>
    </row>
    <row r="101" spans="10:23">
      <c r="J101" s="50" t="s">
        <v>165</v>
      </c>
      <c r="L101" s="62" t="s">
        <v>24</v>
      </c>
      <c r="N101" s="1">
        <f>(35-16.5)/12*N100/SUM(N100:T100)</f>
        <v>0.22482193238055598</v>
      </c>
      <c r="O101" s="1">
        <f>(35-16.5)/12*O100/SUM(N100:T100)</f>
        <v>0</v>
      </c>
      <c r="P101" s="1">
        <f>(35-16.5)/12*P100/SUM(N100:T100)</f>
        <v>0.44386822996161152</v>
      </c>
      <c r="Q101" s="1">
        <f>(35-16.5)/12*Q100/SUM(N100:T100)</f>
        <v>2.8878173997502435E-2</v>
      </c>
      <c r="R101" s="1">
        <f>(35-16.5)/12*R100/SUM(N100:T100)</f>
        <v>0.16963253318532914</v>
      </c>
      <c r="S101" s="1">
        <f>(35-16.5)/12*S100/SUM(N100:T100)</f>
        <v>0.67446579714166788</v>
      </c>
      <c r="T101" s="1">
        <f>(35-16.5)/12*T100/SUM(N100:T100)</f>
        <v>0</v>
      </c>
    </row>
    <row r="102" spans="10:23">
      <c r="J102" s="50" t="s">
        <v>165</v>
      </c>
      <c r="L102" s="62" t="s">
        <v>26</v>
      </c>
      <c r="N102" s="1">
        <f>N101</f>
        <v>0.22482193238055598</v>
      </c>
      <c r="O102" s="1">
        <f t="shared" ref="O102:T103" si="12">O101</f>
        <v>0</v>
      </c>
      <c r="P102" s="1">
        <f t="shared" si="12"/>
        <v>0.44386822996161152</v>
      </c>
      <c r="Q102" s="1">
        <f t="shared" si="12"/>
        <v>2.8878173997502435E-2</v>
      </c>
      <c r="R102" s="1">
        <f t="shared" si="12"/>
        <v>0.16963253318532914</v>
      </c>
      <c r="S102" s="1">
        <f t="shared" si="12"/>
        <v>0.67446579714166788</v>
      </c>
      <c r="T102" s="1">
        <f t="shared" si="12"/>
        <v>0</v>
      </c>
    </row>
    <row r="103" spans="10:23">
      <c r="J103" s="50" t="s">
        <v>165</v>
      </c>
      <c r="L103" s="62" t="s">
        <v>28</v>
      </c>
      <c r="N103" s="1">
        <f>N102</f>
        <v>0.22482193238055598</v>
      </c>
      <c r="O103" s="1">
        <f t="shared" si="12"/>
        <v>0</v>
      </c>
      <c r="P103" s="1">
        <f t="shared" si="12"/>
        <v>0.44386822996161152</v>
      </c>
      <c r="Q103" s="1">
        <f t="shared" si="12"/>
        <v>2.8878173997502435E-2</v>
      </c>
      <c r="R103" s="1">
        <f t="shared" si="12"/>
        <v>0.16963253318532914</v>
      </c>
      <c r="S103" s="1">
        <f t="shared" si="12"/>
        <v>0.67446579714166788</v>
      </c>
      <c r="T103" s="1">
        <f t="shared" si="12"/>
        <v>0</v>
      </c>
    </row>
    <row r="104" spans="10:23">
      <c r="J104" s="50" t="s">
        <v>165</v>
      </c>
      <c r="L104" s="62" t="s">
        <v>30</v>
      </c>
      <c r="N104" s="1">
        <f t="shared" ref="N104:N106" si="13">N103</f>
        <v>0.22482193238055598</v>
      </c>
      <c r="O104" s="1">
        <f t="shared" ref="O104:O106" si="14">O103</f>
        <v>0</v>
      </c>
      <c r="P104" s="1">
        <f t="shared" ref="P104:P106" si="15">P103</f>
        <v>0.44386822996161152</v>
      </c>
      <c r="Q104" s="1">
        <f t="shared" ref="Q104:Q106" si="16">Q103</f>
        <v>2.8878173997502435E-2</v>
      </c>
      <c r="R104" s="1">
        <f t="shared" ref="R104:R106" si="17">R103</f>
        <v>0.16963253318532914</v>
      </c>
      <c r="S104" s="1">
        <f t="shared" ref="S104:S106" si="18">S103</f>
        <v>0.67446579714166788</v>
      </c>
      <c r="T104" s="1">
        <f t="shared" ref="T104:T106" si="19">T103</f>
        <v>0</v>
      </c>
    </row>
    <row r="105" spans="10:23">
      <c r="J105" s="50" t="s">
        <v>165</v>
      </c>
      <c r="L105" s="62" t="s">
        <v>31</v>
      </c>
      <c r="N105" s="1">
        <f t="shared" si="13"/>
        <v>0.22482193238055598</v>
      </c>
      <c r="O105" s="1">
        <f t="shared" si="14"/>
        <v>0</v>
      </c>
      <c r="P105" s="1">
        <f t="shared" si="15"/>
        <v>0.44386822996161152</v>
      </c>
      <c r="Q105" s="1">
        <f t="shared" si="16"/>
        <v>2.8878173997502435E-2</v>
      </c>
      <c r="R105" s="1">
        <f t="shared" si="17"/>
        <v>0.16963253318532914</v>
      </c>
      <c r="S105" s="1">
        <f t="shared" si="18"/>
        <v>0.67446579714166788</v>
      </c>
      <c r="T105" s="1">
        <f t="shared" si="19"/>
        <v>0</v>
      </c>
    </row>
    <row r="106" spans="10:23">
      <c r="J106" s="50" t="s">
        <v>165</v>
      </c>
      <c r="L106" s="62" t="s">
        <v>32</v>
      </c>
      <c r="N106" s="1">
        <f t="shared" si="13"/>
        <v>0.22482193238055598</v>
      </c>
      <c r="O106" s="1">
        <f t="shared" si="14"/>
        <v>0</v>
      </c>
      <c r="P106" s="1">
        <f t="shared" si="15"/>
        <v>0.44386822996161152</v>
      </c>
      <c r="Q106" s="1">
        <f t="shared" si="16"/>
        <v>2.8878173997502435E-2</v>
      </c>
      <c r="R106" s="1">
        <f t="shared" si="17"/>
        <v>0.16963253318532914</v>
      </c>
      <c r="S106" s="1">
        <f t="shared" si="18"/>
        <v>0.67446579714166788</v>
      </c>
      <c r="T106" s="1">
        <f t="shared" si="19"/>
        <v>0</v>
      </c>
    </row>
    <row r="107" spans="10:23">
      <c r="J107" s="50" t="s">
        <v>165</v>
      </c>
      <c r="L107" s="62" t="s">
        <v>37</v>
      </c>
      <c r="N107" s="1">
        <f>N99</f>
        <v>6.933333333333333E-2</v>
      </c>
      <c r="O107" s="1">
        <f t="shared" ref="O107:T107" si="20">O99</f>
        <v>6.8333333333333329E-2</v>
      </c>
      <c r="P107" s="1">
        <f t="shared" si="20"/>
        <v>0.22700000000000001</v>
      </c>
      <c r="Q107" s="1">
        <f t="shared" si="20"/>
        <v>1.7333333333333333E-2</v>
      </c>
      <c r="R107" s="1">
        <f t="shared" si="20"/>
        <v>5.3333333333333332E-3</v>
      </c>
      <c r="S107" s="1">
        <f t="shared" si="20"/>
        <v>1.8333333333333333E-2</v>
      </c>
      <c r="T107" s="1">
        <f t="shared" si="20"/>
        <v>0.27566666666666667</v>
      </c>
      <c r="W107" s="1" t="s">
        <v>184</v>
      </c>
    </row>
    <row r="108" spans="10:23">
      <c r="J108" s="50" t="s">
        <v>165</v>
      </c>
      <c r="L108" s="63" t="s">
        <v>38</v>
      </c>
      <c r="N108" s="1">
        <f>N99</f>
        <v>6.933333333333333E-2</v>
      </c>
      <c r="O108" s="1">
        <f t="shared" ref="O108:T108" si="21">O99</f>
        <v>6.8333333333333329E-2</v>
      </c>
      <c r="P108" s="1">
        <f t="shared" si="21"/>
        <v>0.22700000000000001</v>
      </c>
      <c r="Q108" s="1">
        <f t="shared" si="21"/>
        <v>1.7333333333333333E-2</v>
      </c>
      <c r="R108" s="1">
        <f t="shared" si="21"/>
        <v>5.3333333333333332E-3</v>
      </c>
      <c r="S108" s="1">
        <f t="shared" si="21"/>
        <v>1.8333333333333333E-2</v>
      </c>
      <c r="T108" s="1">
        <f t="shared" si="21"/>
        <v>0.27566666666666667</v>
      </c>
    </row>
    <row r="109" spans="10:23">
      <c r="J109" s="50" t="s">
        <v>165</v>
      </c>
      <c r="L109" s="62" t="s">
        <v>39</v>
      </c>
      <c r="N109" s="1">
        <f>N100</f>
        <v>0.70066666666666666</v>
      </c>
      <c r="O109" s="1">
        <f t="shared" ref="O109:T109" si="22">O100</f>
        <v>0</v>
      </c>
      <c r="P109" s="1">
        <f t="shared" si="22"/>
        <v>1.3833333333333335</v>
      </c>
      <c r="Q109" s="1">
        <f t="shared" si="22"/>
        <v>9.0000000000000011E-2</v>
      </c>
      <c r="R109" s="1">
        <f t="shared" si="22"/>
        <v>0.52866666666666673</v>
      </c>
      <c r="S109" s="1">
        <f t="shared" si="22"/>
        <v>2.1019999999999999</v>
      </c>
      <c r="T109" s="1">
        <f t="shared" si="22"/>
        <v>0</v>
      </c>
    </row>
    <row r="110" spans="10:23">
      <c r="J110" s="50" t="s">
        <v>165</v>
      </c>
      <c r="L110" s="62" t="s">
        <v>40</v>
      </c>
      <c r="N110" s="1">
        <f>N109</f>
        <v>0.70066666666666666</v>
      </c>
      <c r="O110" s="1">
        <f t="shared" ref="O110:T110" si="23">O109</f>
        <v>0</v>
      </c>
      <c r="P110" s="1">
        <f t="shared" si="23"/>
        <v>1.3833333333333335</v>
      </c>
      <c r="Q110" s="1">
        <f t="shared" si="23"/>
        <v>9.0000000000000011E-2</v>
      </c>
      <c r="R110" s="1">
        <f t="shared" si="23"/>
        <v>0.52866666666666673</v>
      </c>
      <c r="S110" s="1">
        <f t="shared" si="23"/>
        <v>2.1019999999999999</v>
      </c>
      <c r="T110" s="1">
        <f t="shared" si="23"/>
        <v>0</v>
      </c>
    </row>
    <row r="111" spans="10:23">
      <c r="J111" s="50" t="s">
        <v>165</v>
      </c>
      <c r="L111" s="62" t="s">
        <v>42</v>
      </c>
      <c r="R111" s="1">
        <f>5/1000</f>
        <v>5.0000000000000001E-3</v>
      </c>
      <c r="S111" s="1">
        <f>36/1000</f>
        <v>3.5999999999999997E-2</v>
      </c>
    </row>
    <row r="112" spans="10:23">
      <c r="J112" s="50" t="s">
        <v>165</v>
      </c>
      <c r="L112" s="62" t="s">
        <v>43</v>
      </c>
      <c r="N112" s="1">
        <f>N102</f>
        <v>0.22482193238055598</v>
      </c>
      <c r="O112" s="1">
        <f t="shared" ref="O112:T112" si="24">O102</f>
        <v>0</v>
      </c>
      <c r="P112" s="1">
        <f t="shared" si="24"/>
        <v>0.44386822996161152</v>
      </c>
      <c r="Q112" s="1">
        <f t="shared" si="24"/>
        <v>2.8878173997502435E-2</v>
      </c>
      <c r="R112" s="1">
        <f t="shared" si="24"/>
        <v>0.16963253318532914</v>
      </c>
      <c r="S112" s="1">
        <f t="shared" si="24"/>
        <v>0.67446579714166788</v>
      </c>
      <c r="T112" s="1">
        <f t="shared" si="24"/>
        <v>0</v>
      </c>
    </row>
    <row r="113" spans="10:20">
      <c r="J113" s="50" t="s">
        <v>165</v>
      </c>
      <c r="L113" s="62" t="s">
        <v>44</v>
      </c>
      <c r="N113" s="1">
        <f t="shared" ref="N113:T113" si="25">N103</f>
        <v>0.22482193238055598</v>
      </c>
      <c r="O113" s="1">
        <f t="shared" si="25"/>
        <v>0</v>
      </c>
      <c r="P113" s="1">
        <f t="shared" si="25"/>
        <v>0.44386822996161152</v>
      </c>
      <c r="Q113" s="1">
        <f t="shared" si="25"/>
        <v>2.8878173997502435E-2</v>
      </c>
      <c r="R113" s="1">
        <f t="shared" si="25"/>
        <v>0.16963253318532914</v>
      </c>
      <c r="S113" s="1">
        <f t="shared" si="25"/>
        <v>0.67446579714166788</v>
      </c>
      <c r="T113" s="1">
        <f t="shared" si="25"/>
        <v>0</v>
      </c>
    </row>
    <row r="114" spans="10:20">
      <c r="J114" s="50" t="s">
        <v>165</v>
      </c>
      <c r="L114" s="62" t="s">
        <v>45</v>
      </c>
      <c r="N114" s="1">
        <f t="shared" ref="N114:T114" si="26">N104</f>
        <v>0.22482193238055598</v>
      </c>
      <c r="O114" s="1">
        <f t="shared" si="26"/>
        <v>0</v>
      </c>
      <c r="P114" s="1">
        <f t="shared" si="26"/>
        <v>0.44386822996161152</v>
      </c>
      <c r="Q114" s="1">
        <f t="shared" si="26"/>
        <v>2.8878173997502435E-2</v>
      </c>
      <c r="R114" s="1">
        <f t="shared" si="26"/>
        <v>0.16963253318532914</v>
      </c>
      <c r="S114" s="1">
        <f t="shared" si="26"/>
        <v>0.67446579714166788</v>
      </c>
      <c r="T114" s="1">
        <f t="shared" si="26"/>
        <v>0</v>
      </c>
    </row>
    <row r="115" spans="10:20">
      <c r="J115" s="50" t="s">
        <v>165</v>
      </c>
      <c r="L115" s="62" t="s">
        <v>46</v>
      </c>
      <c r="N115" s="1">
        <f t="shared" ref="N115:T115" si="27">N105</f>
        <v>0.22482193238055598</v>
      </c>
      <c r="O115" s="1">
        <f t="shared" si="27"/>
        <v>0</v>
      </c>
      <c r="P115" s="1">
        <f t="shared" si="27"/>
        <v>0.44386822996161152</v>
      </c>
      <c r="Q115" s="1">
        <f t="shared" si="27"/>
        <v>2.8878173997502435E-2</v>
      </c>
      <c r="R115" s="1">
        <f t="shared" si="27"/>
        <v>0.16963253318532914</v>
      </c>
      <c r="S115" s="1">
        <f t="shared" si="27"/>
        <v>0.67446579714166788</v>
      </c>
      <c r="T115" s="1">
        <f t="shared" si="27"/>
        <v>0</v>
      </c>
    </row>
    <row r="116" spans="10:20">
      <c r="J116" s="50" t="s">
        <v>165</v>
      </c>
      <c r="L116" s="62" t="s">
        <v>47</v>
      </c>
      <c r="N116" s="1">
        <f t="shared" ref="N116:T116" si="28">N106</f>
        <v>0.22482193238055598</v>
      </c>
      <c r="O116" s="1">
        <f t="shared" si="28"/>
        <v>0</v>
      </c>
      <c r="P116" s="1">
        <f t="shared" si="28"/>
        <v>0.44386822996161152</v>
      </c>
      <c r="Q116" s="1">
        <f t="shared" si="28"/>
        <v>2.8878173997502435E-2</v>
      </c>
      <c r="R116" s="1">
        <f t="shared" si="28"/>
        <v>0.16963253318532914</v>
      </c>
      <c r="S116" s="1">
        <f t="shared" si="28"/>
        <v>0.67446579714166788</v>
      </c>
      <c r="T116" s="1">
        <f t="shared" si="28"/>
        <v>0</v>
      </c>
    </row>
    <row r="117" spans="10:20">
      <c r="J117" s="50" t="s">
        <v>165</v>
      </c>
      <c r="L117" s="62" t="s">
        <v>48</v>
      </c>
      <c r="N117" s="1">
        <f>N116</f>
        <v>0.22482193238055598</v>
      </c>
      <c r="O117" s="1">
        <f t="shared" ref="O117:T117" si="29">O116</f>
        <v>0</v>
      </c>
      <c r="P117" s="1">
        <f t="shared" si="29"/>
        <v>0.44386822996161152</v>
      </c>
      <c r="Q117" s="1">
        <f t="shared" si="29"/>
        <v>2.8878173997502435E-2</v>
      </c>
      <c r="R117" s="1">
        <f t="shared" si="29"/>
        <v>0.16963253318532914</v>
      </c>
      <c r="S117" s="1">
        <f t="shared" si="29"/>
        <v>0.67446579714166788</v>
      </c>
      <c r="T117" s="1">
        <f t="shared" si="29"/>
        <v>0</v>
      </c>
    </row>
    <row r="118" spans="10:20">
      <c r="J118" s="50"/>
      <c r="L118" s="62"/>
    </row>
    <row r="125" spans="10:20">
      <c r="M125" s="13" t="s">
        <v>251</v>
      </c>
    </row>
    <row r="131" spans="10:20" ht="16.5" thickBot="1">
      <c r="J131" s="59" t="s">
        <v>168</v>
      </c>
      <c r="K131" s="60"/>
      <c r="M131" s="61" t="s">
        <v>182</v>
      </c>
      <c r="N131" s="1" t="s">
        <v>183</v>
      </c>
    </row>
    <row r="132" spans="10:20" ht="66" thickBot="1">
      <c r="J132" s="55" t="s">
        <v>169</v>
      </c>
      <c r="K132" s="55" t="s">
        <v>170</v>
      </c>
      <c r="N132" s="49" t="s">
        <v>114</v>
      </c>
      <c r="O132" s="49" t="s">
        <v>140</v>
      </c>
      <c r="P132" s="49" t="s">
        <v>141</v>
      </c>
      <c r="Q132" s="49" t="s">
        <v>142</v>
      </c>
      <c r="R132" s="49" t="s">
        <v>143</v>
      </c>
      <c r="S132" s="49" t="s">
        <v>113</v>
      </c>
      <c r="T132" s="49" t="s">
        <v>144</v>
      </c>
    </row>
    <row r="133" spans="10:20" ht="44.25" thickBot="1">
      <c r="J133" s="56" t="s">
        <v>171</v>
      </c>
      <c r="K133" s="56">
        <v>27</v>
      </c>
      <c r="N133" s="51">
        <f>(27+2+66+113)/1000</f>
        <v>0.20799999999999999</v>
      </c>
      <c r="O133" s="51">
        <f>205/1000</f>
        <v>0.20499999999999999</v>
      </c>
      <c r="P133" s="51">
        <f>681/1000</f>
        <v>0.68100000000000005</v>
      </c>
      <c r="Q133" s="51">
        <f>52/1000</f>
        <v>5.1999999999999998E-2</v>
      </c>
      <c r="R133" s="51">
        <f>16/1000</f>
        <v>1.6E-2</v>
      </c>
      <c r="S133" s="51">
        <f>55/1000</f>
        <v>5.5E-2</v>
      </c>
      <c r="T133" s="51">
        <f>827/1000</f>
        <v>0.82699999999999996</v>
      </c>
    </row>
    <row r="134" spans="10:20" ht="44.25" thickBot="1">
      <c r="J134" s="56" t="s">
        <v>172</v>
      </c>
      <c r="K134" s="56">
        <v>2</v>
      </c>
    </row>
    <row r="135" spans="10:20" ht="22.5" thickBot="1">
      <c r="J135" s="56" t="s">
        <v>173</v>
      </c>
      <c r="K135" s="56">
        <v>66</v>
      </c>
    </row>
    <row r="136" spans="10:20" ht="22.5" thickBot="1">
      <c r="J136" s="56" t="s">
        <v>174</v>
      </c>
      <c r="K136" s="56">
        <v>113</v>
      </c>
    </row>
    <row r="137" spans="10:20" ht="22.5" thickBot="1">
      <c r="J137" s="56" t="s">
        <v>175</v>
      </c>
      <c r="K137" s="56">
        <v>205</v>
      </c>
    </row>
    <row r="138" spans="10:20" ht="22.5" thickBot="1">
      <c r="J138" s="56" t="s">
        <v>176</v>
      </c>
      <c r="K138" s="56">
        <v>681</v>
      </c>
    </row>
    <row r="139" spans="10:20" ht="22.5" thickBot="1">
      <c r="J139" s="56" t="s">
        <v>177</v>
      </c>
      <c r="K139" s="56">
        <v>52</v>
      </c>
    </row>
    <row r="140" spans="10:20" ht="22.5" thickBot="1">
      <c r="J140" s="56" t="s">
        <v>178</v>
      </c>
      <c r="K140" s="56">
        <v>16</v>
      </c>
    </row>
    <row r="141" spans="10:20" ht="22.5" thickBot="1">
      <c r="J141" s="56" t="s">
        <v>179</v>
      </c>
      <c r="K141" s="56">
        <v>55</v>
      </c>
    </row>
    <row r="142" spans="10:20" ht="44.25" thickBot="1">
      <c r="J142" s="56" t="s">
        <v>180</v>
      </c>
      <c r="K142" s="56">
        <v>827</v>
      </c>
    </row>
    <row r="143" spans="10:20" ht="24.75" thickBot="1">
      <c r="J143" s="57" t="s">
        <v>181</v>
      </c>
      <c r="K143" s="58">
        <v>2043</v>
      </c>
    </row>
    <row r="151" spans="10:24" ht="13.5" thickBot="1">
      <c r="M151" s="61" t="s">
        <v>250</v>
      </c>
      <c r="R151" s="70" t="s">
        <v>183</v>
      </c>
      <c r="S151" s="70"/>
      <c r="T151" s="70"/>
      <c r="U151" s="70"/>
      <c r="V151" s="70"/>
      <c r="W151" s="70"/>
      <c r="X151" s="70"/>
    </row>
    <row r="152" spans="10:24" ht="30.75" thickBot="1">
      <c r="J152" s="64" t="s">
        <v>185</v>
      </c>
      <c r="K152" s="64" t="s">
        <v>186</v>
      </c>
      <c r="L152" s="64" t="s">
        <v>187</v>
      </c>
      <c r="M152" s="64" t="s">
        <v>188</v>
      </c>
      <c r="N152" s="64" t="s">
        <v>189</v>
      </c>
      <c r="O152" s="64" t="s">
        <v>190</v>
      </c>
      <c r="R152" s="50" t="s">
        <v>114</v>
      </c>
      <c r="S152" s="50" t="s">
        <v>140</v>
      </c>
      <c r="T152" s="50" t="s">
        <v>141</v>
      </c>
      <c r="U152" s="50" t="s">
        <v>142</v>
      </c>
      <c r="V152" s="50" t="s">
        <v>143</v>
      </c>
      <c r="W152" s="50" t="s">
        <v>113</v>
      </c>
      <c r="X152" s="50" t="s">
        <v>144</v>
      </c>
    </row>
    <row r="153" spans="10:24" ht="51.75" thickBot="1">
      <c r="J153" s="65" t="s">
        <v>179</v>
      </c>
      <c r="K153" s="66" t="s">
        <v>191</v>
      </c>
      <c r="L153" s="66" t="s">
        <v>192</v>
      </c>
      <c r="M153" s="65" t="s">
        <v>193</v>
      </c>
      <c r="N153" s="65"/>
      <c r="O153" s="65"/>
      <c r="P153" s="1">
        <f>165+165+165</f>
        <v>495</v>
      </c>
      <c r="R153" s="71">
        <f>SUM(P161:P166,P176)/1000</f>
        <v>2.1019999999999999</v>
      </c>
      <c r="S153" s="71">
        <v>0</v>
      </c>
      <c r="T153" s="71">
        <f>SUM(P167:P172)/1000</f>
        <v>4.1500000000000004</v>
      </c>
      <c r="U153" s="71">
        <f>P160/1000</f>
        <v>0.27</v>
      </c>
      <c r="V153" s="71">
        <f>SUM(P173:P175)/1000</f>
        <v>1.5860000000000001</v>
      </c>
      <c r="W153" s="71">
        <f>SUM(P153:P159)/1000</f>
        <v>6.306</v>
      </c>
      <c r="X153" s="71">
        <f>0</f>
        <v>0</v>
      </c>
    </row>
    <row r="154" spans="10:24" ht="30.75" thickBot="1">
      <c r="J154" s="65" t="s">
        <v>179</v>
      </c>
      <c r="K154" s="66" t="s">
        <v>194</v>
      </c>
      <c r="L154" s="66" t="s">
        <v>195</v>
      </c>
      <c r="M154" s="65" t="s">
        <v>196</v>
      </c>
      <c r="N154" s="65" t="s">
        <v>197</v>
      </c>
      <c r="O154" s="65"/>
      <c r="P154" s="1">
        <f>430+430+450</f>
        <v>1310</v>
      </c>
    </row>
    <row r="155" spans="10:24" ht="51.75" thickBot="1">
      <c r="J155" s="65" t="s">
        <v>179</v>
      </c>
      <c r="K155" s="66" t="s">
        <v>198</v>
      </c>
      <c r="L155" s="66" t="s">
        <v>199</v>
      </c>
      <c r="M155" s="65">
        <v>150</v>
      </c>
      <c r="N155" s="65">
        <v>172</v>
      </c>
      <c r="O155" s="65"/>
      <c r="P155" s="1">
        <v>150</v>
      </c>
    </row>
    <row r="156" spans="10:24" ht="30.75" thickBot="1">
      <c r="J156" s="65" t="s">
        <v>179</v>
      </c>
      <c r="K156" s="66" t="s">
        <v>200</v>
      </c>
      <c r="L156" s="66" t="s">
        <v>201</v>
      </c>
      <c r="M156" s="65" t="s">
        <v>202</v>
      </c>
      <c r="N156" s="65" t="s">
        <v>203</v>
      </c>
      <c r="O156" s="65"/>
      <c r="P156" s="1">
        <v>800</v>
      </c>
    </row>
    <row r="157" spans="10:24" ht="30.75" thickBot="1">
      <c r="J157" s="65" t="s">
        <v>179</v>
      </c>
      <c r="K157" s="66" t="s">
        <v>204</v>
      </c>
      <c r="L157" s="66" t="s">
        <v>192</v>
      </c>
      <c r="M157" s="65" t="s">
        <v>202</v>
      </c>
      <c r="N157" s="65" t="s">
        <v>205</v>
      </c>
      <c r="O157" s="65"/>
      <c r="P157" s="1">
        <v>800</v>
      </c>
    </row>
    <row r="158" spans="10:24" ht="30.75" thickBot="1">
      <c r="J158" s="65" t="s">
        <v>179</v>
      </c>
      <c r="K158" s="66" t="s">
        <v>206</v>
      </c>
      <c r="L158" s="66" t="s">
        <v>201</v>
      </c>
      <c r="M158" s="65" t="s">
        <v>207</v>
      </c>
      <c r="N158" s="65" t="s">
        <v>208</v>
      </c>
      <c r="O158" s="65"/>
      <c r="P158" s="1">
        <f>304+304+380+380+380+433</f>
        <v>2181</v>
      </c>
    </row>
    <row r="159" spans="10:24" ht="51.75" thickBot="1">
      <c r="J159" s="65" t="s">
        <v>179</v>
      </c>
      <c r="K159" s="66" t="s">
        <v>209</v>
      </c>
      <c r="L159" s="66" t="s">
        <v>201</v>
      </c>
      <c r="M159" s="65" t="s">
        <v>210</v>
      </c>
      <c r="N159" s="65" t="s">
        <v>211</v>
      </c>
      <c r="O159" s="65" t="s">
        <v>212</v>
      </c>
      <c r="P159" s="1">
        <f>66+66+159+279</f>
        <v>570</v>
      </c>
    </row>
    <row r="160" spans="10:24" ht="39" thickBot="1">
      <c r="J160" s="65" t="s">
        <v>177</v>
      </c>
      <c r="K160" s="66" t="s">
        <v>213</v>
      </c>
      <c r="L160" s="66" t="s">
        <v>214</v>
      </c>
      <c r="M160" s="65" t="s">
        <v>215</v>
      </c>
      <c r="N160" s="65" t="s">
        <v>216</v>
      </c>
      <c r="O160" s="65"/>
      <c r="P160" s="1">
        <f>33*5+105</f>
        <v>270</v>
      </c>
    </row>
    <row r="161" spans="10:16" ht="39" thickBot="1">
      <c r="J161" s="65" t="s">
        <v>174</v>
      </c>
      <c r="K161" s="66" t="s">
        <v>217</v>
      </c>
      <c r="L161" s="66" t="s">
        <v>218</v>
      </c>
      <c r="M161" s="65">
        <v>450</v>
      </c>
      <c r="N161" s="65">
        <v>1993</v>
      </c>
      <c r="O161" s="65"/>
      <c r="P161" s="1">
        <f>M161</f>
        <v>450</v>
      </c>
    </row>
    <row r="162" spans="10:16" ht="39" thickBot="1">
      <c r="J162" s="65" t="s">
        <v>174</v>
      </c>
      <c r="K162" s="66" t="s">
        <v>219</v>
      </c>
      <c r="L162" s="66" t="s">
        <v>218</v>
      </c>
      <c r="M162" s="65">
        <v>300</v>
      </c>
      <c r="N162" s="65">
        <v>1969</v>
      </c>
      <c r="O162" s="65"/>
      <c r="P162" s="1">
        <f>M162</f>
        <v>300</v>
      </c>
    </row>
    <row r="163" spans="10:16" ht="39" thickBot="1">
      <c r="J163" s="65" t="s">
        <v>173</v>
      </c>
      <c r="K163" s="66" t="s">
        <v>220</v>
      </c>
      <c r="L163" s="66" t="s">
        <v>221</v>
      </c>
      <c r="M163" s="65" t="s">
        <v>222</v>
      </c>
      <c r="N163" s="65" t="s">
        <v>223</v>
      </c>
      <c r="O163" s="65"/>
      <c r="P163" s="1">
        <f>158*4</f>
        <v>632</v>
      </c>
    </row>
    <row r="164" spans="10:16" ht="51.75" thickBot="1">
      <c r="J164" s="65" t="s">
        <v>173</v>
      </c>
      <c r="K164" s="66" t="s">
        <v>224</v>
      </c>
      <c r="L164" s="66" t="s">
        <v>221</v>
      </c>
      <c r="M164" s="65">
        <v>210</v>
      </c>
      <c r="N164" s="65">
        <v>1994</v>
      </c>
      <c r="O164" s="65"/>
      <c r="P164" s="1">
        <f>M164</f>
        <v>210</v>
      </c>
    </row>
    <row r="165" spans="10:16" ht="51.75" thickBot="1">
      <c r="J165" s="65" t="s">
        <v>173</v>
      </c>
      <c r="K165" s="66" t="s">
        <v>225</v>
      </c>
      <c r="L165" s="66" t="s">
        <v>221</v>
      </c>
      <c r="M165" s="65">
        <v>150</v>
      </c>
      <c r="N165" s="65">
        <v>1973</v>
      </c>
      <c r="O165" s="65"/>
      <c r="P165" s="1">
        <f>M165</f>
        <v>150</v>
      </c>
    </row>
    <row r="166" spans="10:16" ht="39" thickBot="1">
      <c r="J166" s="65" t="s">
        <v>173</v>
      </c>
      <c r="K166" s="66" t="s">
        <v>226</v>
      </c>
      <c r="L166" s="66" t="s">
        <v>221</v>
      </c>
      <c r="M166" s="65" t="s">
        <v>227</v>
      </c>
      <c r="N166" s="65" t="s">
        <v>228</v>
      </c>
      <c r="O166" s="65"/>
      <c r="P166" s="1">
        <f>150*2</f>
        <v>300</v>
      </c>
    </row>
    <row r="167" spans="10:16" ht="39" thickBot="1">
      <c r="J167" s="65" t="s">
        <v>229</v>
      </c>
      <c r="K167" s="66" t="s">
        <v>230</v>
      </c>
      <c r="L167" s="66" t="s">
        <v>231</v>
      </c>
      <c r="M167" s="65" t="s">
        <v>232</v>
      </c>
      <c r="N167" s="65">
        <v>1985</v>
      </c>
      <c r="O167" s="65"/>
      <c r="P167" s="1">
        <f>220</f>
        <v>220</v>
      </c>
    </row>
    <row r="168" spans="10:16" ht="39" thickBot="1">
      <c r="J168" s="65" t="s">
        <v>229</v>
      </c>
      <c r="K168" s="66" t="s">
        <v>233</v>
      </c>
      <c r="L168" s="66" t="s">
        <v>231</v>
      </c>
      <c r="M168" s="65">
        <v>1200</v>
      </c>
      <c r="N168" s="65" t="s">
        <v>234</v>
      </c>
      <c r="O168" s="65">
        <v>1983</v>
      </c>
      <c r="P168" s="1">
        <f>M168</f>
        <v>1200</v>
      </c>
    </row>
    <row r="169" spans="10:16" ht="64.5" thickBot="1">
      <c r="J169" s="65" t="s">
        <v>229</v>
      </c>
      <c r="K169" s="66" t="s">
        <v>235</v>
      </c>
      <c r="L169" s="66" t="s">
        <v>231</v>
      </c>
      <c r="M169" s="65">
        <v>2400</v>
      </c>
      <c r="N169" s="65" t="s">
        <v>236</v>
      </c>
      <c r="O169" s="65">
        <v>2005</v>
      </c>
      <c r="P169" s="1">
        <f>M169</f>
        <v>2400</v>
      </c>
    </row>
    <row r="170" spans="10:16" ht="39" thickBot="1">
      <c r="J170" s="65" t="s">
        <v>229</v>
      </c>
      <c r="K170" s="66" t="s">
        <v>237</v>
      </c>
      <c r="L170" s="66" t="s">
        <v>231</v>
      </c>
      <c r="M170" s="65"/>
      <c r="N170" s="65"/>
      <c r="O170" s="65"/>
    </row>
    <row r="171" spans="10:16" ht="39" thickBot="1">
      <c r="J171" s="65" t="s">
        <v>229</v>
      </c>
      <c r="K171" s="66" t="s">
        <v>238</v>
      </c>
      <c r="L171" s="66" t="s">
        <v>231</v>
      </c>
      <c r="M171" s="65"/>
      <c r="N171" s="65"/>
      <c r="O171" s="65"/>
    </row>
    <row r="172" spans="10:16" ht="51.75" thickBot="1">
      <c r="J172" s="65" t="s">
        <v>229</v>
      </c>
      <c r="K172" s="66" t="s">
        <v>239</v>
      </c>
      <c r="L172" s="66" t="s">
        <v>231</v>
      </c>
      <c r="M172" s="65" t="s">
        <v>240</v>
      </c>
      <c r="N172" s="65">
        <v>1981</v>
      </c>
      <c r="O172" s="65"/>
      <c r="P172" s="1">
        <f>165*2</f>
        <v>330</v>
      </c>
    </row>
    <row r="173" spans="10:16" ht="51.75" thickBot="1">
      <c r="J173" s="65" t="s">
        <v>178</v>
      </c>
      <c r="K173" s="66" t="s">
        <v>241</v>
      </c>
      <c r="L173" s="66" t="s">
        <v>242</v>
      </c>
      <c r="M173" s="65" t="s">
        <v>243</v>
      </c>
      <c r="N173" s="65" t="s">
        <v>244</v>
      </c>
      <c r="O173" s="65"/>
      <c r="P173" s="1">
        <f>66*2+300+292</f>
        <v>724</v>
      </c>
    </row>
    <row r="174" spans="10:16" ht="51.75" thickBot="1">
      <c r="J174" s="65" t="s">
        <v>178</v>
      </c>
      <c r="K174" s="66" t="s">
        <v>245</v>
      </c>
      <c r="L174" s="66" t="s">
        <v>242</v>
      </c>
      <c r="M174" s="65" t="s">
        <v>246</v>
      </c>
      <c r="N174" s="65" t="s">
        <v>247</v>
      </c>
      <c r="O174" s="65"/>
      <c r="P174" s="1">
        <f>281*2</f>
        <v>562</v>
      </c>
    </row>
    <row r="175" spans="10:16" ht="39" thickBot="1">
      <c r="J175" s="65" t="s">
        <v>178</v>
      </c>
      <c r="K175" s="66" t="s">
        <v>248</v>
      </c>
      <c r="L175" s="66" t="s">
        <v>242</v>
      </c>
      <c r="M175" s="65">
        <v>300</v>
      </c>
      <c r="N175" s="65">
        <v>1992</v>
      </c>
      <c r="O175" s="65"/>
      <c r="P175" s="1">
        <f>300</f>
        <v>300</v>
      </c>
    </row>
    <row r="176" spans="10:16" ht="51.75" thickBot="1">
      <c r="J176" s="67" t="s">
        <v>174</v>
      </c>
      <c r="K176" s="68" t="s">
        <v>249</v>
      </c>
      <c r="L176" s="68" t="s">
        <v>218</v>
      </c>
      <c r="M176" s="67">
        <v>60</v>
      </c>
      <c r="N176" s="67">
        <v>1964</v>
      </c>
      <c r="O176" s="69"/>
      <c r="P176" s="1">
        <v>60</v>
      </c>
    </row>
  </sheetData>
  <mergeCells count="1">
    <mergeCell ref="J131:K131"/>
  </mergeCells>
  <hyperlinks>
    <hyperlink ref="M131" r:id="rId1" display="https://natural-resources.canada.ca/our-natural-resources/energy-sources-distribution/renewable-energy/about-renewable-energy/7295" xr:uid="{F41F58C8-14F9-4B54-A064-016C6D62CB18}"/>
    <hyperlink ref="K153" r:id="rId2" tooltip="Battle River power station" display="https://www.gem.wiki/Battle_River_power_station" xr:uid="{FE95F67B-FC0F-45A9-B794-B3553DE39027}"/>
    <hyperlink ref="L153" r:id="rId3" tooltip="Atco Power (page does not exist)" display="https://www.gem.wiki/w/index.php?title=Atco_Power&amp;action=edit&amp;redlink=1" xr:uid="{EBD20FFB-9CB3-4382-BE82-F97E9CB69209}"/>
    <hyperlink ref="K154" r:id="rId4" tooltip="Genesee 3" display="https://www.gem.wiki/Genesee_3" xr:uid="{338210AF-7D04-448D-B043-3269ABD6B823}"/>
    <hyperlink ref="L154" r:id="rId5" tooltip="Capital Power Corporation (page does not exist)" display="https://www.gem.wiki/w/index.php?title=Capital_Power_Corporation&amp;action=edit&amp;redlink=1" xr:uid="{27EF28ED-EBE5-41F5-A721-CA6F3EF5C4D8}"/>
    <hyperlink ref="K155" r:id="rId6" tooltip="H.R. Milner power station" display="https://www.gem.wiki/H.R._Milner_power_station" xr:uid="{B02E97BC-633C-4D21-81A6-AD84A4A16287}"/>
    <hyperlink ref="L155" r:id="rId7" tooltip="Maxim Power Corp (page does not exist)" display="https://www.gem.wiki/w/index.php?title=Maxim_Power_Corp&amp;action=edit&amp;redlink=1" xr:uid="{BBAD4372-5553-4512-A887-8B497A2BA277}"/>
    <hyperlink ref="K156" r:id="rId8" tooltip="Keephills" display="https://www.gem.wiki/Keephills" xr:uid="{82711154-CEDB-410D-8538-C13124FA6CE2}"/>
    <hyperlink ref="L156" r:id="rId9" tooltip="TransAlta" display="https://www.gem.wiki/TransAlta" xr:uid="{6AE34541-597D-45AC-8041-367B7B9227F3}"/>
    <hyperlink ref="K157" r:id="rId10" tooltip="Sheerness" display="https://www.gem.wiki/Sheerness" xr:uid="{A7D22B41-0EBF-4775-8854-2DAF6E617A0F}"/>
    <hyperlink ref="L157" r:id="rId11" tooltip="Atco Power (page does not exist)" display="https://www.gem.wiki/w/index.php?title=Atco_Power&amp;action=edit&amp;redlink=1" xr:uid="{FADD4E92-527C-4351-92A3-30A2147978C9}"/>
    <hyperlink ref="K158" r:id="rId12" tooltip="Sundance" display="https://www.gem.wiki/Sundance" xr:uid="{3227417D-5AC7-4F9F-8FAC-0FD895A67F29}"/>
    <hyperlink ref="L158" r:id="rId13" tooltip="TransAlta" display="https://www.gem.wiki/TransAlta" xr:uid="{DF0CBAA1-8B34-4B18-9FC5-E688F39F1C94}"/>
    <hyperlink ref="K159" r:id="rId14" tooltip="Wabamum Generating Station" display="https://www.gem.wiki/Wabamum_Generating_Station" xr:uid="{E2D7AC01-C028-4DC9-94AB-B7D06D01F4F1}"/>
    <hyperlink ref="L159" r:id="rId15" tooltip="TransAlta" display="https://www.gem.wiki/TransAlta" xr:uid="{0AFB7513-6373-48E4-9C01-9F6DA1272E01}"/>
    <hyperlink ref="K160" r:id="rId16" tooltip="Manitoba Brandon power station" display="https://www.gem.wiki/Manitoba_Brandon_power_station" xr:uid="{F16F7F99-3E33-42BA-9264-29A2285CF0EA}"/>
    <hyperlink ref="L160" r:id="rId17" tooltip="Manitoba Hydro (page does not exist)" display="https://www.gem.wiki/w/index.php?title=Manitoba_Hydro&amp;action=edit&amp;redlink=1" xr:uid="{A5618A7F-92E3-4897-801F-E5671E4EA9EB}"/>
    <hyperlink ref="K161" r:id="rId18" tooltip="Belledune power station" display="https://www.gem.wiki/Belledune_power_station" xr:uid="{B22C420A-BBF8-4185-A3CB-9496984DA4D8}"/>
    <hyperlink ref="L161" r:id="rId19" tooltip="New Brunswick Power (page does not exist)" display="https://www.gem.wiki/w/index.php?title=New_Brunswick_Power&amp;action=edit&amp;redlink=1" xr:uid="{E41B4E19-C320-4B3F-AB0F-B655172235EC}"/>
    <hyperlink ref="K162" r:id="rId20" tooltip="Dalhousie Generating Station (page does not exist)" display="https://www.gem.wiki/w/index.php?title=Dalhousie_Generating_Station&amp;action=edit&amp;redlink=1" xr:uid="{40C75DBE-D690-42FB-BF1F-A78085CD4301}"/>
    <hyperlink ref="L162" r:id="rId21" tooltip="New Brunswick Power (page does not exist)" display="https://www.gem.wiki/w/index.php?title=New_Brunswick_Power&amp;action=edit&amp;redlink=1" xr:uid="{D3216672-3595-4555-939F-02CD1943D11E}"/>
    <hyperlink ref="K163" r:id="rId22" tooltip="Lingan power station" display="https://www.gem.wiki/Lingan_power_station" xr:uid="{36F6B107-FD40-40C8-902C-0BAF7A09DC09}"/>
    <hyperlink ref="L163" r:id="rId23" tooltip="Nova Scotia Power (page does not exist)" display="https://www.gem.wiki/w/index.php?title=Nova_Scotia_Power&amp;action=edit&amp;redlink=1" xr:uid="{BE384B3A-B925-4B97-80BF-F4AFA0393991}"/>
    <hyperlink ref="K164" r:id="rId24" tooltip="Point Aconi Generating Station" display="https://www.gem.wiki/Point_Aconi_Generating_Station" xr:uid="{B3C59353-5296-4F37-BF50-42E0F75E7729}"/>
    <hyperlink ref="L164" r:id="rId25" tooltip="Nova Scotia Power (page does not exist)" display="https://www.gem.wiki/w/index.php?title=Nova_Scotia_Power&amp;action=edit&amp;redlink=1" xr:uid="{2EC11B1F-920D-44F6-93D9-5AD57F843D97}"/>
    <hyperlink ref="K165" r:id="rId26" tooltip="Point Tupper power station" display="https://www.gem.wiki/Point_Tupper_power_station" xr:uid="{CCABE408-5328-4466-83CD-571950B003D0}"/>
    <hyperlink ref="L165" r:id="rId27" tooltip="Nova Scotia Power (page does not exist)" display="https://www.gem.wiki/w/index.php?title=Nova_Scotia_Power&amp;action=edit&amp;redlink=1" xr:uid="{DB532A08-FE7F-4C02-880D-F3813BAB5A27}"/>
    <hyperlink ref="K166" r:id="rId28" tooltip="Trenton Generating Station" display="https://www.gem.wiki/Trenton_Generating_Station" xr:uid="{53A97330-2257-48BD-8D7F-E5E1B72FC4D7}"/>
    <hyperlink ref="L166" r:id="rId29" tooltip="Nova Scotia Power (page does not exist)" display="https://www.gem.wiki/w/index.php?title=Nova_Scotia_Power&amp;action=edit&amp;redlink=1" xr:uid="{A040E64E-AF26-4136-8147-0F1FCE464E1A}"/>
    <hyperlink ref="K167" r:id="rId30" tooltip="Atikokan power station" display="https://www.gem.wiki/Atikokan_power_station" xr:uid="{3D07E4D9-2349-43AC-A9E7-451F69182E27}"/>
    <hyperlink ref="L167" r:id="rId31" tooltip="Ontario Power Generation (page does not exist)" display="https://www.gem.wiki/w/index.php?title=Ontario_Power_Generation&amp;action=edit&amp;redlink=1" xr:uid="{A16DAE2E-591D-42F1-94AE-68D872C6CE12}"/>
    <hyperlink ref="K168" r:id="rId32" tooltip="Hearn Generating Station (page does not exist)" display="https://www.gem.wiki/w/index.php?title=Hearn_Generating_Station&amp;action=edit&amp;redlink=1" xr:uid="{366011F5-4314-4B89-B697-CF7DE575E94A}"/>
    <hyperlink ref="L168" r:id="rId33" tooltip="Ontario Power Generation (page does not exist)" display="https://www.gem.wiki/w/index.php?title=Ontario_Power_Generation&amp;action=edit&amp;redlink=1" xr:uid="{D6DB965B-2C8B-4AA7-BB97-0AE4C44E81F3}"/>
    <hyperlink ref="K169" r:id="rId34" tooltip="Lakeview Generating Station" display="https://www.gem.wiki/Lakeview_Generating_Station" xr:uid="{D078DBC9-F2E1-4D5C-8BC4-A3EDF377FD46}"/>
    <hyperlink ref="L169" r:id="rId35" tooltip="Ontario Power Generation (page does not exist)" display="https://www.gem.wiki/w/index.php?title=Ontario_Power_Generation&amp;action=edit&amp;redlink=1" xr:uid="{47F5BD18-7D79-4447-A55F-33AF64EBA7A9}"/>
    <hyperlink ref="K170" r:id="rId36" tooltip="Lambton generating station" display="https://www.gem.wiki/Lambton_generating_station" xr:uid="{9D3E5CB0-7F49-4D29-9400-2A9ABA5AA5CF}"/>
    <hyperlink ref="L170" r:id="rId37" tooltip="Ontario Power Generation (page does not exist)" display="https://www.gem.wiki/w/index.php?title=Ontario_Power_Generation&amp;action=edit&amp;redlink=1" xr:uid="{54EE5261-602E-493F-BDB8-F1832F252BCF}"/>
    <hyperlink ref="K171" r:id="rId38" tooltip="Nanticoke power station" display="https://www.gem.wiki/Nanticoke_power_station" xr:uid="{92F180C1-BDA4-4F42-A96B-5723423BA461}"/>
    <hyperlink ref="L171" r:id="rId39" tooltip="Ontario Power Generation (page does not exist)" display="https://www.gem.wiki/w/index.php?title=Ontario_Power_Generation&amp;action=edit&amp;redlink=1" xr:uid="{AD575FE6-DDAA-42FF-9249-87678C9009F3}"/>
    <hyperlink ref="K172" r:id="rId40" tooltip="Thunder Bay power station" display="https://www.gem.wiki/Thunder_Bay_power_station" xr:uid="{8CA14077-BFF3-44C2-9F45-4598E73CB598}"/>
    <hyperlink ref="L172" r:id="rId41" tooltip="Ontario Power Generation (page does not exist)" display="https://www.gem.wiki/w/index.php?title=Ontario_Power_Generation&amp;action=edit&amp;redlink=1" xr:uid="{20C95463-5539-4AD5-955F-727164871425}"/>
    <hyperlink ref="K173" r:id="rId42" tooltip="Boundary Dam Power Station" display="https://www.gem.wiki/Boundary_Dam_Power_Station" xr:uid="{02910244-8241-4801-BAB0-4218D016FA79}"/>
    <hyperlink ref="L173" r:id="rId43" tooltip="SaskPower" display="https://www.gem.wiki/SaskPower" xr:uid="{B3620273-A678-47F3-AB5C-F9B217CF66E3}"/>
    <hyperlink ref="K174" r:id="rId44" tooltip="Poplar River power station" display="https://www.gem.wiki/Poplar_River_power_station" xr:uid="{14D27D63-B33D-4F7C-A130-D315599A2315}"/>
    <hyperlink ref="L174" r:id="rId45" tooltip="SaskPower" display="https://www.gem.wiki/SaskPower" xr:uid="{F9252406-F52C-4888-A662-A58673865360}"/>
    <hyperlink ref="K175" r:id="rId46" tooltip="Shand power station" display="https://www.gem.wiki/Shand_power_station" xr:uid="{AB7C0843-B1DE-4FC1-959C-64F5DDFFDDEA}"/>
    <hyperlink ref="L175" r:id="rId47" tooltip="SaskPower" display="https://www.gem.wiki/SaskPower" xr:uid="{704A644A-F617-4698-B0CE-614F10F4A0F7}"/>
    <hyperlink ref="K176" r:id="rId48" tooltip="Grand Lake power station" display="https://www.gem.wiki/Grand_Lake_power_station" xr:uid="{A90064C7-0ADB-42A1-894A-EFCF5E27D541}"/>
    <hyperlink ref="L176" r:id="rId49" tooltip="New Brunswick Power (page does not exist)" display="https://www.gem.wiki/w/index.php?title=New_Brunswick_Power&amp;action=edit&amp;redlink=1" xr:uid="{B2762DBC-8482-435C-865D-7B549CAC4BA7}"/>
    <hyperlink ref="M151" r:id="rId50" display="https://www.gem.wiki/Existing_coal_plants_in_Canada" xr:uid="{C559AFCD-2C1D-4608-8D10-81FF6268C54E}"/>
  </hyperlinks>
  <pageMargins left="0.7" right="0.7" top="0.75" bottom="0.75" header="0.3" footer="0.3"/>
  <pageSetup orientation="portrait" r:id="rId51"/>
  <drawing r:id="rId52"/>
  <legacyDrawing r:id="rId5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B3:Q24"/>
  <sheetViews>
    <sheetView workbookViewId="0">
      <selection activeCell="M33" sqref="M33"/>
    </sheetView>
  </sheetViews>
  <sheetFormatPr defaultRowHeight="15"/>
  <cols>
    <col min="3" max="3" width="14" bestFit="1" customWidth="1"/>
    <col min="4" max="4" width="9.42578125" bestFit="1" customWidth="1"/>
    <col min="5" max="5" width="11.140625" bestFit="1" customWidth="1"/>
    <col min="6" max="6" width="4" bestFit="1" customWidth="1"/>
    <col min="8" max="9" width="9.140625" style="8"/>
    <col min="12" max="12" width="14" bestFit="1" customWidth="1"/>
    <col min="13" max="13" width="59" bestFit="1" customWidth="1"/>
    <col min="14" max="14" width="4.5703125" bestFit="1" customWidth="1"/>
    <col min="15" max="15" width="5" bestFit="1" customWidth="1"/>
    <col min="16" max="16" width="8.5703125" bestFit="1" customWidth="1"/>
    <col min="17" max="17" width="10.28515625" bestFit="1" customWidth="1"/>
    <col min="261" max="261" width="10.5703125" bestFit="1" customWidth="1"/>
    <col min="262" max="262" width="14.85546875" bestFit="1" customWidth="1"/>
    <col min="263" max="263" width="11.140625" bestFit="1" customWidth="1"/>
    <col min="517" max="517" width="10.5703125" bestFit="1" customWidth="1"/>
    <col min="518" max="518" width="14.85546875" bestFit="1" customWidth="1"/>
    <col min="519" max="519" width="11.140625" bestFit="1" customWidth="1"/>
    <col min="773" max="773" width="10.5703125" bestFit="1" customWidth="1"/>
    <col min="774" max="774" width="14.85546875" bestFit="1" customWidth="1"/>
    <col min="775" max="775" width="11.140625" bestFit="1" customWidth="1"/>
    <col min="1029" max="1029" width="10.5703125" bestFit="1" customWidth="1"/>
    <col min="1030" max="1030" width="14.85546875" bestFit="1" customWidth="1"/>
    <col min="1031" max="1031" width="11.140625" bestFit="1" customWidth="1"/>
    <col min="1285" max="1285" width="10.5703125" bestFit="1" customWidth="1"/>
    <col min="1286" max="1286" width="14.85546875" bestFit="1" customWidth="1"/>
    <col min="1287" max="1287" width="11.140625" bestFit="1" customWidth="1"/>
    <col min="1541" max="1541" width="10.5703125" bestFit="1" customWidth="1"/>
    <col min="1542" max="1542" width="14.85546875" bestFit="1" customWidth="1"/>
    <col min="1543" max="1543" width="11.140625" bestFit="1" customWidth="1"/>
    <col min="1797" max="1797" width="10.5703125" bestFit="1" customWidth="1"/>
    <col min="1798" max="1798" width="14.85546875" bestFit="1" customWidth="1"/>
    <col min="1799" max="1799" width="11.140625" bestFit="1" customWidth="1"/>
    <col min="2053" max="2053" width="10.5703125" bestFit="1" customWidth="1"/>
    <col min="2054" max="2054" width="14.85546875" bestFit="1" customWidth="1"/>
    <col min="2055" max="2055" width="11.140625" bestFit="1" customWidth="1"/>
    <col min="2309" max="2309" width="10.5703125" bestFit="1" customWidth="1"/>
    <col min="2310" max="2310" width="14.85546875" bestFit="1" customWidth="1"/>
    <col min="2311" max="2311" width="11.140625" bestFit="1" customWidth="1"/>
    <col min="2565" max="2565" width="10.5703125" bestFit="1" customWidth="1"/>
    <col min="2566" max="2566" width="14.85546875" bestFit="1" customWidth="1"/>
    <col min="2567" max="2567" width="11.140625" bestFit="1" customWidth="1"/>
    <col min="2821" max="2821" width="10.5703125" bestFit="1" customWidth="1"/>
    <col min="2822" max="2822" width="14.85546875" bestFit="1" customWidth="1"/>
    <col min="2823" max="2823" width="11.140625" bestFit="1" customWidth="1"/>
    <col min="3077" max="3077" width="10.5703125" bestFit="1" customWidth="1"/>
    <col min="3078" max="3078" width="14.85546875" bestFit="1" customWidth="1"/>
    <col min="3079" max="3079" width="11.140625" bestFit="1" customWidth="1"/>
    <col min="3333" max="3333" width="10.5703125" bestFit="1" customWidth="1"/>
    <col min="3334" max="3334" width="14.85546875" bestFit="1" customWidth="1"/>
    <col min="3335" max="3335" width="11.140625" bestFit="1" customWidth="1"/>
    <col min="3589" max="3589" width="10.5703125" bestFit="1" customWidth="1"/>
    <col min="3590" max="3590" width="14.85546875" bestFit="1" customWidth="1"/>
    <col min="3591" max="3591" width="11.140625" bestFit="1" customWidth="1"/>
    <col min="3845" max="3845" width="10.5703125" bestFit="1" customWidth="1"/>
    <col min="3846" max="3846" width="14.85546875" bestFit="1" customWidth="1"/>
    <col min="3847" max="3847" width="11.140625" bestFit="1" customWidth="1"/>
    <col min="4101" max="4101" width="10.5703125" bestFit="1" customWidth="1"/>
    <col min="4102" max="4102" width="14.85546875" bestFit="1" customWidth="1"/>
    <col min="4103" max="4103" width="11.140625" bestFit="1" customWidth="1"/>
    <col min="4357" max="4357" width="10.5703125" bestFit="1" customWidth="1"/>
    <col min="4358" max="4358" width="14.85546875" bestFit="1" customWidth="1"/>
    <col min="4359" max="4359" width="11.140625" bestFit="1" customWidth="1"/>
    <col min="4613" max="4613" width="10.5703125" bestFit="1" customWidth="1"/>
    <col min="4614" max="4614" width="14.85546875" bestFit="1" customWidth="1"/>
    <col min="4615" max="4615" width="11.140625" bestFit="1" customWidth="1"/>
    <col min="4869" max="4869" width="10.5703125" bestFit="1" customWidth="1"/>
    <col min="4870" max="4870" width="14.85546875" bestFit="1" customWidth="1"/>
    <col min="4871" max="4871" width="11.140625" bestFit="1" customWidth="1"/>
    <col min="5125" max="5125" width="10.5703125" bestFit="1" customWidth="1"/>
    <col min="5126" max="5126" width="14.85546875" bestFit="1" customWidth="1"/>
    <col min="5127" max="5127" width="11.140625" bestFit="1" customWidth="1"/>
    <col min="5381" max="5381" width="10.5703125" bestFit="1" customWidth="1"/>
    <col min="5382" max="5382" width="14.85546875" bestFit="1" customWidth="1"/>
    <col min="5383" max="5383" width="11.140625" bestFit="1" customWidth="1"/>
    <col min="5637" max="5637" width="10.5703125" bestFit="1" customWidth="1"/>
    <col min="5638" max="5638" width="14.85546875" bestFit="1" customWidth="1"/>
    <col min="5639" max="5639" width="11.140625" bestFit="1" customWidth="1"/>
    <col min="5893" max="5893" width="10.5703125" bestFit="1" customWidth="1"/>
    <col min="5894" max="5894" width="14.85546875" bestFit="1" customWidth="1"/>
    <col min="5895" max="5895" width="11.140625" bestFit="1" customWidth="1"/>
    <col min="6149" max="6149" width="10.5703125" bestFit="1" customWidth="1"/>
    <col min="6150" max="6150" width="14.85546875" bestFit="1" customWidth="1"/>
    <col min="6151" max="6151" width="11.140625" bestFit="1" customWidth="1"/>
    <col min="6405" max="6405" width="10.5703125" bestFit="1" customWidth="1"/>
    <col min="6406" max="6406" width="14.85546875" bestFit="1" customWidth="1"/>
    <col min="6407" max="6407" width="11.140625" bestFit="1" customWidth="1"/>
    <col min="6661" max="6661" width="10.5703125" bestFit="1" customWidth="1"/>
    <col min="6662" max="6662" width="14.85546875" bestFit="1" customWidth="1"/>
    <col min="6663" max="6663" width="11.140625" bestFit="1" customWidth="1"/>
    <col min="6917" max="6917" width="10.5703125" bestFit="1" customWidth="1"/>
    <col min="6918" max="6918" width="14.85546875" bestFit="1" customWidth="1"/>
    <col min="6919" max="6919" width="11.140625" bestFit="1" customWidth="1"/>
    <col min="7173" max="7173" width="10.5703125" bestFit="1" customWidth="1"/>
    <col min="7174" max="7174" width="14.85546875" bestFit="1" customWidth="1"/>
    <col min="7175" max="7175" width="11.140625" bestFit="1" customWidth="1"/>
    <col min="7429" max="7429" width="10.5703125" bestFit="1" customWidth="1"/>
    <col min="7430" max="7430" width="14.85546875" bestFit="1" customWidth="1"/>
    <col min="7431" max="7431" width="11.140625" bestFit="1" customWidth="1"/>
    <col min="7685" max="7685" width="10.5703125" bestFit="1" customWidth="1"/>
    <col min="7686" max="7686" width="14.85546875" bestFit="1" customWidth="1"/>
    <col min="7687" max="7687" width="11.140625" bestFit="1" customWidth="1"/>
    <col min="7941" max="7941" width="10.5703125" bestFit="1" customWidth="1"/>
    <col min="7942" max="7942" width="14.85546875" bestFit="1" customWidth="1"/>
    <col min="7943" max="7943" width="11.140625" bestFit="1" customWidth="1"/>
    <col min="8197" max="8197" width="10.5703125" bestFit="1" customWidth="1"/>
    <col min="8198" max="8198" width="14.85546875" bestFit="1" customWidth="1"/>
    <col min="8199" max="8199" width="11.140625" bestFit="1" customWidth="1"/>
    <col min="8453" max="8453" width="10.5703125" bestFit="1" customWidth="1"/>
    <col min="8454" max="8454" width="14.85546875" bestFit="1" customWidth="1"/>
    <col min="8455" max="8455" width="11.140625" bestFit="1" customWidth="1"/>
    <col min="8709" max="8709" width="10.5703125" bestFit="1" customWidth="1"/>
    <col min="8710" max="8710" width="14.85546875" bestFit="1" customWidth="1"/>
    <col min="8711" max="8711" width="11.140625" bestFit="1" customWidth="1"/>
    <col min="8965" max="8965" width="10.5703125" bestFit="1" customWidth="1"/>
    <col min="8966" max="8966" width="14.85546875" bestFit="1" customWidth="1"/>
    <col min="8967" max="8967" width="11.140625" bestFit="1" customWidth="1"/>
    <col min="9221" max="9221" width="10.5703125" bestFit="1" customWidth="1"/>
    <col min="9222" max="9222" width="14.85546875" bestFit="1" customWidth="1"/>
    <col min="9223" max="9223" width="11.140625" bestFit="1" customWidth="1"/>
    <col min="9477" max="9477" width="10.5703125" bestFit="1" customWidth="1"/>
    <col min="9478" max="9478" width="14.85546875" bestFit="1" customWidth="1"/>
    <col min="9479" max="9479" width="11.140625" bestFit="1" customWidth="1"/>
    <col min="9733" max="9733" width="10.5703125" bestFit="1" customWidth="1"/>
    <col min="9734" max="9734" width="14.85546875" bestFit="1" customWidth="1"/>
    <col min="9735" max="9735" width="11.140625" bestFit="1" customWidth="1"/>
    <col min="9989" max="9989" width="10.5703125" bestFit="1" customWidth="1"/>
    <col min="9990" max="9990" width="14.85546875" bestFit="1" customWidth="1"/>
    <col min="9991" max="9991" width="11.140625" bestFit="1" customWidth="1"/>
    <col min="10245" max="10245" width="10.5703125" bestFit="1" customWidth="1"/>
    <col min="10246" max="10246" width="14.85546875" bestFit="1" customWidth="1"/>
    <col min="10247" max="10247" width="11.140625" bestFit="1" customWidth="1"/>
    <col min="10501" max="10501" width="10.5703125" bestFit="1" customWidth="1"/>
    <col min="10502" max="10502" width="14.85546875" bestFit="1" customWidth="1"/>
    <col min="10503" max="10503" width="11.140625" bestFit="1" customWidth="1"/>
    <col min="10757" max="10757" width="10.5703125" bestFit="1" customWidth="1"/>
    <col min="10758" max="10758" width="14.85546875" bestFit="1" customWidth="1"/>
    <col min="10759" max="10759" width="11.140625" bestFit="1" customWidth="1"/>
    <col min="11013" max="11013" width="10.5703125" bestFit="1" customWidth="1"/>
    <col min="11014" max="11014" width="14.85546875" bestFit="1" customWidth="1"/>
    <col min="11015" max="11015" width="11.140625" bestFit="1" customWidth="1"/>
    <col min="11269" max="11269" width="10.5703125" bestFit="1" customWidth="1"/>
    <col min="11270" max="11270" width="14.85546875" bestFit="1" customWidth="1"/>
    <col min="11271" max="11271" width="11.140625" bestFit="1" customWidth="1"/>
    <col min="11525" max="11525" width="10.5703125" bestFit="1" customWidth="1"/>
    <col min="11526" max="11526" width="14.85546875" bestFit="1" customWidth="1"/>
    <col min="11527" max="11527" width="11.140625" bestFit="1" customWidth="1"/>
    <col min="11781" max="11781" width="10.5703125" bestFit="1" customWidth="1"/>
    <col min="11782" max="11782" width="14.85546875" bestFit="1" customWidth="1"/>
    <col min="11783" max="11783" width="11.140625" bestFit="1" customWidth="1"/>
    <col min="12037" max="12037" width="10.5703125" bestFit="1" customWidth="1"/>
    <col min="12038" max="12038" width="14.85546875" bestFit="1" customWidth="1"/>
    <col min="12039" max="12039" width="11.140625" bestFit="1" customWidth="1"/>
    <col min="12293" max="12293" width="10.5703125" bestFit="1" customWidth="1"/>
    <col min="12294" max="12294" width="14.85546875" bestFit="1" customWidth="1"/>
    <col min="12295" max="12295" width="11.140625" bestFit="1" customWidth="1"/>
    <col min="12549" max="12549" width="10.5703125" bestFit="1" customWidth="1"/>
    <col min="12550" max="12550" width="14.85546875" bestFit="1" customWidth="1"/>
    <col min="12551" max="12551" width="11.140625" bestFit="1" customWidth="1"/>
    <col min="12805" max="12805" width="10.5703125" bestFit="1" customWidth="1"/>
    <col min="12806" max="12806" width="14.85546875" bestFit="1" customWidth="1"/>
    <col min="12807" max="12807" width="11.140625" bestFit="1" customWidth="1"/>
    <col min="13061" max="13061" width="10.5703125" bestFit="1" customWidth="1"/>
    <col min="13062" max="13062" width="14.85546875" bestFit="1" customWidth="1"/>
    <col min="13063" max="13063" width="11.140625" bestFit="1" customWidth="1"/>
    <col min="13317" max="13317" width="10.5703125" bestFit="1" customWidth="1"/>
    <col min="13318" max="13318" width="14.85546875" bestFit="1" customWidth="1"/>
    <col min="13319" max="13319" width="11.140625" bestFit="1" customWidth="1"/>
    <col min="13573" max="13573" width="10.5703125" bestFit="1" customWidth="1"/>
    <col min="13574" max="13574" width="14.85546875" bestFit="1" customWidth="1"/>
    <col min="13575" max="13575" width="11.140625" bestFit="1" customWidth="1"/>
    <col min="13829" max="13829" width="10.5703125" bestFit="1" customWidth="1"/>
    <col min="13830" max="13830" width="14.85546875" bestFit="1" customWidth="1"/>
    <col min="13831" max="13831" width="11.140625" bestFit="1" customWidth="1"/>
    <col min="14085" max="14085" width="10.5703125" bestFit="1" customWidth="1"/>
    <col min="14086" max="14086" width="14.85546875" bestFit="1" customWidth="1"/>
    <col min="14087" max="14087" width="11.140625" bestFit="1" customWidth="1"/>
    <col min="14341" max="14341" width="10.5703125" bestFit="1" customWidth="1"/>
    <col min="14342" max="14342" width="14.85546875" bestFit="1" customWidth="1"/>
    <col min="14343" max="14343" width="11.140625" bestFit="1" customWidth="1"/>
    <col min="14597" max="14597" width="10.5703125" bestFit="1" customWidth="1"/>
    <col min="14598" max="14598" width="14.85546875" bestFit="1" customWidth="1"/>
    <col min="14599" max="14599" width="11.140625" bestFit="1" customWidth="1"/>
    <col min="14853" max="14853" width="10.5703125" bestFit="1" customWidth="1"/>
    <col min="14854" max="14854" width="14.85546875" bestFit="1" customWidth="1"/>
    <col min="14855" max="14855" width="11.140625" bestFit="1" customWidth="1"/>
    <col min="15109" max="15109" width="10.5703125" bestFit="1" customWidth="1"/>
    <col min="15110" max="15110" width="14.85546875" bestFit="1" customWidth="1"/>
    <col min="15111" max="15111" width="11.140625" bestFit="1" customWidth="1"/>
    <col min="15365" max="15365" width="10.5703125" bestFit="1" customWidth="1"/>
    <col min="15366" max="15366" width="14.85546875" bestFit="1" customWidth="1"/>
    <col min="15367" max="15367" width="11.140625" bestFit="1" customWidth="1"/>
    <col min="15621" max="15621" width="10.5703125" bestFit="1" customWidth="1"/>
    <col min="15622" max="15622" width="14.85546875" bestFit="1" customWidth="1"/>
    <col min="15623" max="15623" width="11.140625" bestFit="1" customWidth="1"/>
    <col min="15877" max="15877" width="10.5703125" bestFit="1" customWidth="1"/>
    <col min="15878" max="15878" width="14.85546875" bestFit="1" customWidth="1"/>
    <col min="15879" max="15879" width="11.140625" bestFit="1" customWidth="1"/>
    <col min="16133" max="16133" width="10.5703125" bestFit="1" customWidth="1"/>
    <col min="16134" max="16134" width="14.85546875" bestFit="1" customWidth="1"/>
    <col min="16135" max="16135" width="11.140625" bestFit="1" customWidth="1"/>
  </cols>
  <sheetData>
    <row r="3" spans="3:17">
      <c r="E3" t="s">
        <v>0</v>
      </c>
      <c r="K3" s="4" t="s">
        <v>1</v>
      </c>
      <c r="L3" s="4"/>
      <c r="M3" s="4"/>
      <c r="N3" s="4"/>
      <c r="O3" s="4"/>
      <c r="P3" s="4"/>
      <c r="Q3" s="4"/>
    </row>
    <row r="4" spans="3:17">
      <c r="C4" t="s">
        <v>2</v>
      </c>
      <c r="D4" t="s">
        <v>3</v>
      </c>
      <c r="E4" t="s">
        <v>4</v>
      </c>
      <c r="F4" t="s">
        <v>6</v>
      </c>
      <c r="G4" t="s">
        <v>98</v>
      </c>
      <c r="H4" s="8" t="s">
        <v>54</v>
      </c>
      <c r="K4" s="4" t="s">
        <v>8</v>
      </c>
      <c r="L4" s="4" t="s">
        <v>2</v>
      </c>
      <c r="M4" s="4" t="s">
        <v>9</v>
      </c>
      <c r="N4" s="4" t="s">
        <v>10</v>
      </c>
      <c r="O4" s="4" t="s">
        <v>11</v>
      </c>
      <c r="P4" s="4" t="s">
        <v>12</v>
      </c>
      <c r="Q4" s="4" t="s">
        <v>78</v>
      </c>
    </row>
    <row r="5" spans="3:17">
      <c r="C5" t="str">
        <f>E5&amp;"00"</f>
        <v>ELCCOH00</v>
      </c>
      <c r="D5" t="s">
        <v>81</v>
      </c>
      <c r="E5" t="s">
        <v>20</v>
      </c>
      <c r="F5">
        <v>1</v>
      </c>
      <c r="G5">
        <v>1</v>
      </c>
      <c r="H5" s="8">
        <v>30</v>
      </c>
      <c r="K5" s="4" t="s">
        <v>79</v>
      </c>
      <c r="L5" s="4" t="str">
        <f>C5</f>
        <v>ELCCOH00</v>
      </c>
      <c r="M5" s="8" t="s">
        <v>119</v>
      </c>
      <c r="N5" s="4" t="s">
        <v>16</v>
      </c>
      <c r="O5" s="4" t="s">
        <v>80</v>
      </c>
      <c r="P5" s="4"/>
      <c r="Q5" s="4"/>
    </row>
    <row r="6" spans="3:17">
      <c r="C6" t="str">
        <f t="shared" ref="C6:C16" si="0">E6&amp;"00"</f>
        <v>ELCCOL00</v>
      </c>
      <c r="D6" t="s">
        <v>87</v>
      </c>
      <c r="E6" t="s">
        <v>27</v>
      </c>
      <c r="F6">
        <v>1</v>
      </c>
      <c r="G6" s="8">
        <v>1</v>
      </c>
      <c r="H6" s="8">
        <v>30</v>
      </c>
      <c r="K6" s="4"/>
      <c r="L6" s="4" t="str">
        <f t="shared" ref="L6:L8" si="1">C6</f>
        <v>ELCCOL00</v>
      </c>
      <c r="M6" s="8" t="s">
        <v>120</v>
      </c>
      <c r="N6" s="4" t="s">
        <v>16</v>
      </c>
      <c r="O6" s="4" t="s">
        <v>80</v>
      </c>
      <c r="P6" s="4"/>
      <c r="Q6" s="4"/>
    </row>
    <row r="7" spans="3:17">
      <c r="C7" t="str">
        <f t="shared" si="0"/>
        <v>ELCDST00</v>
      </c>
      <c r="D7" t="s">
        <v>82</v>
      </c>
      <c r="E7" t="s">
        <v>25</v>
      </c>
      <c r="F7">
        <v>1</v>
      </c>
      <c r="G7" s="8">
        <v>1</v>
      </c>
      <c r="H7" s="8">
        <v>30</v>
      </c>
      <c r="K7" s="4"/>
      <c r="L7" s="4" t="str">
        <f t="shared" si="1"/>
        <v>ELCDST00</v>
      </c>
      <c r="M7" s="8" t="s">
        <v>121</v>
      </c>
      <c r="N7" s="4" t="s">
        <v>16</v>
      </c>
      <c r="O7" s="4" t="s">
        <v>80</v>
      </c>
      <c r="P7" s="4"/>
      <c r="Q7" s="4"/>
    </row>
    <row r="8" spans="3:17">
      <c r="C8" t="str">
        <f t="shared" si="0"/>
        <v>ELCGAS00</v>
      </c>
      <c r="D8" t="s">
        <v>83</v>
      </c>
      <c r="E8" t="s">
        <v>29</v>
      </c>
      <c r="F8">
        <v>1</v>
      </c>
      <c r="G8" s="8">
        <v>1</v>
      </c>
      <c r="H8" s="8">
        <v>30</v>
      </c>
      <c r="K8" s="4"/>
      <c r="L8" s="4" t="str">
        <f t="shared" si="1"/>
        <v>ELCGAS00</v>
      </c>
      <c r="M8" s="8" t="s">
        <v>122</v>
      </c>
      <c r="N8" s="4" t="s">
        <v>16</v>
      </c>
      <c r="O8" s="4" t="s">
        <v>80</v>
      </c>
      <c r="P8" s="4" t="s">
        <v>21</v>
      </c>
      <c r="Q8" s="4"/>
    </row>
    <row r="9" spans="3:17" s="5" customFormat="1">
      <c r="C9" t="str">
        <f t="shared" si="0"/>
        <v>ELCGEO00</v>
      </c>
      <c r="D9" t="s">
        <v>84</v>
      </c>
      <c r="E9" t="s">
        <v>41</v>
      </c>
      <c r="F9">
        <v>1</v>
      </c>
      <c r="G9" s="8">
        <v>1</v>
      </c>
      <c r="H9" s="8">
        <v>30</v>
      </c>
      <c r="I9" s="8"/>
      <c r="K9" s="4"/>
      <c r="L9" s="4" t="str">
        <f t="shared" ref="L9:L16" si="2">C9</f>
        <v>ELCGEO00</v>
      </c>
      <c r="M9" s="8" t="s">
        <v>123</v>
      </c>
      <c r="N9" s="4" t="s">
        <v>16</v>
      </c>
      <c r="O9" s="4" t="s">
        <v>80</v>
      </c>
      <c r="P9" s="4"/>
      <c r="Q9" s="4"/>
    </row>
    <row r="10" spans="3:17">
      <c r="C10" t="str">
        <f t="shared" si="0"/>
        <v>ELCHFO00</v>
      </c>
      <c r="D10" t="s">
        <v>85</v>
      </c>
      <c r="E10" t="s">
        <v>23</v>
      </c>
      <c r="F10">
        <v>1</v>
      </c>
      <c r="G10" s="8">
        <v>1</v>
      </c>
      <c r="H10" s="8">
        <v>30</v>
      </c>
      <c r="K10" s="4"/>
      <c r="L10" s="4" t="str">
        <f t="shared" si="2"/>
        <v>ELCHFO00</v>
      </c>
      <c r="M10" s="8" t="s">
        <v>124</v>
      </c>
      <c r="N10" s="4" t="s">
        <v>16</v>
      </c>
      <c r="O10" s="4" t="s">
        <v>80</v>
      </c>
      <c r="P10" s="4"/>
      <c r="Q10" s="4"/>
    </row>
    <row r="11" spans="3:17">
      <c r="C11" t="str">
        <f t="shared" si="0"/>
        <v>ELCHYD00</v>
      </c>
      <c r="D11" t="s">
        <v>88</v>
      </c>
      <c r="E11" t="s">
        <v>77</v>
      </c>
      <c r="F11">
        <v>1</v>
      </c>
      <c r="G11" s="8">
        <v>1</v>
      </c>
      <c r="H11" s="8">
        <v>30</v>
      </c>
      <c r="K11" s="4"/>
      <c r="L11" s="4" t="str">
        <f t="shared" si="2"/>
        <v>ELCHYD00</v>
      </c>
      <c r="M11" s="8" t="s">
        <v>125</v>
      </c>
      <c r="N11" s="4" t="s">
        <v>16</v>
      </c>
      <c r="O11" s="4" t="s">
        <v>80</v>
      </c>
      <c r="Q11" s="4"/>
    </row>
    <row r="12" spans="3:17">
      <c r="C12" t="str">
        <f t="shared" si="0"/>
        <v>ELCSOL00</v>
      </c>
      <c r="D12" t="s">
        <v>86</v>
      </c>
      <c r="E12" t="s">
        <v>33</v>
      </c>
      <c r="F12">
        <v>1</v>
      </c>
      <c r="G12" s="8">
        <v>1</v>
      </c>
      <c r="H12" s="8">
        <v>30</v>
      </c>
      <c r="K12" s="4"/>
      <c r="L12" s="4" t="str">
        <f t="shared" si="2"/>
        <v>ELCSOL00</v>
      </c>
      <c r="M12" s="8" t="s">
        <v>126</v>
      </c>
      <c r="N12" s="4" t="s">
        <v>16</v>
      </c>
      <c r="O12" s="4" t="s">
        <v>80</v>
      </c>
      <c r="P12" s="4"/>
      <c r="Q12" s="4"/>
    </row>
    <row r="13" spans="3:17">
      <c r="C13" t="str">
        <f t="shared" si="0"/>
        <v>ELCWIN00</v>
      </c>
      <c r="D13" t="s">
        <v>89</v>
      </c>
      <c r="E13" t="s">
        <v>50</v>
      </c>
      <c r="F13">
        <v>1</v>
      </c>
      <c r="G13" s="8">
        <v>1</v>
      </c>
      <c r="H13" s="8">
        <v>30</v>
      </c>
      <c r="K13" s="4"/>
      <c r="L13" s="4" t="str">
        <f t="shared" si="2"/>
        <v>ELCWIN00</v>
      </c>
      <c r="M13" s="8" t="s">
        <v>127</v>
      </c>
      <c r="N13" s="4" t="s">
        <v>16</v>
      </c>
      <c r="O13" s="4" t="s">
        <v>80</v>
      </c>
      <c r="P13" s="4"/>
      <c r="Q13" s="4"/>
    </row>
    <row r="14" spans="3:17">
      <c r="C14" t="str">
        <f t="shared" si="0"/>
        <v>ELCWOO00</v>
      </c>
      <c r="D14" t="s">
        <v>146</v>
      </c>
      <c r="E14" t="s">
        <v>51</v>
      </c>
      <c r="F14">
        <v>1</v>
      </c>
      <c r="G14" s="8">
        <v>1</v>
      </c>
      <c r="H14" s="8">
        <v>30</v>
      </c>
      <c r="K14" s="4"/>
      <c r="L14" s="4" t="str">
        <f t="shared" si="2"/>
        <v>ELCWOO00</v>
      </c>
      <c r="M14" s="8" t="s">
        <v>128</v>
      </c>
      <c r="N14" s="4" t="s">
        <v>16</v>
      </c>
      <c r="O14" s="4" t="s">
        <v>80</v>
      </c>
      <c r="P14" s="4"/>
      <c r="Q14" s="4"/>
    </row>
    <row r="15" spans="3:17">
      <c r="C15" t="str">
        <f t="shared" si="0"/>
        <v>ELCMUN00</v>
      </c>
      <c r="D15" t="s">
        <v>111</v>
      </c>
      <c r="E15" t="s">
        <v>104</v>
      </c>
      <c r="F15">
        <v>1</v>
      </c>
      <c r="G15" s="8">
        <v>1</v>
      </c>
      <c r="H15" s="8">
        <v>30</v>
      </c>
      <c r="K15" s="4" t="s">
        <v>79</v>
      </c>
      <c r="L15" s="4" t="str">
        <f t="shared" si="2"/>
        <v>ELCMUN00</v>
      </c>
      <c r="M15" s="8" t="s">
        <v>130</v>
      </c>
      <c r="N15" s="4" t="s">
        <v>16</v>
      </c>
      <c r="O15" s="4" t="s">
        <v>80</v>
      </c>
      <c r="P15" s="4"/>
      <c r="Q15" s="4"/>
    </row>
    <row r="16" spans="3:17">
      <c r="C16" t="str">
        <f t="shared" si="0"/>
        <v>ELCSLU00</v>
      </c>
      <c r="D16" t="s">
        <v>112</v>
      </c>
      <c r="E16" t="s">
        <v>105</v>
      </c>
      <c r="F16">
        <v>1</v>
      </c>
      <c r="G16" s="8">
        <v>1</v>
      </c>
      <c r="H16" s="8">
        <v>30</v>
      </c>
      <c r="K16" s="4"/>
      <c r="L16" s="4" t="str">
        <f t="shared" si="2"/>
        <v>ELCSLU00</v>
      </c>
      <c r="M16" s="8" t="s">
        <v>131</v>
      </c>
      <c r="N16" s="4" t="s">
        <v>16</v>
      </c>
      <c r="O16" s="4" t="s">
        <v>80</v>
      </c>
      <c r="P16" s="4"/>
      <c r="Q16" s="4"/>
    </row>
    <row r="17" spans="2:17">
      <c r="K17" s="4"/>
    </row>
    <row r="19" spans="2:17">
      <c r="C19" s="10" t="str">
        <f>L19</f>
        <v>EVTRANS_H-H</v>
      </c>
      <c r="D19" s="10" t="s">
        <v>71</v>
      </c>
      <c r="E19" s="10" t="s">
        <v>71</v>
      </c>
      <c r="F19" s="10"/>
      <c r="G19" s="10">
        <v>31.536000000000001</v>
      </c>
      <c r="H19" s="10"/>
      <c r="I19" s="10"/>
      <c r="K19" s="10" t="s">
        <v>145</v>
      </c>
      <c r="L19" s="10" t="s">
        <v>92</v>
      </c>
      <c r="M19" s="10" t="s">
        <v>95</v>
      </c>
      <c r="N19" s="4" t="s">
        <v>16</v>
      </c>
      <c r="O19" s="4" t="s">
        <v>17</v>
      </c>
      <c r="P19" t="s">
        <v>18</v>
      </c>
      <c r="Q19" s="4"/>
    </row>
    <row r="20" spans="2:17">
      <c r="B20" t="s">
        <v>145</v>
      </c>
      <c r="C20" s="10" t="str">
        <f>L20</f>
        <v>EVTRANS_H-M</v>
      </c>
      <c r="D20" s="10" t="s">
        <v>71</v>
      </c>
      <c r="E20" s="10" t="s">
        <v>71</v>
      </c>
      <c r="F20" s="10"/>
      <c r="G20" s="10">
        <v>31.536000000000001</v>
      </c>
      <c r="H20" s="10"/>
      <c r="I20" s="10"/>
      <c r="J20" s="10"/>
      <c r="K20" s="10"/>
      <c r="L20" s="10" t="s">
        <v>93</v>
      </c>
      <c r="M20" s="10" t="s">
        <v>96</v>
      </c>
      <c r="N20" s="4" t="s">
        <v>16</v>
      </c>
      <c r="O20" s="4" t="s">
        <v>17</v>
      </c>
      <c r="P20" t="s">
        <v>18</v>
      </c>
    </row>
    <row r="21" spans="2:17">
      <c r="C21" s="10" t="str">
        <f>L21</f>
        <v>EVTRANS_M-L</v>
      </c>
      <c r="D21" s="10" t="s">
        <v>71</v>
      </c>
      <c r="E21" s="10" t="s">
        <v>71</v>
      </c>
      <c r="F21" s="10"/>
      <c r="G21" s="10">
        <v>31.536000000000001</v>
      </c>
      <c r="H21" s="10"/>
      <c r="I21" s="10"/>
      <c r="J21" s="10"/>
      <c r="K21" s="10"/>
      <c r="L21" s="10" t="s">
        <v>94</v>
      </c>
      <c r="M21" s="10" t="s">
        <v>97</v>
      </c>
      <c r="N21" s="4" t="s">
        <v>16</v>
      </c>
      <c r="O21" s="4" t="s">
        <v>17</v>
      </c>
      <c r="P21" t="s">
        <v>18</v>
      </c>
    </row>
    <row r="22" spans="2:17">
      <c r="C22" s="10" t="s">
        <v>132</v>
      </c>
      <c r="D22" s="10" t="s">
        <v>71</v>
      </c>
      <c r="E22" s="10" t="s">
        <v>71</v>
      </c>
      <c r="F22" s="10"/>
      <c r="G22" s="10">
        <v>31.536000000000001</v>
      </c>
      <c r="H22" s="10"/>
      <c r="I22" s="10"/>
      <c r="J22" s="10"/>
      <c r="K22" s="10"/>
      <c r="L22" s="10" t="s">
        <v>132</v>
      </c>
      <c r="M22" s="10" t="s">
        <v>133</v>
      </c>
      <c r="N22" s="4" t="s">
        <v>16</v>
      </c>
      <c r="O22" s="4" t="s">
        <v>17</v>
      </c>
      <c r="P22" s="8" t="s">
        <v>18</v>
      </c>
    </row>
    <row r="23" spans="2:17">
      <c r="J23" s="10"/>
    </row>
    <row r="24" spans="2:17">
      <c r="C24" t="s">
        <v>145</v>
      </c>
      <c r="D24" t="s">
        <v>107</v>
      </c>
      <c r="E24" t="s">
        <v>103</v>
      </c>
      <c r="F24">
        <v>1</v>
      </c>
      <c r="G24" s="8">
        <v>1</v>
      </c>
      <c r="H24" s="8">
        <v>30</v>
      </c>
      <c r="K24" s="4" t="s">
        <v>145</v>
      </c>
      <c r="L24" s="4" t="str">
        <f>C24</f>
        <v>*</v>
      </c>
      <c r="M24" s="8" t="s">
        <v>129</v>
      </c>
      <c r="N24" s="4" t="s">
        <v>16</v>
      </c>
      <c r="O24" s="4" t="s">
        <v>80</v>
      </c>
      <c r="P24" s="4"/>
      <c r="Q2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C3:X5"/>
  <sheetViews>
    <sheetView workbookViewId="0">
      <selection activeCell="G28" sqref="G28"/>
    </sheetView>
  </sheetViews>
  <sheetFormatPr defaultRowHeight="15"/>
  <cols>
    <col min="3" max="3" width="12" bestFit="1" customWidth="1"/>
    <col min="4" max="4" width="7.85546875" bestFit="1" customWidth="1"/>
    <col min="5" max="5" width="7.42578125" bestFit="1" customWidth="1"/>
    <col min="6" max="6" width="7.28515625" bestFit="1" customWidth="1"/>
    <col min="7" max="7" width="7.7109375" bestFit="1" customWidth="1"/>
    <col min="8" max="8" width="7.5703125" bestFit="1" customWidth="1"/>
    <col min="9" max="9" width="8.7109375" bestFit="1" customWidth="1"/>
    <col min="10" max="10" width="8.42578125" bestFit="1" customWidth="1"/>
    <col min="11" max="11" width="7.140625" bestFit="1" customWidth="1"/>
    <col min="13" max="13" width="11.140625" bestFit="1" customWidth="1"/>
  </cols>
  <sheetData>
    <row r="3" spans="3:24">
      <c r="C3" t="s">
        <v>99</v>
      </c>
    </row>
    <row r="4" spans="3:24">
      <c r="C4" t="s">
        <v>63</v>
      </c>
      <c r="D4" t="s">
        <v>20</v>
      </c>
      <c r="E4" t="s">
        <v>27</v>
      </c>
      <c r="F4" t="s">
        <v>25</v>
      </c>
      <c r="G4" t="s">
        <v>23</v>
      </c>
      <c r="H4" t="s">
        <v>29</v>
      </c>
      <c r="I4" t="s">
        <v>51</v>
      </c>
      <c r="J4" t="s">
        <v>104</v>
      </c>
      <c r="K4" t="s">
        <v>105</v>
      </c>
      <c r="M4" t="s">
        <v>63</v>
      </c>
      <c r="N4" t="s">
        <v>20</v>
      </c>
      <c r="O4" t="s">
        <v>27</v>
      </c>
      <c r="P4" t="s">
        <v>100</v>
      </c>
      <c r="Q4" t="s">
        <v>101</v>
      </c>
      <c r="R4" t="s">
        <v>25</v>
      </c>
      <c r="S4" t="s">
        <v>23</v>
      </c>
      <c r="T4" t="s">
        <v>29</v>
      </c>
      <c r="U4" t="s">
        <v>102</v>
      </c>
      <c r="V4" t="s">
        <v>51</v>
      </c>
      <c r="W4" t="s">
        <v>104</v>
      </c>
      <c r="X4" t="s">
        <v>105</v>
      </c>
    </row>
    <row r="5" spans="3:24">
      <c r="C5" t="s">
        <v>106</v>
      </c>
      <c r="D5">
        <v>98.3</v>
      </c>
      <c r="E5">
        <v>101.2</v>
      </c>
      <c r="F5">
        <v>73.709999999999994</v>
      </c>
      <c r="G5">
        <v>77.400000000000006</v>
      </c>
      <c r="H5">
        <v>56.1</v>
      </c>
      <c r="I5">
        <v>0</v>
      </c>
      <c r="J5">
        <v>85.85</v>
      </c>
      <c r="K5">
        <v>85.85</v>
      </c>
      <c r="M5" t="s">
        <v>106</v>
      </c>
      <c r="N5">
        <v>98.3</v>
      </c>
      <c r="O5">
        <v>101.2</v>
      </c>
      <c r="P5">
        <v>75.66</v>
      </c>
      <c r="Q5">
        <v>56.1</v>
      </c>
      <c r="R5">
        <v>73.709999999999994</v>
      </c>
      <c r="S5">
        <v>77.400000000000006</v>
      </c>
      <c r="T5">
        <v>56.1</v>
      </c>
      <c r="U5">
        <v>108.2</v>
      </c>
      <c r="V5">
        <v>0</v>
      </c>
      <c r="W5">
        <v>85.85</v>
      </c>
      <c r="X5">
        <v>85.85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2:AJ62"/>
  <sheetViews>
    <sheetView workbookViewId="0">
      <selection activeCell="C4" sqref="C4"/>
    </sheetView>
  </sheetViews>
  <sheetFormatPr defaultRowHeight="15"/>
  <cols>
    <col min="2" max="2" width="16.85546875" bestFit="1" customWidth="1"/>
    <col min="3" max="3" width="24.5703125" bestFit="1" customWidth="1"/>
    <col min="4" max="4" width="8.42578125" bestFit="1" customWidth="1"/>
    <col min="5" max="6" width="11.140625" bestFit="1" customWidth="1"/>
    <col min="7" max="7" width="9.140625" customWidth="1"/>
    <col min="8" max="8" width="5.140625" bestFit="1" customWidth="1"/>
    <col min="9" max="9" width="7" bestFit="1" customWidth="1"/>
    <col min="10" max="16" width="6" bestFit="1" customWidth="1"/>
    <col min="17" max="18" width="5.140625" bestFit="1" customWidth="1"/>
    <col min="19" max="25" width="11.140625" bestFit="1" customWidth="1"/>
    <col min="26" max="29" width="5.140625" bestFit="1" customWidth="1"/>
    <col min="30" max="30" width="5.85546875" customWidth="1"/>
    <col min="31" max="31" width="4.28515625" customWidth="1"/>
    <col min="32" max="35" width="5.140625" bestFit="1" customWidth="1"/>
    <col min="36" max="36" width="5" bestFit="1" customWidth="1"/>
  </cols>
  <sheetData>
    <row r="2" spans="1:36">
      <c r="A2" s="41" t="s">
        <v>1</v>
      </c>
      <c r="B2" s="42"/>
      <c r="C2" s="42"/>
      <c r="D2" s="42"/>
      <c r="E2" s="42"/>
      <c r="F2" s="42"/>
      <c r="G2" s="42"/>
    </row>
    <row r="3" spans="1:36">
      <c r="A3" s="42" t="s">
        <v>8</v>
      </c>
      <c r="B3" s="42" t="s">
        <v>2</v>
      </c>
      <c r="C3" s="42" t="s">
        <v>9</v>
      </c>
      <c r="D3" s="42" t="s">
        <v>10</v>
      </c>
      <c r="E3" s="42" t="s">
        <v>11</v>
      </c>
      <c r="F3" s="42" t="s">
        <v>12</v>
      </c>
      <c r="G3" s="42" t="s">
        <v>13</v>
      </c>
    </row>
    <row r="4" spans="1:36">
      <c r="A4" s="42" t="s">
        <v>117</v>
      </c>
      <c r="B4" s="42" t="str">
        <f>B10</f>
        <v>EEHP_DistHeating</v>
      </c>
      <c r="C4" s="42" t="s">
        <v>118</v>
      </c>
      <c r="D4" s="42" t="s">
        <v>16</v>
      </c>
      <c r="E4" s="42" t="s">
        <v>17</v>
      </c>
      <c r="F4" s="42" t="s">
        <v>21</v>
      </c>
      <c r="G4" s="42"/>
    </row>
    <row r="7" spans="1:36">
      <c r="E7" s="6"/>
      <c r="F7" s="5"/>
      <c r="G7" s="5"/>
      <c r="H7" s="5"/>
      <c r="I7" s="5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>
      <c r="B8" s="14"/>
      <c r="C8" s="14"/>
      <c r="D8" s="14"/>
      <c r="E8" s="14"/>
      <c r="F8" s="14"/>
      <c r="G8" s="14" t="s">
        <v>148</v>
      </c>
      <c r="H8" s="14"/>
      <c r="I8" s="14"/>
      <c r="J8" s="14"/>
      <c r="K8" s="14"/>
      <c r="L8" s="14"/>
      <c r="M8" s="14"/>
      <c r="N8" s="14"/>
      <c r="O8" s="14"/>
      <c r="P8" s="14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ht="15.75" thickBot="1">
      <c r="B9" s="14" t="s">
        <v>2</v>
      </c>
      <c r="C9" s="14" t="s">
        <v>55</v>
      </c>
      <c r="D9" s="14" t="s">
        <v>66</v>
      </c>
      <c r="E9" s="14" t="s">
        <v>116</v>
      </c>
      <c r="F9" s="14" t="s">
        <v>4</v>
      </c>
      <c r="G9" s="14" t="s">
        <v>3</v>
      </c>
      <c r="H9" s="14">
        <v>0</v>
      </c>
      <c r="I9" s="14">
        <v>2020</v>
      </c>
      <c r="J9" s="14" t="s">
        <v>114</v>
      </c>
      <c r="K9" s="39" t="s">
        <v>140</v>
      </c>
      <c r="L9" s="39" t="s">
        <v>141</v>
      </c>
      <c r="M9" s="43" t="s">
        <v>142</v>
      </c>
      <c r="N9" s="39" t="s">
        <v>143</v>
      </c>
      <c r="O9" s="43" t="s">
        <v>113</v>
      </c>
      <c r="P9" s="39" t="s">
        <v>144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>
      <c r="B10" s="14" t="s">
        <v>115</v>
      </c>
      <c r="C10" s="14" t="s">
        <v>6</v>
      </c>
      <c r="D10" s="14"/>
      <c r="E10" s="14"/>
      <c r="F10" s="14" t="s">
        <v>61</v>
      </c>
      <c r="G10" s="14"/>
      <c r="H10" s="14"/>
      <c r="I10" s="14"/>
      <c r="J10" s="15">
        <v>0.83</v>
      </c>
      <c r="K10" s="15">
        <v>0.83</v>
      </c>
      <c r="L10" s="15">
        <v>0.83</v>
      </c>
      <c r="M10" s="15">
        <v>0.83</v>
      </c>
      <c r="N10" s="15">
        <v>0.83</v>
      </c>
      <c r="O10" s="15">
        <v>0.83</v>
      </c>
      <c r="P10" s="15">
        <v>0.83</v>
      </c>
      <c r="Q10" s="7"/>
      <c r="R10" s="7"/>
      <c r="S10" s="7" t="s">
        <v>152</v>
      </c>
      <c r="T10" s="7" t="s">
        <v>161</v>
      </c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>
      <c r="B11" s="14"/>
      <c r="C11" s="14" t="s">
        <v>145</v>
      </c>
      <c r="D11" s="14" t="s">
        <v>149</v>
      </c>
      <c r="E11" s="14">
        <v>2016</v>
      </c>
      <c r="F11" s="14"/>
      <c r="G11" s="14"/>
      <c r="H11" s="14"/>
      <c r="I11" s="14"/>
      <c r="J11" s="16"/>
      <c r="K11" s="16"/>
      <c r="L11" s="16"/>
      <c r="M11" s="16"/>
      <c r="N11" s="16"/>
      <c r="O11" s="16"/>
      <c r="P11" s="16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>
      <c r="B12" s="14"/>
      <c r="C12" s="14" t="s">
        <v>145</v>
      </c>
      <c r="D12" s="14" t="s">
        <v>149</v>
      </c>
      <c r="E12" s="14">
        <v>2017</v>
      </c>
      <c r="F12" s="14"/>
      <c r="G12" s="14"/>
      <c r="H12" s="14"/>
      <c r="I12" s="14"/>
      <c r="J12" s="16"/>
      <c r="K12" s="16"/>
      <c r="L12" s="16"/>
      <c r="M12" s="16"/>
      <c r="N12" s="16"/>
      <c r="O12" s="16"/>
      <c r="P12" s="16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>
      <c r="B13" s="14"/>
      <c r="C13" s="14" t="s">
        <v>145</v>
      </c>
      <c r="D13" s="14" t="s">
        <v>149</v>
      </c>
      <c r="E13" s="14">
        <v>2018</v>
      </c>
      <c r="F13" s="14"/>
      <c r="G13" s="14"/>
      <c r="H13" s="14"/>
      <c r="I13" s="14"/>
      <c r="J13" s="16"/>
      <c r="K13" s="16"/>
      <c r="L13" s="16"/>
      <c r="M13" s="16"/>
      <c r="N13" s="16"/>
      <c r="O13" s="16"/>
      <c r="P13" s="16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>
      <c r="B14" s="14"/>
      <c r="C14" s="14" t="s">
        <v>145</v>
      </c>
      <c r="D14" s="14" t="s">
        <v>149</v>
      </c>
      <c r="E14" s="14">
        <v>2019</v>
      </c>
      <c r="F14" s="14"/>
      <c r="G14" s="14"/>
      <c r="H14" s="14"/>
      <c r="I14" s="14"/>
      <c r="J14" s="16"/>
      <c r="K14" s="16"/>
      <c r="L14" s="16"/>
      <c r="M14" s="16"/>
      <c r="N14" s="16"/>
      <c r="O14" s="16"/>
      <c r="P14" s="16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>
      <c r="B15" s="14"/>
      <c r="C15" s="14" t="s">
        <v>145</v>
      </c>
      <c r="D15" s="14" t="s">
        <v>149</v>
      </c>
      <c r="E15" s="14">
        <v>2020</v>
      </c>
      <c r="F15" s="14"/>
      <c r="G15" s="14"/>
      <c r="H15" s="14"/>
      <c r="I15" s="14"/>
      <c r="J15" s="16"/>
      <c r="K15" s="16"/>
      <c r="L15" s="16"/>
      <c r="M15" s="16"/>
      <c r="N15" s="16"/>
      <c r="O15" s="16"/>
      <c r="P15" s="16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>
      <c r="B16" s="14"/>
      <c r="C16" s="14" t="s">
        <v>53</v>
      </c>
      <c r="D16" s="14"/>
      <c r="E16" s="14"/>
      <c r="F16" s="14"/>
      <c r="G16" s="14"/>
      <c r="H16" s="14"/>
      <c r="I16" s="14">
        <v>0.3</v>
      </c>
      <c r="J16" s="14"/>
      <c r="K16" s="14"/>
      <c r="L16" s="14"/>
      <c r="M16" s="14"/>
      <c r="N16" s="14"/>
      <c r="O16" s="14"/>
      <c r="P16" s="14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2:36">
      <c r="B17" s="14"/>
      <c r="C17" s="14" t="s">
        <v>150</v>
      </c>
      <c r="D17" s="14"/>
      <c r="E17" s="14">
        <v>2016</v>
      </c>
      <c r="F17" s="14"/>
      <c r="G17" s="14"/>
      <c r="H17" s="14"/>
      <c r="I17" s="14"/>
      <c r="J17" s="14">
        <v>3.8495687468290209</v>
      </c>
      <c r="K17" s="14">
        <v>8.5616438356164379E-2</v>
      </c>
      <c r="L17" s="14">
        <v>1.4924742093691863</v>
      </c>
      <c r="M17" s="14">
        <v>3.0652798917639101</v>
      </c>
      <c r="N17" s="14">
        <v>16.072636563504144</v>
      </c>
      <c r="O17" s="14">
        <v>4.1307289024184</v>
      </c>
      <c r="P17" s="14">
        <v>1.5928885506511077</v>
      </c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2:36">
      <c r="B18" s="14"/>
      <c r="C18" s="14" t="s">
        <v>54</v>
      </c>
      <c r="D18" s="14"/>
      <c r="E18" s="14"/>
      <c r="F18" s="14"/>
      <c r="G18" s="14"/>
      <c r="H18" s="14"/>
      <c r="I18" s="14">
        <v>50</v>
      </c>
      <c r="J18" s="14"/>
      <c r="K18" s="14"/>
      <c r="L18" s="14"/>
      <c r="M18" s="14"/>
      <c r="N18" s="14"/>
      <c r="O18" s="14"/>
      <c r="P18" s="14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2:36">
      <c r="B19" s="14"/>
      <c r="C19" s="14" t="s">
        <v>98</v>
      </c>
      <c r="D19" s="14"/>
      <c r="E19" s="14"/>
      <c r="F19" s="14"/>
      <c r="G19" s="14"/>
      <c r="H19" s="14"/>
      <c r="I19" s="14">
        <v>31.536000000000001</v>
      </c>
      <c r="J19" s="14"/>
      <c r="K19" s="14"/>
      <c r="L19" s="14"/>
      <c r="M19" s="14"/>
      <c r="N19" s="14"/>
      <c r="O19" s="14"/>
      <c r="P19" s="14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2:36">
      <c r="B20" s="14"/>
      <c r="C20" s="14" t="s">
        <v>151</v>
      </c>
      <c r="D20" s="14"/>
      <c r="E20" s="14"/>
      <c r="F20" s="14"/>
      <c r="G20" s="14"/>
      <c r="H20" s="14">
        <v>2</v>
      </c>
      <c r="I20" s="14"/>
      <c r="J20" s="14"/>
      <c r="K20" s="14"/>
      <c r="L20" s="14"/>
      <c r="M20" s="14"/>
      <c r="N20" s="14"/>
      <c r="O20" s="14"/>
      <c r="P20" s="14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2:36">
      <c r="B21" s="14"/>
      <c r="C21" s="14"/>
      <c r="D21" s="14"/>
      <c r="E21" s="17">
        <f>E11</f>
        <v>2016</v>
      </c>
      <c r="F21" s="14"/>
      <c r="G21" s="14" t="s">
        <v>20</v>
      </c>
      <c r="H21" s="14">
        <v>5</v>
      </c>
      <c r="I21" s="14"/>
      <c r="J21" s="40">
        <f t="shared" ref="J21:P21" si="0">1-SUM(J22:J27)</f>
        <v>-2.6177325200826829E-6</v>
      </c>
      <c r="K21" s="40">
        <f t="shared" si="0"/>
        <v>0</v>
      </c>
      <c r="L21" s="40">
        <f t="shared" si="0"/>
        <v>5.0800879396984966E-2</v>
      </c>
      <c r="M21" s="40">
        <f t="shared" si="0"/>
        <v>0.13620496008256677</v>
      </c>
      <c r="N21" s="40">
        <f t="shared" si="0"/>
        <v>0.14757720538365304</v>
      </c>
      <c r="O21" s="40">
        <f t="shared" si="0"/>
        <v>7.5299549301968138E-3</v>
      </c>
      <c r="P21" s="40">
        <f t="shared" si="0"/>
        <v>5.4095992294932893E-2</v>
      </c>
      <c r="Q21" s="7"/>
      <c r="R21" s="7"/>
      <c r="S21" s="44">
        <f>SUM(J21:J27)</f>
        <v>1</v>
      </c>
      <c r="T21" s="44">
        <f t="shared" ref="T21:Y21" si="1">SUM(K21:K27)</f>
        <v>1</v>
      </c>
      <c r="U21" s="44">
        <f t="shared" si="1"/>
        <v>1</v>
      </c>
      <c r="V21" s="44">
        <f t="shared" si="1"/>
        <v>1</v>
      </c>
      <c r="W21" s="44">
        <f t="shared" si="1"/>
        <v>1</v>
      </c>
      <c r="X21" s="44">
        <f t="shared" si="1"/>
        <v>1</v>
      </c>
      <c r="Y21" s="44">
        <f t="shared" si="1"/>
        <v>1</v>
      </c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2:36">
      <c r="B22" s="14"/>
      <c r="C22" s="14"/>
      <c r="D22" s="14"/>
      <c r="E22" s="17">
        <f>E21</f>
        <v>2016</v>
      </c>
      <c r="F22" s="14"/>
      <c r="G22" s="14" t="s">
        <v>29</v>
      </c>
      <c r="H22" s="14">
        <v>5</v>
      </c>
      <c r="I22" s="14"/>
      <c r="J22" s="40">
        <v>0.26776785948011828</v>
      </c>
      <c r="K22" s="40">
        <v>0.3125</v>
      </c>
      <c r="L22" s="40">
        <v>0.89557160804020097</v>
      </c>
      <c r="M22" s="40">
        <v>0.78896882494004805</v>
      </c>
      <c r="N22" s="40">
        <v>0.55530100930935911</v>
      </c>
      <c r="O22" s="40">
        <v>0.26973177970759593</v>
      </c>
      <c r="P22" s="40">
        <v>0.62876558403338856</v>
      </c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2:36">
      <c r="B23" s="14"/>
      <c r="C23" s="14"/>
      <c r="D23" s="14"/>
      <c r="E23" s="17">
        <f t="shared" ref="E23:E27" si="2">E22</f>
        <v>2016</v>
      </c>
      <c r="F23" s="14"/>
      <c r="G23" s="14" t="s">
        <v>41</v>
      </c>
      <c r="H23" s="14">
        <v>5</v>
      </c>
      <c r="I23" s="14"/>
      <c r="J23" s="40">
        <v>2.8140624590979293E-2</v>
      </c>
      <c r="K23" s="40">
        <v>0.6875</v>
      </c>
      <c r="L23" s="40">
        <v>0</v>
      </c>
      <c r="M23" s="40">
        <v>0</v>
      </c>
      <c r="N23" s="40">
        <v>2.2607725813501333E-3</v>
      </c>
      <c r="O23" s="40">
        <v>5.8260965153347256E-3</v>
      </c>
      <c r="P23" s="40">
        <v>0</v>
      </c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2:36">
      <c r="B24" s="14"/>
      <c r="C24" s="14"/>
      <c r="D24" s="14"/>
      <c r="E24" s="17">
        <f t="shared" si="2"/>
        <v>2016</v>
      </c>
      <c r="F24" s="14"/>
      <c r="G24" s="14" t="s">
        <v>23</v>
      </c>
      <c r="H24" s="14">
        <v>5</v>
      </c>
      <c r="I24" s="14"/>
      <c r="J24" s="40">
        <v>3.8820973272950969E-2</v>
      </c>
      <c r="K24" s="40">
        <v>0</v>
      </c>
      <c r="L24" s="40">
        <v>4.6560929648241205E-2</v>
      </c>
      <c r="M24" s="40">
        <v>2.6894939744407008E-2</v>
      </c>
      <c r="N24" s="40">
        <v>3.926208382944732E-2</v>
      </c>
      <c r="O24" s="40">
        <v>9.1596130592503031E-2</v>
      </c>
      <c r="P24" s="40">
        <v>0.11343571084595216</v>
      </c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2:36">
      <c r="B25" s="14"/>
      <c r="C25" s="14"/>
      <c r="D25" s="14"/>
      <c r="E25" s="17">
        <f t="shared" si="2"/>
        <v>2016</v>
      </c>
      <c r="F25" s="14"/>
      <c r="G25" s="14" t="s">
        <v>104</v>
      </c>
      <c r="H25" s="14">
        <v>5</v>
      </c>
      <c r="I25" s="14"/>
      <c r="J25" s="40">
        <v>4.3716133085521316E-2</v>
      </c>
      <c r="K25" s="40">
        <v>0</v>
      </c>
      <c r="L25" s="40">
        <v>0</v>
      </c>
      <c r="M25" s="40">
        <v>1.3447469872203504E-2</v>
      </c>
      <c r="N25" s="40">
        <v>0.10907474114153944</v>
      </c>
      <c r="O25" s="40">
        <v>4.1579641640101132E-2</v>
      </c>
      <c r="P25" s="40">
        <v>0</v>
      </c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2:36">
      <c r="B26" s="14"/>
      <c r="C26" s="14"/>
      <c r="D26" s="14"/>
      <c r="E26" s="17">
        <f t="shared" si="2"/>
        <v>2016</v>
      </c>
      <c r="F26" s="14"/>
      <c r="G26" s="14" t="s">
        <v>33</v>
      </c>
      <c r="H26" s="14">
        <v>5</v>
      </c>
      <c r="I26" s="14"/>
      <c r="J26" s="40">
        <v>1.2565116096437266E-3</v>
      </c>
      <c r="K26" s="40">
        <v>0</v>
      </c>
      <c r="L26" s="40">
        <v>0</v>
      </c>
      <c r="M26" s="40">
        <v>0</v>
      </c>
      <c r="N26" s="40">
        <v>0</v>
      </c>
      <c r="O26" s="40">
        <v>3.9298669891172913E-3</v>
      </c>
      <c r="P26" s="40">
        <v>0</v>
      </c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2:36">
      <c r="B27" s="14"/>
      <c r="C27" s="14"/>
      <c r="D27" s="14"/>
      <c r="E27" s="17">
        <f t="shared" si="2"/>
        <v>2016</v>
      </c>
      <c r="F27" s="14"/>
      <c r="G27" s="14" t="s">
        <v>51</v>
      </c>
      <c r="H27" s="14">
        <v>5</v>
      </c>
      <c r="I27" s="14"/>
      <c r="J27" s="40">
        <v>0.62030051569330646</v>
      </c>
      <c r="K27" s="40">
        <v>0</v>
      </c>
      <c r="L27" s="40">
        <v>7.0665829145728637E-3</v>
      </c>
      <c r="M27" s="40">
        <v>3.4483805360774673E-2</v>
      </c>
      <c r="N27" s="40">
        <v>0.1465241877546509</v>
      </c>
      <c r="O27" s="40">
        <v>0.57980652962515111</v>
      </c>
      <c r="P27" s="40">
        <v>0.20370271282572636</v>
      </c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2:36">
      <c r="B28" s="14"/>
      <c r="C28" s="14"/>
      <c r="D28" s="14"/>
      <c r="E28" s="17">
        <f>E12</f>
        <v>2017</v>
      </c>
      <c r="F28" s="14"/>
      <c r="G28" s="14" t="s">
        <v>20</v>
      </c>
      <c r="H28" s="14"/>
      <c r="I28" s="14"/>
      <c r="J28" s="40">
        <f t="shared" ref="J28:P28" si="3">1-SUM(J29:J34)</f>
        <v>0</v>
      </c>
      <c r="K28" s="40">
        <f t="shared" si="3"/>
        <v>0</v>
      </c>
      <c r="L28" s="40">
        <f t="shared" si="3"/>
        <v>9.3551475067444101E-2</v>
      </c>
      <c r="M28" s="40">
        <f t="shared" si="3"/>
        <v>0.12748126842086571</v>
      </c>
      <c r="N28" s="40">
        <f t="shared" si="3"/>
        <v>0.17015303424498174</v>
      </c>
      <c r="O28" s="40">
        <f t="shared" si="3"/>
        <v>1.0502225449035563E-2</v>
      </c>
      <c r="P28" s="40">
        <f t="shared" si="3"/>
        <v>3.6184401275732081E-2</v>
      </c>
      <c r="Q28" s="7"/>
      <c r="R28" s="7"/>
      <c r="S28" s="44">
        <f>SUM(J28:J34)</f>
        <v>0.99999999999999989</v>
      </c>
      <c r="T28" s="44">
        <f t="shared" ref="T28" si="4">SUM(K28:K34)</f>
        <v>1</v>
      </c>
      <c r="U28" s="44">
        <f t="shared" ref="U28" si="5">SUM(L28:L34)</f>
        <v>0.99999999999999989</v>
      </c>
      <c r="V28" s="44">
        <f t="shared" ref="V28" si="6">SUM(M28:M34)</f>
        <v>1</v>
      </c>
      <c r="W28" s="44">
        <f t="shared" ref="W28" si="7">SUM(N28:N34)</f>
        <v>1</v>
      </c>
      <c r="X28" s="44">
        <f t="shared" ref="X28" si="8">SUM(O28:O34)</f>
        <v>1</v>
      </c>
      <c r="Y28" s="44">
        <f t="shared" ref="Y28" si="9">SUM(P28:P34)</f>
        <v>0.99999999999999989</v>
      </c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2:36">
      <c r="B29" s="14"/>
      <c r="C29" s="14"/>
      <c r="D29" s="14"/>
      <c r="E29" s="17">
        <f>E28</f>
        <v>2017</v>
      </c>
      <c r="F29" s="14"/>
      <c r="G29" s="14" t="s">
        <v>29</v>
      </c>
      <c r="H29" s="14"/>
      <c r="I29" s="14"/>
      <c r="J29" s="40">
        <v>0.31304601048340125</v>
      </c>
      <c r="K29" s="40">
        <v>0.87681970884658456</v>
      </c>
      <c r="L29" s="40">
        <v>0.8589330780610912</v>
      </c>
      <c r="M29" s="40">
        <v>0.78214552040055396</v>
      </c>
      <c r="N29" s="40">
        <v>0.50796370328066498</v>
      </c>
      <c r="O29" s="40">
        <v>0.26610688468701665</v>
      </c>
      <c r="P29" s="40">
        <v>0.58556103218324151</v>
      </c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2:36">
      <c r="B30" s="14"/>
      <c r="C30" s="14"/>
      <c r="D30" s="14"/>
      <c r="E30" s="17">
        <f t="shared" ref="E30:E34" si="10">E29</f>
        <v>2017</v>
      </c>
      <c r="F30" s="14"/>
      <c r="G30" s="14" t="s">
        <v>41</v>
      </c>
      <c r="H30" s="14"/>
      <c r="I30" s="14"/>
      <c r="J30" s="40">
        <v>3.0489225393127543E-2</v>
      </c>
      <c r="K30" s="40">
        <v>0.12318029115341546</v>
      </c>
      <c r="L30" s="40">
        <v>0</v>
      </c>
      <c r="M30" s="40">
        <v>0</v>
      </c>
      <c r="N30" s="40">
        <v>5.3408634219599389E-4</v>
      </c>
      <c r="O30" s="40">
        <v>5.2400643959720954E-3</v>
      </c>
      <c r="P30" s="40">
        <v>0</v>
      </c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2:36">
      <c r="B31" s="14"/>
      <c r="C31" s="14"/>
      <c r="D31" s="14"/>
      <c r="E31" s="17">
        <f t="shared" si="10"/>
        <v>2017</v>
      </c>
      <c r="F31" s="14"/>
      <c r="G31" s="14" t="s">
        <v>23</v>
      </c>
      <c r="H31" s="14"/>
      <c r="I31" s="14"/>
      <c r="J31" s="40">
        <v>3.2673267326732675E-2</v>
      </c>
      <c r="K31" s="40">
        <v>0</v>
      </c>
      <c r="L31" s="40">
        <v>3.9596205726220524E-2</v>
      </c>
      <c r="M31" s="40">
        <v>1.8465253364582223E-2</v>
      </c>
      <c r="N31" s="40">
        <v>2.8375319923006955E-2</v>
      </c>
      <c r="O31" s="40">
        <v>5.9976640676789039E-2</v>
      </c>
      <c r="P31" s="40">
        <v>8.8141490287039714E-2</v>
      </c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2:36">
      <c r="B32" s="14"/>
      <c r="C32" s="14"/>
      <c r="D32" s="14"/>
      <c r="E32" s="17">
        <f t="shared" si="10"/>
        <v>2017</v>
      </c>
      <c r="F32" s="14"/>
      <c r="G32" s="14" t="s">
        <v>104</v>
      </c>
      <c r="H32" s="14"/>
      <c r="I32" s="14"/>
      <c r="J32" s="40">
        <v>5.6144437973209081E-2</v>
      </c>
      <c r="K32" s="40">
        <v>0</v>
      </c>
      <c r="L32" s="40">
        <v>0</v>
      </c>
      <c r="M32" s="40">
        <v>1.995667767479848E-2</v>
      </c>
      <c r="N32" s="40">
        <v>0.13206739006282125</v>
      </c>
      <c r="O32" s="40">
        <v>4.95912118438082E-2</v>
      </c>
      <c r="P32" s="40">
        <v>0</v>
      </c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2:36">
      <c r="B33" s="14"/>
      <c r="C33" s="14"/>
      <c r="D33" s="14"/>
      <c r="E33" s="17">
        <f t="shared" si="10"/>
        <v>2017</v>
      </c>
      <c r="F33" s="14"/>
      <c r="G33" s="14" t="s">
        <v>33</v>
      </c>
      <c r="H33" s="14"/>
      <c r="I33" s="14"/>
      <c r="J33" s="40">
        <v>1.659871869539895E-3</v>
      </c>
      <c r="K33" s="40">
        <v>0</v>
      </c>
      <c r="L33" s="40">
        <v>0</v>
      </c>
      <c r="M33" s="40">
        <v>0</v>
      </c>
      <c r="N33" s="40">
        <v>0</v>
      </c>
      <c r="O33" s="40">
        <v>6.8499636983490641E-3</v>
      </c>
      <c r="P33" s="40">
        <v>0</v>
      </c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2:36">
      <c r="B34" s="14"/>
      <c r="C34" s="14"/>
      <c r="D34" s="14"/>
      <c r="E34" s="17">
        <f t="shared" si="10"/>
        <v>2017</v>
      </c>
      <c r="F34" s="14"/>
      <c r="G34" s="14" t="s">
        <v>51</v>
      </c>
      <c r="H34" s="14"/>
      <c r="I34" s="14"/>
      <c r="J34" s="40">
        <v>0.56598718695398942</v>
      </c>
      <c r="K34" s="40">
        <v>0</v>
      </c>
      <c r="L34" s="40">
        <v>7.9192411452441037E-3</v>
      </c>
      <c r="M34" s="40">
        <v>5.1951280139199606E-2</v>
      </c>
      <c r="N34" s="40">
        <v>0.16090646614632909</v>
      </c>
      <c r="O34" s="40">
        <v>0.60173300924902939</v>
      </c>
      <c r="P34" s="40">
        <v>0.29011307625398663</v>
      </c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2:36">
      <c r="B35" s="14"/>
      <c r="C35" s="14"/>
      <c r="D35" s="14"/>
      <c r="E35" s="17">
        <f>E13</f>
        <v>2018</v>
      </c>
      <c r="F35" s="14"/>
      <c r="G35" s="14" t="s">
        <v>20</v>
      </c>
      <c r="H35" s="14"/>
      <c r="I35" s="14"/>
      <c r="J35" s="40">
        <f t="shared" ref="J35:P35" si="11">1-SUM(J36:J41)</f>
        <v>0</v>
      </c>
      <c r="K35" s="40">
        <f t="shared" si="11"/>
        <v>0</v>
      </c>
      <c r="L35" s="40">
        <f t="shared" si="11"/>
        <v>3.7538045316199087E-2</v>
      </c>
      <c r="M35" s="40">
        <f t="shared" si="11"/>
        <v>9.3560407748452423E-2</v>
      </c>
      <c r="N35" s="40">
        <f t="shared" si="11"/>
        <v>0.16996239859513451</v>
      </c>
      <c r="O35" s="40">
        <f t="shared" si="11"/>
        <v>2.0807478017480396E-2</v>
      </c>
      <c r="P35" s="40">
        <f t="shared" si="11"/>
        <v>3.8313562039115068E-2</v>
      </c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2:36">
      <c r="B36" s="14"/>
      <c r="C36" s="14"/>
      <c r="D36" s="14"/>
      <c r="E36" s="17">
        <f>E35</f>
        <v>2018</v>
      </c>
      <c r="F36" s="14"/>
      <c r="G36" s="14" t="s">
        <v>29</v>
      </c>
      <c r="H36" s="14"/>
      <c r="I36" s="14"/>
      <c r="J36" s="40">
        <v>0.30723443223443225</v>
      </c>
      <c r="K36" s="40">
        <v>0.19672131147540983</v>
      </c>
      <c r="L36" s="40">
        <v>0.91714575583361502</v>
      </c>
      <c r="M36" s="40">
        <v>0.84105817498691149</v>
      </c>
      <c r="N36" s="40">
        <v>0.45824118543110037</v>
      </c>
      <c r="O36" s="40">
        <v>0.33326291885611681</v>
      </c>
      <c r="P36" s="40">
        <v>0.67366677353852733</v>
      </c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2:36">
      <c r="B37" s="14"/>
      <c r="C37" s="14"/>
      <c r="D37" s="14"/>
      <c r="E37" s="17">
        <f t="shared" ref="E37:E41" si="12">E36</f>
        <v>2018</v>
      </c>
      <c r="F37" s="14"/>
      <c r="G37" s="14" t="s">
        <v>41</v>
      </c>
      <c r="H37" s="14"/>
      <c r="I37" s="14"/>
      <c r="J37" s="40">
        <v>2.9405779405779407E-2</v>
      </c>
      <c r="K37" s="40">
        <v>0.19672131147540983</v>
      </c>
      <c r="L37" s="40">
        <v>0</v>
      </c>
      <c r="M37" s="40">
        <v>0</v>
      </c>
      <c r="N37" s="40">
        <v>8.6538899488357746E-4</v>
      </c>
      <c r="O37" s="40">
        <v>7.6047635393836962E-3</v>
      </c>
      <c r="P37" s="40">
        <v>0</v>
      </c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2:36">
      <c r="B38" s="14"/>
      <c r="C38" s="14"/>
      <c r="D38" s="14"/>
      <c r="E38" s="17">
        <f t="shared" si="12"/>
        <v>2018</v>
      </c>
      <c r="F38" s="14"/>
      <c r="G38" s="14" t="s">
        <v>23</v>
      </c>
      <c r="H38" s="14"/>
      <c r="I38" s="14"/>
      <c r="J38" s="40">
        <v>3.6706349206349208E-2</v>
      </c>
      <c r="K38" s="40">
        <v>0</v>
      </c>
      <c r="L38" s="40">
        <v>3.1225340998760006E-2</v>
      </c>
      <c r="M38" s="40">
        <v>1.4874811370145669E-2</v>
      </c>
      <c r="N38" s="40">
        <v>3.8810925156503827E-2</v>
      </c>
      <c r="O38" s="40">
        <v>4.6843230968287075E-2</v>
      </c>
      <c r="P38" s="40">
        <v>7.2779737095222841E-2</v>
      </c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2:36">
      <c r="B39" s="14"/>
      <c r="C39" s="14"/>
      <c r="D39" s="14"/>
      <c r="E39" s="17">
        <f t="shared" si="12"/>
        <v>2018</v>
      </c>
      <c r="F39" s="14"/>
      <c r="G39" s="14" t="s">
        <v>104</v>
      </c>
      <c r="H39" s="14"/>
      <c r="I39" s="14"/>
      <c r="J39" s="40">
        <v>5.2808302808302815E-2</v>
      </c>
      <c r="K39" s="40">
        <v>0.31639344262295083</v>
      </c>
      <c r="L39" s="40">
        <v>0</v>
      </c>
      <c r="M39" s="40">
        <v>1.4228080441008902E-2</v>
      </c>
      <c r="N39" s="40">
        <v>0.13342172784275225</v>
      </c>
      <c r="O39" s="40">
        <v>3.6439491959546877E-2</v>
      </c>
      <c r="P39" s="40">
        <v>0</v>
      </c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2:36">
      <c r="B40" s="14"/>
      <c r="C40" s="14"/>
      <c r="D40" s="14"/>
      <c r="E40" s="17">
        <f t="shared" si="12"/>
        <v>2018</v>
      </c>
      <c r="F40" s="14"/>
      <c r="G40" s="14" t="s">
        <v>33</v>
      </c>
      <c r="H40" s="14"/>
      <c r="I40" s="14"/>
      <c r="J40" s="40">
        <v>1.6025641025641027E-3</v>
      </c>
      <c r="K40" s="40">
        <v>0</v>
      </c>
      <c r="L40" s="40">
        <v>0</v>
      </c>
      <c r="M40" s="40">
        <v>0</v>
      </c>
      <c r="N40" s="40">
        <v>5.5668297916487428E-5</v>
      </c>
      <c r="O40" s="40">
        <v>9.1098729898867192E-3</v>
      </c>
      <c r="P40" s="40">
        <v>0</v>
      </c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2:36">
      <c r="B41" s="14"/>
      <c r="C41" s="14"/>
      <c r="D41" s="14"/>
      <c r="E41" s="17">
        <f t="shared" si="12"/>
        <v>2018</v>
      </c>
      <c r="F41" s="14"/>
      <c r="G41" s="14" t="s">
        <v>51</v>
      </c>
      <c r="H41" s="14"/>
      <c r="I41" s="14"/>
      <c r="J41" s="40">
        <v>0.57224257224257224</v>
      </c>
      <c r="K41" s="40">
        <v>0.29016393442622951</v>
      </c>
      <c r="L41" s="40">
        <v>1.4090857851425994E-2</v>
      </c>
      <c r="M41" s="40">
        <v>3.6278525453481571E-2</v>
      </c>
      <c r="N41" s="40">
        <v>0.19864270568170894</v>
      </c>
      <c r="O41" s="40">
        <v>0.54593224366929838</v>
      </c>
      <c r="P41" s="40">
        <v>0.21523992732713476</v>
      </c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2:36">
      <c r="B42" s="14"/>
      <c r="C42" s="14"/>
      <c r="D42" s="14"/>
      <c r="E42" s="17">
        <f>E14</f>
        <v>2019</v>
      </c>
      <c r="F42" s="14"/>
      <c r="G42" s="14" t="s">
        <v>20</v>
      </c>
      <c r="H42" s="14"/>
      <c r="I42" s="14"/>
      <c r="J42" s="40">
        <f t="shared" ref="J42:P42" si="13">1-SUM(J43:J48)</f>
        <v>4.7021206565078799E-6</v>
      </c>
      <c r="K42" s="40">
        <f t="shared" si="13"/>
        <v>0</v>
      </c>
      <c r="L42" s="40">
        <f t="shared" si="13"/>
        <v>3.5425255764238939E-2</v>
      </c>
      <c r="M42" s="40">
        <f t="shared" si="13"/>
        <v>9.1108884651433297E-2</v>
      </c>
      <c r="N42" s="40">
        <f t="shared" si="13"/>
        <v>9.4359193741944014E-2</v>
      </c>
      <c r="O42" s="40">
        <f t="shared" si="13"/>
        <v>1.7453809701293732E-2</v>
      </c>
      <c r="P42" s="40">
        <f t="shared" si="13"/>
        <v>3.5617131650534706E-2</v>
      </c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2:36">
      <c r="B43" s="14"/>
      <c r="C43" s="14"/>
      <c r="D43" s="14"/>
      <c r="E43" s="17">
        <f>E42</f>
        <v>2019</v>
      </c>
      <c r="F43" s="14"/>
      <c r="G43" s="14" t="s">
        <v>29</v>
      </c>
      <c r="H43" s="14"/>
      <c r="I43" s="14"/>
      <c r="J43" s="40">
        <v>0.34882682089622419</v>
      </c>
      <c r="K43" s="40">
        <v>0.12908777969018934</v>
      </c>
      <c r="L43" s="40">
        <v>0.93250877996640702</v>
      </c>
      <c r="M43" s="40">
        <v>0.84389644807860131</v>
      </c>
      <c r="N43" s="40">
        <v>0.56603626827859022</v>
      </c>
      <c r="O43" s="40">
        <v>0.34178158777487888</v>
      </c>
      <c r="P43" s="40">
        <v>0.65477320174606179</v>
      </c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2:36">
      <c r="B44" s="14"/>
      <c r="C44" s="14"/>
      <c r="D44" s="14"/>
      <c r="E44" s="17">
        <f t="shared" ref="E44:E48" si="14">E43</f>
        <v>2019</v>
      </c>
      <c r="F44" s="14"/>
      <c r="G44" s="14" t="s">
        <v>41</v>
      </c>
      <c r="H44" s="14"/>
      <c r="I44" s="14"/>
      <c r="J44" s="40">
        <v>2.7907086095829221E-2</v>
      </c>
      <c r="K44" s="40">
        <v>0.23407917383821</v>
      </c>
      <c r="L44" s="40">
        <v>0</v>
      </c>
      <c r="M44" s="40">
        <v>0</v>
      </c>
      <c r="N44" s="40">
        <v>2.294546424285524E-3</v>
      </c>
      <c r="O44" s="40">
        <v>6.0965869761993507E-3</v>
      </c>
      <c r="P44" s="40">
        <v>0</v>
      </c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2:36">
      <c r="B45" s="14"/>
      <c r="C45" s="14"/>
      <c r="D45" s="14"/>
      <c r="E45" s="17">
        <f t="shared" si="14"/>
        <v>2019</v>
      </c>
      <c r="F45" s="14"/>
      <c r="G45" s="14" t="s">
        <v>23</v>
      </c>
      <c r="H45" s="14"/>
      <c r="I45" s="14"/>
      <c r="J45" s="40">
        <v>3.2044952273475341E-2</v>
      </c>
      <c r="K45" s="40">
        <v>0</v>
      </c>
      <c r="L45" s="40">
        <v>2.3973125668040923E-2</v>
      </c>
      <c r="M45" s="40">
        <v>1.1828964803981773E-2</v>
      </c>
      <c r="N45" s="40">
        <v>3.1795857593670832E-2</v>
      </c>
      <c r="O45" s="40">
        <v>4.0626164740961611E-2</v>
      </c>
      <c r="P45" s="40">
        <v>4.0488391219080155E-2</v>
      </c>
    </row>
    <row r="46" spans="2:36">
      <c r="B46" s="14"/>
      <c r="C46" s="14"/>
      <c r="D46" s="14"/>
      <c r="E46" s="17">
        <f t="shared" si="14"/>
        <v>2019</v>
      </c>
      <c r="F46" s="14"/>
      <c r="G46" s="14" t="s">
        <v>104</v>
      </c>
      <c r="H46" s="14"/>
      <c r="I46" s="14"/>
      <c r="J46" s="40">
        <v>3.5689095782197776E-2</v>
      </c>
      <c r="K46" s="40">
        <v>0.33218588640275393</v>
      </c>
      <c r="L46" s="40">
        <v>0</v>
      </c>
      <c r="M46" s="40">
        <v>1.1570408196244466E-2</v>
      </c>
      <c r="N46" s="40">
        <v>0.12078870172007646</v>
      </c>
      <c r="O46" s="40">
        <v>3.8123635589159259E-2</v>
      </c>
      <c r="P46" s="40">
        <v>0</v>
      </c>
    </row>
    <row r="47" spans="2:36">
      <c r="B47" s="14"/>
      <c r="C47" s="14"/>
      <c r="D47" s="14"/>
      <c r="E47" s="17">
        <f t="shared" si="14"/>
        <v>2019</v>
      </c>
      <c r="F47" s="14"/>
      <c r="G47" s="14" t="s">
        <v>33</v>
      </c>
      <c r="H47" s="14"/>
      <c r="I47" s="14"/>
      <c r="J47" s="40">
        <v>1.4811680067710537E-3</v>
      </c>
      <c r="K47" s="40">
        <v>0</v>
      </c>
      <c r="L47" s="40">
        <v>0</v>
      </c>
      <c r="M47" s="40">
        <v>0</v>
      </c>
      <c r="N47" s="40">
        <v>5.5558024801102277E-6</v>
      </c>
      <c r="O47" s="40">
        <v>1.2645759011767212E-2</v>
      </c>
      <c r="P47" s="40">
        <v>0</v>
      </c>
    </row>
    <row r="48" spans="2:36">
      <c r="B48" s="14"/>
      <c r="C48" s="14"/>
      <c r="D48" s="14"/>
      <c r="E48" s="17">
        <f t="shared" si="14"/>
        <v>2019</v>
      </c>
      <c r="F48" s="14"/>
      <c r="G48" s="14" t="s">
        <v>51</v>
      </c>
      <c r="H48" s="14"/>
      <c r="I48" s="14"/>
      <c r="J48" s="40">
        <v>0.55404617482484597</v>
      </c>
      <c r="K48" s="40">
        <v>0.30464716006884685</v>
      </c>
      <c r="L48" s="40">
        <v>8.0928386013131761E-3</v>
      </c>
      <c r="M48" s="40">
        <v>4.159529426973918E-2</v>
      </c>
      <c r="N48" s="40">
        <v>0.18471987643895285</v>
      </c>
      <c r="O48" s="40">
        <v>0.54327245620573994</v>
      </c>
      <c r="P48" s="40">
        <v>0.26912127538432334</v>
      </c>
    </row>
    <row r="49" spans="2:16">
      <c r="B49" s="14"/>
      <c r="C49" s="14"/>
      <c r="D49" s="14"/>
      <c r="E49" s="17">
        <f>E15</f>
        <v>2020</v>
      </c>
      <c r="F49" s="14"/>
      <c r="G49" s="14" t="s">
        <v>20</v>
      </c>
      <c r="H49" s="14"/>
      <c r="I49" s="14"/>
      <c r="J49" s="40">
        <f t="shared" ref="J49:P49" si="15">1-SUM(J50:J55)</f>
        <v>4.7176487236733067E-6</v>
      </c>
      <c r="K49" s="40">
        <f t="shared" si="15"/>
        <v>0</v>
      </c>
      <c r="L49" s="40">
        <f t="shared" si="15"/>
        <v>3.5461887935386183E-2</v>
      </c>
      <c r="M49" s="40">
        <f t="shared" si="15"/>
        <v>8.9831686226065521E-2</v>
      </c>
      <c r="N49" s="40">
        <f t="shared" si="15"/>
        <v>9.6497410728563104E-2</v>
      </c>
      <c r="O49" s="40">
        <f t="shared" si="15"/>
        <v>1.3669549008439752E-2</v>
      </c>
      <c r="P49" s="40">
        <f t="shared" si="15"/>
        <v>4.297757037483052E-2</v>
      </c>
    </row>
    <row r="50" spans="2:16">
      <c r="B50" s="14"/>
      <c r="C50" s="14"/>
      <c r="D50" s="14"/>
      <c r="E50" s="17">
        <f>E49</f>
        <v>2020</v>
      </c>
      <c r="F50" s="14"/>
      <c r="G50" s="14" t="s">
        <v>29</v>
      </c>
      <c r="H50" s="14"/>
      <c r="I50" s="14"/>
      <c r="J50" s="40">
        <v>0.32825399820729351</v>
      </c>
      <c r="K50" s="40">
        <v>0.24409448818897636</v>
      </c>
      <c r="L50" s="40">
        <v>0.90118626956082781</v>
      </c>
      <c r="M50" s="40">
        <v>0.84596973440395307</v>
      </c>
      <c r="N50" s="40">
        <v>0.53211065598976592</v>
      </c>
      <c r="O50" s="40">
        <v>0.3758867084347331</v>
      </c>
      <c r="P50" s="40">
        <v>0.67175974710221298</v>
      </c>
    </row>
    <row r="51" spans="2:16">
      <c r="B51" s="14"/>
      <c r="C51" s="14"/>
      <c r="D51" s="14"/>
      <c r="E51" s="17">
        <f t="shared" ref="E51:E55" si="16">E50</f>
        <v>2020</v>
      </c>
      <c r="F51" s="14"/>
      <c r="G51" s="14" t="s">
        <v>41</v>
      </c>
      <c r="H51" s="14"/>
      <c r="I51" s="14"/>
      <c r="J51" s="40">
        <v>2.559324432702741E-2</v>
      </c>
      <c r="K51" s="40">
        <v>0.1889763779527559</v>
      </c>
      <c r="L51" s="40">
        <v>0</v>
      </c>
      <c r="M51" s="40">
        <v>0</v>
      </c>
      <c r="N51" s="40">
        <v>3.7455256651536956E-3</v>
      </c>
      <c r="O51" s="40">
        <v>4.2976233625019421E-3</v>
      </c>
      <c r="P51" s="40">
        <v>0</v>
      </c>
    </row>
    <row r="52" spans="2:16">
      <c r="B52" s="14"/>
      <c r="C52" s="14"/>
      <c r="D52" s="14"/>
      <c r="E52" s="17">
        <f t="shared" si="16"/>
        <v>2020</v>
      </c>
      <c r="F52" s="14"/>
      <c r="G52" s="14" t="s">
        <v>23</v>
      </c>
      <c r="H52" s="14"/>
      <c r="I52" s="14"/>
      <c r="J52" s="40">
        <v>3.4132188517243006E-2</v>
      </c>
      <c r="K52" s="40">
        <v>0</v>
      </c>
      <c r="L52" s="40">
        <v>3.34427057041898E-2</v>
      </c>
      <c r="M52" s="40">
        <v>6.1766522544780727E-3</v>
      </c>
      <c r="N52" s="40">
        <v>2.8955558015670936E-2</v>
      </c>
      <c r="O52" s="40">
        <v>3.9507067778180506E-2</v>
      </c>
      <c r="P52" s="40">
        <v>3.9138943248532294E-2</v>
      </c>
    </row>
    <row r="53" spans="2:16">
      <c r="B53" s="14"/>
      <c r="C53" s="14"/>
      <c r="D53" s="14"/>
      <c r="E53" s="17">
        <f t="shared" si="16"/>
        <v>2020</v>
      </c>
      <c r="F53" s="14"/>
      <c r="G53" s="14" t="s">
        <v>104</v>
      </c>
      <c r="H53" s="14"/>
      <c r="I53" s="14"/>
      <c r="J53" s="40">
        <v>3.8543190074067084E-2</v>
      </c>
      <c r="K53" s="40">
        <v>0.29606299212598425</v>
      </c>
      <c r="L53" s="40">
        <v>0</v>
      </c>
      <c r="M53" s="40">
        <v>1.3588634959851759E-2</v>
      </c>
      <c r="N53" s="40">
        <v>0.12341168800816758</v>
      </c>
      <c r="O53" s="40">
        <v>3.5002330036762806E-2</v>
      </c>
      <c r="P53" s="40">
        <v>0</v>
      </c>
    </row>
    <row r="54" spans="2:16">
      <c r="B54" s="14"/>
      <c r="C54" s="14"/>
      <c r="D54" s="14"/>
      <c r="E54" s="17">
        <f t="shared" si="16"/>
        <v>2020</v>
      </c>
      <c r="F54" s="14"/>
      <c r="G54" s="14" t="s">
        <v>33</v>
      </c>
      <c r="H54" s="14"/>
      <c r="I54" s="14"/>
      <c r="J54" s="40">
        <v>1.604000566117847E-3</v>
      </c>
      <c r="K54" s="40">
        <v>0</v>
      </c>
      <c r="L54" s="40">
        <v>0</v>
      </c>
      <c r="M54" s="40">
        <v>0</v>
      </c>
      <c r="N54" s="40">
        <v>6.7653172933810593E-5</v>
      </c>
      <c r="O54" s="40">
        <v>1.713871485527883E-2</v>
      </c>
      <c r="P54" s="40">
        <v>0</v>
      </c>
    </row>
    <row r="55" spans="2:16">
      <c r="B55" s="14"/>
      <c r="C55" s="14"/>
      <c r="D55" s="14"/>
      <c r="E55" s="17">
        <f t="shared" si="16"/>
        <v>2020</v>
      </c>
      <c r="F55" s="14"/>
      <c r="G55" s="14" t="s">
        <v>51</v>
      </c>
      <c r="H55" s="14"/>
      <c r="I55" s="14"/>
      <c r="J55" s="40">
        <v>0.57186866065952735</v>
      </c>
      <c r="K55" s="40">
        <v>0.27086614173228346</v>
      </c>
      <c r="L55" s="40">
        <v>2.9909136799596159E-2</v>
      </c>
      <c r="M55" s="40">
        <v>4.4433292155651637E-2</v>
      </c>
      <c r="N55" s="40">
        <v>0.2152115084197449</v>
      </c>
      <c r="O55" s="40">
        <v>0.51449800652410305</v>
      </c>
      <c r="P55" s="40">
        <v>0.24612373927442421</v>
      </c>
    </row>
    <row r="56" spans="2:16">
      <c r="B56" s="14"/>
      <c r="C56" s="14"/>
      <c r="D56" s="14"/>
      <c r="E56" s="17">
        <v>2030</v>
      </c>
      <c r="F56" s="14"/>
      <c r="G56" s="14" t="s">
        <v>20</v>
      </c>
      <c r="H56" s="14"/>
      <c r="I56" s="14"/>
      <c r="J56" s="40"/>
      <c r="K56" s="40"/>
      <c r="L56" s="40"/>
      <c r="M56" s="40"/>
      <c r="N56" s="40"/>
      <c r="O56" s="40"/>
      <c r="P56" s="40"/>
    </row>
    <row r="57" spans="2:16">
      <c r="B57" s="14"/>
      <c r="C57" s="14"/>
      <c r="D57" s="14"/>
      <c r="E57" s="17">
        <v>2030</v>
      </c>
      <c r="F57" s="14"/>
      <c r="G57" s="14" t="s">
        <v>29</v>
      </c>
      <c r="H57" s="14"/>
      <c r="I57" s="14"/>
      <c r="J57" s="40">
        <v>1</v>
      </c>
      <c r="K57" s="40">
        <v>1</v>
      </c>
      <c r="L57" s="40">
        <v>1</v>
      </c>
      <c r="M57" s="40">
        <v>1</v>
      </c>
      <c r="N57" s="40">
        <v>1</v>
      </c>
      <c r="O57" s="40">
        <v>1</v>
      </c>
      <c r="P57" s="40">
        <v>1</v>
      </c>
    </row>
    <row r="58" spans="2:16">
      <c r="B58" s="14"/>
      <c r="C58" s="14"/>
      <c r="D58" s="14"/>
      <c r="E58" s="17">
        <v>2030</v>
      </c>
      <c r="F58" s="14"/>
      <c r="G58" s="14" t="s">
        <v>41</v>
      </c>
      <c r="H58" s="14"/>
      <c r="I58" s="14"/>
      <c r="J58" s="40"/>
      <c r="K58" s="40"/>
      <c r="L58" s="40"/>
      <c r="M58" s="40"/>
      <c r="N58" s="40"/>
      <c r="O58" s="40"/>
      <c r="P58" s="40"/>
    </row>
    <row r="59" spans="2:16">
      <c r="B59" s="14"/>
      <c r="C59" s="14"/>
      <c r="D59" s="14"/>
      <c r="E59" s="17">
        <v>2030</v>
      </c>
      <c r="F59" s="14"/>
      <c r="G59" s="14" t="s">
        <v>23</v>
      </c>
      <c r="H59" s="14"/>
      <c r="I59" s="14"/>
      <c r="J59" s="40"/>
      <c r="K59" s="40"/>
      <c r="L59" s="40"/>
      <c r="M59" s="40"/>
      <c r="N59" s="40"/>
      <c r="O59" s="40"/>
      <c r="P59" s="40"/>
    </row>
    <row r="60" spans="2:16">
      <c r="B60" s="14"/>
      <c r="C60" s="14"/>
      <c r="D60" s="14"/>
      <c r="E60" s="17">
        <v>2030</v>
      </c>
      <c r="F60" s="14"/>
      <c r="G60" s="14" t="s">
        <v>104</v>
      </c>
      <c r="H60" s="14"/>
      <c r="I60" s="14"/>
      <c r="J60" s="40"/>
      <c r="K60" s="40"/>
      <c r="L60" s="40"/>
      <c r="M60" s="40"/>
      <c r="N60" s="40"/>
      <c r="O60" s="40"/>
      <c r="P60" s="40"/>
    </row>
    <row r="61" spans="2:16">
      <c r="B61" s="14"/>
      <c r="C61" s="14"/>
      <c r="D61" s="14"/>
      <c r="E61" s="17">
        <v>2030</v>
      </c>
      <c r="F61" s="14"/>
      <c r="G61" s="14" t="s">
        <v>33</v>
      </c>
      <c r="H61" s="14"/>
      <c r="I61" s="14"/>
      <c r="J61" s="40"/>
      <c r="K61" s="40"/>
      <c r="L61" s="40"/>
      <c r="M61" s="40"/>
      <c r="N61" s="40"/>
      <c r="O61" s="40"/>
      <c r="P61" s="40"/>
    </row>
    <row r="62" spans="2:16">
      <c r="B62" s="14"/>
      <c r="C62" s="14"/>
      <c r="D62" s="14"/>
      <c r="E62" s="17">
        <v>2030</v>
      </c>
      <c r="F62" s="14"/>
      <c r="G62" s="14" t="s">
        <v>51</v>
      </c>
      <c r="H62" s="14"/>
      <c r="I62" s="14"/>
      <c r="J62" s="40"/>
      <c r="K62" s="40"/>
      <c r="L62" s="40"/>
      <c r="M62" s="40"/>
      <c r="N62" s="40"/>
      <c r="O62" s="40"/>
      <c r="P62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ELC_ExistingStock</vt:lpstr>
      <vt:lpstr>FuelTech</vt:lpstr>
      <vt:lpstr>Emissions</vt:lpstr>
      <vt:lpstr>Dist Heat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2013-02-25T18:56:33Z</dcterms:created>
  <dcterms:modified xsi:type="dcterms:W3CDTF">2024-04-03T01:39:50Z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757366359233856</vt:r8>
  </property>
</Properties>
</file>